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c7323953aad638aa/Documents/Student Affairs/Projects/Raw/"/>
    </mc:Choice>
  </mc:AlternateContent>
  <xr:revisionPtr revIDLastSave="3" documentId="13_ncr:1_{AA220FE4-AB8F-4628-B9FD-4E9B305DC330}" xr6:coauthVersionLast="47" xr6:coauthVersionMax="47" xr10:uidLastSave="{58B51280-2DCE-4E0E-AD2D-815EC31EF965}"/>
  <bookViews>
    <workbookView xWindow="-110" yWindow="-110" windowWidth="19420" windowHeight="10300" firstSheet="3" activeTab="4" xr2:uid="{00000000-000D-0000-FFFF-FFFF00000000}"/>
  </bookViews>
  <sheets>
    <sheet name="Sheet15" sheetId="1" r:id="rId1"/>
    <sheet name="CSS 2023-2024(CutOff 240731)" sheetId="2" r:id="rId2"/>
    <sheet name="CSS 2022-2023(CutOff 230827)" sheetId="3" r:id="rId3"/>
    <sheet name="Data All (Backup)" sheetId="13" r:id="rId4"/>
    <sheet name="Data All" sheetId="4" r:id="rId5"/>
    <sheet name="Sheet1" sheetId="14" r:id="rId6"/>
    <sheet name="Grading_Table" sheetId="12" r:id="rId7"/>
    <sheet name="Input" sheetId="5" r:id="rId8"/>
    <sheet name="Tidak Jelas n Internal UC" sheetId="6" r:id="rId9"/>
    <sheet name="Sheet3" sheetId="7" r:id="rId10"/>
    <sheet name="Summary Fakultas" sheetId="8" r:id="rId11"/>
    <sheet name="UC Online" sheetId="9" r:id="rId12"/>
    <sheet name="Tabel Bobot" sheetId="10" r:id="rId13"/>
    <sheet name="NNP Data PPT Networking Review-" sheetId="11" r:id="rId14"/>
  </sheets>
  <calcPr calcId="191029"/>
  <pivotCaches>
    <pivotCache cacheId="0" r:id="rId15"/>
  </pivotCaches>
</workbook>
</file>

<file path=xl/calcChain.xml><?xml version="1.0" encoding="utf-8"?>
<calcChain xmlns="http://schemas.openxmlformats.org/spreadsheetml/2006/main">
  <c r="D23" i="5" l="1"/>
  <c r="F22" i="5"/>
  <c r="E22" i="5"/>
  <c r="F21" i="5"/>
  <c r="E21" i="5"/>
  <c r="D20" i="5"/>
  <c r="F20" i="5"/>
  <c r="E20" i="5"/>
  <c r="F19" i="5"/>
  <c r="E19" i="5"/>
  <c r="D19" i="5"/>
  <c r="D40" i="5"/>
  <c r="D41" i="5"/>
  <c r="D42" i="5"/>
  <c r="D43" i="5"/>
  <c r="D39" i="5"/>
  <c r="D31" i="5"/>
  <c r="D32" i="5"/>
  <c r="D33" i="5"/>
  <c r="D34" i="5"/>
  <c r="D35" i="5"/>
  <c r="D36" i="5"/>
  <c r="D37" i="5"/>
  <c r="D30" i="5"/>
  <c r="F23" i="5"/>
  <c r="F24" i="5"/>
  <c r="F25" i="5"/>
  <c r="F26" i="5"/>
  <c r="F27" i="5"/>
  <c r="F28" i="5"/>
  <c r="F29" i="5"/>
  <c r="F30" i="5"/>
  <c r="F31" i="5"/>
  <c r="F32" i="5"/>
  <c r="F33" i="5"/>
  <c r="F34" i="5"/>
  <c r="F35" i="5"/>
  <c r="F36" i="5"/>
  <c r="F37" i="5"/>
  <c r="F38" i="5"/>
  <c r="F39" i="5"/>
  <c r="F40" i="5"/>
  <c r="F41" i="5"/>
  <c r="F42" i="5"/>
  <c r="F43" i="5"/>
  <c r="E23" i="5"/>
  <c r="E24" i="5"/>
  <c r="E25" i="5"/>
  <c r="E26" i="5"/>
  <c r="E27" i="5"/>
  <c r="E28" i="5"/>
  <c r="E29" i="5"/>
  <c r="E30" i="5"/>
  <c r="E31" i="5"/>
  <c r="E32" i="5"/>
  <c r="E33" i="5"/>
  <c r="E34" i="5"/>
  <c r="E35" i="5"/>
  <c r="E36" i="5"/>
  <c r="E37" i="5"/>
  <c r="E38" i="5"/>
  <c r="E39" i="5"/>
  <c r="E40" i="5"/>
  <c r="E41" i="5"/>
  <c r="E42" i="5"/>
  <c r="E43" i="5"/>
  <c r="D24" i="5"/>
  <c r="D25" i="5"/>
  <c r="D26" i="5"/>
  <c r="D27" i="5"/>
  <c r="D28" i="5"/>
  <c r="E44" i="12"/>
  <c r="E43" i="12"/>
  <c r="E42" i="12"/>
  <c r="E40" i="12"/>
  <c r="E39" i="12"/>
  <c r="E38" i="12"/>
  <c r="E35" i="12"/>
  <c r="E34" i="12"/>
  <c r="E31" i="12"/>
  <c r="E30" i="12"/>
  <c r="E27" i="12"/>
  <c r="E26" i="12"/>
  <c r="E22" i="12"/>
  <c r="E21" i="12"/>
  <c r="E20" i="12"/>
  <c r="V97" i="4"/>
  <c r="V146" i="4"/>
  <c r="V158" i="4"/>
  <c r="V421" i="4"/>
  <c r="V138" i="4"/>
  <c r="V465" i="4"/>
  <c r="V271" i="4"/>
  <c r="V261" i="4"/>
  <c r="V262" i="4"/>
  <c r="V263" i="4"/>
  <c r="V4" i="4"/>
  <c r="V106" i="4"/>
  <c r="V463" i="4"/>
  <c r="V22" i="4"/>
  <c r="V23" i="4"/>
  <c r="V359" i="4"/>
  <c r="V419" i="4"/>
  <c r="V396" i="4"/>
  <c r="V370" i="4"/>
  <c r="V228" i="4"/>
  <c r="V98" i="4"/>
  <c r="V99" i="4"/>
  <c r="V458" i="4"/>
  <c r="V139" i="4"/>
  <c r="V222" i="4"/>
  <c r="V87" i="4"/>
  <c r="V63" i="4"/>
  <c r="V291" i="4"/>
  <c r="V141" i="4"/>
  <c r="V277" i="4"/>
  <c r="V163" i="4"/>
  <c r="V316" i="4"/>
  <c r="V37" i="4"/>
  <c r="V447" i="4"/>
  <c r="V147" i="4"/>
  <c r="V346" i="4"/>
  <c r="V429" i="4"/>
  <c r="V390" i="4"/>
  <c r="V391" i="4"/>
  <c r="V280" i="4"/>
  <c r="V406" i="4"/>
  <c r="V180" i="4"/>
  <c r="V443" i="4"/>
  <c r="V297" i="4"/>
  <c r="V25" i="4"/>
  <c r="V12" i="4"/>
  <c r="V164" i="4"/>
  <c r="V339" i="4"/>
  <c r="V85" i="4"/>
  <c r="V340" i="4"/>
  <c r="V7" i="4"/>
  <c r="V349" i="4"/>
  <c r="V404" i="4"/>
  <c r="V160" i="4"/>
  <c r="V363" i="4"/>
  <c r="V364" i="4"/>
  <c r="V285" i="4"/>
  <c r="V129" i="4"/>
  <c r="V372" i="4"/>
  <c r="V148" i="4"/>
  <c r="V149" i="4"/>
  <c r="V289" i="4"/>
  <c r="V195" i="4"/>
  <c r="V196" i="4"/>
  <c r="V197" i="4"/>
  <c r="V65" i="4"/>
  <c r="V165" i="4"/>
  <c r="V444" i="4"/>
  <c r="V92" i="4"/>
  <c r="V93" i="4"/>
  <c r="V20" i="4"/>
  <c r="V323" i="4"/>
  <c r="V377" i="4"/>
  <c r="V227" i="4"/>
  <c r="V430" i="4"/>
  <c r="V40" i="4"/>
  <c r="V345" i="4"/>
  <c r="V224" i="4"/>
  <c r="V304" i="4"/>
  <c r="V311" i="4"/>
  <c r="V131" i="4"/>
  <c r="V46" i="4"/>
  <c r="V292" i="4"/>
  <c r="V143" i="4"/>
  <c r="V451" i="4"/>
  <c r="V412" i="4"/>
  <c r="V267" i="4"/>
  <c r="V154" i="4"/>
  <c r="V287" i="4"/>
  <c r="V218" i="4"/>
  <c r="V172" i="4"/>
  <c r="V455" i="4"/>
  <c r="V226" i="4"/>
  <c r="V35" i="4"/>
  <c r="V290" i="4"/>
  <c r="V16" i="4"/>
  <c r="V281" i="4"/>
  <c r="V171" i="4"/>
  <c r="V274" i="4"/>
  <c r="V136" i="4"/>
  <c r="V108" i="4"/>
  <c r="V168" i="4"/>
  <c r="V347" i="4"/>
  <c r="V321" i="4"/>
  <c r="V90" i="4"/>
  <c r="V216" i="4"/>
  <c r="V378" i="4"/>
  <c r="V273" i="4"/>
  <c r="V120" i="4"/>
  <c r="V275" i="4"/>
  <c r="V365" i="4"/>
  <c r="V229" i="4"/>
  <c r="V343" i="4"/>
  <c r="V102" i="4"/>
  <c r="V109" i="4"/>
  <c r="V184" i="4"/>
  <c r="V223" i="4"/>
  <c r="V272" i="4"/>
  <c r="V417" i="4"/>
  <c r="V305" i="4"/>
  <c r="V299" i="4"/>
  <c r="V95" i="4"/>
  <c r="V145" i="4"/>
  <c r="V36" i="4"/>
  <c r="V360" i="4"/>
  <c r="V312" i="4"/>
  <c r="V313" i="4"/>
  <c r="V198" i="4"/>
  <c r="V125" i="4"/>
  <c r="V425" i="4"/>
  <c r="V55" i="4"/>
  <c r="V403" i="4"/>
  <c r="V76" i="4"/>
  <c r="V296" i="4"/>
  <c r="V43" i="4"/>
  <c r="V232" i="4"/>
  <c r="V246" i="4"/>
  <c r="V69" i="4"/>
  <c r="V88" i="4"/>
  <c r="V179" i="4"/>
  <c r="V132" i="4"/>
  <c r="V6" i="4"/>
  <c r="V338" i="4"/>
  <c r="V252" i="4"/>
  <c r="V81" i="4"/>
  <c r="V57" i="4"/>
  <c r="V306" i="4"/>
  <c r="V77" i="4"/>
  <c r="V300" i="4"/>
  <c r="V434" i="4"/>
  <c r="V242" i="4"/>
  <c r="V210" i="4"/>
  <c r="V193" i="4"/>
  <c r="V13" i="4"/>
  <c r="V317" i="4"/>
  <c r="V192" i="4"/>
  <c r="V454" i="4"/>
  <c r="V8" i="4"/>
  <c r="V105" i="4"/>
  <c r="V464" i="4"/>
  <c r="V26" i="4"/>
  <c r="V162" i="4"/>
  <c r="V236" i="4"/>
  <c r="V394" i="4"/>
  <c r="V383" i="4"/>
  <c r="V116" i="4"/>
  <c r="V282" i="4"/>
  <c r="V356" i="4"/>
  <c r="V431" i="4"/>
  <c r="V344" i="4"/>
  <c r="V14" i="4"/>
  <c r="V91" i="4"/>
  <c r="V225" i="4"/>
  <c r="V19" i="4"/>
  <c r="V121" i="4"/>
  <c r="V319" i="4"/>
  <c r="V52" i="4"/>
  <c r="V256" i="4"/>
  <c r="V375" i="4"/>
  <c r="V94" i="4"/>
  <c r="V142" i="4"/>
  <c r="V283" i="4"/>
  <c r="V211" i="4"/>
  <c r="V54" i="4"/>
  <c r="V325" i="4"/>
  <c r="V107" i="4"/>
  <c r="V153" i="4"/>
  <c r="V255" i="4"/>
  <c r="V395" i="4"/>
  <c r="V322" i="4"/>
  <c r="V257" i="4"/>
  <c r="V348" i="4"/>
  <c r="V166" i="4"/>
  <c r="V376" i="4"/>
  <c r="V286" i="4"/>
  <c r="V217" i="4"/>
  <c r="V74" i="4"/>
  <c r="V66" i="4"/>
  <c r="V393" i="4"/>
  <c r="V123" i="4"/>
  <c r="V423" i="4"/>
  <c r="V392" i="4"/>
  <c r="V53" i="4"/>
  <c r="V122" i="4"/>
  <c r="V309" i="4"/>
  <c r="V50" i="4"/>
  <c r="V295" i="4"/>
  <c r="V100" i="4"/>
  <c r="V433" i="4"/>
  <c r="V15" i="4"/>
  <c r="V75" i="4"/>
  <c r="V439" i="4"/>
  <c r="V259" i="4"/>
  <c r="V331" i="4"/>
  <c r="V186" i="4"/>
  <c r="V265" i="4"/>
  <c r="V113" i="4"/>
  <c r="V24" i="4"/>
  <c r="V336" i="4"/>
  <c r="V442" i="4"/>
  <c r="V234" i="4"/>
  <c r="V382" i="4"/>
  <c r="V220" i="4"/>
  <c r="V388" i="4"/>
  <c r="V284" i="4"/>
  <c r="V330" i="4"/>
  <c r="V326" i="4"/>
  <c r="V48" i="4"/>
  <c r="V355" i="4"/>
  <c r="V194" i="4"/>
  <c r="V424" i="4"/>
  <c r="V448" i="4"/>
  <c r="V445" i="4"/>
  <c r="V58" i="4"/>
  <c r="V301" i="4"/>
  <c r="V329" i="4"/>
  <c r="V114" i="4"/>
  <c r="V238" i="4"/>
  <c r="V42" i="4"/>
  <c r="V201" i="4"/>
  <c r="V119" i="4"/>
  <c r="V456" i="4"/>
  <c r="V237" i="4"/>
  <c r="V362" i="4"/>
  <c r="V187" i="4"/>
  <c r="V422" i="4"/>
  <c r="V5" i="4"/>
  <c r="V21" i="4"/>
  <c r="V381" i="4"/>
  <c r="V235" i="4"/>
  <c r="V86" i="4"/>
  <c r="V303" i="4"/>
  <c r="V302" i="4"/>
  <c r="V230" i="4"/>
  <c r="V307" i="4"/>
  <c r="V204" i="4"/>
  <c r="V350" i="4"/>
  <c r="V59" i="4"/>
  <c r="V38" i="4"/>
  <c r="V39" i="4"/>
  <c r="V308" i="4"/>
  <c r="V293" i="4"/>
  <c r="V294" i="4"/>
  <c r="V73" i="4"/>
  <c r="V133" i="4"/>
  <c r="V134" i="4"/>
  <c r="V441" i="4"/>
  <c r="V10" i="4"/>
  <c r="V268" i="4"/>
  <c r="V269" i="4"/>
  <c r="V270" i="4"/>
  <c r="V173" i="4"/>
  <c r="V342" i="4"/>
  <c r="V174" i="4"/>
  <c r="V175" i="4"/>
  <c r="V176" i="4"/>
  <c r="V177" i="4"/>
  <c r="V178" i="4"/>
  <c r="V47" i="4"/>
  <c r="V457" i="4"/>
  <c r="V264" i="4"/>
  <c r="V219" i="4"/>
  <c r="V240" i="4"/>
  <c r="V156" i="4"/>
  <c r="V157" i="4"/>
  <c r="V358" i="4"/>
  <c r="V266" i="4"/>
  <c r="V233" i="4"/>
  <c r="V17" i="4"/>
  <c r="V205" i="4"/>
  <c r="V206" i="4"/>
  <c r="V207" i="4"/>
  <c r="V208" i="4"/>
  <c r="V209" i="4"/>
  <c r="V127" i="4"/>
  <c r="V128" i="4"/>
  <c r="V397" i="4"/>
  <c r="V398" i="4"/>
  <c r="V399" i="4"/>
  <c r="V400" i="4"/>
  <c r="V137" i="4"/>
  <c r="V221" i="4"/>
  <c r="V239" i="4"/>
  <c r="V298" i="4"/>
  <c r="V387" i="4"/>
  <c r="V341" i="4"/>
  <c r="V32" i="4"/>
  <c r="V33" i="4"/>
  <c r="V34" i="4"/>
  <c r="V84" i="4"/>
  <c r="V79" i="4"/>
  <c r="V241" i="4"/>
  <c r="V278" i="4"/>
  <c r="V279" i="4"/>
  <c r="V432" i="4"/>
  <c r="V110" i="4"/>
  <c r="V288" i="4"/>
  <c r="V41" i="4"/>
  <c r="V202" i="4"/>
  <c r="V462" i="4"/>
  <c r="V466" i="4"/>
  <c r="V49" i="4"/>
  <c r="V357" i="4"/>
  <c r="V188" i="4"/>
  <c r="V189" i="4"/>
  <c r="V167" i="4"/>
  <c r="V411" i="4"/>
  <c r="V407" i="4"/>
  <c r="V408" i="4"/>
  <c r="V409" i="4"/>
  <c r="V410" i="4"/>
  <c r="V101" i="4"/>
  <c r="V250" i="4"/>
  <c r="V68" i="4"/>
  <c r="V371" i="4"/>
  <c r="V450" i="4"/>
  <c r="V89" i="4"/>
  <c r="V215" i="4"/>
  <c r="V386" i="4"/>
  <c r="V115" i="4"/>
  <c r="V182" i="4"/>
  <c r="V62" i="4"/>
  <c r="V170" i="4"/>
  <c r="V413" i="4"/>
  <c r="V414" i="4"/>
  <c r="V181" i="4"/>
  <c r="V276" i="4"/>
  <c r="V467" i="4"/>
  <c r="V379" i="4"/>
  <c r="V352" i="4"/>
  <c r="V70" i="4"/>
  <c r="V104" i="4"/>
  <c r="V384" i="4"/>
  <c r="V327" i="4"/>
  <c r="V144" i="4"/>
  <c r="V366" i="4"/>
  <c r="V169" i="4"/>
  <c r="V203" i="4"/>
  <c r="V380" i="4"/>
  <c r="V112" i="4"/>
  <c r="V56" i="4"/>
  <c r="V71" i="4"/>
  <c r="V72" i="4"/>
  <c r="V435" i="4"/>
  <c r="V254" i="4"/>
  <c r="V9" i="4"/>
  <c r="V440" i="4"/>
  <c r="V159" i="4"/>
  <c r="V103" i="4"/>
  <c r="V452" i="4"/>
  <c r="V353" i="4"/>
  <c r="V354" i="4"/>
  <c r="V310" i="4"/>
  <c r="V214" i="4"/>
  <c r="V249" i="4"/>
  <c r="V418" i="4"/>
  <c r="V332" i="4"/>
  <c r="V28" i="4"/>
  <c r="V351" i="4"/>
  <c r="V140" i="4"/>
  <c r="V155" i="4"/>
  <c r="V151" i="4"/>
  <c r="V436" i="4"/>
  <c r="V117" i="4"/>
  <c r="V161" i="4"/>
  <c r="V318" i="4"/>
  <c r="V61" i="4"/>
  <c r="V96" i="4"/>
  <c r="V82" i="4"/>
  <c r="V83" i="4"/>
  <c r="V185" i="4"/>
  <c r="V64" i="4"/>
  <c r="V44" i="4"/>
  <c r="V45" i="4"/>
  <c r="V248" i="4"/>
  <c r="V334" i="4"/>
  <c r="V251" i="4"/>
  <c r="V67" i="4"/>
  <c r="V401" i="4"/>
  <c r="V402" i="4"/>
  <c r="V152" i="4"/>
  <c r="V389" i="4"/>
  <c r="V11" i="4"/>
  <c r="V416" i="4"/>
  <c r="V212" i="4"/>
  <c r="V213" i="4"/>
  <c r="V453" i="4"/>
  <c r="V2" i="4"/>
  <c r="V3" i="4"/>
  <c r="V460" i="4"/>
  <c r="V124" i="4"/>
  <c r="V111" i="4"/>
  <c r="V405" i="4"/>
  <c r="V420" i="4"/>
  <c r="V51" i="4"/>
  <c r="V126" i="4"/>
  <c r="V260" i="4"/>
  <c r="V468" i="4"/>
  <c r="V328" i="4"/>
  <c r="V253" i="4"/>
  <c r="V369" i="4"/>
  <c r="V258" i="4"/>
  <c r="V335" i="4"/>
  <c r="V446" i="4"/>
  <c r="V29" i="4"/>
  <c r="V30" i="4"/>
  <c r="V31" i="4"/>
  <c r="V415" i="4"/>
  <c r="V461" i="4"/>
  <c r="V60" i="4"/>
  <c r="V449" i="4"/>
  <c r="V245" i="4"/>
  <c r="V231" i="4"/>
  <c r="V320" i="4"/>
  <c r="V459" i="4"/>
  <c r="V361" i="4"/>
  <c r="V324" i="4"/>
  <c r="V427" i="4"/>
  <c r="V428" i="4"/>
  <c r="V190" i="4"/>
  <c r="V191" i="4"/>
  <c r="V426" i="4"/>
  <c r="V130" i="4"/>
  <c r="V368" i="4"/>
  <c r="V118" i="4"/>
  <c r="V243" i="4"/>
  <c r="V244" i="4"/>
  <c r="V183" i="4"/>
  <c r="V247" i="4"/>
  <c r="V438" i="4"/>
  <c r="V199" i="4"/>
  <c r="V200" i="4"/>
  <c r="V315" i="4"/>
  <c r="V333" i="4"/>
  <c r="V385" i="4"/>
  <c r="V27" i="4"/>
  <c r="V135" i="4"/>
  <c r="V367" i="4"/>
  <c r="V78" i="4"/>
  <c r="V150" i="4"/>
  <c r="V373" i="4"/>
  <c r="V374" i="4"/>
  <c r="V18" i="4"/>
  <c r="V437" i="4"/>
  <c r="V314" i="4"/>
  <c r="V337" i="4"/>
  <c r="V80" i="4"/>
  <c r="I29" i="5" l="1"/>
  <c r="E50" i="12"/>
  <c r="E49" i="12"/>
  <c r="E48" i="12"/>
  <c r="E47" i="12"/>
  <c r="E46" i="12"/>
  <c r="E45" i="12"/>
  <c r="E41" i="12"/>
  <c r="E37" i="12"/>
  <c r="E36" i="12"/>
  <c r="E33" i="12"/>
  <c r="E32" i="12"/>
  <c r="E29" i="12"/>
  <c r="E28" i="12"/>
  <c r="E25" i="12"/>
  <c r="E24" i="12"/>
  <c r="E23" i="12"/>
  <c r="E19" i="12"/>
  <c r="E18" i="12"/>
  <c r="E17" i="12"/>
  <c r="E16" i="12"/>
  <c r="E15" i="12"/>
  <c r="E14" i="12"/>
  <c r="E13" i="12"/>
  <c r="E12" i="12"/>
  <c r="E11" i="12"/>
  <c r="E10" i="12"/>
  <c r="E9" i="12"/>
  <c r="E8" i="12"/>
  <c r="E7" i="12"/>
  <c r="E6" i="12"/>
  <c r="E5" i="12"/>
  <c r="E4" i="12"/>
  <c r="E3" i="12"/>
  <c r="E2" i="12"/>
  <c r="W418" i="4" l="1"/>
  <c r="W316" i="4"/>
  <c r="W263" i="4"/>
  <c r="W311" i="4"/>
  <c r="W446" i="4"/>
  <c r="W73" i="4"/>
  <c r="W196" i="4"/>
  <c r="W265" i="4"/>
  <c r="W348" i="4"/>
  <c r="W10" i="4"/>
  <c r="W201" i="4"/>
  <c r="W198" i="4"/>
  <c r="W83" i="4"/>
  <c r="W298" i="4"/>
  <c r="W154" i="4"/>
  <c r="W402" i="4"/>
  <c r="W39" i="4"/>
  <c r="W448" i="4"/>
  <c r="W229" i="4"/>
  <c r="W323" i="4"/>
  <c r="W54" i="4"/>
  <c r="W407" i="4"/>
  <c r="W173" i="4"/>
  <c r="W67" i="4"/>
  <c r="W112" i="4"/>
  <c r="W314" i="4"/>
  <c r="W117" i="4"/>
  <c r="W457" i="4"/>
  <c r="W150" i="4"/>
  <c r="W128" i="4"/>
  <c r="W123" i="4"/>
  <c r="W374" i="4"/>
  <c r="W126" i="4"/>
  <c r="W252" i="4"/>
  <c r="W233" i="4"/>
  <c r="W210" i="4"/>
  <c r="W152" i="4"/>
  <c r="W33" i="4"/>
  <c r="W464" i="4"/>
  <c r="W100" i="4"/>
  <c r="W245" i="4"/>
  <c r="W241" i="4"/>
  <c r="W280" i="4"/>
  <c r="W413" i="4"/>
  <c r="W204" i="4"/>
  <c r="W139" i="4"/>
  <c r="W271" i="4"/>
  <c r="W319" i="4"/>
  <c r="W450" i="4"/>
  <c r="W364" i="4"/>
  <c r="W436" i="4"/>
  <c r="D21" i="5" s="1"/>
  <c r="W21" i="4"/>
  <c r="W104" i="4"/>
  <c r="W64" i="4"/>
  <c r="W2" i="4"/>
  <c r="W437" i="4"/>
  <c r="W465" i="4"/>
  <c r="W396" i="4"/>
  <c r="W63" i="4"/>
  <c r="W346" i="4"/>
  <c r="W25" i="4"/>
  <c r="W160" i="4"/>
  <c r="W195" i="4"/>
  <c r="W377" i="4"/>
  <c r="W46" i="4"/>
  <c r="W172" i="4"/>
  <c r="W136" i="4"/>
  <c r="W120" i="4"/>
  <c r="W272" i="4"/>
  <c r="W313" i="4"/>
  <c r="W246" i="4"/>
  <c r="W57" i="4"/>
  <c r="W317" i="4"/>
  <c r="W394" i="4"/>
  <c r="W225" i="4"/>
  <c r="W283" i="4"/>
  <c r="W257" i="4"/>
  <c r="W423" i="4"/>
  <c r="W15" i="4"/>
  <c r="W336" i="4"/>
  <c r="W48" i="4"/>
  <c r="W114" i="4"/>
  <c r="W422" i="4"/>
  <c r="W307" i="4"/>
  <c r="W134" i="4"/>
  <c r="W176" i="4"/>
  <c r="W157" i="4"/>
  <c r="W209" i="4"/>
  <c r="W239" i="4"/>
  <c r="W279" i="4"/>
  <c r="W357" i="4"/>
  <c r="W101" i="4"/>
  <c r="W182" i="4"/>
  <c r="W352" i="4"/>
  <c r="W380" i="4"/>
  <c r="W103" i="4"/>
  <c r="W28" i="4"/>
  <c r="W96" i="4"/>
  <c r="F48" i="5" s="1"/>
  <c r="W401" i="4"/>
  <c r="W460" i="4"/>
  <c r="W328" i="4"/>
  <c r="W415" i="4"/>
  <c r="W324" i="4"/>
  <c r="W243" i="4"/>
  <c r="W385" i="4"/>
  <c r="W351" i="4"/>
  <c r="W389" i="4"/>
  <c r="W253" i="4"/>
  <c r="W427" i="4"/>
  <c r="W135" i="4"/>
  <c r="W297" i="4"/>
  <c r="W273" i="4"/>
  <c r="W236" i="4"/>
  <c r="W326" i="4"/>
  <c r="W156" i="4"/>
  <c r="W115" i="4"/>
  <c r="W251" i="4"/>
  <c r="W333" i="4"/>
  <c r="W262" i="4"/>
  <c r="W370" i="4"/>
  <c r="W291" i="4"/>
  <c r="W429" i="4"/>
  <c r="W12" i="4"/>
  <c r="W363" i="4"/>
  <c r="W197" i="4"/>
  <c r="W227" i="4"/>
  <c r="W292" i="4"/>
  <c r="W455" i="4"/>
  <c r="W108" i="4"/>
  <c r="W275" i="4"/>
  <c r="W417" i="4"/>
  <c r="W125" i="4"/>
  <c r="W69" i="4"/>
  <c r="W306" i="4"/>
  <c r="W192" i="4"/>
  <c r="W383" i="4"/>
  <c r="W19" i="4"/>
  <c r="W211" i="4"/>
  <c r="W166" i="4"/>
  <c r="W392" i="4"/>
  <c r="W75" i="4"/>
  <c r="W442" i="4"/>
  <c r="W355" i="4"/>
  <c r="W238" i="4"/>
  <c r="W5" i="4"/>
  <c r="W350" i="4"/>
  <c r="W441" i="4"/>
  <c r="W177" i="4"/>
  <c r="W358" i="4"/>
  <c r="W127" i="4"/>
  <c r="W387" i="4"/>
  <c r="W432" i="4"/>
  <c r="W188" i="4"/>
  <c r="W250" i="4"/>
  <c r="W62" i="4"/>
  <c r="W70" i="4"/>
  <c r="W56" i="4"/>
  <c r="W452" i="4"/>
  <c r="W82" i="4"/>
  <c r="W124" i="4"/>
  <c r="W461" i="4"/>
  <c r="W244" i="4"/>
  <c r="W87" i="4"/>
  <c r="W274" i="4"/>
  <c r="W91" i="4"/>
  <c r="W187" i="4"/>
  <c r="W221" i="4"/>
  <c r="W379" i="4"/>
  <c r="W3" i="4"/>
  <c r="W80" i="4"/>
  <c r="W4" i="4"/>
  <c r="W228" i="4"/>
  <c r="W141" i="4"/>
  <c r="W390" i="4"/>
  <c r="W164" i="4"/>
  <c r="W285" i="4"/>
  <c r="W65" i="4"/>
  <c r="W430" i="4"/>
  <c r="W143" i="4"/>
  <c r="W226" i="4"/>
  <c r="W168" i="4"/>
  <c r="W365" i="4"/>
  <c r="W299" i="4"/>
  <c r="W425" i="4"/>
  <c r="W88" i="4"/>
  <c r="W77" i="4"/>
  <c r="W454" i="4"/>
  <c r="W116" i="4"/>
  <c r="W121" i="4"/>
  <c r="W325" i="4"/>
  <c r="W376" i="4"/>
  <c r="W53" i="4"/>
  <c r="W439" i="4"/>
  <c r="W234" i="4"/>
  <c r="W194" i="4"/>
  <c r="W42" i="4"/>
  <c r="W381" i="4"/>
  <c r="W59" i="4"/>
  <c r="W268" i="4"/>
  <c r="W178" i="4"/>
  <c r="W266" i="4"/>
  <c r="W397" i="4"/>
  <c r="W341" i="4"/>
  <c r="W110" i="4"/>
  <c r="W189" i="4"/>
  <c r="W68" i="4"/>
  <c r="W170" i="4"/>
  <c r="W384" i="4"/>
  <c r="W71" i="4"/>
  <c r="W353" i="4"/>
  <c r="W140" i="4"/>
  <c r="W185" i="4"/>
  <c r="W11" i="4"/>
  <c r="W111" i="4"/>
  <c r="W369" i="4"/>
  <c r="W60" i="4"/>
  <c r="W428" i="4"/>
  <c r="W247" i="4"/>
  <c r="W367" i="4"/>
  <c r="W78" i="4"/>
  <c r="W18" i="4"/>
  <c r="W404" i="4"/>
  <c r="W223" i="4"/>
  <c r="W142" i="4"/>
  <c r="W329" i="4"/>
  <c r="W208" i="4"/>
  <c r="W203" i="4"/>
  <c r="W468" i="4"/>
  <c r="W97" i="4"/>
  <c r="W106" i="4"/>
  <c r="W98" i="4"/>
  <c r="W277" i="4"/>
  <c r="W391" i="4"/>
  <c r="W85" i="4"/>
  <c r="W129" i="4"/>
  <c r="W165" i="4"/>
  <c r="W40" i="4"/>
  <c r="W451" i="4"/>
  <c r="W35" i="4"/>
  <c r="W347" i="4"/>
  <c r="W343" i="4"/>
  <c r="W95" i="4"/>
  <c r="W55" i="4"/>
  <c r="W179" i="4"/>
  <c r="W300" i="4"/>
  <c r="W8" i="4"/>
  <c r="W282" i="4"/>
  <c r="W52" i="4"/>
  <c r="W107" i="4"/>
  <c r="W286" i="4"/>
  <c r="W122" i="4"/>
  <c r="W259" i="4"/>
  <c r="W382" i="4"/>
  <c r="W424" i="4"/>
  <c r="W119" i="4"/>
  <c r="W235" i="4"/>
  <c r="W38" i="4"/>
  <c r="W269" i="4"/>
  <c r="W47" i="4"/>
  <c r="W17" i="4"/>
  <c r="W398" i="4"/>
  <c r="W32" i="4"/>
  <c r="W288" i="4"/>
  <c r="W167" i="4"/>
  <c r="W371" i="4"/>
  <c r="W414" i="4"/>
  <c r="W327" i="4"/>
  <c r="W72" i="4"/>
  <c r="W354" i="4"/>
  <c r="W155" i="4"/>
  <c r="W44" i="4"/>
  <c r="W416" i="4"/>
  <c r="W405" i="4"/>
  <c r="W258" i="4"/>
  <c r="W449" i="4"/>
  <c r="W191" i="4"/>
  <c r="W438" i="4"/>
  <c r="W200" i="4"/>
  <c r="W289" i="4"/>
  <c r="W312" i="4"/>
  <c r="W322" i="4"/>
  <c r="W230" i="4"/>
  <c r="W278" i="4"/>
  <c r="W440" i="4"/>
  <c r="W31" i="4"/>
  <c r="W146" i="4"/>
  <c r="W463" i="4"/>
  <c r="W99" i="4"/>
  <c r="W163" i="4"/>
  <c r="W406" i="4"/>
  <c r="W340" i="4"/>
  <c r="W372" i="4"/>
  <c r="W444" i="4"/>
  <c r="W345" i="4"/>
  <c r="W412" i="4"/>
  <c r="W290" i="4"/>
  <c r="W90" i="4"/>
  <c r="W102" i="4"/>
  <c r="W145" i="4"/>
  <c r="W403" i="4"/>
  <c r="W132" i="4"/>
  <c r="W434" i="4"/>
  <c r="W105" i="4"/>
  <c r="W431" i="4"/>
  <c r="W256" i="4"/>
  <c r="W153" i="4"/>
  <c r="W217" i="4"/>
  <c r="W309" i="4"/>
  <c r="W331" i="4"/>
  <c r="W220" i="4"/>
  <c r="W445" i="4"/>
  <c r="W456" i="4"/>
  <c r="W86" i="4"/>
  <c r="W308" i="4"/>
  <c r="W270" i="4"/>
  <c r="W264" i="4"/>
  <c r="W205" i="4"/>
  <c r="W399" i="4"/>
  <c r="W34" i="4"/>
  <c r="W41" i="4"/>
  <c r="W411" i="4"/>
  <c r="W89" i="4"/>
  <c r="W181" i="4"/>
  <c r="W144" i="4"/>
  <c r="W435" i="4"/>
  <c r="W310" i="4"/>
  <c r="W151" i="4"/>
  <c r="W45" i="4"/>
  <c r="W212" i="4"/>
  <c r="W420" i="4"/>
  <c r="W335" i="4"/>
  <c r="W231" i="4"/>
  <c r="W426" i="4"/>
  <c r="W199" i="4"/>
  <c r="W373" i="4"/>
  <c r="W419" i="4"/>
  <c r="W131" i="4"/>
  <c r="W13" i="4"/>
  <c r="W24" i="4"/>
  <c r="W158" i="4"/>
  <c r="W22" i="4"/>
  <c r="W458" i="4"/>
  <c r="W37" i="4"/>
  <c r="W180" i="4"/>
  <c r="W7" i="4"/>
  <c r="W148" i="4"/>
  <c r="W92" i="4"/>
  <c r="W224" i="4"/>
  <c r="W267" i="4"/>
  <c r="W281" i="4"/>
  <c r="W216" i="4"/>
  <c r="W109" i="4"/>
  <c r="W36" i="4"/>
  <c r="W76" i="4"/>
  <c r="W6" i="4"/>
  <c r="W242" i="4"/>
  <c r="W26" i="4"/>
  <c r="W344" i="4"/>
  <c r="W375" i="4"/>
  <c r="W255" i="4"/>
  <c r="W74" i="4"/>
  <c r="W50" i="4"/>
  <c r="W186" i="4"/>
  <c r="W284" i="4"/>
  <c r="W58" i="4"/>
  <c r="W237" i="4"/>
  <c r="W303" i="4"/>
  <c r="W293" i="4"/>
  <c r="W342" i="4"/>
  <c r="W219" i="4"/>
  <c r="W206" i="4"/>
  <c r="W400" i="4"/>
  <c r="W84" i="4"/>
  <c r="W202" i="4"/>
  <c r="W408" i="4"/>
  <c r="W215" i="4"/>
  <c r="W276" i="4"/>
  <c r="W366" i="4"/>
  <c r="W254" i="4"/>
  <c r="W214" i="4"/>
  <c r="W161" i="4"/>
  <c r="W248" i="4"/>
  <c r="W213" i="4"/>
  <c r="W51" i="4"/>
  <c r="W29" i="4"/>
  <c r="W320" i="4"/>
  <c r="W130" i="4"/>
  <c r="W138" i="4"/>
  <c r="W20" i="4"/>
  <c r="W43" i="4"/>
  <c r="W393" i="4"/>
  <c r="W133" i="4"/>
  <c r="W49" i="4"/>
  <c r="W332" i="4"/>
  <c r="W361" i="4"/>
  <c r="W421" i="4"/>
  <c r="W23" i="4"/>
  <c r="W222" i="4"/>
  <c r="W447" i="4"/>
  <c r="W443" i="4"/>
  <c r="W349" i="4"/>
  <c r="W149" i="4"/>
  <c r="W93" i="4"/>
  <c r="W304" i="4"/>
  <c r="W287" i="4"/>
  <c r="W171" i="4"/>
  <c r="W378" i="4"/>
  <c r="W184" i="4"/>
  <c r="W360" i="4"/>
  <c r="W296" i="4"/>
  <c r="W338" i="4"/>
  <c r="W193" i="4"/>
  <c r="W162" i="4"/>
  <c r="W14" i="4"/>
  <c r="W94" i="4"/>
  <c r="W395" i="4"/>
  <c r="W66" i="4"/>
  <c r="W295" i="4"/>
  <c r="W113" i="4"/>
  <c r="W330" i="4"/>
  <c r="W301" i="4"/>
  <c r="W362" i="4"/>
  <c r="W302" i="4"/>
  <c r="W294" i="4"/>
  <c r="W174" i="4"/>
  <c r="W240" i="4"/>
  <c r="W207" i="4"/>
  <c r="W137" i="4"/>
  <c r="W79" i="4"/>
  <c r="W466" i="4"/>
  <c r="W409" i="4"/>
  <c r="W386" i="4"/>
  <c r="W467" i="4"/>
  <c r="W169" i="4"/>
  <c r="W9" i="4"/>
  <c r="W249" i="4"/>
  <c r="W318" i="4"/>
  <c r="W334" i="4"/>
  <c r="W453" i="4"/>
  <c r="W260" i="4"/>
  <c r="W30" i="4"/>
  <c r="W459" i="4"/>
  <c r="W368" i="4"/>
  <c r="W315" i="4"/>
  <c r="W337" i="4"/>
  <c r="W147" i="4"/>
  <c r="W218" i="4"/>
  <c r="W81" i="4"/>
  <c r="W433" i="4"/>
  <c r="W175" i="4"/>
  <c r="W410" i="4"/>
  <c r="W61" i="4"/>
  <c r="W118" i="4"/>
  <c r="W16" i="4"/>
  <c r="W321" i="4"/>
  <c r="W462" i="4"/>
  <c r="W356" i="4"/>
  <c r="W261" i="4"/>
  <c r="W183" i="4"/>
  <c r="W305" i="4"/>
  <c r="W27" i="4"/>
  <c r="W232" i="4"/>
  <c r="W359" i="4"/>
  <c r="W159" i="4"/>
  <c r="W388" i="4"/>
  <c r="W339" i="4"/>
  <c r="W190" i="4"/>
  <c r="AE9" i="11"/>
  <c r="AD9" i="11"/>
  <c r="AC9" i="11"/>
  <c r="AB9" i="11"/>
  <c r="AA9" i="11"/>
  <c r="Z9" i="11"/>
  <c r="Y9" i="11"/>
  <c r="X9" i="11"/>
  <c r="W9" i="11"/>
  <c r="V9" i="11"/>
  <c r="U9" i="11"/>
  <c r="T9" i="11"/>
  <c r="S9" i="11"/>
  <c r="R9" i="11"/>
  <c r="Q9" i="11"/>
  <c r="P9" i="11"/>
  <c r="O9" i="11"/>
  <c r="N9" i="11"/>
  <c r="M9" i="11"/>
  <c r="L9" i="11"/>
  <c r="K9" i="11"/>
  <c r="J9" i="11"/>
  <c r="I9" i="11"/>
  <c r="H9" i="11"/>
  <c r="G9" i="11"/>
  <c r="F9" i="11"/>
  <c r="E9" i="11"/>
  <c r="D9" i="11"/>
  <c r="C9" i="11"/>
  <c r="AF7" i="11"/>
  <c r="AF6" i="11"/>
  <c r="AF5" i="11"/>
  <c r="AF3" i="11"/>
  <c r="L64" i="10"/>
  <c r="K64" i="10"/>
  <c r="J64" i="10"/>
  <c r="I64" i="10"/>
  <c r="H64" i="10"/>
  <c r="G64" i="10"/>
  <c r="F64" i="10"/>
  <c r="E64" i="10"/>
  <c r="D64" i="10"/>
  <c r="Y32" i="10"/>
  <c r="X32" i="10"/>
  <c r="W32" i="10"/>
  <c r="V32" i="10"/>
  <c r="U32" i="10"/>
  <c r="T32" i="10"/>
  <c r="S32" i="10"/>
  <c r="R32" i="10"/>
  <c r="Q32" i="10"/>
  <c r="P32" i="10"/>
  <c r="O32" i="10"/>
  <c r="N32" i="10"/>
  <c r="M32" i="10"/>
  <c r="L32" i="10"/>
  <c r="K32" i="10"/>
  <c r="J32" i="10"/>
  <c r="I32" i="10"/>
  <c r="H32" i="10"/>
  <c r="G32" i="10"/>
  <c r="F32" i="10"/>
  <c r="E32" i="10"/>
  <c r="D32" i="10"/>
  <c r="M309" i="5"/>
  <c r="M308" i="5"/>
  <c r="M307" i="5"/>
  <c r="E307" i="5"/>
  <c r="M306" i="5"/>
  <c r="H306" i="5"/>
  <c r="M305" i="5"/>
  <c r="K305" i="5"/>
  <c r="M304" i="5"/>
  <c r="F304" i="5"/>
  <c r="M303" i="5"/>
  <c r="I303" i="5"/>
  <c r="M302" i="5"/>
  <c r="L302" i="5"/>
  <c r="K302" i="5"/>
  <c r="J302" i="5"/>
  <c r="I302" i="5"/>
  <c r="H302" i="5"/>
  <c r="G302" i="5"/>
  <c r="F302" i="5"/>
  <c r="E302" i="5"/>
  <c r="D302" i="5"/>
  <c r="N302" i="5" s="1"/>
  <c r="M301" i="5"/>
  <c r="L301" i="5"/>
  <c r="K301" i="5"/>
  <c r="J301" i="5"/>
  <c r="I301" i="5"/>
  <c r="H301" i="5"/>
  <c r="G301" i="5"/>
  <c r="F301" i="5"/>
  <c r="E301" i="5"/>
  <c r="D301" i="5"/>
  <c r="N301" i="5" s="1"/>
  <c r="M300" i="5"/>
  <c r="L300" i="5"/>
  <c r="K300" i="5"/>
  <c r="J300" i="5"/>
  <c r="I300" i="5"/>
  <c r="H300" i="5"/>
  <c r="G300" i="5"/>
  <c r="F300" i="5"/>
  <c r="E300" i="5"/>
  <c r="M299" i="5"/>
  <c r="L299" i="5"/>
  <c r="K299" i="5"/>
  <c r="J299" i="5"/>
  <c r="I299" i="5"/>
  <c r="H299" i="5"/>
  <c r="G299" i="5"/>
  <c r="F299" i="5"/>
  <c r="E299" i="5"/>
  <c r="D299" i="5"/>
  <c r="N299" i="5" s="1"/>
  <c r="M298" i="5"/>
  <c r="L298" i="5"/>
  <c r="N298" i="5" s="1"/>
  <c r="M297" i="5"/>
  <c r="L297" i="5"/>
  <c r="K297" i="5"/>
  <c r="J297" i="5"/>
  <c r="I297" i="5"/>
  <c r="H297" i="5"/>
  <c r="G297" i="5"/>
  <c r="F297" i="5"/>
  <c r="E297" i="5"/>
  <c r="D297" i="5"/>
  <c r="N297" i="5" s="1"/>
  <c r="N296" i="5"/>
  <c r="M296" i="5"/>
  <c r="L296" i="5"/>
  <c r="N295" i="5"/>
  <c r="M295" i="5"/>
  <c r="L295" i="5"/>
  <c r="K295" i="5"/>
  <c r="J295" i="5"/>
  <c r="I295" i="5"/>
  <c r="H295" i="5"/>
  <c r="G295" i="5"/>
  <c r="F295" i="5"/>
  <c r="E295" i="5"/>
  <c r="D295" i="5"/>
  <c r="M294" i="5"/>
  <c r="L294" i="5"/>
  <c r="K294" i="5"/>
  <c r="J294" i="5"/>
  <c r="I294" i="5"/>
  <c r="H294" i="5"/>
  <c r="G294" i="5"/>
  <c r="F294" i="5"/>
  <c r="E294" i="5"/>
  <c r="D294" i="5"/>
  <c r="N294" i="5" s="1"/>
  <c r="M293" i="5"/>
  <c r="L293" i="5"/>
  <c r="K293" i="5"/>
  <c r="J293" i="5"/>
  <c r="I293" i="5"/>
  <c r="H293" i="5"/>
  <c r="G293" i="5"/>
  <c r="F293" i="5"/>
  <c r="E293" i="5"/>
  <c r="D293" i="5"/>
  <c r="N293" i="5" s="1"/>
  <c r="N292" i="5"/>
  <c r="M292" i="5"/>
  <c r="L292" i="5"/>
  <c r="M291" i="5"/>
  <c r="L291" i="5"/>
  <c r="K291" i="5"/>
  <c r="J291" i="5"/>
  <c r="I291" i="5"/>
  <c r="H291" i="5"/>
  <c r="G291" i="5"/>
  <c r="F291" i="5"/>
  <c r="E291" i="5"/>
  <c r="D291" i="5"/>
  <c r="N291" i="5" s="1"/>
  <c r="M290" i="5"/>
  <c r="L290" i="5"/>
  <c r="N290" i="5" s="1"/>
  <c r="M289" i="5"/>
  <c r="K289" i="5"/>
  <c r="J289" i="5"/>
  <c r="I289" i="5"/>
  <c r="H289" i="5"/>
  <c r="G289" i="5"/>
  <c r="F289" i="5"/>
  <c r="D289" i="5"/>
  <c r="N289" i="5" s="1"/>
  <c r="N288" i="5"/>
  <c r="M288" i="5"/>
  <c r="L288" i="5"/>
  <c r="K288" i="5"/>
  <c r="J288" i="5"/>
  <c r="I288" i="5"/>
  <c r="H288" i="5"/>
  <c r="G288" i="5"/>
  <c r="F288" i="5"/>
  <c r="E288" i="5"/>
  <c r="D288" i="5"/>
  <c r="M287" i="5"/>
  <c r="L287" i="5"/>
  <c r="K287" i="5"/>
  <c r="J287" i="5"/>
  <c r="I287" i="5"/>
  <c r="H287" i="5"/>
  <c r="G287" i="5"/>
  <c r="F287" i="5"/>
  <c r="E287" i="5"/>
  <c r="D287" i="5"/>
  <c r="N287" i="5" s="1"/>
  <c r="M286" i="5"/>
  <c r="L286" i="5"/>
  <c r="K286" i="5"/>
  <c r="J286" i="5"/>
  <c r="I286" i="5"/>
  <c r="H286" i="5"/>
  <c r="G286" i="5"/>
  <c r="F286" i="5"/>
  <c r="E286" i="5"/>
  <c r="D286" i="5"/>
  <c r="N286" i="5" s="1"/>
  <c r="N285" i="5"/>
  <c r="M285" i="5"/>
  <c r="L285" i="5"/>
  <c r="K285" i="5"/>
  <c r="H285" i="5"/>
  <c r="G285" i="5"/>
  <c r="E285" i="5"/>
  <c r="D285" i="5"/>
  <c r="N284" i="5"/>
  <c r="M284" i="5"/>
  <c r="L284" i="5"/>
  <c r="K284" i="5"/>
  <c r="J284" i="5"/>
  <c r="I284" i="5"/>
  <c r="H284" i="5"/>
  <c r="G284" i="5"/>
  <c r="F284" i="5"/>
  <c r="E284" i="5"/>
  <c r="D284" i="5"/>
  <c r="M283" i="5"/>
  <c r="L283" i="5"/>
  <c r="K283" i="5"/>
  <c r="J283" i="5"/>
  <c r="I283" i="5"/>
  <c r="H283" i="5"/>
  <c r="G283" i="5"/>
  <c r="F283" i="5"/>
  <c r="E283" i="5"/>
  <c r="D283" i="5"/>
  <c r="N283" i="5" s="1"/>
  <c r="M282" i="5"/>
  <c r="L282" i="5"/>
  <c r="K282" i="5"/>
  <c r="J282" i="5"/>
  <c r="I282" i="5"/>
  <c r="H282" i="5"/>
  <c r="G282" i="5"/>
  <c r="F282" i="5"/>
  <c r="E282" i="5"/>
  <c r="D282" i="5"/>
  <c r="N282" i="5" s="1"/>
  <c r="M281" i="5"/>
  <c r="L281" i="5"/>
  <c r="K281" i="5"/>
  <c r="I281" i="5"/>
  <c r="H281" i="5"/>
  <c r="G281" i="5"/>
  <c r="F281" i="5"/>
  <c r="E281" i="5"/>
  <c r="M280" i="5"/>
  <c r="L280" i="5"/>
  <c r="K280" i="5"/>
  <c r="J280" i="5"/>
  <c r="I280" i="5"/>
  <c r="H280" i="5"/>
  <c r="G280" i="5"/>
  <c r="F280" i="5"/>
  <c r="M279" i="5"/>
  <c r="I279" i="5"/>
  <c r="E279" i="5"/>
  <c r="M278" i="5"/>
  <c r="M277" i="5"/>
  <c r="K277" i="5"/>
  <c r="G277" i="5"/>
  <c r="F277" i="5"/>
  <c r="M276" i="5"/>
  <c r="J276" i="5"/>
  <c r="I276" i="5"/>
  <c r="M275" i="5"/>
  <c r="E275" i="5"/>
  <c r="M274" i="5"/>
  <c r="M273" i="5"/>
  <c r="M272" i="5"/>
  <c r="E272" i="5"/>
  <c r="M271" i="5"/>
  <c r="I271" i="5"/>
  <c r="H271" i="5"/>
  <c r="E271" i="5"/>
  <c r="M270" i="5"/>
  <c r="L270" i="5"/>
  <c r="M269" i="5"/>
  <c r="M268" i="5"/>
  <c r="J268" i="5"/>
  <c r="M267" i="5"/>
  <c r="I267" i="5"/>
  <c r="E267" i="5"/>
  <c r="L263" i="5"/>
  <c r="L309" i="5" s="1"/>
  <c r="K263" i="5"/>
  <c r="K309" i="5" s="1"/>
  <c r="J263" i="5"/>
  <c r="J309" i="5" s="1"/>
  <c r="I263" i="5"/>
  <c r="I309" i="5" s="1"/>
  <c r="H263" i="5"/>
  <c r="H309" i="5" s="1"/>
  <c r="G263" i="5"/>
  <c r="G309" i="5" s="1"/>
  <c r="F263" i="5"/>
  <c r="F309" i="5" s="1"/>
  <c r="E263" i="5"/>
  <c r="E309" i="5" s="1"/>
  <c r="D263" i="5"/>
  <c r="D309" i="5" s="1"/>
  <c r="N309" i="5" s="1"/>
  <c r="L262" i="5"/>
  <c r="L308" i="5" s="1"/>
  <c r="K262" i="5"/>
  <c r="K308" i="5" s="1"/>
  <c r="H262" i="5"/>
  <c r="H308" i="5" s="1"/>
  <c r="G262" i="5"/>
  <c r="G308" i="5" s="1"/>
  <c r="E262" i="5"/>
  <c r="E308" i="5" s="1"/>
  <c r="D262" i="5"/>
  <c r="D308" i="5" s="1"/>
  <c r="N308" i="5" s="1"/>
  <c r="L261" i="5"/>
  <c r="L307" i="5" s="1"/>
  <c r="K261" i="5"/>
  <c r="K307" i="5" s="1"/>
  <c r="J261" i="5"/>
  <c r="J307" i="5" s="1"/>
  <c r="I261" i="5"/>
  <c r="I307" i="5" s="1"/>
  <c r="H261" i="5"/>
  <c r="H307" i="5" s="1"/>
  <c r="G261" i="5"/>
  <c r="G307" i="5" s="1"/>
  <c r="F261" i="5"/>
  <c r="F307" i="5" s="1"/>
  <c r="E261" i="5"/>
  <c r="D261" i="5"/>
  <c r="D307" i="5" s="1"/>
  <c r="N307" i="5" s="1"/>
  <c r="L260" i="5"/>
  <c r="L306" i="5" s="1"/>
  <c r="K260" i="5"/>
  <c r="K306" i="5" s="1"/>
  <c r="J260" i="5"/>
  <c r="J306" i="5" s="1"/>
  <c r="I260" i="5"/>
  <c r="I306" i="5" s="1"/>
  <c r="H260" i="5"/>
  <c r="G260" i="5"/>
  <c r="G306" i="5" s="1"/>
  <c r="F260" i="5"/>
  <c r="F306" i="5" s="1"/>
  <c r="E260" i="5"/>
  <c r="E306" i="5" s="1"/>
  <c r="D260" i="5"/>
  <c r="D306" i="5" s="1"/>
  <c r="N306" i="5" s="1"/>
  <c r="K259" i="5"/>
  <c r="J259" i="5"/>
  <c r="J305" i="5" s="1"/>
  <c r="I259" i="5"/>
  <c r="I305" i="5" s="1"/>
  <c r="H259" i="5"/>
  <c r="H305" i="5" s="1"/>
  <c r="G259" i="5"/>
  <c r="G305" i="5" s="1"/>
  <c r="F259" i="5"/>
  <c r="F305" i="5" s="1"/>
  <c r="D259" i="5"/>
  <c r="D305" i="5" s="1"/>
  <c r="N305" i="5" s="1"/>
  <c r="L258" i="5"/>
  <c r="L304" i="5" s="1"/>
  <c r="K258" i="5"/>
  <c r="K304" i="5" s="1"/>
  <c r="J258" i="5"/>
  <c r="J304" i="5" s="1"/>
  <c r="I258" i="5"/>
  <c r="I304" i="5" s="1"/>
  <c r="H258" i="5"/>
  <c r="H304" i="5" s="1"/>
  <c r="G258" i="5"/>
  <c r="G304" i="5" s="1"/>
  <c r="F258" i="5"/>
  <c r="D258" i="5"/>
  <c r="D304" i="5" s="1"/>
  <c r="N304" i="5" s="1"/>
  <c r="L257" i="5"/>
  <c r="L303" i="5" s="1"/>
  <c r="K257" i="5"/>
  <c r="K303" i="5" s="1"/>
  <c r="J257" i="5"/>
  <c r="J303" i="5" s="1"/>
  <c r="I257" i="5"/>
  <c r="H257" i="5"/>
  <c r="H303" i="5" s="1"/>
  <c r="G257" i="5"/>
  <c r="G303" i="5" s="1"/>
  <c r="F257" i="5"/>
  <c r="F303" i="5" s="1"/>
  <c r="E257" i="5"/>
  <c r="E303" i="5" s="1"/>
  <c r="D257" i="5"/>
  <c r="D303" i="5" s="1"/>
  <c r="N303" i="5" s="1"/>
  <c r="O254" i="5"/>
  <c r="D254" i="5"/>
  <c r="D300" i="5" s="1"/>
  <c r="N300" i="5" s="1"/>
  <c r="E245" i="5"/>
  <c r="E258" i="5" s="1"/>
  <c r="E304" i="5" s="1"/>
  <c r="L243" i="5"/>
  <c r="L223" i="5" s="1"/>
  <c r="L269" i="5" s="1"/>
  <c r="E243" i="5"/>
  <c r="E259" i="5" s="1"/>
  <c r="E305" i="5" s="1"/>
  <c r="J239" i="5"/>
  <c r="J285" i="5" s="1"/>
  <c r="I239" i="5"/>
  <c r="I285" i="5" s="1"/>
  <c r="F239" i="5"/>
  <c r="K235" i="5"/>
  <c r="K224" i="5" s="1"/>
  <c r="K270" i="5" s="1"/>
  <c r="J235" i="5"/>
  <c r="J281" i="5" s="1"/>
  <c r="G235" i="5"/>
  <c r="D235" i="5"/>
  <c r="D223" i="5" s="1"/>
  <c r="D269" i="5" s="1"/>
  <c r="N269" i="5" s="1"/>
  <c r="E234" i="5"/>
  <c r="E280" i="5" s="1"/>
  <c r="D234" i="5"/>
  <c r="D280" i="5" s="1"/>
  <c r="N280" i="5" s="1"/>
  <c r="L233" i="5"/>
  <c r="L279" i="5" s="1"/>
  <c r="K233" i="5"/>
  <c r="K279" i="5" s="1"/>
  <c r="J233" i="5"/>
  <c r="J279" i="5" s="1"/>
  <c r="I233" i="5"/>
  <c r="H233" i="5"/>
  <c r="H279" i="5" s="1"/>
  <c r="G233" i="5"/>
  <c r="G279" i="5" s="1"/>
  <c r="F233" i="5"/>
  <c r="F279" i="5" s="1"/>
  <c r="E233" i="5"/>
  <c r="D233" i="5"/>
  <c r="D279" i="5" s="1"/>
  <c r="N279" i="5" s="1"/>
  <c r="L232" i="5"/>
  <c r="L278" i="5" s="1"/>
  <c r="K232" i="5"/>
  <c r="K278" i="5" s="1"/>
  <c r="J232" i="5"/>
  <c r="J278" i="5" s="1"/>
  <c r="I232" i="5"/>
  <c r="I278" i="5" s="1"/>
  <c r="H232" i="5"/>
  <c r="H278" i="5" s="1"/>
  <c r="G232" i="5"/>
  <c r="G278" i="5" s="1"/>
  <c r="F232" i="5"/>
  <c r="F278" i="5" s="1"/>
  <c r="E232" i="5"/>
  <c r="E278" i="5" s="1"/>
  <c r="D232" i="5"/>
  <c r="D278" i="5" s="1"/>
  <c r="N278" i="5" s="1"/>
  <c r="L231" i="5"/>
  <c r="L277" i="5" s="1"/>
  <c r="K231" i="5"/>
  <c r="J231" i="5"/>
  <c r="J277" i="5" s="1"/>
  <c r="I231" i="5"/>
  <c r="I277" i="5" s="1"/>
  <c r="H231" i="5"/>
  <c r="H277" i="5" s="1"/>
  <c r="G231" i="5"/>
  <c r="F231" i="5"/>
  <c r="E231" i="5"/>
  <c r="E277" i="5" s="1"/>
  <c r="D231" i="5"/>
  <c r="D277" i="5" s="1"/>
  <c r="N277" i="5" s="1"/>
  <c r="L230" i="5"/>
  <c r="L276" i="5" s="1"/>
  <c r="K230" i="5"/>
  <c r="K276" i="5" s="1"/>
  <c r="J230" i="5"/>
  <c r="I230" i="5"/>
  <c r="H230" i="5"/>
  <c r="H276" i="5" s="1"/>
  <c r="G230" i="5"/>
  <c r="G276" i="5" s="1"/>
  <c r="F230" i="5"/>
  <c r="F276" i="5" s="1"/>
  <c r="E230" i="5"/>
  <c r="E276" i="5" s="1"/>
  <c r="D230" i="5"/>
  <c r="D276" i="5" s="1"/>
  <c r="N276" i="5" s="1"/>
  <c r="K229" i="5"/>
  <c r="K275" i="5" s="1"/>
  <c r="G229" i="5"/>
  <c r="G275" i="5" s="1"/>
  <c r="F229" i="5"/>
  <c r="F275" i="5" s="1"/>
  <c r="L228" i="5"/>
  <c r="L229" i="5" s="1"/>
  <c r="L275" i="5" s="1"/>
  <c r="K228" i="5"/>
  <c r="K274" i="5" s="1"/>
  <c r="J228" i="5"/>
  <c r="J229" i="5" s="1"/>
  <c r="J275" i="5" s="1"/>
  <c r="I228" i="5"/>
  <c r="I229" i="5" s="1"/>
  <c r="I275" i="5" s="1"/>
  <c r="H228" i="5"/>
  <c r="H229" i="5" s="1"/>
  <c r="H275" i="5" s="1"/>
  <c r="G228" i="5"/>
  <c r="G274" i="5" s="1"/>
  <c r="F228" i="5"/>
  <c r="F274" i="5" s="1"/>
  <c r="E228" i="5"/>
  <c r="E229" i="5" s="1"/>
  <c r="D228" i="5"/>
  <c r="D229" i="5" s="1"/>
  <c r="D275" i="5" s="1"/>
  <c r="N275" i="5" s="1"/>
  <c r="I227" i="5"/>
  <c r="I273" i="5" s="1"/>
  <c r="H227" i="5"/>
  <c r="H273" i="5" s="1"/>
  <c r="E227" i="5"/>
  <c r="E273" i="5" s="1"/>
  <c r="L226" i="5"/>
  <c r="L272" i="5" s="1"/>
  <c r="J226" i="5"/>
  <c r="I226" i="5"/>
  <c r="I272" i="5" s="1"/>
  <c r="H226" i="5"/>
  <c r="H272" i="5" s="1"/>
  <c r="G226" i="5"/>
  <c r="G227" i="5" s="1"/>
  <c r="G273" i="5" s="1"/>
  <c r="E226" i="5"/>
  <c r="K225" i="5"/>
  <c r="K271" i="5" s="1"/>
  <c r="J225" i="5"/>
  <c r="J271" i="5" s="1"/>
  <c r="I225" i="5"/>
  <c r="H225" i="5"/>
  <c r="G225" i="5"/>
  <c r="G271" i="5" s="1"/>
  <c r="F225" i="5"/>
  <c r="F271" i="5" s="1"/>
  <c r="E225" i="5"/>
  <c r="D225" i="5"/>
  <c r="D271" i="5" s="1"/>
  <c r="N271" i="5" s="1"/>
  <c r="N224" i="5"/>
  <c r="H270" i="5" s="1"/>
  <c r="L224" i="5"/>
  <c r="J224" i="5"/>
  <c r="I224" i="5"/>
  <c r="H224" i="5"/>
  <c r="G224" i="5"/>
  <c r="E224" i="5"/>
  <c r="D224" i="5"/>
  <c r="N223" i="5"/>
  <c r="K223" i="5"/>
  <c r="K269" i="5" s="1"/>
  <c r="J223" i="5"/>
  <c r="J269" i="5" s="1"/>
  <c r="I223" i="5"/>
  <c r="I269" i="5" s="1"/>
  <c r="H223" i="5"/>
  <c r="H269" i="5" s="1"/>
  <c r="G223" i="5"/>
  <c r="G269" i="5" s="1"/>
  <c r="E223" i="5"/>
  <c r="E269" i="5" s="1"/>
  <c r="N222" i="5"/>
  <c r="J222" i="5"/>
  <c r="I222" i="5"/>
  <c r="I268" i="5" s="1"/>
  <c r="H222" i="5"/>
  <c r="H268" i="5" s="1"/>
  <c r="G222" i="5"/>
  <c r="G268" i="5" s="1"/>
  <c r="E222" i="5"/>
  <c r="E268" i="5" s="1"/>
  <c r="N221" i="5"/>
  <c r="K221" i="5"/>
  <c r="K267" i="5" s="1"/>
  <c r="J221" i="5"/>
  <c r="J267" i="5" s="1"/>
  <c r="I221" i="5"/>
  <c r="H221" i="5"/>
  <c r="H267" i="5" s="1"/>
  <c r="G221" i="5"/>
  <c r="G267" i="5" s="1"/>
  <c r="E221" i="5"/>
  <c r="F216" i="5"/>
  <c r="I215" i="5"/>
  <c r="L214" i="5"/>
  <c r="D214" i="5"/>
  <c r="N214" i="5" s="1"/>
  <c r="G213" i="5"/>
  <c r="N211" i="5"/>
  <c r="M211" i="5"/>
  <c r="L211" i="5"/>
  <c r="K211" i="5"/>
  <c r="J211" i="5"/>
  <c r="I211" i="5"/>
  <c r="H211" i="5"/>
  <c r="G211" i="5"/>
  <c r="F211" i="5"/>
  <c r="E211" i="5"/>
  <c r="D211" i="5"/>
  <c r="M210" i="5"/>
  <c r="L210" i="5"/>
  <c r="K210" i="5"/>
  <c r="J210" i="5"/>
  <c r="I210" i="5"/>
  <c r="H210" i="5"/>
  <c r="G210" i="5"/>
  <c r="F210" i="5"/>
  <c r="E210" i="5"/>
  <c r="D210" i="5"/>
  <c r="N210" i="5" s="1"/>
  <c r="M209" i="5"/>
  <c r="L209" i="5"/>
  <c r="K209" i="5"/>
  <c r="J209" i="5"/>
  <c r="I209" i="5"/>
  <c r="H209" i="5"/>
  <c r="G209" i="5"/>
  <c r="F209" i="5"/>
  <c r="E209" i="5"/>
  <c r="D209" i="5"/>
  <c r="N209" i="5" s="1"/>
  <c r="M208" i="5"/>
  <c r="L208" i="5"/>
  <c r="M207" i="5"/>
  <c r="L207" i="5"/>
  <c r="K207" i="5"/>
  <c r="J207" i="5"/>
  <c r="I207" i="5"/>
  <c r="H207" i="5"/>
  <c r="G207" i="5"/>
  <c r="F207" i="5"/>
  <c r="E207" i="5"/>
  <c r="D207" i="5"/>
  <c r="N207" i="5" s="1"/>
  <c r="M206" i="5"/>
  <c r="L206" i="5"/>
  <c r="N205" i="5"/>
  <c r="M205" i="5"/>
  <c r="L205" i="5"/>
  <c r="K205" i="5"/>
  <c r="J205" i="5"/>
  <c r="I205" i="5"/>
  <c r="H205" i="5"/>
  <c r="G205" i="5"/>
  <c r="F205" i="5"/>
  <c r="E205" i="5"/>
  <c r="D205" i="5"/>
  <c r="M204" i="5"/>
  <c r="L204" i="5"/>
  <c r="K204" i="5"/>
  <c r="J204" i="5"/>
  <c r="I204" i="5"/>
  <c r="H204" i="5"/>
  <c r="G204" i="5"/>
  <c r="F204" i="5"/>
  <c r="E204" i="5"/>
  <c r="D204" i="5"/>
  <c r="N204" i="5" s="1"/>
  <c r="M202" i="5"/>
  <c r="L202" i="5"/>
  <c r="K202" i="5"/>
  <c r="J202" i="5"/>
  <c r="I202" i="5"/>
  <c r="H202" i="5"/>
  <c r="G202" i="5"/>
  <c r="F202" i="5"/>
  <c r="E202" i="5"/>
  <c r="D202" i="5"/>
  <c r="N202" i="5" s="1"/>
  <c r="M201" i="5"/>
  <c r="L201" i="5"/>
  <c r="K201" i="5"/>
  <c r="J201" i="5"/>
  <c r="I201" i="5"/>
  <c r="H201" i="5"/>
  <c r="G201" i="5"/>
  <c r="F201" i="5"/>
  <c r="E201" i="5"/>
  <c r="D201" i="5"/>
  <c r="N201" i="5" s="1"/>
  <c r="N200" i="5"/>
  <c r="M200" i="5"/>
  <c r="L200" i="5"/>
  <c r="K200" i="5"/>
  <c r="J200" i="5"/>
  <c r="I200" i="5"/>
  <c r="H200" i="5"/>
  <c r="G200" i="5"/>
  <c r="F200" i="5"/>
  <c r="E200" i="5"/>
  <c r="D200" i="5"/>
  <c r="M199" i="5"/>
  <c r="L199" i="5"/>
  <c r="K199" i="5"/>
  <c r="J199" i="5"/>
  <c r="I199" i="5"/>
  <c r="H199" i="5"/>
  <c r="G199" i="5"/>
  <c r="F199" i="5"/>
  <c r="E199" i="5"/>
  <c r="D199" i="5"/>
  <c r="N199" i="5" s="1"/>
  <c r="M198" i="5"/>
  <c r="L198" i="5"/>
  <c r="K198" i="5"/>
  <c r="J198" i="5"/>
  <c r="I198" i="5"/>
  <c r="H198" i="5"/>
  <c r="G198" i="5"/>
  <c r="F198" i="5"/>
  <c r="E198" i="5"/>
  <c r="D198" i="5"/>
  <c r="N198" i="5" s="1"/>
  <c r="N197" i="5"/>
  <c r="M197" i="5"/>
  <c r="L197" i="5"/>
  <c r="K197" i="5"/>
  <c r="J197" i="5"/>
  <c r="I197" i="5"/>
  <c r="H197" i="5"/>
  <c r="G197" i="5"/>
  <c r="F197" i="5"/>
  <c r="E197" i="5"/>
  <c r="D197" i="5"/>
  <c r="N196" i="5"/>
  <c r="M196" i="5"/>
  <c r="L196" i="5"/>
  <c r="K196" i="5"/>
  <c r="J196" i="5"/>
  <c r="I196" i="5"/>
  <c r="H196" i="5"/>
  <c r="G196" i="5"/>
  <c r="F196" i="5"/>
  <c r="E196" i="5"/>
  <c r="D196" i="5"/>
  <c r="M195" i="5"/>
  <c r="L195" i="5"/>
  <c r="K195" i="5"/>
  <c r="J195" i="5"/>
  <c r="I195" i="5"/>
  <c r="H195" i="5"/>
  <c r="G195" i="5"/>
  <c r="F195" i="5"/>
  <c r="E195" i="5"/>
  <c r="D195" i="5"/>
  <c r="N195" i="5" s="1"/>
  <c r="M194" i="5"/>
  <c r="L194" i="5"/>
  <c r="K194" i="5"/>
  <c r="J194" i="5"/>
  <c r="I194" i="5"/>
  <c r="H194" i="5"/>
  <c r="G194" i="5"/>
  <c r="F194" i="5"/>
  <c r="E194" i="5"/>
  <c r="D194" i="5"/>
  <c r="N194" i="5" s="1"/>
  <c r="M193" i="5"/>
  <c r="L193" i="5"/>
  <c r="K193" i="5"/>
  <c r="J193" i="5"/>
  <c r="I193" i="5"/>
  <c r="H193" i="5"/>
  <c r="G193" i="5"/>
  <c r="F193" i="5"/>
  <c r="E193" i="5"/>
  <c r="D193" i="5"/>
  <c r="N193" i="5" s="1"/>
  <c r="N192" i="5"/>
  <c r="M192" i="5"/>
  <c r="L192" i="5"/>
  <c r="K192" i="5"/>
  <c r="J192" i="5"/>
  <c r="I192" i="5"/>
  <c r="H192" i="5"/>
  <c r="G192" i="5"/>
  <c r="F192" i="5"/>
  <c r="E192" i="5"/>
  <c r="D192" i="5"/>
  <c r="M191" i="5"/>
  <c r="I191" i="5"/>
  <c r="M190" i="5"/>
  <c r="L190" i="5"/>
  <c r="D190" i="5"/>
  <c r="N190" i="5" s="1"/>
  <c r="M189" i="5"/>
  <c r="G189" i="5"/>
  <c r="M188" i="5"/>
  <c r="J188" i="5"/>
  <c r="M186" i="5"/>
  <c r="E186" i="5"/>
  <c r="M184" i="5"/>
  <c r="H184" i="5"/>
  <c r="M183" i="5"/>
  <c r="K183" i="5"/>
  <c r="M182" i="5"/>
  <c r="F182" i="5"/>
  <c r="M181" i="5"/>
  <c r="I181" i="5"/>
  <c r="M180" i="5"/>
  <c r="L180" i="5"/>
  <c r="D180" i="5"/>
  <c r="M179" i="5"/>
  <c r="G179" i="5"/>
  <c r="M170" i="5"/>
  <c r="M216" i="5" s="1"/>
  <c r="L170" i="5"/>
  <c r="L216" i="5" s="1"/>
  <c r="K170" i="5"/>
  <c r="K216" i="5" s="1"/>
  <c r="J170" i="5"/>
  <c r="J216" i="5" s="1"/>
  <c r="I170" i="5"/>
  <c r="I216" i="5" s="1"/>
  <c r="H170" i="5"/>
  <c r="H216" i="5" s="1"/>
  <c r="G170" i="5"/>
  <c r="G216" i="5" s="1"/>
  <c r="F170" i="5"/>
  <c r="E170" i="5"/>
  <c r="E216" i="5" s="1"/>
  <c r="D170" i="5"/>
  <c r="D216" i="5" s="1"/>
  <c r="N216" i="5" s="1"/>
  <c r="M169" i="5"/>
  <c r="M215" i="5" s="1"/>
  <c r="L169" i="5"/>
  <c r="L215" i="5" s="1"/>
  <c r="K169" i="5"/>
  <c r="K215" i="5" s="1"/>
  <c r="J169" i="5"/>
  <c r="J215" i="5" s="1"/>
  <c r="I169" i="5"/>
  <c r="H169" i="5"/>
  <c r="H215" i="5" s="1"/>
  <c r="G169" i="5"/>
  <c r="G215" i="5" s="1"/>
  <c r="F169" i="5"/>
  <c r="F215" i="5" s="1"/>
  <c r="E169" i="5"/>
  <c r="E215" i="5" s="1"/>
  <c r="D169" i="5"/>
  <c r="D215" i="5" s="1"/>
  <c r="N215" i="5" s="1"/>
  <c r="M168" i="5"/>
  <c r="M214" i="5" s="1"/>
  <c r="L168" i="5"/>
  <c r="K168" i="5"/>
  <c r="K214" i="5" s="1"/>
  <c r="J168" i="5"/>
  <c r="J214" i="5" s="1"/>
  <c r="I168" i="5"/>
  <c r="I214" i="5" s="1"/>
  <c r="H168" i="5"/>
  <c r="H214" i="5" s="1"/>
  <c r="G168" i="5"/>
  <c r="G214" i="5" s="1"/>
  <c r="F168" i="5"/>
  <c r="F214" i="5" s="1"/>
  <c r="E168" i="5"/>
  <c r="E214" i="5" s="1"/>
  <c r="D168" i="5"/>
  <c r="M167" i="5"/>
  <c r="M213" i="5" s="1"/>
  <c r="L167" i="5"/>
  <c r="L213" i="5" s="1"/>
  <c r="K167" i="5"/>
  <c r="K213" i="5" s="1"/>
  <c r="J167" i="5"/>
  <c r="J213" i="5" s="1"/>
  <c r="I167" i="5"/>
  <c r="I213" i="5" s="1"/>
  <c r="H167" i="5"/>
  <c r="H213" i="5" s="1"/>
  <c r="G167" i="5"/>
  <c r="F167" i="5"/>
  <c r="F213" i="5" s="1"/>
  <c r="E167" i="5"/>
  <c r="E213" i="5" s="1"/>
  <c r="D167" i="5"/>
  <c r="D213" i="5" s="1"/>
  <c r="N213" i="5" s="1"/>
  <c r="L147" i="5"/>
  <c r="L191" i="5" s="1"/>
  <c r="K147" i="5"/>
  <c r="K191" i="5" s="1"/>
  <c r="J147" i="5"/>
  <c r="J191" i="5" s="1"/>
  <c r="I147" i="5"/>
  <c r="H147" i="5"/>
  <c r="H191" i="5" s="1"/>
  <c r="G147" i="5"/>
  <c r="G191" i="5" s="1"/>
  <c r="F147" i="5"/>
  <c r="F191" i="5" s="1"/>
  <c r="E147" i="5"/>
  <c r="E191" i="5" s="1"/>
  <c r="D147" i="5"/>
  <c r="D191" i="5" s="1"/>
  <c r="N191" i="5" s="1"/>
  <c r="L146" i="5"/>
  <c r="K146" i="5"/>
  <c r="K190" i="5" s="1"/>
  <c r="J146" i="5"/>
  <c r="J190" i="5" s="1"/>
  <c r="I146" i="5"/>
  <c r="I190" i="5" s="1"/>
  <c r="H146" i="5"/>
  <c r="H190" i="5" s="1"/>
  <c r="G146" i="5"/>
  <c r="G190" i="5" s="1"/>
  <c r="F146" i="5"/>
  <c r="F190" i="5" s="1"/>
  <c r="E146" i="5"/>
  <c r="E190" i="5" s="1"/>
  <c r="D146" i="5"/>
  <c r="L145" i="5"/>
  <c r="L189" i="5" s="1"/>
  <c r="K145" i="5"/>
  <c r="K189" i="5" s="1"/>
  <c r="J145" i="5"/>
  <c r="J189" i="5" s="1"/>
  <c r="I145" i="5"/>
  <c r="I189" i="5" s="1"/>
  <c r="H145" i="5"/>
  <c r="H189" i="5" s="1"/>
  <c r="G145" i="5"/>
  <c r="F145" i="5"/>
  <c r="F189" i="5" s="1"/>
  <c r="E145" i="5"/>
  <c r="E189" i="5" s="1"/>
  <c r="D145" i="5"/>
  <c r="D189" i="5" s="1"/>
  <c r="N189" i="5" s="1"/>
  <c r="L144" i="5"/>
  <c r="L188" i="5" s="1"/>
  <c r="K144" i="5"/>
  <c r="K188" i="5" s="1"/>
  <c r="J144" i="5"/>
  <c r="I144" i="5"/>
  <c r="I188" i="5" s="1"/>
  <c r="H144" i="5"/>
  <c r="H188" i="5" s="1"/>
  <c r="G144" i="5"/>
  <c r="G188" i="5" s="1"/>
  <c r="F144" i="5"/>
  <c r="F188" i="5" s="1"/>
  <c r="E144" i="5"/>
  <c r="E188" i="5" s="1"/>
  <c r="D144" i="5"/>
  <c r="D188" i="5" s="1"/>
  <c r="N188" i="5" s="1"/>
  <c r="L142" i="5"/>
  <c r="L186" i="5" s="1"/>
  <c r="K142" i="5"/>
  <c r="K186" i="5" s="1"/>
  <c r="J142" i="5"/>
  <c r="J186" i="5" s="1"/>
  <c r="I142" i="5"/>
  <c r="I186" i="5" s="1"/>
  <c r="H142" i="5"/>
  <c r="H186" i="5" s="1"/>
  <c r="G142" i="5"/>
  <c r="G186" i="5" s="1"/>
  <c r="F142" i="5"/>
  <c r="F186" i="5" s="1"/>
  <c r="E142" i="5"/>
  <c r="D142" i="5"/>
  <c r="D186" i="5" s="1"/>
  <c r="N186" i="5" s="1"/>
  <c r="L140" i="5"/>
  <c r="L184" i="5" s="1"/>
  <c r="K140" i="5"/>
  <c r="K184" i="5" s="1"/>
  <c r="J140" i="5"/>
  <c r="J184" i="5" s="1"/>
  <c r="I140" i="5"/>
  <c r="I184" i="5" s="1"/>
  <c r="H140" i="5"/>
  <c r="G140" i="5"/>
  <c r="G184" i="5" s="1"/>
  <c r="F140" i="5"/>
  <c r="F184" i="5" s="1"/>
  <c r="E140" i="5"/>
  <c r="E184" i="5" s="1"/>
  <c r="D140" i="5"/>
  <c r="D184" i="5" s="1"/>
  <c r="N184" i="5" s="1"/>
  <c r="L139" i="5"/>
  <c r="L183" i="5" s="1"/>
  <c r="K139" i="5"/>
  <c r="J139" i="5"/>
  <c r="J183" i="5" s="1"/>
  <c r="I139" i="5"/>
  <c r="I183" i="5" s="1"/>
  <c r="H139" i="5"/>
  <c r="H183" i="5" s="1"/>
  <c r="G139" i="5"/>
  <c r="G183" i="5" s="1"/>
  <c r="F139" i="5"/>
  <c r="F183" i="5" s="1"/>
  <c r="E139" i="5"/>
  <c r="E183" i="5" s="1"/>
  <c r="D139" i="5"/>
  <c r="D183" i="5" s="1"/>
  <c r="N183" i="5" s="1"/>
  <c r="L138" i="5"/>
  <c r="L182" i="5" s="1"/>
  <c r="K138" i="5"/>
  <c r="K182" i="5" s="1"/>
  <c r="J138" i="5"/>
  <c r="J182" i="5" s="1"/>
  <c r="I138" i="5"/>
  <c r="I182" i="5" s="1"/>
  <c r="H138" i="5"/>
  <c r="H182" i="5" s="1"/>
  <c r="G138" i="5"/>
  <c r="G182" i="5" s="1"/>
  <c r="F138" i="5"/>
  <c r="E138" i="5"/>
  <c r="E182" i="5" s="1"/>
  <c r="D138" i="5"/>
  <c r="D182" i="5" s="1"/>
  <c r="N182" i="5" s="1"/>
  <c r="L137" i="5"/>
  <c r="L181" i="5" s="1"/>
  <c r="K137" i="5"/>
  <c r="K181" i="5" s="1"/>
  <c r="J137" i="5"/>
  <c r="J181" i="5" s="1"/>
  <c r="I137" i="5"/>
  <c r="H137" i="5"/>
  <c r="H181" i="5" s="1"/>
  <c r="G137" i="5"/>
  <c r="G181" i="5" s="1"/>
  <c r="F137" i="5"/>
  <c r="F181" i="5" s="1"/>
  <c r="E137" i="5"/>
  <c r="E181" i="5" s="1"/>
  <c r="D137" i="5"/>
  <c r="D181" i="5" s="1"/>
  <c r="N181" i="5" s="1"/>
  <c r="L136" i="5"/>
  <c r="K136" i="5"/>
  <c r="K180" i="5" s="1"/>
  <c r="J136" i="5"/>
  <c r="J180" i="5" s="1"/>
  <c r="I136" i="5"/>
  <c r="I180" i="5" s="1"/>
  <c r="H136" i="5"/>
  <c r="H180" i="5" s="1"/>
  <c r="G136" i="5"/>
  <c r="G180" i="5" s="1"/>
  <c r="F136" i="5"/>
  <c r="F180" i="5" s="1"/>
  <c r="E136" i="5"/>
  <c r="E180" i="5" s="1"/>
  <c r="D136" i="5"/>
  <c r="L135" i="5"/>
  <c r="L179" i="5" s="1"/>
  <c r="K135" i="5"/>
  <c r="K179" i="5" s="1"/>
  <c r="J135" i="5"/>
  <c r="J179" i="5" s="1"/>
  <c r="I135" i="5"/>
  <c r="I179" i="5" s="1"/>
  <c r="H135" i="5"/>
  <c r="H179" i="5" s="1"/>
  <c r="G135" i="5"/>
  <c r="F135" i="5"/>
  <c r="F179" i="5" s="1"/>
  <c r="E135" i="5"/>
  <c r="E179" i="5" s="1"/>
  <c r="D135" i="5"/>
  <c r="D179" i="5" s="1"/>
  <c r="N179" i="5" s="1"/>
  <c r="E130" i="5"/>
  <c r="L126" i="5"/>
  <c r="K126" i="5"/>
  <c r="J126" i="5"/>
  <c r="I126" i="5"/>
  <c r="H126" i="5"/>
  <c r="G126" i="5"/>
  <c r="F126" i="5"/>
  <c r="E126" i="5"/>
  <c r="D126" i="5"/>
  <c r="L125" i="5"/>
  <c r="K125" i="5"/>
  <c r="J125" i="5"/>
  <c r="I125" i="5"/>
  <c r="H125" i="5"/>
  <c r="G125" i="5"/>
  <c r="F125" i="5"/>
  <c r="E125" i="5"/>
  <c r="D125" i="5"/>
  <c r="N125" i="5" s="1"/>
  <c r="L124" i="5"/>
  <c r="K124" i="5"/>
  <c r="J124" i="5"/>
  <c r="I124" i="5"/>
  <c r="H124" i="5"/>
  <c r="G124" i="5"/>
  <c r="F124" i="5"/>
  <c r="E124" i="5"/>
  <c r="D124" i="5"/>
  <c r="L123" i="5"/>
  <c r="L122" i="5"/>
  <c r="K122" i="5"/>
  <c r="J122" i="5"/>
  <c r="I122" i="5"/>
  <c r="H122" i="5"/>
  <c r="G122" i="5"/>
  <c r="F122" i="5"/>
  <c r="E122" i="5"/>
  <c r="D122" i="5"/>
  <c r="L121" i="5"/>
  <c r="L120" i="5"/>
  <c r="K120" i="5"/>
  <c r="J120" i="5"/>
  <c r="I120" i="5"/>
  <c r="H120" i="5"/>
  <c r="G120" i="5"/>
  <c r="F120" i="5"/>
  <c r="E120" i="5"/>
  <c r="D120" i="5"/>
  <c r="L119" i="5"/>
  <c r="K119" i="5"/>
  <c r="J119" i="5"/>
  <c r="I119" i="5"/>
  <c r="H119" i="5"/>
  <c r="G119" i="5"/>
  <c r="F119" i="5"/>
  <c r="E119" i="5"/>
  <c r="D119" i="5"/>
  <c r="L118" i="5"/>
  <c r="K118" i="5"/>
  <c r="J118" i="5"/>
  <c r="I118" i="5"/>
  <c r="H118" i="5"/>
  <c r="G118" i="5"/>
  <c r="F118" i="5"/>
  <c r="E118" i="5"/>
  <c r="D118" i="5"/>
  <c r="L117" i="5"/>
  <c r="K117" i="5"/>
  <c r="J117" i="5"/>
  <c r="I117" i="5"/>
  <c r="H117" i="5"/>
  <c r="G117" i="5"/>
  <c r="F117" i="5"/>
  <c r="E117" i="5"/>
  <c r="D117" i="5"/>
  <c r="L116" i="5"/>
  <c r="K116" i="5"/>
  <c r="J116" i="5"/>
  <c r="I116" i="5"/>
  <c r="H116" i="5"/>
  <c r="G116" i="5"/>
  <c r="F116" i="5"/>
  <c r="E116" i="5"/>
  <c r="D116" i="5"/>
  <c r="L115" i="5"/>
  <c r="K115" i="5"/>
  <c r="J115" i="5"/>
  <c r="I115" i="5"/>
  <c r="H115" i="5"/>
  <c r="G115" i="5"/>
  <c r="F115" i="5"/>
  <c r="E115" i="5"/>
  <c r="D115" i="5"/>
  <c r="L114" i="5"/>
  <c r="K114" i="5"/>
  <c r="J114" i="5"/>
  <c r="I114" i="5"/>
  <c r="H114" i="5"/>
  <c r="G114" i="5"/>
  <c r="F114" i="5"/>
  <c r="E114" i="5"/>
  <c r="D114" i="5"/>
  <c r="L113" i="5"/>
  <c r="K113" i="5"/>
  <c r="J113" i="5"/>
  <c r="I113" i="5"/>
  <c r="H113" i="5"/>
  <c r="G113" i="5"/>
  <c r="F113" i="5"/>
  <c r="E113" i="5"/>
  <c r="D113" i="5"/>
  <c r="L112" i="5"/>
  <c r="K112" i="5"/>
  <c r="J112" i="5"/>
  <c r="I112" i="5"/>
  <c r="H112" i="5"/>
  <c r="G112" i="5"/>
  <c r="F112" i="5"/>
  <c r="E112" i="5"/>
  <c r="D112" i="5"/>
  <c r="L111" i="5"/>
  <c r="K111" i="5"/>
  <c r="J111" i="5"/>
  <c r="I111" i="5"/>
  <c r="H111" i="5"/>
  <c r="G111" i="5"/>
  <c r="F111" i="5"/>
  <c r="E111" i="5"/>
  <c r="D111" i="5"/>
  <c r="N111" i="5" s="1"/>
  <c r="L110" i="5"/>
  <c r="K110" i="5"/>
  <c r="J110" i="5"/>
  <c r="I110" i="5"/>
  <c r="H110" i="5"/>
  <c r="G110" i="5"/>
  <c r="F110" i="5"/>
  <c r="E110" i="5"/>
  <c r="D110" i="5"/>
  <c r="L109" i="5"/>
  <c r="K109" i="5"/>
  <c r="J109" i="5"/>
  <c r="I109" i="5"/>
  <c r="H109" i="5"/>
  <c r="G109" i="5"/>
  <c r="F109" i="5"/>
  <c r="E109" i="5"/>
  <c r="D109" i="5"/>
  <c r="L108" i="5"/>
  <c r="K108" i="5"/>
  <c r="J108" i="5"/>
  <c r="I108" i="5"/>
  <c r="H108" i="5"/>
  <c r="G108" i="5"/>
  <c r="F108" i="5"/>
  <c r="E108" i="5"/>
  <c r="D108" i="5"/>
  <c r="F105" i="5"/>
  <c r="G103" i="5"/>
  <c r="I101" i="5"/>
  <c r="L99" i="5"/>
  <c r="J98" i="5"/>
  <c r="M97" i="5"/>
  <c r="J97" i="5"/>
  <c r="M92" i="5"/>
  <c r="M130" i="5" s="1"/>
  <c r="L92" i="5"/>
  <c r="L130" i="5" s="1"/>
  <c r="K92" i="5"/>
  <c r="K130" i="5" s="1"/>
  <c r="J92" i="5"/>
  <c r="J130" i="5" s="1"/>
  <c r="I92" i="5"/>
  <c r="I130" i="5" s="1"/>
  <c r="H92" i="5"/>
  <c r="H130" i="5" s="1"/>
  <c r="G92" i="5"/>
  <c r="G130" i="5" s="1"/>
  <c r="F92" i="5"/>
  <c r="F130" i="5" s="1"/>
  <c r="E92" i="5"/>
  <c r="D92" i="5"/>
  <c r="D130" i="5" s="1"/>
  <c r="M91" i="5"/>
  <c r="M129" i="5" s="1"/>
  <c r="L91" i="5"/>
  <c r="L129" i="5" s="1"/>
  <c r="K91" i="5"/>
  <c r="K129" i="5" s="1"/>
  <c r="J91" i="5"/>
  <c r="J129" i="5" s="1"/>
  <c r="I91" i="5"/>
  <c r="I129" i="5" s="1"/>
  <c r="H91" i="5"/>
  <c r="H129" i="5" s="1"/>
  <c r="G91" i="5"/>
  <c r="G129" i="5" s="1"/>
  <c r="F91" i="5"/>
  <c r="F129" i="5" s="1"/>
  <c r="E91" i="5"/>
  <c r="E129" i="5" s="1"/>
  <c r="D91" i="5"/>
  <c r="D129" i="5" s="1"/>
  <c r="M90" i="5"/>
  <c r="M128" i="5" s="1"/>
  <c r="L90" i="5"/>
  <c r="L128" i="5" s="1"/>
  <c r="K90" i="5"/>
  <c r="K128" i="5" s="1"/>
  <c r="J90" i="5"/>
  <c r="J128" i="5" s="1"/>
  <c r="I90" i="5"/>
  <c r="I128" i="5" s="1"/>
  <c r="H90" i="5"/>
  <c r="H128" i="5" s="1"/>
  <c r="G90" i="5"/>
  <c r="G128" i="5" s="1"/>
  <c r="F90" i="5"/>
  <c r="F128" i="5" s="1"/>
  <c r="E90" i="5"/>
  <c r="E128" i="5" s="1"/>
  <c r="D90" i="5"/>
  <c r="D128" i="5" s="1"/>
  <c r="M89" i="5"/>
  <c r="M127" i="5" s="1"/>
  <c r="L89" i="5"/>
  <c r="L127" i="5" s="1"/>
  <c r="K89" i="5"/>
  <c r="K127" i="5" s="1"/>
  <c r="J89" i="5"/>
  <c r="J127" i="5" s="1"/>
  <c r="I89" i="5"/>
  <c r="I127" i="5" s="1"/>
  <c r="H89" i="5"/>
  <c r="H127" i="5" s="1"/>
  <c r="G89" i="5"/>
  <c r="G127" i="5" s="1"/>
  <c r="F89" i="5"/>
  <c r="F127" i="5" s="1"/>
  <c r="E89" i="5"/>
  <c r="E127" i="5" s="1"/>
  <c r="D89" i="5"/>
  <c r="D127" i="5" s="1"/>
  <c r="M88" i="5"/>
  <c r="M126" i="5" s="1"/>
  <c r="M87" i="5"/>
  <c r="M125" i="5" s="1"/>
  <c r="M86" i="5"/>
  <c r="M124" i="5" s="1"/>
  <c r="M85" i="5"/>
  <c r="M123" i="5" s="1"/>
  <c r="M84" i="5"/>
  <c r="M122" i="5" s="1"/>
  <c r="M83" i="5"/>
  <c r="M121" i="5" s="1"/>
  <c r="M82" i="5"/>
  <c r="M120" i="5" s="1"/>
  <c r="M81" i="5"/>
  <c r="M119" i="5" s="1"/>
  <c r="M80" i="5"/>
  <c r="M118" i="5" s="1"/>
  <c r="M79" i="5"/>
  <c r="M117" i="5" s="1"/>
  <c r="M78" i="5"/>
  <c r="M116" i="5" s="1"/>
  <c r="M77" i="5"/>
  <c r="M115" i="5" s="1"/>
  <c r="M76" i="5"/>
  <c r="M114" i="5" s="1"/>
  <c r="M75" i="5"/>
  <c r="M113" i="5" s="1"/>
  <c r="N113" i="5" s="1"/>
  <c r="M74" i="5"/>
  <c r="M112" i="5" s="1"/>
  <c r="M73" i="5"/>
  <c r="M111" i="5" s="1"/>
  <c r="M72" i="5"/>
  <c r="M110" i="5" s="1"/>
  <c r="M71" i="5"/>
  <c r="M109" i="5" s="1"/>
  <c r="M70" i="5"/>
  <c r="M108" i="5" s="1"/>
  <c r="M69" i="5"/>
  <c r="M107" i="5" s="1"/>
  <c r="L69" i="5"/>
  <c r="L107" i="5" s="1"/>
  <c r="K69" i="5"/>
  <c r="K107" i="5" s="1"/>
  <c r="J69" i="5"/>
  <c r="J107" i="5" s="1"/>
  <c r="I69" i="5"/>
  <c r="I107" i="5" s="1"/>
  <c r="H69" i="5"/>
  <c r="H107" i="5" s="1"/>
  <c r="G69" i="5"/>
  <c r="G107" i="5" s="1"/>
  <c r="F69" i="5"/>
  <c r="F107" i="5" s="1"/>
  <c r="E69" i="5"/>
  <c r="E107" i="5" s="1"/>
  <c r="D69" i="5"/>
  <c r="D107" i="5" s="1"/>
  <c r="M68" i="5"/>
  <c r="M106" i="5" s="1"/>
  <c r="L68" i="5"/>
  <c r="L106" i="5" s="1"/>
  <c r="K68" i="5"/>
  <c r="K106" i="5" s="1"/>
  <c r="J68" i="5"/>
  <c r="J106" i="5" s="1"/>
  <c r="I68" i="5"/>
  <c r="I106" i="5" s="1"/>
  <c r="H68" i="5"/>
  <c r="H106" i="5" s="1"/>
  <c r="G68" i="5"/>
  <c r="G106" i="5" s="1"/>
  <c r="F68" i="5"/>
  <c r="F106" i="5" s="1"/>
  <c r="E68" i="5"/>
  <c r="E106" i="5" s="1"/>
  <c r="D68" i="5"/>
  <c r="D106" i="5" s="1"/>
  <c r="M67" i="5"/>
  <c r="M105" i="5" s="1"/>
  <c r="L67" i="5"/>
  <c r="L105" i="5" s="1"/>
  <c r="K67" i="5"/>
  <c r="K105" i="5" s="1"/>
  <c r="J67" i="5"/>
  <c r="J105" i="5" s="1"/>
  <c r="I67" i="5"/>
  <c r="I105" i="5" s="1"/>
  <c r="N105" i="5" s="1"/>
  <c r="H67" i="5"/>
  <c r="H105" i="5" s="1"/>
  <c r="G67" i="5"/>
  <c r="G105" i="5" s="1"/>
  <c r="F67" i="5"/>
  <c r="E67" i="5"/>
  <c r="E105" i="5" s="1"/>
  <c r="D67" i="5"/>
  <c r="D105" i="5" s="1"/>
  <c r="M66" i="5"/>
  <c r="M104" i="5" s="1"/>
  <c r="L66" i="5"/>
  <c r="L104" i="5" s="1"/>
  <c r="K66" i="5"/>
  <c r="K104" i="5" s="1"/>
  <c r="J66" i="5"/>
  <c r="J104" i="5" s="1"/>
  <c r="I66" i="5"/>
  <c r="I104" i="5" s="1"/>
  <c r="H66" i="5"/>
  <c r="H104" i="5" s="1"/>
  <c r="G66" i="5"/>
  <c r="G104" i="5" s="1"/>
  <c r="F66" i="5"/>
  <c r="F104" i="5" s="1"/>
  <c r="E66" i="5"/>
  <c r="E104" i="5" s="1"/>
  <c r="D66" i="5"/>
  <c r="D104" i="5" s="1"/>
  <c r="M65" i="5"/>
  <c r="M103" i="5" s="1"/>
  <c r="L65" i="5"/>
  <c r="L103" i="5" s="1"/>
  <c r="K65" i="5"/>
  <c r="K103" i="5" s="1"/>
  <c r="J65" i="5"/>
  <c r="J103" i="5" s="1"/>
  <c r="I65" i="5"/>
  <c r="I103" i="5" s="1"/>
  <c r="H65" i="5"/>
  <c r="H103" i="5" s="1"/>
  <c r="G65" i="5"/>
  <c r="F65" i="5"/>
  <c r="F103" i="5" s="1"/>
  <c r="E65" i="5"/>
  <c r="E103" i="5" s="1"/>
  <c r="D65" i="5"/>
  <c r="D103" i="5" s="1"/>
  <c r="M64" i="5"/>
  <c r="M102" i="5" s="1"/>
  <c r="L64" i="5"/>
  <c r="L102" i="5" s="1"/>
  <c r="K64" i="5"/>
  <c r="K102" i="5" s="1"/>
  <c r="J64" i="5"/>
  <c r="J102" i="5" s="1"/>
  <c r="I64" i="5"/>
  <c r="I102" i="5" s="1"/>
  <c r="H64" i="5"/>
  <c r="H102" i="5" s="1"/>
  <c r="G64" i="5"/>
  <c r="G102" i="5" s="1"/>
  <c r="F64" i="5"/>
  <c r="F102" i="5" s="1"/>
  <c r="E64" i="5"/>
  <c r="E102" i="5" s="1"/>
  <c r="D64" i="5"/>
  <c r="D102" i="5" s="1"/>
  <c r="M63" i="5"/>
  <c r="M101" i="5" s="1"/>
  <c r="L63" i="5"/>
  <c r="L101" i="5" s="1"/>
  <c r="K63" i="5"/>
  <c r="K101" i="5" s="1"/>
  <c r="J63" i="5"/>
  <c r="J101" i="5" s="1"/>
  <c r="I63" i="5"/>
  <c r="H63" i="5"/>
  <c r="H101" i="5" s="1"/>
  <c r="G63" i="5"/>
  <c r="G101" i="5" s="1"/>
  <c r="F63" i="5"/>
  <c r="F101" i="5" s="1"/>
  <c r="E63" i="5"/>
  <c r="E101" i="5" s="1"/>
  <c r="D63" i="5"/>
  <c r="D101" i="5" s="1"/>
  <c r="M62" i="5"/>
  <c r="M100" i="5" s="1"/>
  <c r="L62" i="5"/>
  <c r="L100" i="5" s="1"/>
  <c r="K62" i="5"/>
  <c r="K100" i="5" s="1"/>
  <c r="J62" i="5"/>
  <c r="J100" i="5" s="1"/>
  <c r="I62" i="5"/>
  <c r="I100" i="5" s="1"/>
  <c r="H62" i="5"/>
  <c r="H100" i="5" s="1"/>
  <c r="G62" i="5"/>
  <c r="G100" i="5" s="1"/>
  <c r="F62" i="5"/>
  <c r="F100" i="5" s="1"/>
  <c r="E62" i="5"/>
  <c r="E100" i="5" s="1"/>
  <c r="D62" i="5"/>
  <c r="D100" i="5" s="1"/>
  <c r="M61" i="5"/>
  <c r="M99" i="5" s="1"/>
  <c r="L61" i="5"/>
  <c r="K61" i="5"/>
  <c r="K99" i="5" s="1"/>
  <c r="J61" i="5"/>
  <c r="J99" i="5" s="1"/>
  <c r="I61" i="5"/>
  <c r="I99" i="5" s="1"/>
  <c r="H61" i="5"/>
  <c r="H99" i="5" s="1"/>
  <c r="G61" i="5"/>
  <c r="G99" i="5" s="1"/>
  <c r="F61" i="5"/>
  <c r="F99" i="5" s="1"/>
  <c r="E61" i="5"/>
  <c r="E99" i="5" s="1"/>
  <c r="D61" i="5"/>
  <c r="D99" i="5" s="1"/>
  <c r="M60" i="5"/>
  <c r="M98" i="5" s="1"/>
  <c r="L60" i="5"/>
  <c r="L98" i="5" s="1"/>
  <c r="K60" i="5"/>
  <c r="K98" i="5" s="1"/>
  <c r="J60" i="5"/>
  <c r="I60" i="5"/>
  <c r="I98" i="5" s="1"/>
  <c r="H60" i="5"/>
  <c r="H98" i="5" s="1"/>
  <c r="G60" i="5"/>
  <c r="G98" i="5" s="1"/>
  <c r="F60" i="5"/>
  <c r="F98" i="5" s="1"/>
  <c r="E60" i="5"/>
  <c r="E98" i="5" s="1"/>
  <c r="D60" i="5"/>
  <c r="D98" i="5" s="1"/>
  <c r="L59" i="5"/>
  <c r="L97" i="5" s="1"/>
  <c r="K59" i="5"/>
  <c r="K97" i="5" s="1"/>
  <c r="J59" i="5"/>
  <c r="I59" i="5"/>
  <c r="I97" i="5" s="1"/>
  <c r="H59" i="5"/>
  <c r="H97" i="5" s="1"/>
  <c r="G59" i="5"/>
  <c r="G97" i="5" s="1"/>
  <c r="F59" i="5"/>
  <c r="F97" i="5" s="1"/>
  <c r="E59" i="5"/>
  <c r="E97" i="5" s="1"/>
  <c r="D59" i="5"/>
  <c r="D97" i="5" s="1"/>
  <c r="X51" i="5"/>
  <c r="W51" i="5"/>
  <c r="V51" i="5"/>
  <c r="U51" i="5"/>
  <c r="T51" i="5"/>
  <c r="S51" i="5"/>
  <c r="R51" i="5"/>
  <c r="Q51" i="5"/>
  <c r="P51" i="5"/>
  <c r="O51" i="5"/>
  <c r="N51" i="5"/>
  <c r="M51" i="5"/>
  <c r="L51" i="5"/>
  <c r="K51" i="5"/>
  <c r="J51" i="5"/>
  <c r="I51" i="5"/>
  <c r="H51" i="5"/>
  <c r="G51" i="5"/>
  <c r="F51" i="5"/>
  <c r="E51" i="5"/>
  <c r="D51" i="5"/>
  <c r="X50" i="5"/>
  <c r="W50" i="5"/>
  <c r="V50" i="5"/>
  <c r="U50" i="5"/>
  <c r="T50" i="5"/>
  <c r="S50" i="5"/>
  <c r="R50" i="5"/>
  <c r="Q50" i="5"/>
  <c r="P50" i="5"/>
  <c r="O50" i="5"/>
  <c r="N50" i="5"/>
  <c r="M50" i="5"/>
  <c r="L50" i="5"/>
  <c r="K50" i="5"/>
  <c r="J50" i="5"/>
  <c r="I50" i="5"/>
  <c r="H50" i="5"/>
  <c r="G50" i="5"/>
  <c r="F50" i="5"/>
  <c r="E50" i="5"/>
  <c r="D50" i="5"/>
  <c r="X49" i="5"/>
  <c r="W49" i="5"/>
  <c r="V49" i="5"/>
  <c r="U49" i="5"/>
  <c r="T49" i="5"/>
  <c r="S49" i="5"/>
  <c r="R49" i="5"/>
  <c r="Q49" i="5"/>
  <c r="P49" i="5"/>
  <c r="O49" i="5"/>
  <c r="N49" i="5"/>
  <c r="M49" i="5"/>
  <c r="L49" i="5"/>
  <c r="K49" i="5"/>
  <c r="J49" i="5"/>
  <c r="I49" i="5"/>
  <c r="H49" i="5"/>
  <c r="G49" i="5"/>
  <c r="F49" i="5"/>
  <c r="E49" i="5"/>
  <c r="X48" i="5"/>
  <c r="W48" i="5"/>
  <c r="V48" i="5"/>
  <c r="U48" i="5"/>
  <c r="T48" i="5"/>
  <c r="S48" i="5"/>
  <c r="R48" i="5"/>
  <c r="Q48" i="5"/>
  <c r="P48" i="5"/>
  <c r="O48" i="5"/>
  <c r="N48" i="5"/>
  <c r="M48" i="5"/>
  <c r="L48" i="5"/>
  <c r="K48" i="5"/>
  <c r="J48" i="5"/>
  <c r="I48" i="5"/>
  <c r="H48" i="5"/>
  <c r="G48" i="5"/>
  <c r="AA47" i="5"/>
  <c r="Y47" i="5"/>
  <c r="X46" i="5"/>
  <c r="W46" i="5"/>
  <c r="V46" i="5"/>
  <c r="U46" i="5"/>
  <c r="T46" i="5"/>
  <c r="S46" i="5"/>
  <c r="R46" i="5"/>
  <c r="Q46" i="5"/>
  <c r="P46" i="5"/>
  <c r="O46" i="5"/>
  <c r="N46" i="5"/>
  <c r="M46" i="5"/>
  <c r="L46" i="5"/>
  <c r="K46" i="5"/>
  <c r="G46" i="5"/>
  <c r="F46" i="5"/>
  <c r="E46" i="5"/>
  <c r="X45" i="5"/>
  <c r="W45" i="5"/>
  <c r="V45" i="5"/>
  <c r="U45" i="5"/>
  <c r="T45" i="5"/>
  <c r="S45" i="5"/>
  <c r="R45" i="5"/>
  <c r="Q45" i="5"/>
  <c r="P45" i="5"/>
  <c r="O45" i="5"/>
  <c r="N45" i="5"/>
  <c r="M45" i="5"/>
  <c r="L45" i="5"/>
  <c r="K45" i="5"/>
  <c r="J45" i="5"/>
  <c r="I45" i="5"/>
  <c r="H45" i="5"/>
  <c r="G45" i="5"/>
  <c r="F45" i="5"/>
  <c r="E45" i="5"/>
  <c r="D45" i="5"/>
  <c r="Z44" i="5"/>
  <c r="X44" i="5"/>
  <c r="W44" i="5"/>
  <c r="V44" i="5"/>
  <c r="U44" i="5"/>
  <c r="T44" i="5"/>
  <c r="S44" i="5"/>
  <c r="R44" i="5"/>
  <c r="Q44" i="5"/>
  <c r="P44" i="5"/>
  <c r="O44" i="5"/>
  <c r="N44" i="5"/>
  <c r="M44" i="5"/>
  <c r="L44" i="5"/>
  <c r="K44" i="5"/>
  <c r="J44" i="5"/>
  <c r="I44" i="5"/>
  <c r="H44" i="5"/>
  <c r="G44" i="5"/>
  <c r="F44" i="5"/>
  <c r="E44" i="5"/>
  <c r="D44" i="5"/>
  <c r="Y43" i="5"/>
  <c r="AA43" i="5" s="1"/>
  <c r="Y42" i="5"/>
  <c r="AA42" i="5" s="1"/>
  <c r="Y41" i="5"/>
  <c r="AA41" i="5" s="1"/>
  <c r="Y40" i="5"/>
  <c r="AA40" i="5" s="1"/>
  <c r="Y39" i="5"/>
  <c r="AA39" i="5" s="1"/>
  <c r="K38" i="5"/>
  <c r="K10" i="5" s="1"/>
  <c r="J38" i="5"/>
  <c r="I38" i="5"/>
  <c r="H38" i="5"/>
  <c r="D38" i="5"/>
  <c r="Y37" i="5"/>
  <c r="AA37" i="5" s="1"/>
  <c r="Y36" i="5"/>
  <c r="AA36" i="5" s="1"/>
  <c r="Y35" i="5"/>
  <c r="AA35" i="5" s="1"/>
  <c r="Y34" i="5"/>
  <c r="AA34" i="5" s="1"/>
  <c r="Y33" i="5"/>
  <c r="AA33" i="5" s="1"/>
  <c r="Y32" i="5"/>
  <c r="AA32" i="5" s="1"/>
  <c r="Y31" i="5"/>
  <c r="AA31" i="5" s="1"/>
  <c r="Y30" i="5"/>
  <c r="AA30" i="5" s="1"/>
  <c r="J29" i="5"/>
  <c r="J46" i="5" s="1"/>
  <c r="I46" i="5"/>
  <c r="H29" i="5"/>
  <c r="H46" i="5" s="1"/>
  <c r="D29" i="5"/>
  <c r="Y28" i="5"/>
  <c r="AA28" i="5" s="1"/>
  <c r="Y27" i="5"/>
  <c r="AA27" i="5" s="1"/>
  <c r="Y26" i="5"/>
  <c r="AA26" i="5" s="1"/>
  <c r="Y25" i="5"/>
  <c r="AA25" i="5" s="1"/>
  <c r="Y24" i="5"/>
  <c r="AA24" i="5" s="1"/>
  <c r="AA23" i="5"/>
  <c r="A20" i="5"/>
  <c r="Y19" i="5"/>
  <c r="AA19" i="5" s="1"/>
  <c r="A19" i="5"/>
  <c r="X18" i="5"/>
  <c r="W18" i="5"/>
  <c r="V18" i="5"/>
  <c r="U18" i="5"/>
  <c r="T18" i="5"/>
  <c r="S18" i="5"/>
  <c r="R18" i="5"/>
  <c r="Q18" i="5"/>
  <c r="P18" i="5"/>
  <c r="O18" i="5"/>
  <c r="N18" i="5"/>
  <c r="M18" i="5"/>
  <c r="L18" i="5"/>
  <c r="K18" i="5"/>
  <c r="J18" i="5"/>
  <c r="I18" i="5"/>
  <c r="H18" i="5"/>
  <c r="G18" i="5"/>
  <c r="X17" i="5"/>
  <c r="W17" i="5"/>
  <c r="V17" i="5"/>
  <c r="U17" i="5"/>
  <c r="T17" i="5"/>
  <c r="S17" i="5"/>
  <c r="R17" i="5"/>
  <c r="Q17" i="5"/>
  <c r="O17" i="5"/>
  <c r="N17" i="5"/>
  <c r="M17" i="5"/>
  <c r="L17" i="5"/>
  <c r="K17" i="5"/>
  <c r="J17" i="5"/>
  <c r="I17" i="5"/>
  <c r="H17" i="5"/>
  <c r="G17" i="5"/>
  <c r="F17" i="5"/>
  <c r="E17" i="5"/>
  <c r="D17" i="5"/>
  <c r="X16" i="5"/>
  <c r="W16" i="5"/>
  <c r="V16" i="5"/>
  <c r="U16" i="5"/>
  <c r="T16" i="5"/>
  <c r="S16" i="5"/>
  <c r="R16" i="5"/>
  <c r="Q16" i="5"/>
  <c r="P16" i="5"/>
  <c r="O16" i="5"/>
  <c r="N16" i="5"/>
  <c r="M16" i="5"/>
  <c r="L16" i="5"/>
  <c r="K16" i="5"/>
  <c r="J16" i="5"/>
  <c r="I16" i="5"/>
  <c r="H16" i="5"/>
  <c r="G16" i="5"/>
  <c r="F16" i="5"/>
  <c r="E16" i="5"/>
  <c r="D16" i="5"/>
  <c r="X15" i="5"/>
  <c r="W15" i="5"/>
  <c r="V15" i="5"/>
  <c r="V6" i="5" s="1"/>
  <c r="U15" i="5"/>
  <c r="T15" i="5"/>
  <c r="S15" i="5"/>
  <c r="R15" i="5"/>
  <c r="Q15" i="5"/>
  <c r="O15" i="5"/>
  <c r="N15" i="5"/>
  <c r="M15" i="5"/>
  <c r="L15" i="5"/>
  <c r="K15" i="5"/>
  <c r="J15" i="5"/>
  <c r="I15" i="5"/>
  <c r="H15" i="5"/>
  <c r="G15" i="5"/>
  <c r="F15" i="5"/>
  <c r="E15" i="5"/>
  <c r="AA14" i="5"/>
  <c r="X13" i="5"/>
  <c r="W13" i="5"/>
  <c r="V13" i="5"/>
  <c r="U13" i="5"/>
  <c r="T13" i="5"/>
  <c r="S13" i="5"/>
  <c r="R13" i="5"/>
  <c r="Q13" i="5"/>
  <c r="P13" i="5"/>
  <c r="O13" i="5"/>
  <c r="N13" i="5"/>
  <c r="M13" i="5"/>
  <c r="L13" i="5"/>
  <c r="K13" i="5"/>
  <c r="J13" i="5"/>
  <c r="I13" i="5"/>
  <c r="H13" i="5"/>
  <c r="G13" i="5"/>
  <c r="F13" i="5"/>
  <c r="E13" i="5"/>
  <c r="D13" i="5"/>
  <c r="AA12" i="5"/>
  <c r="X11" i="5"/>
  <c r="W11" i="5"/>
  <c r="V11" i="5"/>
  <c r="U11" i="5"/>
  <c r="T11" i="5"/>
  <c r="S11" i="5"/>
  <c r="R11" i="5"/>
  <c r="Q11" i="5"/>
  <c r="P11" i="5"/>
  <c r="O11" i="5"/>
  <c r="N11" i="5"/>
  <c r="M11" i="5"/>
  <c r="L11" i="5"/>
  <c r="K11" i="5"/>
  <c r="J11" i="5"/>
  <c r="I11" i="5"/>
  <c r="H11" i="5"/>
  <c r="G11" i="5"/>
  <c r="X10" i="5"/>
  <c r="W10" i="5"/>
  <c r="V10" i="5"/>
  <c r="U10" i="5"/>
  <c r="T10" i="5"/>
  <c r="T6" i="5" s="1"/>
  <c r="S10" i="5"/>
  <c r="R10" i="5"/>
  <c r="R6" i="5" s="1"/>
  <c r="R7" i="5" s="1"/>
  <c r="Q10" i="5"/>
  <c r="Q6" i="5" s="1"/>
  <c r="Q9" i="5" s="1"/>
  <c r="P10" i="5"/>
  <c r="O10" i="5"/>
  <c r="N10" i="5"/>
  <c r="M10" i="5"/>
  <c r="L10" i="5"/>
  <c r="L6" i="5" s="1"/>
  <c r="G10" i="5"/>
  <c r="G6" i="5" s="1"/>
  <c r="G9" i="5" s="1"/>
  <c r="F10" i="5"/>
  <c r="E10" i="5"/>
  <c r="Z9" i="5"/>
  <c r="Z8" i="5"/>
  <c r="L8" i="5"/>
  <c r="Z7" i="5"/>
  <c r="X6" i="5"/>
  <c r="W6" i="5"/>
  <c r="W8" i="5" s="1"/>
  <c r="O6" i="5"/>
  <c r="N6" i="5"/>
  <c r="Z5" i="5"/>
  <c r="T5" i="5"/>
  <c r="AW657" i="3"/>
  <c r="AS657" i="3"/>
  <c r="AN657" i="3"/>
  <c r="AM657" i="3"/>
  <c r="AL657" i="3"/>
  <c r="AD657" i="3"/>
  <c r="AE657" i="3" s="1"/>
  <c r="L640" i="3" s="1"/>
  <c r="AC657" i="3"/>
  <c r="U657" i="3"/>
  <c r="S657" i="3"/>
  <c r="R657" i="3"/>
  <c r="Q657" i="3"/>
  <c r="P657" i="3"/>
  <c r="O657" i="3"/>
  <c r="N657" i="3"/>
  <c r="L657" i="3"/>
  <c r="K657" i="3"/>
  <c r="M657" i="3" s="1"/>
  <c r="C657" i="3"/>
  <c r="B657" i="3"/>
  <c r="D657" i="3" s="1"/>
  <c r="B640" i="3" s="1"/>
  <c r="AW656" i="3"/>
  <c r="AN656" i="3"/>
  <c r="AM656" i="3"/>
  <c r="AL656" i="3"/>
  <c r="AD656" i="3"/>
  <c r="AC656" i="3"/>
  <c r="U656" i="3"/>
  <c r="S656" i="3"/>
  <c r="R656" i="3"/>
  <c r="Q656" i="3"/>
  <c r="O656" i="3"/>
  <c r="N656" i="3"/>
  <c r="P656" i="3" s="1"/>
  <c r="M656" i="3"/>
  <c r="L656" i="3"/>
  <c r="K656" i="3"/>
  <c r="E656" i="3"/>
  <c r="C656" i="3"/>
  <c r="AW655" i="3"/>
  <c r="AT655" i="3"/>
  <c r="S638" i="3" s="1"/>
  <c r="AS655" i="3"/>
  <c r="AR655" i="3"/>
  <c r="AQ655" i="3"/>
  <c r="R638" i="3" s="1"/>
  <c r="AP655" i="3"/>
  <c r="AO655" i="3"/>
  <c r="AN655" i="3"/>
  <c r="AM655" i="3"/>
  <c r="AL655" i="3"/>
  <c r="AJ655" i="3"/>
  <c r="AI655" i="3"/>
  <c r="AH655" i="3"/>
  <c r="AG655" i="3"/>
  <c r="AF655" i="3"/>
  <c r="AE655" i="3"/>
  <c r="X655" i="3"/>
  <c r="W655" i="3"/>
  <c r="Y655" i="3" s="1"/>
  <c r="I638" i="3" s="1"/>
  <c r="V655" i="3"/>
  <c r="H638" i="3" s="1"/>
  <c r="U655" i="3"/>
  <c r="T655" i="3"/>
  <c r="J655" i="3"/>
  <c r="I655" i="3"/>
  <c r="H655" i="3"/>
  <c r="F655" i="3"/>
  <c r="E655" i="3"/>
  <c r="G655" i="3" s="1"/>
  <c r="C638" i="3" s="1"/>
  <c r="D655" i="3"/>
  <c r="B638" i="3" s="1"/>
  <c r="C655" i="3"/>
  <c r="B655" i="3"/>
  <c r="AW654" i="3"/>
  <c r="AS654" i="3"/>
  <c r="AT654" i="3" s="1"/>
  <c r="S637" i="3" s="1"/>
  <c r="AR654" i="3"/>
  <c r="AQ654" i="3"/>
  <c r="R637" i="3" s="1"/>
  <c r="AP654" i="3"/>
  <c r="AP656" i="3" s="1"/>
  <c r="AO654" i="3"/>
  <c r="AN654" i="3"/>
  <c r="AM654" i="3"/>
  <c r="AL654" i="3"/>
  <c r="AJ654" i="3"/>
  <c r="AI654" i="3"/>
  <c r="AK654" i="3" s="1"/>
  <c r="N637" i="3" s="1"/>
  <c r="U637" i="3" s="1"/>
  <c r="AH654" i="3"/>
  <c r="M637" i="3" s="1"/>
  <c r="AG654" i="3"/>
  <c r="AF654" i="3"/>
  <c r="AE654" i="3"/>
  <c r="Y654" i="3"/>
  <c r="I637" i="3" s="1"/>
  <c r="X654" i="3"/>
  <c r="W654" i="3"/>
  <c r="V654" i="3"/>
  <c r="U654" i="3"/>
  <c r="T654" i="3"/>
  <c r="Q654" i="3"/>
  <c r="S654" i="3" s="1"/>
  <c r="I654" i="3"/>
  <c r="H654" i="3"/>
  <c r="F654" i="3"/>
  <c r="E654" i="3"/>
  <c r="D654" i="3"/>
  <c r="C654" i="3"/>
  <c r="B654" i="3"/>
  <c r="AW653" i="3"/>
  <c r="AS653" i="3"/>
  <c r="AR653" i="3"/>
  <c r="AT653" i="3" s="1"/>
  <c r="S636" i="3" s="1"/>
  <c r="AP653" i="3"/>
  <c r="AQ653" i="3" s="1"/>
  <c r="AO653" i="3"/>
  <c r="AN653" i="3"/>
  <c r="AM653" i="3"/>
  <c r="AL653" i="3"/>
  <c r="AJ653" i="3"/>
  <c r="AI653" i="3"/>
  <c r="AK653" i="3" s="1"/>
  <c r="N636" i="3" s="1"/>
  <c r="AG653" i="3"/>
  <c r="AH653" i="3" s="1"/>
  <c r="M636" i="3" s="1"/>
  <c r="AF653" i="3"/>
  <c r="AE653" i="3"/>
  <c r="Y653" i="3"/>
  <c r="I636" i="3" s="1"/>
  <c r="X653" i="3"/>
  <c r="W653" i="3"/>
  <c r="V653" i="3"/>
  <c r="U653" i="3"/>
  <c r="T653" i="3"/>
  <c r="R653" i="3"/>
  <c r="Q653" i="3"/>
  <c r="P653" i="3"/>
  <c r="O653" i="3"/>
  <c r="N653" i="3"/>
  <c r="M653" i="3"/>
  <c r="L653" i="3"/>
  <c r="K653" i="3"/>
  <c r="I653" i="3"/>
  <c r="H653" i="3"/>
  <c r="J653" i="3" s="1"/>
  <c r="D636" i="3" s="1"/>
  <c r="G653" i="3"/>
  <c r="C636" i="3" s="1"/>
  <c r="F653" i="3"/>
  <c r="E653" i="3"/>
  <c r="C653" i="3"/>
  <c r="B653" i="3"/>
  <c r="D653" i="3" s="1"/>
  <c r="B636" i="3" s="1"/>
  <c r="AW652" i="3"/>
  <c r="AS652" i="3"/>
  <c r="AT652" i="3" s="1"/>
  <c r="S635" i="3" s="1"/>
  <c r="AR652" i="3"/>
  <c r="AQ652" i="3"/>
  <c r="R635" i="3" s="1"/>
  <c r="AP652" i="3"/>
  <c r="AO652" i="3"/>
  <c r="AN652" i="3"/>
  <c r="AM652" i="3"/>
  <c r="AL652" i="3"/>
  <c r="AK652" i="3"/>
  <c r="N635" i="3" s="1"/>
  <c r="U635" i="3" s="1"/>
  <c r="AJ652" i="3"/>
  <c r="AI652" i="3"/>
  <c r="AG652" i="3"/>
  <c r="AF652" i="3"/>
  <c r="AH652" i="3" s="1"/>
  <c r="AE652" i="3"/>
  <c r="AA652" i="3"/>
  <c r="Y652" i="3"/>
  <c r="I635" i="3" s="1"/>
  <c r="X652" i="3"/>
  <c r="W652" i="3"/>
  <c r="U652" i="3"/>
  <c r="T652" i="3"/>
  <c r="V652" i="3" s="1"/>
  <c r="H635" i="3" s="1"/>
  <c r="S652" i="3"/>
  <c r="R652" i="3"/>
  <c r="Q652" i="3"/>
  <c r="O652" i="3"/>
  <c r="N652" i="3"/>
  <c r="P652" i="3" s="1"/>
  <c r="L652" i="3"/>
  <c r="K652" i="3"/>
  <c r="M652" i="3" s="1"/>
  <c r="J652" i="3"/>
  <c r="I652" i="3"/>
  <c r="H652" i="3"/>
  <c r="F652" i="3"/>
  <c r="E652" i="3"/>
  <c r="G652" i="3" s="1"/>
  <c r="C652" i="3"/>
  <c r="B652" i="3"/>
  <c r="AW651" i="3"/>
  <c r="T634" i="3" s="1"/>
  <c r="AT651" i="3"/>
  <c r="AS651" i="3"/>
  <c r="AR651" i="3"/>
  <c r="AP651" i="3"/>
  <c r="AO651" i="3"/>
  <c r="AQ651" i="3" s="1"/>
  <c r="R634" i="3" s="1"/>
  <c r="AN651" i="3"/>
  <c r="AM651" i="3"/>
  <c r="AL651" i="3"/>
  <c r="AJ651" i="3"/>
  <c r="AI651" i="3"/>
  <c r="AG651" i="3"/>
  <c r="AF651" i="3"/>
  <c r="AH651" i="3" s="1"/>
  <c r="M634" i="3" s="1"/>
  <c r="AE651" i="3"/>
  <c r="L634" i="3" s="1"/>
  <c r="X651" i="3"/>
  <c r="W651" i="3"/>
  <c r="Y651" i="3" s="1"/>
  <c r="I634" i="3" s="1"/>
  <c r="U651" i="3"/>
  <c r="T651" i="3"/>
  <c r="R651" i="3"/>
  <c r="Q651" i="3"/>
  <c r="O651" i="3"/>
  <c r="N651" i="3"/>
  <c r="P651" i="3" s="1"/>
  <c r="L651" i="3"/>
  <c r="M651" i="3" s="1"/>
  <c r="K651" i="3"/>
  <c r="J651" i="3"/>
  <c r="D634" i="3" s="1"/>
  <c r="I651" i="3"/>
  <c r="H651" i="3"/>
  <c r="F651" i="3"/>
  <c r="G651" i="3" s="1"/>
  <c r="C634" i="3" s="1"/>
  <c r="E651" i="3"/>
  <c r="D651" i="3"/>
  <c r="B634" i="3" s="1"/>
  <c r="C651" i="3"/>
  <c r="B651" i="3"/>
  <c r="AW650" i="3"/>
  <c r="AS650" i="3"/>
  <c r="AR650" i="3"/>
  <c r="AT650" i="3" s="1"/>
  <c r="S633" i="3" s="1"/>
  <c r="AP650" i="3"/>
  <c r="AQ650" i="3" s="1"/>
  <c r="R633" i="3" s="1"/>
  <c r="AO650" i="3"/>
  <c r="AN650" i="3"/>
  <c r="AM650" i="3"/>
  <c r="AL650" i="3"/>
  <c r="AJ650" i="3"/>
  <c r="AK650" i="3" s="1"/>
  <c r="N633" i="3" s="1"/>
  <c r="AI650" i="3"/>
  <c r="AH650" i="3"/>
  <c r="M633" i="3" s="1"/>
  <c r="AG650" i="3"/>
  <c r="AF650" i="3"/>
  <c r="AE650" i="3"/>
  <c r="X650" i="3"/>
  <c r="Y650" i="3" s="1"/>
  <c r="I633" i="3" s="1"/>
  <c r="W650" i="3"/>
  <c r="V650" i="3"/>
  <c r="U650" i="3"/>
  <c r="T650" i="3"/>
  <c r="R650" i="3"/>
  <c r="S650" i="3" s="1"/>
  <c r="Q650" i="3"/>
  <c r="P650" i="3"/>
  <c r="O650" i="3"/>
  <c r="N650" i="3"/>
  <c r="M650" i="3"/>
  <c r="L650" i="3"/>
  <c r="K650" i="3"/>
  <c r="I650" i="3"/>
  <c r="H650" i="3"/>
  <c r="J650" i="3" s="1"/>
  <c r="D633" i="3" s="1"/>
  <c r="F650" i="3"/>
  <c r="E650" i="3"/>
  <c r="D650" i="3"/>
  <c r="B633" i="3" s="1"/>
  <c r="C650" i="3"/>
  <c r="B650" i="3"/>
  <c r="AW649" i="3"/>
  <c r="AS649" i="3"/>
  <c r="AR649" i="3"/>
  <c r="AQ649" i="3"/>
  <c r="R632" i="3" s="1"/>
  <c r="AP649" i="3"/>
  <c r="AP657" i="3" s="1"/>
  <c r="AO649" i="3"/>
  <c r="AN649" i="3"/>
  <c r="AM649" i="3"/>
  <c r="AL649" i="3"/>
  <c r="AJ649" i="3"/>
  <c r="AJ657" i="3" s="1"/>
  <c r="AI649" i="3"/>
  <c r="AH649" i="3"/>
  <c r="AG649" i="3"/>
  <c r="AF649" i="3"/>
  <c r="AF657" i="3" s="1"/>
  <c r="AE649" i="3"/>
  <c r="X649" i="3"/>
  <c r="X657" i="3" s="1"/>
  <c r="W649" i="3"/>
  <c r="V649" i="3"/>
  <c r="H632" i="3" s="1"/>
  <c r="U649" i="3"/>
  <c r="T649" i="3"/>
  <c r="T657" i="3" s="1"/>
  <c r="V657" i="3" s="1"/>
  <c r="H640" i="3" s="1"/>
  <c r="R649" i="3"/>
  <c r="Q649" i="3"/>
  <c r="O649" i="3"/>
  <c r="P649" i="3" s="1"/>
  <c r="N649" i="3"/>
  <c r="M649" i="3"/>
  <c r="L649" i="3"/>
  <c r="K649" i="3"/>
  <c r="I649" i="3"/>
  <c r="I657" i="3" s="1"/>
  <c r="H649" i="3"/>
  <c r="G649" i="3"/>
  <c r="C632" i="3" s="1"/>
  <c r="F649" i="3"/>
  <c r="F657" i="3" s="1"/>
  <c r="E649" i="3"/>
  <c r="E657" i="3" s="1"/>
  <c r="G657" i="3" s="1"/>
  <c r="C640" i="3" s="1"/>
  <c r="C649" i="3"/>
  <c r="B649" i="3"/>
  <c r="D649" i="3" s="1"/>
  <c r="B632" i="3" s="1"/>
  <c r="AW648" i="3"/>
  <c r="T631" i="3" s="1"/>
  <c r="AS648" i="3"/>
  <c r="AT648" i="3" s="1"/>
  <c r="S631" i="3" s="1"/>
  <c r="AR648" i="3"/>
  <c r="AQ648" i="3"/>
  <c r="AP648" i="3"/>
  <c r="AO648" i="3"/>
  <c r="AN648" i="3"/>
  <c r="AM648" i="3"/>
  <c r="AL648" i="3"/>
  <c r="AK648" i="3"/>
  <c r="N631" i="3" s="1"/>
  <c r="AJ648" i="3"/>
  <c r="AI648" i="3"/>
  <c r="AG648" i="3"/>
  <c r="AF648" i="3"/>
  <c r="AH648" i="3" s="1"/>
  <c r="M631" i="3" s="1"/>
  <c r="AE648" i="3"/>
  <c r="L631" i="3" s="1"/>
  <c r="Y648" i="3"/>
  <c r="X648" i="3"/>
  <c r="W648" i="3"/>
  <c r="U648" i="3"/>
  <c r="T648" i="3"/>
  <c r="V648" i="3" s="1"/>
  <c r="H631" i="3" s="1"/>
  <c r="S648" i="3"/>
  <c r="R648" i="3"/>
  <c r="Q648" i="3"/>
  <c r="O648" i="3"/>
  <c r="N648" i="3"/>
  <c r="P648" i="3" s="1"/>
  <c r="L648" i="3"/>
  <c r="K648" i="3"/>
  <c r="M648" i="3" s="1"/>
  <c r="J648" i="3"/>
  <c r="I648" i="3"/>
  <c r="H648" i="3"/>
  <c r="F648" i="3"/>
  <c r="E648" i="3"/>
  <c r="G648" i="3" s="1"/>
  <c r="C631" i="3" s="1"/>
  <c r="C648" i="3"/>
  <c r="B648" i="3"/>
  <c r="D648" i="3" s="1"/>
  <c r="AW647" i="3"/>
  <c r="AT647" i="3"/>
  <c r="S630" i="3" s="1"/>
  <c r="AS647" i="3"/>
  <c r="AR647" i="3"/>
  <c r="AR656" i="3" s="1"/>
  <c r="AP647" i="3"/>
  <c r="AO647" i="3"/>
  <c r="AN647" i="3"/>
  <c r="AM647" i="3"/>
  <c r="AL647" i="3"/>
  <c r="AJ647" i="3"/>
  <c r="AJ656" i="3" s="1"/>
  <c r="AI647" i="3"/>
  <c r="AG647" i="3"/>
  <c r="AG656" i="3" s="1"/>
  <c r="AF647" i="3"/>
  <c r="AH647" i="3" s="1"/>
  <c r="M630" i="3" s="1"/>
  <c r="AE647" i="3"/>
  <c r="L630" i="3" s="1"/>
  <c r="X647" i="3"/>
  <c r="X656" i="3" s="1"/>
  <c r="W647" i="3"/>
  <c r="W656" i="3" s="1"/>
  <c r="Y656" i="3" s="1"/>
  <c r="I639" i="3" s="1"/>
  <c r="U647" i="3"/>
  <c r="T647" i="3"/>
  <c r="R647" i="3"/>
  <c r="Q647" i="3"/>
  <c r="S647" i="3" s="1"/>
  <c r="O647" i="3"/>
  <c r="N647" i="3"/>
  <c r="P647" i="3" s="1"/>
  <c r="L647" i="3"/>
  <c r="M647" i="3" s="1"/>
  <c r="K647" i="3"/>
  <c r="I647" i="3"/>
  <c r="I656" i="3" s="1"/>
  <c r="H647" i="3"/>
  <c r="F647" i="3"/>
  <c r="G647" i="3" s="1"/>
  <c r="C630" i="3" s="1"/>
  <c r="E647" i="3"/>
  <c r="D647" i="3"/>
  <c r="B630" i="3" s="1"/>
  <c r="C647" i="3"/>
  <c r="B647" i="3"/>
  <c r="B656" i="3" s="1"/>
  <c r="D656" i="3" s="1"/>
  <c r="B639" i="3" s="1"/>
  <c r="AW646" i="3"/>
  <c r="AS646" i="3"/>
  <c r="AR646" i="3"/>
  <c r="AT646" i="3" s="1"/>
  <c r="AP646" i="3"/>
  <c r="AQ646" i="3" s="1"/>
  <c r="AO646" i="3"/>
  <c r="AN646" i="3"/>
  <c r="AM646" i="3"/>
  <c r="AL646" i="3"/>
  <c r="AJ646" i="3"/>
  <c r="AK646" i="3" s="1"/>
  <c r="N629" i="3" s="1"/>
  <c r="AI646" i="3"/>
  <c r="AH646" i="3"/>
  <c r="AD646" i="3"/>
  <c r="AC646" i="3"/>
  <c r="AB646" i="3"/>
  <c r="AA646" i="3"/>
  <c r="Z646" i="3"/>
  <c r="Y646" i="3"/>
  <c r="X646" i="3"/>
  <c r="W646" i="3"/>
  <c r="V646" i="3"/>
  <c r="H629" i="3" s="1"/>
  <c r="U646" i="3"/>
  <c r="T646" i="3"/>
  <c r="R646" i="3"/>
  <c r="Q646" i="3"/>
  <c r="S646" i="3" s="1"/>
  <c r="O646" i="3"/>
  <c r="N646" i="3"/>
  <c r="P646" i="3" s="1"/>
  <c r="M646" i="3"/>
  <c r="L646" i="3"/>
  <c r="K646" i="3"/>
  <c r="I646" i="3"/>
  <c r="J646" i="3" s="1"/>
  <c r="H646" i="3"/>
  <c r="F646" i="3"/>
  <c r="E646" i="3"/>
  <c r="G646" i="3" s="1"/>
  <c r="D646" i="3"/>
  <c r="C646" i="3"/>
  <c r="B646" i="3"/>
  <c r="T640" i="3"/>
  <c r="Q640" i="3"/>
  <c r="P640" i="3"/>
  <c r="O640" i="3"/>
  <c r="G640" i="3"/>
  <c r="F640" i="3"/>
  <c r="E640" i="3"/>
  <c r="T639" i="3"/>
  <c r="Q639" i="3"/>
  <c r="P639" i="3"/>
  <c r="O639" i="3"/>
  <c r="G639" i="3"/>
  <c r="F639" i="3"/>
  <c r="E639" i="3"/>
  <c r="T638" i="3"/>
  <c r="Q638" i="3"/>
  <c r="P638" i="3"/>
  <c r="O638" i="3"/>
  <c r="M638" i="3"/>
  <c r="L638" i="3"/>
  <c r="G638" i="3"/>
  <c r="F638" i="3"/>
  <c r="E638" i="3"/>
  <c r="D638" i="3"/>
  <c r="T637" i="3"/>
  <c r="Q637" i="3"/>
  <c r="P637" i="3"/>
  <c r="O637" i="3"/>
  <c r="L637" i="3"/>
  <c r="H637" i="3"/>
  <c r="G637" i="3"/>
  <c r="F637" i="3"/>
  <c r="E637" i="3"/>
  <c r="B637" i="3"/>
  <c r="T636" i="3"/>
  <c r="U636" i="3" s="1"/>
  <c r="R636" i="3"/>
  <c r="Q636" i="3"/>
  <c r="P636" i="3"/>
  <c r="O636" i="3"/>
  <c r="L636" i="3"/>
  <c r="H636" i="3"/>
  <c r="G636" i="3"/>
  <c r="F636" i="3"/>
  <c r="E636" i="3"/>
  <c r="AK635" i="3"/>
  <c r="T635" i="3"/>
  <c r="Q635" i="3"/>
  <c r="P635" i="3"/>
  <c r="O635" i="3"/>
  <c r="M635" i="3"/>
  <c r="L635" i="3"/>
  <c r="G635" i="3"/>
  <c r="F635" i="3"/>
  <c r="E635" i="3"/>
  <c r="D635" i="3"/>
  <c r="C635" i="3"/>
  <c r="AK634" i="3"/>
  <c r="S634" i="3"/>
  <c r="Q634" i="3"/>
  <c r="P634" i="3"/>
  <c r="O634" i="3"/>
  <c r="G634" i="3"/>
  <c r="F634" i="3"/>
  <c r="E634" i="3"/>
  <c r="AK633" i="3"/>
  <c r="T633" i="3"/>
  <c r="U633" i="3" s="1"/>
  <c r="Q633" i="3"/>
  <c r="P633" i="3"/>
  <c r="O633" i="3"/>
  <c r="L633" i="3"/>
  <c r="H633" i="3"/>
  <c r="G633" i="3"/>
  <c r="F633" i="3"/>
  <c r="E633" i="3"/>
  <c r="AK632" i="3"/>
  <c r="T632" i="3"/>
  <c r="Q632" i="3"/>
  <c r="P632" i="3"/>
  <c r="O632" i="3"/>
  <c r="M632" i="3"/>
  <c r="L632" i="3"/>
  <c r="G632" i="3"/>
  <c r="F632" i="3"/>
  <c r="E632" i="3"/>
  <c r="AK631" i="3"/>
  <c r="R631" i="3"/>
  <c r="Q631" i="3"/>
  <c r="P631" i="3"/>
  <c r="O631" i="3"/>
  <c r="I631" i="3"/>
  <c r="G631" i="3"/>
  <c r="F631" i="3"/>
  <c r="E631" i="3"/>
  <c r="D631" i="3"/>
  <c r="B631" i="3"/>
  <c r="AK630" i="3"/>
  <c r="T630" i="3"/>
  <c r="Q630" i="3"/>
  <c r="P630" i="3"/>
  <c r="O630" i="3"/>
  <c r="G630" i="3"/>
  <c r="F630" i="3"/>
  <c r="E630" i="3"/>
  <c r="AK629" i="3"/>
  <c r="Q629" i="3"/>
  <c r="P629" i="3"/>
  <c r="O629" i="3"/>
  <c r="K629" i="3"/>
  <c r="J629" i="3"/>
  <c r="I629" i="3"/>
  <c r="G629" i="3"/>
  <c r="F629" i="3"/>
  <c r="E629" i="3"/>
  <c r="D629" i="3"/>
  <c r="C629" i="3"/>
  <c r="B629" i="3"/>
  <c r="AW622" i="3"/>
  <c r="AT622" i="3"/>
  <c r="AQ622" i="3"/>
  <c r="AN622" i="3"/>
  <c r="AM622" i="3"/>
  <c r="AL622" i="3"/>
  <c r="AK622" i="3"/>
  <c r="AH622" i="3"/>
  <c r="M583" i="3" s="1"/>
  <c r="AE622" i="3"/>
  <c r="AA622" i="3"/>
  <c r="Z622" i="3"/>
  <c r="AB622" i="3" s="1"/>
  <c r="Y622" i="3"/>
  <c r="V622" i="3"/>
  <c r="H583" i="3" s="1"/>
  <c r="S622" i="3"/>
  <c r="R622" i="3"/>
  <c r="Q622" i="3"/>
  <c r="O622" i="3"/>
  <c r="N622" i="3"/>
  <c r="P622" i="3" s="1"/>
  <c r="L622" i="3"/>
  <c r="K622" i="3"/>
  <c r="M622" i="3" s="1"/>
  <c r="J622" i="3"/>
  <c r="D583" i="3" s="1"/>
  <c r="G622" i="3"/>
  <c r="C622" i="3"/>
  <c r="B622" i="3"/>
  <c r="D622" i="3" s="1"/>
  <c r="AW621" i="3"/>
  <c r="AT621" i="3"/>
  <c r="AQ621" i="3"/>
  <c r="AN621" i="3"/>
  <c r="AM621" i="3"/>
  <c r="AL621" i="3"/>
  <c r="AK621" i="3"/>
  <c r="AH621" i="3"/>
  <c r="M582" i="3" s="1"/>
  <c r="AE621" i="3"/>
  <c r="AA621" i="3"/>
  <c r="Z621" i="3"/>
  <c r="AB621" i="3" s="1"/>
  <c r="J582" i="3" s="1"/>
  <c r="Y621" i="3"/>
  <c r="V621" i="3"/>
  <c r="R621" i="3"/>
  <c r="Q621" i="3"/>
  <c r="S621" i="3" s="1"/>
  <c r="O621" i="3"/>
  <c r="N621" i="3"/>
  <c r="P621" i="3" s="1"/>
  <c r="M621" i="3"/>
  <c r="L621" i="3"/>
  <c r="K621" i="3"/>
  <c r="J621" i="3"/>
  <c r="G621" i="3"/>
  <c r="C621" i="3"/>
  <c r="B621" i="3"/>
  <c r="D621" i="3" s="1"/>
  <c r="B582" i="3" s="1"/>
  <c r="AW620" i="3"/>
  <c r="AT620" i="3"/>
  <c r="AQ620" i="3"/>
  <c r="AN620" i="3"/>
  <c r="AM620" i="3"/>
  <c r="AL620" i="3"/>
  <c r="AK620" i="3"/>
  <c r="AH620" i="3"/>
  <c r="AE620" i="3"/>
  <c r="AA620" i="3"/>
  <c r="Z620" i="3"/>
  <c r="Y620" i="3"/>
  <c r="V620" i="3"/>
  <c r="H581" i="3" s="1"/>
  <c r="R620" i="3"/>
  <c r="Q620" i="3"/>
  <c r="S620" i="3" s="1"/>
  <c r="O620" i="3"/>
  <c r="N620" i="3"/>
  <c r="P620" i="3" s="1"/>
  <c r="L620" i="3"/>
  <c r="K620" i="3"/>
  <c r="J620" i="3"/>
  <c r="D581" i="3" s="1"/>
  <c r="G620" i="3"/>
  <c r="D620" i="3"/>
  <c r="AW619" i="3"/>
  <c r="AT619" i="3"/>
  <c r="AQ619" i="3"/>
  <c r="AN619" i="3"/>
  <c r="AM619" i="3"/>
  <c r="AL619" i="3"/>
  <c r="AK619" i="3"/>
  <c r="AH619" i="3"/>
  <c r="AE619" i="3"/>
  <c r="AA619" i="3"/>
  <c r="AA655" i="3" s="1"/>
  <c r="Z619" i="3"/>
  <c r="Z655" i="3" s="1"/>
  <c r="AB655" i="3" s="1"/>
  <c r="J638" i="3" s="1"/>
  <c r="Y619" i="3"/>
  <c r="V619" i="3"/>
  <c r="H580" i="3" s="1"/>
  <c r="R619" i="3"/>
  <c r="R655" i="3" s="1"/>
  <c r="Q619" i="3"/>
  <c r="Q655" i="3" s="1"/>
  <c r="S655" i="3" s="1"/>
  <c r="O619" i="3"/>
  <c r="O655" i="3" s="1"/>
  <c r="N619" i="3"/>
  <c r="N655" i="3" s="1"/>
  <c r="P655" i="3" s="1"/>
  <c r="L619" i="3"/>
  <c r="K619" i="3"/>
  <c r="K655" i="3" s="1"/>
  <c r="J619" i="3"/>
  <c r="G619" i="3"/>
  <c r="D619" i="3"/>
  <c r="AW618" i="3"/>
  <c r="AT618" i="3"/>
  <c r="AQ618" i="3"/>
  <c r="AN618" i="3"/>
  <c r="AM618" i="3"/>
  <c r="AL618" i="3"/>
  <c r="AK618" i="3"/>
  <c r="AH618" i="3"/>
  <c r="AE618" i="3"/>
  <c r="AA618" i="3"/>
  <c r="Z618" i="3"/>
  <c r="Y618" i="3"/>
  <c r="V618" i="3"/>
  <c r="R618" i="3"/>
  <c r="R654" i="3" s="1"/>
  <c r="Q618" i="3"/>
  <c r="O618" i="3"/>
  <c r="O654" i="3" s="1"/>
  <c r="N618" i="3"/>
  <c r="L618" i="3"/>
  <c r="K618" i="3"/>
  <c r="K654" i="3" s="1"/>
  <c r="J618" i="3"/>
  <c r="G618" i="3"/>
  <c r="D618" i="3"/>
  <c r="AW617" i="3"/>
  <c r="AT617" i="3"/>
  <c r="AS617" i="3"/>
  <c r="AR617" i="3"/>
  <c r="AP617" i="3"/>
  <c r="AQ617" i="3" s="1"/>
  <c r="R578" i="3" s="1"/>
  <c r="AO617" i="3"/>
  <c r="AN617" i="3"/>
  <c r="AM617" i="3"/>
  <c r="AL617" i="3"/>
  <c r="AJ617" i="3"/>
  <c r="AI617" i="3"/>
  <c r="AK617" i="3" s="1"/>
  <c r="AG617" i="3"/>
  <c r="AF617" i="3"/>
  <c r="AH617" i="3" s="1"/>
  <c r="M578" i="3" s="1"/>
  <c r="AD617" i="3"/>
  <c r="AE617" i="3" s="1"/>
  <c r="L578" i="3" s="1"/>
  <c r="AC617" i="3"/>
  <c r="X617" i="3"/>
  <c r="W617" i="3"/>
  <c r="Y617" i="3" s="1"/>
  <c r="I578" i="3" s="1"/>
  <c r="V617" i="3"/>
  <c r="U617" i="3"/>
  <c r="T617" i="3"/>
  <c r="R617" i="3"/>
  <c r="S617" i="3" s="1"/>
  <c r="Q617" i="3"/>
  <c r="O617" i="3"/>
  <c r="N617" i="3"/>
  <c r="P617" i="3" s="1"/>
  <c r="M617" i="3"/>
  <c r="L617" i="3"/>
  <c r="K617" i="3"/>
  <c r="I617" i="3"/>
  <c r="H617" i="3"/>
  <c r="J617" i="3" s="1"/>
  <c r="D578" i="3" s="1"/>
  <c r="G617" i="3"/>
  <c r="F617" i="3"/>
  <c r="E617" i="3"/>
  <c r="C617" i="3"/>
  <c r="B617" i="3"/>
  <c r="AW616" i="3"/>
  <c r="AS616" i="3"/>
  <c r="AR616" i="3"/>
  <c r="AT616" i="3" s="1"/>
  <c r="S577" i="3" s="1"/>
  <c r="AP616" i="3"/>
  <c r="AO616" i="3"/>
  <c r="AQ616" i="3" s="1"/>
  <c r="AN616" i="3"/>
  <c r="AM616" i="3"/>
  <c r="AL616" i="3"/>
  <c r="AJ616" i="3"/>
  <c r="AI616" i="3"/>
  <c r="AK616" i="3" s="1"/>
  <c r="N577" i="3" s="1"/>
  <c r="AG616" i="3"/>
  <c r="AF616" i="3"/>
  <c r="AH616" i="3" s="1"/>
  <c r="M577" i="3" s="1"/>
  <c r="AD616" i="3"/>
  <c r="AC616" i="3"/>
  <c r="AE616" i="3" s="1"/>
  <c r="Y616" i="3"/>
  <c r="X616" i="3"/>
  <c r="W616" i="3"/>
  <c r="V616" i="3"/>
  <c r="H577" i="3" s="1"/>
  <c r="U616" i="3"/>
  <c r="T616" i="3"/>
  <c r="R616" i="3"/>
  <c r="Q616" i="3"/>
  <c r="S616" i="3" s="1"/>
  <c r="O616" i="3"/>
  <c r="N616" i="3"/>
  <c r="P616" i="3" s="1"/>
  <c r="L616" i="3"/>
  <c r="K616" i="3"/>
  <c r="M616" i="3" s="1"/>
  <c r="I616" i="3"/>
  <c r="H616" i="3"/>
  <c r="J616" i="3" s="1"/>
  <c r="D577" i="3" s="1"/>
  <c r="F616" i="3"/>
  <c r="E616" i="3"/>
  <c r="D616" i="3"/>
  <c r="C616" i="3"/>
  <c r="B616" i="3"/>
  <c r="AW615" i="3"/>
  <c r="AS615" i="3"/>
  <c r="AR615" i="3"/>
  <c r="AT615" i="3" s="1"/>
  <c r="AP615" i="3"/>
  <c r="AQ615" i="3" s="1"/>
  <c r="R576" i="3" s="1"/>
  <c r="AO615" i="3"/>
  <c r="AN615" i="3"/>
  <c r="AM615" i="3"/>
  <c r="AL615" i="3"/>
  <c r="AJ615" i="3"/>
  <c r="AI615" i="3"/>
  <c r="AG615" i="3"/>
  <c r="AH615" i="3" s="1"/>
  <c r="M576" i="3" s="1"/>
  <c r="AF615" i="3"/>
  <c r="AD615" i="3"/>
  <c r="AE615" i="3" s="1"/>
  <c r="L576" i="3" s="1"/>
  <c r="AC615" i="3"/>
  <c r="Y615" i="3"/>
  <c r="I576" i="3" s="1"/>
  <c r="X615" i="3"/>
  <c r="W615" i="3"/>
  <c r="U615" i="3"/>
  <c r="T615" i="3"/>
  <c r="V615" i="3" s="1"/>
  <c r="H576" i="3" s="1"/>
  <c r="R615" i="3"/>
  <c r="Q615" i="3"/>
  <c r="S615" i="3" s="1"/>
  <c r="O615" i="3"/>
  <c r="N615" i="3"/>
  <c r="P615" i="3" s="1"/>
  <c r="L615" i="3"/>
  <c r="K615" i="3"/>
  <c r="M615" i="3" s="1"/>
  <c r="J615" i="3"/>
  <c r="D576" i="3" s="1"/>
  <c r="I615" i="3"/>
  <c r="H615" i="3"/>
  <c r="G615" i="3"/>
  <c r="F615" i="3"/>
  <c r="E615" i="3"/>
  <c r="C615" i="3"/>
  <c r="B615" i="3"/>
  <c r="D615" i="3" s="1"/>
  <c r="B576" i="3" s="1"/>
  <c r="AW614" i="3"/>
  <c r="AS614" i="3"/>
  <c r="AR614" i="3"/>
  <c r="AT614" i="3" s="1"/>
  <c r="S575" i="3" s="1"/>
  <c r="AP614" i="3"/>
  <c r="AO614" i="3"/>
  <c r="AQ614" i="3" s="1"/>
  <c r="AN614" i="3"/>
  <c r="AM614" i="3"/>
  <c r="AL614" i="3"/>
  <c r="AK614" i="3"/>
  <c r="AJ614" i="3"/>
  <c r="AI614" i="3"/>
  <c r="AG614" i="3"/>
  <c r="AF614" i="3"/>
  <c r="AH614" i="3" s="1"/>
  <c r="M575" i="3" s="1"/>
  <c r="AD614" i="3"/>
  <c r="AC614" i="3"/>
  <c r="AE614" i="3" s="1"/>
  <c r="L575" i="3" s="1"/>
  <c r="Z614" i="3"/>
  <c r="X614" i="3"/>
  <c r="W614" i="3"/>
  <c r="Y614" i="3" s="1"/>
  <c r="I575" i="3" s="1"/>
  <c r="U614" i="3"/>
  <c r="T614" i="3"/>
  <c r="V614" i="3" s="1"/>
  <c r="H575" i="3" s="1"/>
  <c r="R614" i="3"/>
  <c r="Q614" i="3"/>
  <c r="P614" i="3"/>
  <c r="O614" i="3"/>
  <c r="N614" i="3"/>
  <c r="L614" i="3"/>
  <c r="M614" i="3" s="1"/>
  <c r="K614" i="3"/>
  <c r="I614" i="3"/>
  <c r="H614" i="3"/>
  <c r="J614" i="3" s="1"/>
  <c r="D575" i="3" s="1"/>
  <c r="F614" i="3"/>
  <c r="E614" i="3"/>
  <c r="G614" i="3" s="1"/>
  <c r="C575" i="3" s="1"/>
  <c r="C614" i="3"/>
  <c r="B614" i="3"/>
  <c r="D614" i="3" s="1"/>
  <c r="AW613" i="3"/>
  <c r="AT613" i="3"/>
  <c r="AS613" i="3"/>
  <c r="AR613" i="3"/>
  <c r="AP613" i="3"/>
  <c r="AQ613" i="3" s="1"/>
  <c r="R574" i="3" s="1"/>
  <c r="AO613" i="3"/>
  <c r="AN613" i="3"/>
  <c r="AM613" i="3"/>
  <c r="AL613" i="3"/>
  <c r="AJ613" i="3"/>
  <c r="AI613" i="3"/>
  <c r="AK613" i="3" s="1"/>
  <c r="AG613" i="3"/>
  <c r="AF613" i="3"/>
  <c r="AH613" i="3" s="1"/>
  <c r="M574" i="3" s="1"/>
  <c r="AD613" i="3"/>
  <c r="AE613" i="3" s="1"/>
  <c r="L574" i="3" s="1"/>
  <c r="AC613" i="3"/>
  <c r="X613" i="3"/>
  <c r="W613" i="3"/>
  <c r="Y613" i="3" s="1"/>
  <c r="I574" i="3" s="1"/>
  <c r="V613" i="3"/>
  <c r="U613" i="3"/>
  <c r="T613" i="3"/>
  <c r="R613" i="3"/>
  <c r="S613" i="3" s="1"/>
  <c r="Q613" i="3"/>
  <c r="O613" i="3"/>
  <c r="N613" i="3"/>
  <c r="P613" i="3" s="1"/>
  <c r="M613" i="3"/>
  <c r="L613" i="3"/>
  <c r="K613" i="3"/>
  <c r="I613" i="3"/>
  <c r="H613" i="3"/>
  <c r="J613" i="3" s="1"/>
  <c r="D574" i="3" s="1"/>
  <c r="G613" i="3"/>
  <c r="F613" i="3"/>
  <c r="E613" i="3"/>
  <c r="C613" i="3"/>
  <c r="B613" i="3"/>
  <c r="AW612" i="3"/>
  <c r="AS612" i="3"/>
  <c r="AR612" i="3"/>
  <c r="AT612" i="3" s="1"/>
  <c r="S573" i="3" s="1"/>
  <c r="AP612" i="3"/>
  <c r="AO612" i="3"/>
  <c r="AQ612" i="3" s="1"/>
  <c r="AN612" i="3"/>
  <c r="AM612" i="3"/>
  <c r="AL612" i="3"/>
  <c r="AJ612" i="3"/>
  <c r="AI612" i="3"/>
  <c r="AK612" i="3" s="1"/>
  <c r="N573" i="3" s="1"/>
  <c r="AG612" i="3"/>
  <c r="AF612" i="3"/>
  <c r="AH612" i="3" s="1"/>
  <c r="M573" i="3" s="1"/>
  <c r="AD612" i="3"/>
  <c r="AC612" i="3"/>
  <c r="AE612" i="3" s="1"/>
  <c r="AA612" i="3"/>
  <c r="Y612" i="3"/>
  <c r="I573" i="3" s="1"/>
  <c r="X612" i="3"/>
  <c r="W612" i="3"/>
  <c r="V612" i="3"/>
  <c r="H573" i="3" s="1"/>
  <c r="U612" i="3"/>
  <c r="T612" i="3"/>
  <c r="R612" i="3"/>
  <c r="Q612" i="3"/>
  <c r="S612" i="3" s="1"/>
  <c r="O612" i="3"/>
  <c r="N612" i="3"/>
  <c r="P612" i="3" s="1"/>
  <c r="L612" i="3"/>
  <c r="K612" i="3"/>
  <c r="M612" i="3" s="1"/>
  <c r="I612" i="3"/>
  <c r="H612" i="3"/>
  <c r="J612" i="3" s="1"/>
  <c r="D573" i="3" s="1"/>
  <c r="F612" i="3"/>
  <c r="E612" i="3"/>
  <c r="D612" i="3"/>
  <c r="C612" i="3"/>
  <c r="B612" i="3"/>
  <c r="AW611" i="3"/>
  <c r="AS611" i="3"/>
  <c r="AR611" i="3"/>
  <c r="AT611" i="3" s="1"/>
  <c r="AP611" i="3"/>
  <c r="AQ611" i="3" s="1"/>
  <c r="R572" i="3" s="1"/>
  <c r="AO611" i="3"/>
  <c r="AN611" i="3"/>
  <c r="AM611" i="3"/>
  <c r="AL611" i="3"/>
  <c r="AJ611" i="3"/>
  <c r="AI611" i="3"/>
  <c r="AG611" i="3"/>
  <c r="AH611" i="3" s="1"/>
  <c r="M572" i="3" s="1"/>
  <c r="AF611" i="3"/>
  <c r="AD611" i="3"/>
  <c r="AE611" i="3" s="1"/>
  <c r="L572" i="3" s="1"/>
  <c r="AC611" i="3"/>
  <c r="AA611" i="3"/>
  <c r="Y611" i="3"/>
  <c r="I572" i="3" s="1"/>
  <c r="X611" i="3"/>
  <c r="W611" i="3"/>
  <c r="U611" i="3"/>
  <c r="T611" i="3"/>
  <c r="V611" i="3" s="1"/>
  <c r="H572" i="3" s="1"/>
  <c r="R611" i="3"/>
  <c r="Q611" i="3"/>
  <c r="S611" i="3" s="1"/>
  <c r="O611" i="3"/>
  <c r="N611" i="3"/>
  <c r="P611" i="3" s="1"/>
  <c r="L611" i="3"/>
  <c r="K611" i="3"/>
  <c r="M611" i="3" s="1"/>
  <c r="J611" i="3"/>
  <c r="D572" i="3" s="1"/>
  <c r="I611" i="3"/>
  <c r="H611" i="3"/>
  <c r="G611" i="3"/>
  <c r="F611" i="3"/>
  <c r="E611" i="3"/>
  <c r="C611" i="3"/>
  <c r="B611" i="3"/>
  <c r="D611" i="3" s="1"/>
  <c r="B572" i="3" s="1"/>
  <c r="AW610" i="3"/>
  <c r="AT610" i="3"/>
  <c r="AQ610" i="3"/>
  <c r="AN610" i="3"/>
  <c r="AM610" i="3"/>
  <c r="AL610" i="3"/>
  <c r="AK610" i="3"/>
  <c r="AH610" i="3"/>
  <c r="M571" i="3" s="1"/>
  <c r="AE610" i="3"/>
  <c r="AA610" i="3"/>
  <c r="Z610" i="3"/>
  <c r="Y610" i="3"/>
  <c r="V610" i="3"/>
  <c r="R610" i="3"/>
  <c r="Q610" i="3"/>
  <c r="S610" i="3" s="1"/>
  <c r="O610" i="3"/>
  <c r="N610" i="3"/>
  <c r="L610" i="3"/>
  <c r="K610" i="3"/>
  <c r="J610" i="3"/>
  <c r="G610" i="3"/>
  <c r="D610" i="3"/>
  <c r="AW609" i="3"/>
  <c r="T570" i="3" s="1"/>
  <c r="AT609" i="3"/>
  <c r="AQ609" i="3"/>
  <c r="AN609" i="3"/>
  <c r="AM609" i="3"/>
  <c r="AL609" i="3"/>
  <c r="AK609" i="3"/>
  <c r="AH609" i="3"/>
  <c r="AE609" i="3"/>
  <c r="L570" i="3" s="1"/>
  <c r="AA609" i="3"/>
  <c r="Z609" i="3"/>
  <c r="Y609" i="3"/>
  <c r="V609" i="3"/>
  <c r="R609" i="3"/>
  <c r="Q609" i="3"/>
  <c r="S609" i="3" s="1"/>
  <c r="O609" i="3"/>
  <c r="N609" i="3"/>
  <c r="P609" i="3" s="1"/>
  <c r="L609" i="3"/>
  <c r="K609" i="3"/>
  <c r="M609" i="3" s="1"/>
  <c r="J609" i="3"/>
  <c r="G609" i="3"/>
  <c r="D609" i="3"/>
  <c r="AW608" i="3"/>
  <c r="AT608" i="3"/>
  <c r="S569" i="3" s="1"/>
  <c r="AQ608" i="3"/>
  <c r="AN608" i="3"/>
  <c r="AM608" i="3"/>
  <c r="AL608" i="3"/>
  <c r="AK608" i="3"/>
  <c r="N569" i="3" s="1"/>
  <c r="AH608" i="3"/>
  <c r="AE608" i="3"/>
  <c r="AB608" i="3"/>
  <c r="AA608" i="3"/>
  <c r="Z608" i="3"/>
  <c r="Z617" i="3" s="1"/>
  <c r="Y608" i="3"/>
  <c r="V608" i="3"/>
  <c r="S608" i="3"/>
  <c r="R608" i="3"/>
  <c r="Q608" i="3"/>
  <c r="P608" i="3"/>
  <c r="O608" i="3"/>
  <c r="N608" i="3"/>
  <c r="L608" i="3"/>
  <c r="K608" i="3"/>
  <c r="M608" i="3" s="1"/>
  <c r="J608" i="3"/>
  <c r="G608" i="3"/>
  <c r="D608" i="3"/>
  <c r="AW607" i="3"/>
  <c r="AT607" i="3"/>
  <c r="AQ607" i="3"/>
  <c r="AN607" i="3"/>
  <c r="AM607" i="3"/>
  <c r="AL607" i="3"/>
  <c r="AK607" i="3"/>
  <c r="AH607" i="3"/>
  <c r="M568" i="3" s="1"/>
  <c r="AE607" i="3"/>
  <c r="AA607" i="3"/>
  <c r="AB607" i="3" s="1"/>
  <c r="J568" i="3" s="1"/>
  <c r="Z607" i="3"/>
  <c r="Y607" i="3"/>
  <c r="I568" i="3" s="1"/>
  <c r="V607" i="3"/>
  <c r="R607" i="3"/>
  <c r="Q607" i="3"/>
  <c r="S607" i="3" s="1"/>
  <c r="O607" i="3"/>
  <c r="P607" i="3" s="1"/>
  <c r="N607" i="3"/>
  <c r="L607" i="3"/>
  <c r="M607" i="3" s="1"/>
  <c r="K607" i="3"/>
  <c r="J607" i="3"/>
  <c r="G607" i="3"/>
  <c r="D607" i="3"/>
  <c r="AW606" i="3"/>
  <c r="AT606" i="3"/>
  <c r="AQ606" i="3"/>
  <c r="AN606" i="3"/>
  <c r="AM606" i="3"/>
  <c r="AL606" i="3"/>
  <c r="AK606" i="3"/>
  <c r="N567" i="3" s="1"/>
  <c r="AH606" i="3"/>
  <c r="AE606" i="3"/>
  <c r="AA606" i="3"/>
  <c r="Z606" i="3"/>
  <c r="AB606" i="3" s="1"/>
  <c r="Y606" i="3"/>
  <c r="V606" i="3"/>
  <c r="R606" i="3"/>
  <c r="S606" i="3" s="1"/>
  <c r="Q606" i="3"/>
  <c r="O606" i="3"/>
  <c r="N606" i="3"/>
  <c r="P606" i="3" s="1"/>
  <c r="L606" i="3"/>
  <c r="K606" i="3"/>
  <c r="M606" i="3" s="1"/>
  <c r="J606" i="3"/>
  <c r="G606" i="3"/>
  <c r="D606" i="3"/>
  <c r="AW605" i="3"/>
  <c r="AT605" i="3"/>
  <c r="AQ605" i="3"/>
  <c r="AN605" i="3"/>
  <c r="AM605" i="3"/>
  <c r="AL605" i="3"/>
  <c r="AK605" i="3"/>
  <c r="AH605" i="3"/>
  <c r="AE605" i="3"/>
  <c r="AA605" i="3"/>
  <c r="Z605" i="3"/>
  <c r="Z651" i="3" s="1"/>
  <c r="Y605" i="3"/>
  <c r="I566" i="3" s="1"/>
  <c r="V605" i="3"/>
  <c r="S605" i="3"/>
  <c r="R605" i="3"/>
  <c r="Q605" i="3"/>
  <c r="O605" i="3"/>
  <c r="N605" i="3"/>
  <c r="P605" i="3" s="1"/>
  <c r="M605" i="3"/>
  <c r="L605" i="3"/>
  <c r="K605" i="3"/>
  <c r="J605" i="3"/>
  <c r="G605" i="3"/>
  <c r="D605" i="3"/>
  <c r="AW604" i="3"/>
  <c r="AT604" i="3"/>
  <c r="AQ604" i="3"/>
  <c r="AN604" i="3"/>
  <c r="AM604" i="3"/>
  <c r="AL604" i="3"/>
  <c r="AK604" i="3"/>
  <c r="AH604" i="3"/>
  <c r="AE604" i="3"/>
  <c r="AA604" i="3"/>
  <c r="Z604" i="3"/>
  <c r="AB604" i="3" s="1"/>
  <c r="Y604" i="3"/>
  <c r="V604" i="3"/>
  <c r="R604" i="3"/>
  <c r="S604" i="3" s="1"/>
  <c r="Q604" i="3"/>
  <c r="O604" i="3"/>
  <c r="N604" i="3"/>
  <c r="P604" i="3" s="1"/>
  <c r="M604" i="3"/>
  <c r="L604" i="3"/>
  <c r="K604" i="3"/>
  <c r="J604" i="3"/>
  <c r="G604" i="3"/>
  <c r="D604" i="3"/>
  <c r="AW603" i="3"/>
  <c r="T564" i="3" s="1"/>
  <c r="AT603" i="3"/>
  <c r="AQ603" i="3"/>
  <c r="AN603" i="3"/>
  <c r="AM603" i="3"/>
  <c r="AL603" i="3"/>
  <c r="AK603" i="3"/>
  <c r="AH603" i="3"/>
  <c r="AE603" i="3"/>
  <c r="L564" i="3" s="1"/>
  <c r="AB603" i="3"/>
  <c r="AA603" i="3"/>
  <c r="AA617" i="3" s="1"/>
  <c r="Z603" i="3"/>
  <c r="Y603" i="3"/>
  <c r="V603" i="3"/>
  <c r="R603" i="3"/>
  <c r="Q603" i="3"/>
  <c r="S603" i="3" s="1"/>
  <c r="P603" i="3"/>
  <c r="O603" i="3"/>
  <c r="N603" i="3"/>
  <c r="M603" i="3"/>
  <c r="L603" i="3"/>
  <c r="K603" i="3"/>
  <c r="J603" i="3"/>
  <c r="G603" i="3"/>
  <c r="D603" i="3"/>
  <c r="B564" i="3" s="1"/>
  <c r="AW602" i="3"/>
  <c r="AT602" i="3"/>
  <c r="AQ602" i="3"/>
  <c r="AN602" i="3"/>
  <c r="AM602" i="3"/>
  <c r="AL602" i="3"/>
  <c r="AK602" i="3"/>
  <c r="AH602" i="3"/>
  <c r="M563" i="3" s="1"/>
  <c r="AE602" i="3"/>
  <c r="AA602" i="3"/>
  <c r="Z602" i="3"/>
  <c r="AB602" i="3" s="1"/>
  <c r="Y602" i="3"/>
  <c r="V602" i="3"/>
  <c r="R602" i="3"/>
  <c r="Q602" i="3"/>
  <c r="S602" i="3" s="1"/>
  <c r="O602" i="3"/>
  <c r="N602" i="3"/>
  <c r="L602" i="3"/>
  <c r="K602" i="3"/>
  <c r="J602" i="3"/>
  <c r="G602" i="3"/>
  <c r="D602" i="3"/>
  <c r="AW601" i="3"/>
  <c r="T562" i="3" s="1"/>
  <c r="AT601" i="3"/>
  <c r="AQ601" i="3"/>
  <c r="AN601" i="3"/>
  <c r="AM601" i="3"/>
  <c r="AL601" i="3"/>
  <c r="AK601" i="3"/>
  <c r="AH601" i="3"/>
  <c r="AE601" i="3"/>
  <c r="L562" i="3" s="1"/>
  <c r="AA601" i="3"/>
  <c r="Z601" i="3"/>
  <c r="Y601" i="3"/>
  <c r="V601" i="3"/>
  <c r="R601" i="3"/>
  <c r="Q601" i="3"/>
  <c r="S601" i="3" s="1"/>
  <c r="O601" i="3"/>
  <c r="N601" i="3"/>
  <c r="P601" i="3" s="1"/>
  <c r="L601" i="3"/>
  <c r="K601" i="3"/>
  <c r="M601" i="3" s="1"/>
  <c r="J601" i="3"/>
  <c r="G601" i="3"/>
  <c r="D601" i="3"/>
  <c r="AW600" i="3"/>
  <c r="AT600" i="3"/>
  <c r="S561" i="3" s="1"/>
  <c r="AQ600" i="3"/>
  <c r="AN600" i="3"/>
  <c r="AM600" i="3"/>
  <c r="AL600" i="3"/>
  <c r="AK600" i="3"/>
  <c r="N561" i="3" s="1"/>
  <c r="AH600" i="3"/>
  <c r="AE600" i="3"/>
  <c r="AB600" i="3"/>
  <c r="AA600" i="3"/>
  <c r="Z600" i="3"/>
  <c r="Z613" i="3" s="1"/>
  <c r="Y600" i="3"/>
  <c r="V600" i="3"/>
  <c r="S600" i="3"/>
  <c r="R600" i="3"/>
  <c r="Q600" i="3"/>
  <c r="P600" i="3"/>
  <c r="O600" i="3"/>
  <c r="N600" i="3"/>
  <c r="L600" i="3"/>
  <c r="K600" i="3"/>
  <c r="M600" i="3" s="1"/>
  <c r="J600" i="3"/>
  <c r="G600" i="3"/>
  <c r="D600" i="3"/>
  <c r="AW599" i="3"/>
  <c r="AT599" i="3"/>
  <c r="AQ599" i="3"/>
  <c r="AN599" i="3"/>
  <c r="AM599" i="3"/>
  <c r="AL599" i="3"/>
  <c r="AK599" i="3"/>
  <c r="AH599" i="3"/>
  <c r="M560" i="3" s="1"/>
  <c r="AE599" i="3"/>
  <c r="AB599" i="3"/>
  <c r="AA599" i="3"/>
  <c r="AA613" i="3" s="1"/>
  <c r="Z599" i="3"/>
  <c r="Y599" i="3"/>
  <c r="I560" i="3" s="1"/>
  <c r="V599" i="3"/>
  <c r="R599" i="3"/>
  <c r="S599" i="3" s="1"/>
  <c r="Q599" i="3"/>
  <c r="P599" i="3"/>
  <c r="O599" i="3"/>
  <c r="N599" i="3"/>
  <c r="M599" i="3"/>
  <c r="L599" i="3"/>
  <c r="K599" i="3"/>
  <c r="J599" i="3"/>
  <c r="D560" i="3" s="1"/>
  <c r="G599" i="3"/>
  <c r="D599" i="3"/>
  <c r="AW598" i="3"/>
  <c r="AT598" i="3"/>
  <c r="AQ598" i="3"/>
  <c r="AN598" i="3"/>
  <c r="AM598" i="3"/>
  <c r="AL598" i="3"/>
  <c r="AK598" i="3"/>
  <c r="AH598" i="3"/>
  <c r="AE598" i="3"/>
  <c r="AA598" i="3"/>
  <c r="Z598" i="3"/>
  <c r="AB598" i="3" s="1"/>
  <c r="Y598" i="3"/>
  <c r="V598" i="3"/>
  <c r="S598" i="3"/>
  <c r="R598" i="3"/>
  <c r="Q598" i="3"/>
  <c r="O598" i="3"/>
  <c r="N598" i="3"/>
  <c r="P598" i="3" s="1"/>
  <c r="L598" i="3"/>
  <c r="K598" i="3"/>
  <c r="M598" i="3" s="1"/>
  <c r="J598" i="3"/>
  <c r="G598" i="3"/>
  <c r="D598" i="3"/>
  <c r="AW597" i="3"/>
  <c r="AT597" i="3"/>
  <c r="AQ597" i="3"/>
  <c r="R558" i="3" s="1"/>
  <c r="AN597" i="3"/>
  <c r="AM597" i="3"/>
  <c r="AL597" i="3"/>
  <c r="AK597" i="3"/>
  <c r="AH597" i="3"/>
  <c r="AE597" i="3"/>
  <c r="AB597" i="3"/>
  <c r="J558" i="3" s="1"/>
  <c r="AA597" i="3"/>
  <c r="Z597" i="3"/>
  <c r="Y597" i="3"/>
  <c r="I558" i="3" s="1"/>
  <c r="V597" i="3"/>
  <c r="R597" i="3"/>
  <c r="Q597" i="3"/>
  <c r="S597" i="3" s="1"/>
  <c r="P597" i="3"/>
  <c r="O597" i="3"/>
  <c r="N597" i="3"/>
  <c r="M597" i="3"/>
  <c r="L597" i="3"/>
  <c r="K597" i="3"/>
  <c r="J597" i="3"/>
  <c r="G597" i="3"/>
  <c r="D597" i="3"/>
  <c r="B558" i="3" s="1"/>
  <c r="AW596" i="3"/>
  <c r="AT596" i="3"/>
  <c r="AQ596" i="3"/>
  <c r="AN596" i="3"/>
  <c r="AM596" i="3"/>
  <c r="AL596" i="3"/>
  <c r="AK596" i="3"/>
  <c r="AH596" i="3"/>
  <c r="M557" i="3" s="1"/>
  <c r="AE596" i="3"/>
  <c r="AA596" i="3"/>
  <c r="Z596" i="3"/>
  <c r="Y596" i="3"/>
  <c r="V596" i="3"/>
  <c r="R596" i="3"/>
  <c r="Q596" i="3"/>
  <c r="O596" i="3"/>
  <c r="P596" i="3" s="1"/>
  <c r="N596" i="3"/>
  <c r="L596" i="3"/>
  <c r="K596" i="3"/>
  <c r="M596" i="3" s="1"/>
  <c r="J596" i="3"/>
  <c r="D557" i="3" s="1"/>
  <c r="G596" i="3"/>
  <c r="D596" i="3"/>
  <c r="AW595" i="3"/>
  <c r="T556" i="3" s="1"/>
  <c r="AT595" i="3"/>
  <c r="AQ595" i="3"/>
  <c r="AN595" i="3"/>
  <c r="AM595" i="3"/>
  <c r="AL595" i="3"/>
  <c r="AK595" i="3"/>
  <c r="AH595" i="3"/>
  <c r="AE595" i="3"/>
  <c r="L556" i="3" s="1"/>
  <c r="AA595" i="3"/>
  <c r="AA656" i="3" s="1"/>
  <c r="Z595" i="3"/>
  <c r="Y595" i="3"/>
  <c r="V595" i="3"/>
  <c r="H556" i="3" s="1"/>
  <c r="R595" i="3"/>
  <c r="Q595" i="3"/>
  <c r="S595" i="3" s="1"/>
  <c r="O595" i="3"/>
  <c r="N595" i="3"/>
  <c r="P595" i="3" s="1"/>
  <c r="L595" i="3"/>
  <c r="K595" i="3"/>
  <c r="J595" i="3"/>
  <c r="G595" i="3"/>
  <c r="D595" i="3"/>
  <c r="AW594" i="3"/>
  <c r="AT594" i="3"/>
  <c r="AQ594" i="3"/>
  <c r="AN594" i="3"/>
  <c r="AM594" i="3"/>
  <c r="AL594" i="3"/>
  <c r="AK594" i="3"/>
  <c r="N555" i="3" s="1"/>
  <c r="AH594" i="3"/>
  <c r="AE594" i="3"/>
  <c r="AA594" i="3"/>
  <c r="Z594" i="3"/>
  <c r="AB594" i="3" s="1"/>
  <c r="Y594" i="3"/>
  <c r="V594" i="3"/>
  <c r="S594" i="3"/>
  <c r="R594" i="3"/>
  <c r="Q594" i="3"/>
  <c r="O594" i="3"/>
  <c r="N594" i="3"/>
  <c r="P594" i="3" s="1"/>
  <c r="L594" i="3"/>
  <c r="K594" i="3"/>
  <c r="M594" i="3" s="1"/>
  <c r="J594" i="3"/>
  <c r="G594" i="3"/>
  <c r="D594" i="3"/>
  <c r="AW593" i="3"/>
  <c r="AT593" i="3"/>
  <c r="AQ593" i="3"/>
  <c r="R554" i="3" s="1"/>
  <c r="AN593" i="3"/>
  <c r="AM593" i="3"/>
  <c r="AL593" i="3"/>
  <c r="AK593" i="3"/>
  <c r="AH593" i="3"/>
  <c r="AE593" i="3"/>
  <c r="AB593" i="3"/>
  <c r="J554" i="3" s="1"/>
  <c r="AA593" i="3"/>
  <c r="AA650" i="3" s="1"/>
  <c r="Z593" i="3"/>
  <c r="Z650" i="3" s="1"/>
  <c r="Y593" i="3"/>
  <c r="I554" i="3" s="1"/>
  <c r="V593" i="3"/>
  <c r="R593" i="3"/>
  <c r="Q593" i="3"/>
  <c r="S593" i="3" s="1"/>
  <c r="P593" i="3"/>
  <c r="O593" i="3"/>
  <c r="N593" i="3"/>
  <c r="M593" i="3"/>
  <c r="L593" i="3"/>
  <c r="K593" i="3"/>
  <c r="J593" i="3"/>
  <c r="G593" i="3"/>
  <c r="D593" i="3"/>
  <c r="B554" i="3" s="1"/>
  <c r="AW592" i="3"/>
  <c r="AT592" i="3"/>
  <c r="AQ592" i="3"/>
  <c r="AN592" i="3"/>
  <c r="AM592" i="3"/>
  <c r="AL592" i="3"/>
  <c r="AK592" i="3"/>
  <c r="AH592" i="3"/>
  <c r="M553" i="3" s="1"/>
  <c r="AE592" i="3"/>
  <c r="AA592" i="3"/>
  <c r="Z592" i="3"/>
  <c r="Y592" i="3"/>
  <c r="V592" i="3"/>
  <c r="R592" i="3"/>
  <c r="Q592" i="3"/>
  <c r="O592" i="3"/>
  <c r="P592" i="3" s="1"/>
  <c r="N592" i="3"/>
  <c r="L592" i="3"/>
  <c r="K592" i="3"/>
  <c r="M592" i="3" s="1"/>
  <c r="J592" i="3"/>
  <c r="D553" i="3" s="1"/>
  <c r="G592" i="3"/>
  <c r="D592" i="3"/>
  <c r="AW591" i="3"/>
  <c r="T552" i="3" s="1"/>
  <c r="AT591" i="3"/>
  <c r="AQ591" i="3"/>
  <c r="AN591" i="3"/>
  <c r="AM591" i="3"/>
  <c r="AL591" i="3"/>
  <c r="AK591" i="3"/>
  <c r="AH591" i="3"/>
  <c r="AE591" i="3"/>
  <c r="L552" i="3" s="1"/>
  <c r="AA591" i="3"/>
  <c r="Z591" i="3"/>
  <c r="Y591" i="3"/>
  <c r="V591" i="3"/>
  <c r="H552" i="3" s="1"/>
  <c r="R591" i="3"/>
  <c r="Q591" i="3"/>
  <c r="S591" i="3" s="1"/>
  <c r="O591" i="3"/>
  <c r="N591" i="3"/>
  <c r="P591" i="3" s="1"/>
  <c r="L591" i="3"/>
  <c r="K591" i="3"/>
  <c r="J591" i="3"/>
  <c r="G591" i="3"/>
  <c r="D591" i="3"/>
  <c r="AW590" i="3"/>
  <c r="AT590" i="3"/>
  <c r="AQ590" i="3"/>
  <c r="AN590" i="3"/>
  <c r="AM590" i="3"/>
  <c r="AL590" i="3"/>
  <c r="AK590" i="3"/>
  <c r="N551" i="3" s="1"/>
  <c r="AH590" i="3"/>
  <c r="AE590" i="3"/>
  <c r="AB590" i="3"/>
  <c r="Y590" i="3"/>
  <c r="V590" i="3"/>
  <c r="H551" i="3" s="1"/>
  <c r="R590" i="3"/>
  <c r="Q590" i="3"/>
  <c r="S590" i="3" s="1"/>
  <c r="O590" i="3"/>
  <c r="N590" i="3"/>
  <c r="P590" i="3" s="1"/>
  <c r="L590" i="3"/>
  <c r="K590" i="3"/>
  <c r="M590" i="3" s="1"/>
  <c r="J590" i="3"/>
  <c r="G590" i="3"/>
  <c r="C551" i="3" s="1"/>
  <c r="K551" i="3" s="1"/>
  <c r="D590" i="3"/>
  <c r="T583" i="3"/>
  <c r="U583" i="3" s="1"/>
  <c r="S583" i="3"/>
  <c r="R583" i="3"/>
  <c r="Q583" i="3"/>
  <c r="P583" i="3"/>
  <c r="O583" i="3"/>
  <c r="N583" i="3"/>
  <c r="L583" i="3"/>
  <c r="J583" i="3"/>
  <c r="I583" i="3"/>
  <c r="G583" i="3"/>
  <c r="F583" i="3"/>
  <c r="E583" i="3"/>
  <c r="C583" i="3"/>
  <c r="B583" i="3"/>
  <c r="T582" i="3"/>
  <c r="S582" i="3"/>
  <c r="R582" i="3"/>
  <c r="Q582" i="3"/>
  <c r="P582" i="3"/>
  <c r="O582" i="3"/>
  <c r="N582" i="3"/>
  <c r="U582" i="3" s="1"/>
  <c r="L582" i="3"/>
  <c r="I582" i="3"/>
  <c r="H582" i="3"/>
  <c r="G582" i="3"/>
  <c r="F582" i="3"/>
  <c r="E582" i="3"/>
  <c r="D582" i="3"/>
  <c r="C582" i="3"/>
  <c r="K582" i="3" s="1"/>
  <c r="T581" i="3"/>
  <c r="U581" i="3" s="1"/>
  <c r="S581" i="3"/>
  <c r="R581" i="3"/>
  <c r="Q581" i="3"/>
  <c r="P581" i="3"/>
  <c r="O581" i="3"/>
  <c r="N581" i="3"/>
  <c r="M581" i="3"/>
  <c r="L581" i="3"/>
  <c r="I581" i="3"/>
  <c r="G581" i="3"/>
  <c r="F581" i="3"/>
  <c r="E581" i="3"/>
  <c r="C581" i="3"/>
  <c r="B581" i="3"/>
  <c r="T580" i="3"/>
  <c r="S580" i="3"/>
  <c r="R580" i="3"/>
  <c r="Q580" i="3"/>
  <c r="P580" i="3"/>
  <c r="O580" i="3"/>
  <c r="N580" i="3"/>
  <c r="U580" i="3" s="1"/>
  <c r="M580" i="3"/>
  <c r="L580" i="3"/>
  <c r="I580" i="3"/>
  <c r="G580" i="3"/>
  <c r="F580" i="3"/>
  <c r="E580" i="3"/>
  <c r="D580" i="3"/>
  <c r="C580" i="3"/>
  <c r="B580" i="3"/>
  <c r="T579" i="3"/>
  <c r="U579" i="3" s="1"/>
  <c r="S579" i="3"/>
  <c r="R579" i="3"/>
  <c r="Q579" i="3"/>
  <c r="P579" i="3"/>
  <c r="O579" i="3"/>
  <c r="N579" i="3"/>
  <c r="M579" i="3"/>
  <c r="L579" i="3"/>
  <c r="I579" i="3"/>
  <c r="H579" i="3"/>
  <c r="G579" i="3"/>
  <c r="F579" i="3"/>
  <c r="E579" i="3"/>
  <c r="D579" i="3"/>
  <c r="C579" i="3"/>
  <c r="B579" i="3"/>
  <c r="T578" i="3"/>
  <c r="S578" i="3"/>
  <c r="Q578" i="3"/>
  <c r="P578" i="3"/>
  <c r="O578" i="3"/>
  <c r="N578" i="3"/>
  <c r="U578" i="3" s="1"/>
  <c r="H578" i="3"/>
  <c r="G578" i="3"/>
  <c r="F578" i="3"/>
  <c r="E578" i="3"/>
  <c r="C578" i="3"/>
  <c r="T577" i="3"/>
  <c r="U577" i="3" s="1"/>
  <c r="R577" i="3"/>
  <c r="Q577" i="3"/>
  <c r="P577" i="3"/>
  <c r="O577" i="3"/>
  <c r="L577" i="3"/>
  <c r="I577" i="3"/>
  <c r="G577" i="3"/>
  <c r="F577" i="3"/>
  <c r="E577" i="3"/>
  <c r="B577" i="3"/>
  <c r="T576" i="3"/>
  <c r="S576" i="3"/>
  <c r="Q576" i="3"/>
  <c r="P576" i="3"/>
  <c r="O576" i="3"/>
  <c r="G576" i="3"/>
  <c r="F576" i="3"/>
  <c r="E576" i="3"/>
  <c r="C576" i="3"/>
  <c r="T575" i="3"/>
  <c r="R575" i="3"/>
  <c r="Q575" i="3"/>
  <c r="U575" i="3" s="1"/>
  <c r="P575" i="3"/>
  <c r="O575" i="3"/>
  <c r="N575" i="3"/>
  <c r="G575" i="3"/>
  <c r="F575" i="3"/>
  <c r="E575" i="3"/>
  <c r="B575" i="3"/>
  <c r="T574" i="3"/>
  <c r="S574" i="3"/>
  <c r="Q574" i="3"/>
  <c r="P574" i="3"/>
  <c r="O574" i="3"/>
  <c r="N574" i="3"/>
  <c r="U574" i="3" s="1"/>
  <c r="H574" i="3"/>
  <c r="G574" i="3"/>
  <c r="F574" i="3"/>
  <c r="E574" i="3"/>
  <c r="C574" i="3"/>
  <c r="T573" i="3"/>
  <c r="R573" i="3"/>
  <c r="Q573" i="3"/>
  <c r="U573" i="3" s="1"/>
  <c r="P573" i="3"/>
  <c r="O573" i="3"/>
  <c r="L573" i="3"/>
  <c r="G573" i="3"/>
  <c r="F573" i="3"/>
  <c r="E573" i="3"/>
  <c r="B573" i="3"/>
  <c r="T572" i="3"/>
  <c r="S572" i="3"/>
  <c r="Q572" i="3"/>
  <c r="P572" i="3"/>
  <c r="O572" i="3"/>
  <c r="G572" i="3"/>
  <c r="F572" i="3"/>
  <c r="E572" i="3"/>
  <c r="C572" i="3"/>
  <c r="T571" i="3"/>
  <c r="S571" i="3"/>
  <c r="R571" i="3"/>
  <c r="Q571" i="3"/>
  <c r="U571" i="3" s="1"/>
  <c r="P571" i="3"/>
  <c r="O571" i="3"/>
  <c r="N571" i="3"/>
  <c r="L571" i="3"/>
  <c r="I571" i="3"/>
  <c r="H571" i="3"/>
  <c r="G571" i="3"/>
  <c r="F571" i="3"/>
  <c r="E571" i="3"/>
  <c r="D571" i="3"/>
  <c r="C571" i="3"/>
  <c r="B571" i="3"/>
  <c r="S570" i="3"/>
  <c r="R570" i="3"/>
  <c r="Q570" i="3"/>
  <c r="P570" i="3"/>
  <c r="O570" i="3"/>
  <c r="N570" i="3"/>
  <c r="M570" i="3"/>
  <c r="I570" i="3"/>
  <c r="H570" i="3"/>
  <c r="G570" i="3"/>
  <c r="F570" i="3"/>
  <c r="E570" i="3"/>
  <c r="D570" i="3"/>
  <c r="C570" i="3"/>
  <c r="B570" i="3"/>
  <c r="T569" i="3"/>
  <c r="R569" i="3"/>
  <c r="Q569" i="3"/>
  <c r="U569" i="3" s="1"/>
  <c r="P569" i="3"/>
  <c r="O569" i="3"/>
  <c r="M569" i="3"/>
  <c r="L569" i="3"/>
  <c r="J569" i="3"/>
  <c r="I569" i="3"/>
  <c r="H569" i="3"/>
  <c r="G569" i="3"/>
  <c r="F569" i="3"/>
  <c r="E569" i="3"/>
  <c r="D569" i="3"/>
  <c r="C569" i="3"/>
  <c r="B569" i="3"/>
  <c r="T568" i="3"/>
  <c r="S568" i="3"/>
  <c r="R568" i="3"/>
  <c r="Q568" i="3"/>
  <c r="P568" i="3"/>
  <c r="O568" i="3"/>
  <c r="N568" i="3"/>
  <c r="L568" i="3"/>
  <c r="H568" i="3"/>
  <c r="G568" i="3"/>
  <c r="F568" i="3"/>
  <c r="E568" i="3"/>
  <c r="D568" i="3"/>
  <c r="C568" i="3"/>
  <c r="K568" i="3" s="1"/>
  <c r="B568" i="3"/>
  <c r="T567" i="3"/>
  <c r="S567" i="3"/>
  <c r="R567" i="3"/>
  <c r="Q567" i="3"/>
  <c r="U567" i="3" s="1"/>
  <c r="P567" i="3"/>
  <c r="O567" i="3"/>
  <c r="M567" i="3"/>
  <c r="L567" i="3"/>
  <c r="J567" i="3"/>
  <c r="I567" i="3"/>
  <c r="H567" i="3"/>
  <c r="G567" i="3"/>
  <c r="F567" i="3"/>
  <c r="E567" i="3"/>
  <c r="D567" i="3"/>
  <c r="C567" i="3"/>
  <c r="B567" i="3"/>
  <c r="T566" i="3"/>
  <c r="S566" i="3"/>
  <c r="R566" i="3"/>
  <c r="Q566" i="3"/>
  <c r="P566" i="3"/>
  <c r="O566" i="3"/>
  <c r="N566" i="3"/>
  <c r="U566" i="3" s="1"/>
  <c r="M566" i="3"/>
  <c r="L566" i="3"/>
  <c r="H566" i="3"/>
  <c r="G566" i="3"/>
  <c r="F566" i="3"/>
  <c r="E566" i="3"/>
  <c r="D566" i="3"/>
  <c r="C566" i="3"/>
  <c r="B566" i="3"/>
  <c r="T565" i="3"/>
  <c r="U565" i="3" s="1"/>
  <c r="S565" i="3"/>
  <c r="R565" i="3"/>
  <c r="Q565" i="3"/>
  <c r="P565" i="3"/>
  <c r="O565" i="3"/>
  <c r="N565" i="3"/>
  <c r="M565" i="3"/>
  <c r="L565" i="3"/>
  <c r="J565" i="3"/>
  <c r="I565" i="3"/>
  <c r="H565" i="3"/>
  <c r="G565" i="3"/>
  <c r="F565" i="3"/>
  <c r="E565" i="3"/>
  <c r="D565" i="3"/>
  <c r="C565" i="3"/>
  <c r="B565" i="3"/>
  <c r="S564" i="3"/>
  <c r="R564" i="3"/>
  <c r="Q564" i="3"/>
  <c r="P564" i="3"/>
  <c r="O564" i="3"/>
  <c r="N564" i="3"/>
  <c r="M564" i="3"/>
  <c r="J564" i="3"/>
  <c r="I564" i="3"/>
  <c r="H564" i="3"/>
  <c r="G564" i="3"/>
  <c r="F564" i="3"/>
  <c r="E564" i="3"/>
  <c r="D564" i="3"/>
  <c r="C564" i="3"/>
  <c r="K564" i="3" s="1"/>
  <c r="T563" i="3"/>
  <c r="S563" i="3"/>
  <c r="R563" i="3"/>
  <c r="Q563" i="3"/>
  <c r="P563" i="3"/>
  <c r="O563" i="3"/>
  <c r="N563" i="3"/>
  <c r="L563" i="3"/>
  <c r="J563" i="3"/>
  <c r="I563" i="3"/>
  <c r="H563" i="3"/>
  <c r="G563" i="3"/>
  <c r="F563" i="3"/>
  <c r="E563" i="3"/>
  <c r="D563" i="3"/>
  <c r="C563" i="3"/>
  <c r="K563" i="3" s="1"/>
  <c r="B563" i="3"/>
  <c r="S562" i="3"/>
  <c r="R562" i="3"/>
  <c r="Q562" i="3"/>
  <c r="P562" i="3"/>
  <c r="O562" i="3"/>
  <c r="N562" i="3"/>
  <c r="M562" i="3"/>
  <c r="I562" i="3"/>
  <c r="H562" i="3"/>
  <c r="G562" i="3"/>
  <c r="F562" i="3"/>
  <c r="E562" i="3"/>
  <c r="D562" i="3"/>
  <c r="C562" i="3"/>
  <c r="B562" i="3"/>
  <c r="T561" i="3"/>
  <c r="U561" i="3" s="1"/>
  <c r="R561" i="3"/>
  <c r="Q561" i="3"/>
  <c r="P561" i="3"/>
  <c r="O561" i="3"/>
  <c r="M561" i="3"/>
  <c r="L561" i="3"/>
  <c r="J561" i="3"/>
  <c r="I561" i="3"/>
  <c r="H561" i="3"/>
  <c r="G561" i="3"/>
  <c r="F561" i="3"/>
  <c r="E561" i="3"/>
  <c r="D561" i="3"/>
  <c r="C561" i="3"/>
  <c r="K561" i="3" s="1"/>
  <c r="B561" i="3"/>
  <c r="T560" i="3"/>
  <c r="S560" i="3"/>
  <c r="R560" i="3"/>
  <c r="Q560" i="3"/>
  <c r="P560" i="3"/>
  <c r="O560" i="3"/>
  <c r="N560" i="3"/>
  <c r="U560" i="3" s="1"/>
  <c r="L560" i="3"/>
  <c r="J560" i="3"/>
  <c r="H560" i="3"/>
  <c r="G560" i="3"/>
  <c r="F560" i="3"/>
  <c r="E560" i="3"/>
  <c r="C560" i="3"/>
  <c r="K560" i="3" s="1"/>
  <c r="B560" i="3"/>
  <c r="T559" i="3"/>
  <c r="S559" i="3"/>
  <c r="R559" i="3"/>
  <c r="Q559" i="3"/>
  <c r="U559" i="3" s="1"/>
  <c r="P559" i="3"/>
  <c r="O559" i="3"/>
  <c r="N559" i="3"/>
  <c r="M559" i="3"/>
  <c r="L559" i="3"/>
  <c r="J559" i="3"/>
  <c r="I559" i="3"/>
  <c r="H559" i="3"/>
  <c r="G559" i="3"/>
  <c r="F559" i="3"/>
  <c r="E559" i="3"/>
  <c r="D559" i="3"/>
  <c r="C559" i="3"/>
  <c r="K559" i="3" s="1"/>
  <c r="B559" i="3"/>
  <c r="T558" i="3"/>
  <c r="S558" i="3"/>
  <c r="Q558" i="3"/>
  <c r="P558" i="3"/>
  <c r="O558" i="3"/>
  <c r="N558" i="3"/>
  <c r="U558" i="3" s="1"/>
  <c r="M558" i="3"/>
  <c r="L558" i="3"/>
  <c r="H558" i="3"/>
  <c r="G558" i="3"/>
  <c r="F558" i="3"/>
  <c r="E558" i="3"/>
  <c r="D558" i="3"/>
  <c r="C558" i="3"/>
  <c r="K558" i="3" s="1"/>
  <c r="T557" i="3"/>
  <c r="S557" i="3"/>
  <c r="R557" i="3"/>
  <c r="Q557" i="3"/>
  <c r="U557" i="3" s="1"/>
  <c r="P557" i="3"/>
  <c r="O557" i="3"/>
  <c r="N557" i="3"/>
  <c r="L557" i="3"/>
  <c r="I557" i="3"/>
  <c r="H557" i="3"/>
  <c r="G557" i="3"/>
  <c r="F557" i="3"/>
  <c r="E557" i="3"/>
  <c r="C557" i="3"/>
  <c r="B557" i="3"/>
  <c r="S556" i="3"/>
  <c r="R556" i="3"/>
  <c r="Q556" i="3"/>
  <c r="P556" i="3"/>
  <c r="O556" i="3"/>
  <c r="N556" i="3"/>
  <c r="M556" i="3"/>
  <c r="I556" i="3"/>
  <c r="G556" i="3"/>
  <c r="F556" i="3"/>
  <c r="E556" i="3"/>
  <c r="D556" i="3"/>
  <c r="C556" i="3"/>
  <c r="B556" i="3"/>
  <c r="T555" i="3"/>
  <c r="S555" i="3"/>
  <c r="R555" i="3"/>
  <c r="Q555" i="3"/>
  <c r="U555" i="3" s="1"/>
  <c r="P555" i="3"/>
  <c r="O555" i="3"/>
  <c r="M555" i="3"/>
  <c r="L555" i="3"/>
  <c r="J555" i="3"/>
  <c r="I555" i="3"/>
  <c r="H555" i="3"/>
  <c r="G555" i="3"/>
  <c r="F555" i="3"/>
  <c r="E555" i="3"/>
  <c r="D555" i="3"/>
  <c r="C555" i="3"/>
  <c r="B555" i="3"/>
  <c r="T554" i="3"/>
  <c r="S554" i="3"/>
  <c r="Q554" i="3"/>
  <c r="P554" i="3"/>
  <c r="O554" i="3"/>
  <c r="N554" i="3"/>
  <c r="U554" i="3" s="1"/>
  <c r="M554" i="3"/>
  <c r="L554" i="3"/>
  <c r="H554" i="3"/>
  <c r="G554" i="3"/>
  <c r="F554" i="3"/>
  <c r="E554" i="3"/>
  <c r="D554" i="3"/>
  <c r="C554" i="3"/>
  <c r="K554" i="3" s="1"/>
  <c r="T553" i="3"/>
  <c r="S553" i="3"/>
  <c r="R553" i="3"/>
  <c r="Q553" i="3"/>
  <c r="P553" i="3"/>
  <c r="O553" i="3"/>
  <c r="N553" i="3"/>
  <c r="L553" i="3"/>
  <c r="I553" i="3"/>
  <c r="H553" i="3"/>
  <c r="G553" i="3"/>
  <c r="F553" i="3"/>
  <c r="E553" i="3"/>
  <c r="C553" i="3"/>
  <c r="B553" i="3"/>
  <c r="S552" i="3"/>
  <c r="R552" i="3"/>
  <c r="Q552" i="3"/>
  <c r="P552" i="3"/>
  <c r="O552" i="3"/>
  <c r="N552" i="3"/>
  <c r="M552" i="3"/>
  <c r="I552" i="3"/>
  <c r="G552" i="3"/>
  <c r="F552" i="3"/>
  <c r="E552" i="3"/>
  <c r="D552" i="3"/>
  <c r="C552" i="3"/>
  <c r="B552" i="3"/>
  <c r="T551" i="3"/>
  <c r="T629" i="3" s="1"/>
  <c r="U629" i="3" s="1"/>
  <c r="S551" i="3"/>
  <c r="S629" i="3" s="1"/>
  <c r="R551" i="3"/>
  <c r="R629" i="3" s="1"/>
  <c r="Q551" i="3"/>
  <c r="U551" i="3" s="1"/>
  <c r="M551" i="3"/>
  <c r="M629" i="3" s="1"/>
  <c r="L551" i="3"/>
  <c r="J551" i="3"/>
  <c r="I551" i="3"/>
  <c r="G551" i="3"/>
  <c r="F551" i="3"/>
  <c r="E551" i="3"/>
  <c r="D551" i="3"/>
  <c r="B551" i="3"/>
  <c r="O544" i="3"/>
  <c r="H544" i="3"/>
  <c r="D544" i="3"/>
  <c r="C544" i="3"/>
  <c r="B544" i="3"/>
  <c r="O543" i="3"/>
  <c r="H543" i="3"/>
  <c r="D543" i="3"/>
  <c r="C543" i="3"/>
  <c r="B543" i="3"/>
  <c r="O542" i="3"/>
  <c r="D542" i="3"/>
  <c r="H542" i="3" s="1"/>
  <c r="C542" i="3"/>
  <c r="B542" i="3"/>
  <c r="O541" i="3"/>
  <c r="D541" i="3"/>
  <c r="H541" i="3" s="1"/>
  <c r="C541" i="3"/>
  <c r="B541" i="3"/>
  <c r="O540" i="3"/>
  <c r="H540" i="3"/>
  <c r="O539" i="3"/>
  <c r="H539" i="3"/>
  <c r="O538" i="3"/>
  <c r="H538" i="3"/>
  <c r="O537" i="3"/>
  <c r="H537" i="3"/>
  <c r="O536" i="3"/>
  <c r="H536" i="3"/>
  <c r="O535" i="3"/>
  <c r="H535" i="3"/>
  <c r="O534" i="3"/>
  <c r="H534" i="3"/>
  <c r="O533" i="3"/>
  <c r="H533" i="3"/>
  <c r="O532" i="3"/>
  <c r="H532" i="3"/>
  <c r="O531" i="3"/>
  <c r="H531" i="3"/>
  <c r="O530" i="3"/>
  <c r="H530" i="3"/>
  <c r="D530" i="3"/>
  <c r="C530" i="3"/>
  <c r="B530" i="3"/>
  <c r="O529" i="3"/>
  <c r="H529" i="3"/>
  <c r="O528" i="3"/>
  <c r="H528" i="3"/>
  <c r="O527" i="3"/>
  <c r="H527" i="3"/>
  <c r="O526" i="3"/>
  <c r="H526" i="3"/>
  <c r="O525" i="3"/>
  <c r="H525" i="3"/>
  <c r="O524" i="3"/>
  <c r="H524" i="3"/>
  <c r="O523" i="3"/>
  <c r="H523" i="3"/>
  <c r="O522" i="3"/>
  <c r="H522" i="3"/>
  <c r="O521" i="3"/>
  <c r="H521" i="3"/>
  <c r="O520" i="3"/>
  <c r="H520" i="3"/>
  <c r="O519" i="3"/>
  <c r="H519" i="3"/>
  <c r="O518" i="3"/>
  <c r="H518" i="3"/>
  <c r="O517" i="3"/>
  <c r="H517" i="3"/>
  <c r="O516" i="3"/>
  <c r="H516" i="3"/>
  <c r="O515" i="3"/>
  <c r="H515" i="3"/>
  <c r="O514" i="3"/>
  <c r="H514" i="3"/>
  <c r="O513" i="3"/>
  <c r="H513" i="3"/>
  <c r="O512" i="3"/>
  <c r="H512" i="3"/>
  <c r="O511" i="3"/>
  <c r="H511" i="3"/>
  <c r="O510" i="3"/>
  <c r="H510" i="3"/>
  <c r="O509" i="3"/>
  <c r="H509" i="3"/>
  <c r="O508" i="3"/>
  <c r="H508" i="3"/>
  <c r="O507" i="3"/>
  <c r="H507" i="3"/>
  <c r="O506" i="3"/>
  <c r="H506" i="3"/>
  <c r="O505" i="3"/>
  <c r="H505" i="3"/>
  <c r="O504" i="3"/>
  <c r="H504" i="3"/>
  <c r="O503" i="3"/>
  <c r="H503" i="3"/>
  <c r="O502" i="3"/>
  <c r="H502" i="3"/>
  <c r="O501" i="3"/>
  <c r="H501" i="3"/>
  <c r="O500" i="3"/>
  <c r="H500" i="3"/>
  <c r="O499" i="3"/>
  <c r="H499" i="3"/>
  <c r="O498" i="3"/>
  <c r="H498" i="3"/>
  <c r="O497" i="3"/>
  <c r="H497" i="3"/>
  <c r="O496" i="3"/>
  <c r="H496" i="3"/>
  <c r="O495" i="3"/>
  <c r="H495" i="3"/>
  <c r="O494" i="3"/>
  <c r="H494" i="3"/>
  <c r="O493" i="3"/>
  <c r="H493" i="3"/>
  <c r="O492" i="3"/>
  <c r="H492" i="3"/>
  <c r="O491" i="3"/>
  <c r="H491" i="3"/>
  <c r="O490" i="3"/>
  <c r="H490" i="3"/>
  <c r="O489" i="3"/>
  <c r="H489" i="3"/>
  <c r="O488" i="3"/>
  <c r="H488" i="3"/>
  <c r="O487" i="3"/>
  <c r="H487" i="3"/>
  <c r="O486" i="3"/>
  <c r="H486" i="3"/>
  <c r="O485" i="3"/>
  <c r="H485" i="3"/>
  <c r="O484" i="3"/>
  <c r="H484" i="3"/>
  <c r="O483" i="3"/>
  <c r="H483" i="3"/>
  <c r="O482" i="3"/>
  <c r="H482" i="3"/>
  <c r="O481" i="3"/>
  <c r="E481" i="3"/>
  <c r="D481" i="3"/>
  <c r="H481" i="3" s="1"/>
  <c r="C481" i="3"/>
  <c r="B481" i="3"/>
  <c r="O480" i="3"/>
  <c r="H480" i="3"/>
  <c r="D480" i="3"/>
  <c r="C480" i="3"/>
  <c r="B480" i="3"/>
  <c r="O479" i="3"/>
  <c r="D479" i="3"/>
  <c r="H479" i="3" s="1"/>
  <c r="C479" i="3"/>
  <c r="B479" i="3"/>
  <c r="O478" i="3"/>
  <c r="H478" i="3"/>
  <c r="O477" i="3"/>
  <c r="D477" i="3"/>
  <c r="H477" i="3" s="1"/>
  <c r="C477" i="3"/>
  <c r="B477" i="3"/>
  <c r="X471" i="3"/>
  <c r="V471" i="3"/>
  <c r="U471" i="3"/>
  <c r="T471" i="3"/>
  <c r="S471" i="3"/>
  <c r="V470" i="3"/>
  <c r="U470" i="3"/>
  <c r="T470" i="3"/>
  <c r="X470" i="3" s="1"/>
  <c r="S470" i="3"/>
  <c r="V469" i="3"/>
  <c r="U469" i="3"/>
  <c r="T469" i="3"/>
  <c r="S469" i="3"/>
  <c r="X469" i="3" s="1"/>
  <c r="V468" i="3"/>
  <c r="X468" i="3" s="1"/>
  <c r="U468" i="3"/>
  <c r="T468" i="3"/>
  <c r="S468" i="3"/>
  <c r="V467" i="3"/>
  <c r="U467" i="3"/>
  <c r="T467" i="3"/>
  <c r="S467" i="3"/>
  <c r="V466" i="3"/>
  <c r="U466" i="3"/>
  <c r="T466" i="3"/>
  <c r="S466" i="3"/>
  <c r="V465" i="3"/>
  <c r="X465" i="3" s="1"/>
  <c r="U465" i="3"/>
  <c r="T465" i="3"/>
  <c r="S465" i="3"/>
  <c r="V464" i="3"/>
  <c r="U464" i="3"/>
  <c r="T464" i="3"/>
  <c r="S464" i="3"/>
  <c r="V463" i="3"/>
  <c r="U463" i="3"/>
  <c r="T463" i="3"/>
  <c r="S463" i="3"/>
  <c r="X463" i="3" s="1"/>
  <c r="X462" i="3"/>
  <c r="V462" i="3"/>
  <c r="U462" i="3"/>
  <c r="T462" i="3"/>
  <c r="S462" i="3"/>
  <c r="V461" i="3"/>
  <c r="U461" i="3"/>
  <c r="T461" i="3"/>
  <c r="S461" i="3"/>
  <c r="X461" i="3" s="1"/>
  <c r="V460" i="3"/>
  <c r="U460" i="3"/>
  <c r="T460" i="3"/>
  <c r="S460" i="3"/>
  <c r="X460" i="3" s="1"/>
  <c r="V459" i="3"/>
  <c r="U459" i="3"/>
  <c r="X459" i="3" s="1"/>
  <c r="T459" i="3"/>
  <c r="S459" i="3"/>
  <c r="V458" i="3"/>
  <c r="U458" i="3"/>
  <c r="T458" i="3"/>
  <c r="S458" i="3"/>
  <c r="V457" i="3"/>
  <c r="U457" i="3"/>
  <c r="T457" i="3"/>
  <c r="S457" i="3"/>
  <c r="X457" i="3" s="1"/>
  <c r="X456" i="3"/>
  <c r="V456" i="3"/>
  <c r="U456" i="3"/>
  <c r="T456" i="3"/>
  <c r="S456" i="3"/>
  <c r="V455" i="3"/>
  <c r="U455" i="3"/>
  <c r="T455" i="3"/>
  <c r="S455" i="3"/>
  <c r="X454" i="3"/>
  <c r="V454" i="3"/>
  <c r="U454" i="3"/>
  <c r="T454" i="3"/>
  <c r="S454" i="3"/>
  <c r="V453" i="3"/>
  <c r="U453" i="3"/>
  <c r="T453" i="3"/>
  <c r="X453" i="3" s="1"/>
  <c r="S453" i="3"/>
  <c r="V452" i="3"/>
  <c r="U452" i="3"/>
  <c r="T452" i="3"/>
  <c r="S452" i="3"/>
  <c r="X451" i="3"/>
  <c r="V451" i="3"/>
  <c r="U451" i="3"/>
  <c r="T451" i="3"/>
  <c r="S451" i="3"/>
  <c r="V450" i="3"/>
  <c r="U450" i="3"/>
  <c r="T450" i="3"/>
  <c r="X450" i="3" s="1"/>
  <c r="S450" i="3"/>
  <c r="V449" i="3"/>
  <c r="U449" i="3"/>
  <c r="T449" i="3"/>
  <c r="S449" i="3"/>
  <c r="V448" i="3"/>
  <c r="X448" i="3" s="1"/>
  <c r="U448" i="3"/>
  <c r="T448" i="3"/>
  <c r="S448" i="3"/>
  <c r="V447" i="3"/>
  <c r="U447" i="3"/>
  <c r="T447" i="3"/>
  <c r="X447" i="3" s="1"/>
  <c r="S447" i="3"/>
  <c r="V446" i="3"/>
  <c r="U446" i="3"/>
  <c r="T446" i="3"/>
  <c r="S446" i="3"/>
  <c r="X446" i="3" s="1"/>
  <c r="V445" i="3"/>
  <c r="X445" i="3" s="1"/>
  <c r="U445" i="3"/>
  <c r="T445" i="3"/>
  <c r="S445" i="3"/>
  <c r="V444" i="3"/>
  <c r="U444" i="3"/>
  <c r="T444" i="3"/>
  <c r="S444" i="3"/>
  <c r="V443" i="3"/>
  <c r="U443" i="3"/>
  <c r="T443" i="3"/>
  <c r="S443" i="3"/>
  <c r="X443" i="3" s="1"/>
  <c r="V442" i="3"/>
  <c r="X442" i="3" s="1"/>
  <c r="U442" i="3"/>
  <c r="T442" i="3"/>
  <c r="S442" i="3"/>
  <c r="V441" i="3"/>
  <c r="U441" i="3"/>
  <c r="T441" i="3"/>
  <c r="S441" i="3"/>
  <c r="X441" i="3" s="1"/>
  <c r="V440" i="3"/>
  <c r="U440" i="3"/>
  <c r="T440" i="3"/>
  <c r="S440" i="3"/>
  <c r="X440" i="3" s="1"/>
  <c r="V439" i="3"/>
  <c r="U439" i="3"/>
  <c r="X439" i="3" s="1"/>
  <c r="T439" i="3"/>
  <c r="S439" i="3"/>
  <c r="V438" i="3"/>
  <c r="U438" i="3"/>
  <c r="T438" i="3"/>
  <c r="S438" i="3"/>
  <c r="V437" i="3"/>
  <c r="U437" i="3"/>
  <c r="T437" i="3"/>
  <c r="S437" i="3"/>
  <c r="X437" i="3" s="1"/>
  <c r="AB435" i="3"/>
  <c r="V431" i="3"/>
  <c r="X431" i="3" s="1"/>
  <c r="U431" i="3"/>
  <c r="T431" i="3"/>
  <c r="S431" i="3"/>
  <c r="V430" i="3"/>
  <c r="U430" i="3"/>
  <c r="T430" i="3"/>
  <c r="S430" i="3"/>
  <c r="V429" i="3"/>
  <c r="U429" i="3"/>
  <c r="T429" i="3"/>
  <c r="S429" i="3"/>
  <c r="X429" i="3" s="1"/>
  <c r="X428" i="3"/>
  <c r="V428" i="3"/>
  <c r="U428" i="3"/>
  <c r="T428" i="3"/>
  <c r="S428" i="3"/>
  <c r="V427" i="3"/>
  <c r="U427" i="3"/>
  <c r="T427" i="3"/>
  <c r="S427" i="3"/>
  <c r="V426" i="3"/>
  <c r="U426" i="3"/>
  <c r="T426" i="3"/>
  <c r="S426" i="3"/>
  <c r="X426" i="3" s="1"/>
  <c r="V425" i="3"/>
  <c r="U425" i="3"/>
  <c r="X425" i="3" s="1"/>
  <c r="T425" i="3"/>
  <c r="S425" i="3"/>
  <c r="V424" i="3"/>
  <c r="U424" i="3"/>
  <c r="T424" i="3"/>
  <c r="S424" i="3"/>
  <c r="X423" i="3"/>
  <c r="V423" i="3"/>
  <c r="U423" i="3"/>
  <c r="T423" i="3"/>
  <c r="S423" i="3"/>
  <c r="X422" i="3"/>
  <c r="V422" i="3"/>
  <c r="U422" i="3"/>
  <c r="T422" i="3"/>
  <c r="S422" i="3"/>
  <c r="X421" i="3"/>
  <c r="V421" i="3"/>
  <c r="U421" i="3"/>
  <c r="T421" i="3"/>
  <c r="S421" i="3"/>
  <c r="V420" i="3"/>
  <c r="U420" i="3"/>
  <c r="T420" i="3"/>
  <c r="X420" i="3" s="1"/>
  <c r="S420" i="3"/>
  <c r="X419" i="3"/>
  <c r="V419" i="3"/>
  <c r="U419" i="3"/>
  <c r="T419" i="3"/>
  <c r="S419" i="3"/>
  <c r="V418" i="3"/>
  <c r="U418" i="3"/>
  <c r="T418" i="3"/>
  <c r="X418" i="3" s="1"/>
  <c r="S418" i="3"/>
  <c r="V417" i="3"/>
  <c r="U417" i="3"/>
  <c r="T417" i="3"/>
  <c r="X417" i="3" s="1"/>
  <c r="W417" i="3" s="1"/>
  <c r="S417" i="3"/>
  <c r="X416" i="3"/>
  <c r="V416" i="3"/>
  <c r="U416" i="3"/>
  <c r="T416" i="3"/>
  <c r="S416" i="3"/>
  <c r="V415" i="3"/>
  <c r="U415" i="3"/>
  <c r="T415" i="3"/>
  <c r="X415" i="3" s="1"/>
  <c r="S415" i="3"/>
  <c r="V414" i="3"/>
  <c r="U414" i="3"/>
  <c r="T414" i="3"/>
  <c r="S414" i="3"/>
  <c r="X414" i="3" s="1"/>
  <c r="V413" i="3"/>
  <c r="U413" i="3"/>
  <c r="T413" i="3"/>
  <c r="S413" i="3"/>
  <c r="X413" i="3" s="1"/>
  <c r="V412" i="3"/>
  <c r="U412" i="3"/>
  <c r="T412" i="3"/>
  <c r="S412" i="3"/>
  <c r="V411" i="3"/>
  <c r="U411" i="3"/>
  <c r="T411" i="3"/>
  <c r="S411" i="3"/>
  <c r="X410" i="3"/>
  <c r="V410" i="3"/>
  <c r="U410" i="3"/>
  <c r="T410" i="3"/>
  <c r="S410" i="3"/>
  <c r="V409" i="3"/>
  <c r="U409" i="3"/>
  <c r="T409" i="3"/>
  <c r="S409" i="3"/>
  <c r="V408" i="3"/>
  <c r="U408" i="3"/>
  <c r="T408" i="3"/>
  <c r="S408" i="3"/>
  <c r="X408" i="3" s="1"/>
  <c r="X407" i="3"/>
  <c r="V407" i="3"/>
  <c r="U407" i="3"/>
  <c r="T407" i="3"/>
  <c r="S407" i="3"/>
  <c r="V406" i="3"/>
  <c r="U406" i="3"/>
  <c r="T406" i="3"/>
  <c r="S406" i="3"/>
  <c r="V405" i="3"/>
  <c r="U405" i="3"/>
  <c r="T405" i="3"/>
  <c r="S405" i="3"/>
  <c r="X405" i="3" s="1"/>
  <c r="X404" i="3"/>
  <c r="V404" i="3"/>
  <c r="U404" i="3"/>
  <c r="T404" i="3"/>
  <c r="S404" i="3"/>
  <c r="V403" i="3"/>
  <c r="U403" i="3"/>
  <c r="T403" i="3"/>
  <c r="S403" i="3"/>
  <c r="X403" i="3" s="1"/>
  <c r="X402" i="3"/>
  <c r="V402" i="3"/>
  <c r="U402" i="3"/>
  <c r="T402" i="3"/>
  <c r="S402" i="3"/>
  <c r="X401" i="3"/>
  <c r="V401" i="3"/>
  <c r="U401" i="3"/>
  <c r="T401" i="3"/>
  <c r="S401" i="3"/>
  <c r="V400" i="3"/>
  <c r="U400" i="3"/>
  <c r="T400" i="3"/>
  <c r="S400" i="3"/>
  <c r="X400" i="3" s="1"/>
  <c r="X399" i="3"/>
  <c r="V399" i="3"/>
  <c r="U399" i="3"/>
  <c r="T399" i="3"/>
  <c r="S399" i="3"/>
  <c r="V398" i="3"/>
  <c r="U398" i="3"/>
  <c r="T398" i="3"/>
  <c r="S398" i="3"/>
  <c r="V397" i="3"/>
  <c r="U397" i="3"/>
  <c r="T397" i="3"/>
  <c r="X397" i="3" s="1"/>
  <c r="S397" i="3"/>
  <c r="X396" i="3"/>
  <c r="V396" i="3"/>
  <c r="U396" i="3"/>
  <c r="T396" i="3"/>
  <c r="S396" i="3"/>
  <c r="V395" i="3"/>
  <c r="U395" i="3"/>
  <c r="T395" i="3"/>
  <c r="S395" i="3"/>
  <c r="X395" i="3" s="1"/>
  <c r="V394" i="3"/>
  <c r="U394" i="3"/>
  <c r="T394" i="3"/>
  <c r="S394" i="3"/>
  <c r="X394" i="3" s="1"/>
  <c r="V393" i="3"/>
  <c r="U393" i="3"/>
  <c r="T393" i="3"/>
  <c r="X393" i="3" s="1"/>
  <c r="S393" i="3"/>
  <c r="V392" i="3"/>
  <c r="U392" i="3"/>
  <c r="T392" i="3"/>
  <c r="S392" i="3"/>
  <c r="X392" i="3" s="1"/>
  <c r="W392" i="3" s="1"/>
  <c r="V391" i="3"/>
  <c r="U391" i="3"/>
  <c r="T391" i="3"/>
  <c r="S391" i="3"/>
  <c r="X391" i="3" s="1"/>
  <c r="V390" i="3"/>
  <c r="U390" i="3"/>
  <c r="T390" i="3"/>
  <c r="X390" i="3" s="1"/>
  <c r="S390" i="3"/>
  <c r="V389" i="3"/>
  <c r="U389" i="3"/>
  <c r="T389" i="3"/>
  <c r="S389" i="3"/>
  <c r="X389" i="3" s="1"/>
  <c r="V388" i="3"/>
  <c r="X388" i="3" s="1"/>
  <c r="U388" i="3"/>
  <c r="T388" i="3"/>
  <c r="S388" i="3"/>
  <c r="X387" i="3"/>
  <c r="V387" i="3"/>
  <c r="U387" i="3"/>
  <c r="T387" i="3"/>
  <c r="S387" i="3"/>
  <c r="V386" i="3"/>
  <c r="U386" i="3"/>
  <c r="T386" i="3"/>
  <c r="S386" i="3"/>
  <c r="V385" i="3"/>
  <c r="X385" i="3" s="1"/>
  <c r="U385" i="3"/>
  <c r="T385" i="3"/>
  <c r="S385" i="3"/>
  <c r="X384" i="3"/>
  <c r="V384" i="3"/>
  <c r="U384" i="3"/>
  <c r="T384" i="3"/>
  <c r="S384" i="3"/>
  <c r="V383" i="3"/>
  <c r="U383" i="3"/>
  <c r="T383" i="3"/>
  <c r="S383" i="3"/>
  <c r="X383" i="3" s="1"/>
  <c r="X382" i="3"/>
  <c r="V382" i="3"/>
  <c r="U382" i="3"/>
  <c r="T382" i="3"/>
  <c r="S382" i="3"/>
  <c r="X381" i="3"/>
  <c r="V381" i="3"/>
  <c r="U381" i="3"/>
  <c r="T381" i="3"/>
  <c r="S381" i="3"/>
  <c r="V380" i="3"/>
  <c r="U380" i="3"/>
  <c r="T380" i="3"/>
  <c r="S380" i="3"/>
  <c r="X380" i="3" s="1"/>
  <c r="X379" i="3"/>
  <c r="V379" i="3"/>
  <c r="U379" i="3"/>
  <c r="T379" i="3"/>
  <c r="S379" i="3"/>
  <c r="V378" i="3"/>
  <c r="U378" i="3"/>
  <c r="T378" i="3"/>
  <c r="S378" i="3"/>
  <c r="V377" i="3"/>
  <c r="U377" i="3"/>
  <c r="T377" i="3"/>
  <c r="X377" i="3" s="1"/>
  <c r="S377" i="3"/>
  <c r="X376" i="3"/>
  <c r="V376" i="3"/>
  <c r="U376" i="3"/>
  <c r="T376" i="3"/>
  <c r="S376" i="3"/>
  <c r="V375" i="3"/>
  <c r="U375" i="3"/>
  <c r="T375" i="3"/>
  <c r="S375" i="3"/>
  <c r="X375" i="3" s="1"/>
  <c r="V374" i="3"/>
  <c r="U374" i="3"/>
  <c r="T374" i="3"/>
  <c r="S374" i="3"/>
  <c r="X374" i="3" s="1"/>
  <c r="V373" i="3"/>
  <c r="U373" i="3"/>
  <c r="T373" i="3"/>
  <c r="X373" i="3" s="1"/>
  <c r="S373" i="3"/>
  <c r="V372" i="3"/>
  <c r="U372" i="3"/>
  <c r="T372" i="3"/>
  <c r="S372" i="3"/>
  <c r="X372" i="3" s="1"/>
  <c r="W372" i="3" s="1"/>
  <c r="V371" i="3"/>
  <c r="U371" i="3"/>
  <c r="T371" i="3"/>
  <c r="S371" i="3"/>
  <c r="X371" i="3" s="1"/>
  <c r="V370" i="3"/>
  <c r="U370" i="3"/>
  <c r="T370" i="3"/>
  <c r="X370" i="3" s="1"/>
  <c r="S370" i="3"/>
  <c r="V369" i="3"/>
  <c r="U369" i="3"/>
  <c r="T369" i="3"/>
  <c r="S369" i="3"/>
  <c r="V368" i="3"/>
  <c r="X368" i="3" s="1"/>
  <c r="U368" i="3"/>
  <c r="T368" i="3"/>
  <c r="S368" i="3"/>
  <c r="X367" i="3"/>
  <c r="V367" i="3"/>
  <c r="U367" i="3"/>
  <c r="T367" i="3"/>
  <c r="S367" i="3"/>
  <c r="V366" i="3"/>
  <c r="U366" i="3"/>
  <c r="T366" i="3"/>
  <c r="S366" i="3"/>
  <c r="X366" i="3" s="1"/>
  <c r="V365" i="3"/>
  <c r="X365" i="3" s="1"/>
  <c r="U365" i="3"/>
  <c r="T365" i="3"/>
  <c r="S365" i="3"/>
  <c r="X364" i="3"/>
  <c r="V364" i="3"/>
  <c r="U364" i="3"/>
  <c r="T364" i="3"/>
  <c r="S364" i="3"/>
  <c r="V363" i="3"/>
  <c r="U363" i="3"/>
  <c r="T363" i="3"/>
  <c r="S363" i="3"/>
  <c r="X363" i="3" s="1"/>
  <c r="X362" i="3"/>
  <c r="V362" i="3"/>
  <c r="U362" i="3"/>
  <c r="T362" i="3"/>
  <c r="S362" i="3"/>
  <c r="X361" i="3"/>
  <c r="V361" i="3"/>
  <c r="U361" i="3"/>
  <c r="T361" i="3"/>
  <c r="S361" i="3"/>
  <c r="V360" i="3"/>
  <c r="U360" i="3"/>
  <c r="T360" i="3"/>
  <c r="S360" i="3"/>
  <c r="X360" i="3" s="1"/>
  <c r="X359" i="3"/>
  <c r="V359" i="3"/>
  <c r="U359" i="3"/>
  <c r="T359" i="3"/>
  <c r="S359" i="3"/>
  <c r="V358" i="3"/>
  <c r="U358" i="3"/>
  <c r="T358" i="3"/>
  <c r="S358" i="3"/>
  <c r="V357" i="3"/>
  <c r="U357" i="3"/>
  <c r="T357" i="3"/>
  <c r="X357" i="3" s="1"/>
  <c r="S357" i="3"/>
  <c r="X356" i="3"/>
  <c r="V356" i="3"/>
  <c r="U356" i="3"/>
  <c r="T356" i="3"/>
  <c r="S356" i="3"/>
  <c r="V355" i="3"/>
  <c r="U355" i="3"/>
  <c r="T355" i="3"/>
  <c r="S355" i="3"/>
  <c r="X355" i="3" s="1"/>
  <c r="V354" i="3"/>
  <c r="U354" i="3"/>
  <c r="T354" i="3"/>
  <c r="S354" i="3"/>
  <c r="X354" i="3" s="1"/>
  <c r="V353" i="3"/>
  <c r="U353" i="3"/>
  <c r="T353" i="3"/>
  <c r="X353" i="3" s="1"/>
  <c r="S353" i="3"/>
  <c r="V352" i="3"/>
  <c r="U352" i="3"/>
  <c r="T352" i="3"/>
  <c r="S352" i="3"/>
  <c r="X352" i="3" s="1"/>
  <c r="W352" i="3" s="1"/>
  <c r="V351" i="3"/>
  <c r="U351" i="3"/>
  <c r="T351" i="3"/>
  <c r="S351" i="3"/>
  <c r="X351" i="3" s="1"/>
  <c r="V350" i="3"/>
  <c r="U350" i="3"/>
  <c r="T350" i="3"/>
  <c r="X350" i="3" s="1"/>
  <c r="S350" i="3"/>
  <c r="V349" i="3"/>
  <c r="U349" i="3"/>
  <c r="T349" i="3"/>
  <c r="S349" i="3"/>
  <c r="V348" i="3"/>
  <c r="X348" i="3" s="1"/>
  <c r="U348" i="3"/>
  <c r="T348" i="3"/>
  <c r="S348" i="3"/>
  <c r="X347" i="3"/>
  <c r="V347" i="3"/>
  <c r="U347" i="3"/>
  <c r="T347" i="3"/>
  <c r="S347" i="3"/>
  <c r="V346" i="3"/>
  <c r="U346" i="3"/>
  <c r="T346" i="3"/>
  <c r="S346" i="3"/>
  <c r="X346" i="3" s="1"/>
  <c r="V345" i="3"/>
  <c r="X345" i="3" s="1"/>
  <c r="U345" i="3"/>
  <c r="T345" i="3"/>
  <c r="S345" i="3"/>
  <c r="X344" i="3"/>
  <c r="V344" i="3"/>
  <c r="U344" i="3"/>
  <c r="T344" i="3"/>
  <c r="S344" i="3"/>
  <c r="V343" i="3"/>
  <c r="U343" i="3"/>
  <c r="T343" i="3"/>
  <c r="S343" i="3"/>
  <c r="X343" i="3" s="1"/>
  <c r="X342" i="3"/>
  <c r="V342" i="3"/>
  <c r="U342" i="3"/>
  <c r="T342" i="3"/>
  <c r="S342" i="3"/>
  <c r="X341" i="3"/>
  <c r="V341" i="3"/>
  <c r="U341" i="3"/>
  <c r="T341" i="3"/>
  <c r="S341" i="3"/>
  <c r="V340" i="3"/>
  <c r="U340" i="3"/>
  <c r="T340" i="3"/>
  <c r="S340" i="3"/>
  <c r="X340" i="3" s="1"/>
  <c r="X339" i="3"/>
  <c r="V339" i="3"/>
  <c r="U339" i="3"/>
  <c r="T339" i="3"/>
  <c r="S339" i="3"/>
  <c r="V338" i="3"/>
  <c r="U338" i="3"/>
  <c r="T338" i="3"/>
  <c r="S338" i="3"/>
  <c r="V337" i="3"/>
  <c r="U337" i="3"/>
  <c r="T337" i="3"/>
  <c r="X337" i="3" s="1"/>
  <c r="S337" i="3"/>
  <c r="X336" i="3"/>
  <c r="V336" i="3"/>
  <c r="U336" i="3"/>
  <c r="T336" i="3"/>
  <c r="S336" i="3"/>
  <c r="V335" i="3"/>
  <c r="U335" i="3"/>
  <c r="T335" i="3"/>
  <c r="S335" i="3"/>
  <c r="X335" i="3" s="1"/>
  <c r="V334" i="3"/>
  <c r="U334" i="3"/>
  <c r="T334" i="3"/>
  <c r="S334" i="3"/>
  <c r="X334" i="3" s="1"/>
  <c r="V333" i="3"/>
  <c r="U333" i="3"/>
  <c r="T333" i="3"/>
  <c r="X333" i="3" s="1"/>
  <c r="S333" i="3"/>
  <c r="V332" i="3"/>
  <c r="U332" i="3"/>
  <c r="T332" i="3"/>
  <c r="S332" i="3"/>
  <c r="X332" i="3" s="1"/>
  <c r="V331" i="3"/>
  <c r="U331" i="3"/>
  <c r="T331" i="3"/>
  <c r="S331" i="3"/>
  <c r="X331" i="3" s="1"/>
  <c r="V330" i="3"/>
  <c r="U330" i="3"/>
  <c r="T330" i="3"/>
  <c r="S330" i="3"/>
  <c r="V329" i="3"/>
  <c r="U329" i="3"/>
  <c r="T329" i="3"/>
  <c r="S329" i="3"/>
  <c r="X329" i="3" s="1"/>
  <c r="V328" i="3"/>
  <c r="U328" i="3"/>
  <c r="T328" i="3"/>
  <c r="X328" i="3" s="1"/>
  <c r="S328" i="3"/>
  <c r="V327" i="3"/>
  <c r="X327" i="3" s="1"/>
  <c r="U327" i="3"/>
  <c r="T327" i="3"/>
  <c r="S327" i="3"/>
  <c r="V326" i="3"/>
  <c r="U326" i="3"/>
  <c r="T326" i="3"/>
  <c r="S326" i="3"/>
  <c r="V325" i="3"/>
  <c r="X325" i="3" s="1"/>
  <c r="U325" i="3"/>
  <c r="T325" i="3"/>
  <c r="S325" i="3"/>
  <c r="V324" i="3"/>
  <c r="U324" i="3"/>
  <c r="T324" i="3"/>
  <c r="S324" i="3"/>
  <c r="X324" i="3" s="1"/>
  <c r="V323" i="3"/>
  <c r="U323" i="3"/>
  <c r="T323" i="3"/>
  <c r="S323" i="3"/>
  <c r="X323" i="3" s="1"/>
  <c r="V322" i="3"/>
  <c r="X322" i="3" s="1"/>
  <c r="U322" i="3"/>
  <c r="T322" i="3"/>
  <c r="S322" i="3"/>
  <c r="X321" i="3"/>
  <c r="V321" i="3"/>
  <c r="U321" i="3"/>
  <c r="T321" i="3"/>
  <c r="S321" i="3"/>
  <c r="V320" i="3"/>
  <c r="U320" i="3"/>
  <c r="T320" i="3"/>
  <c r="S320" i="3"/>
  <c r="X320" i="3" s="1"/>
  <c r="X319" i="3"/>
  <c r="V319" i="3"/>
  <c r="U319" i="3"/>
  <c r="T319" i="3"/>
  <c r="S319" i="3"/>
  <c r="V318" i="3"/>
  <c r="U318" i="3"/>
  <c r="T318" i="3"/>
  <c r="S318" i="3"/>
  <c r="X317" i="3"/>
  <c r="V317" i="3"/>
  <c r="U317" i="3"/>
  <c r="T317" i="3"/>
  <c r="S317" i="3"/>
  <c r="AA315" i="3"/>
  <c r="U311" i="3"/>
  <c r="T311" i="3"/>
  <c r="S311" i="3"/>
  <c r="R311" i="3"/>
  <c r="U310" i="3"/>
  <c r="T310" i="3"/>
  <c r="S310" i="3"/>
  <c r="R310" i="3"/>
  <c r="W310" i="3" s="1"/>
  <c r="U309" i="3"/>
  <c r="T309" i="3"/>
  <c r="S309" i="3"/>
  <c r="R309" i="3"/>
  <c r="W309" i="3" s="1"/>
  <c r="U308" i="3"/>
  <c r="T308" i="3"/>
  <c r="W308" i="3" s="1"/>
  <c r="S308" i="3"/>
  <c r="R308" i="3"/>
  <c r="U307" i="3"/>
  <c r="T307" i="3"/>
  <c r="S307" i="3"/>
  <c r="R307" i="3"/>
  <c r="W307" i="3" s="1"/>
  <c r="Z305" i="3"/>
  <c r="BC299" i="3"/>
  <c r="AT299" i="3"/>
  <c r="AK299" i="3"/>
  <c r="P282" i="3" s="1"/>
  <c r="BC298" i="3"/>
  <c r="AT298" i="3"/>
  <c r="AM298" i="3"/>
  <c r="AK298" i="3"/>
  <c r="U298" i="3"/>
  <c r="AA298" i="3" s="1"/>
  <c r="E298" i="3"/>
  <c r="G298" i="3" s="1"/>
  <c r="C281" i="3" s="1"/>
  <c r="BC297" i="3"/>
  <c r="AY297" i="3"/>
  <c r="AX297" i="3"/>
  <c r="AZ297" i="3" s="1"/>
  <c r="AW297" i="3"/>
  <c r="T280" i="3" s="1"/>
  <c r="AV297" i="3"/>
  <c r="AU297" i="3"/>
  <c r="AT297" i="3"/>
  <c r="AP297" i="3"/>
  <c r="AO297" i="3"/>
  <c r="AQ297" i="3" s="1"/>
  <c r="R280" i="3" s="1"/>
  <c r="AM297" i="3"/>
  <c r="AN297" i="3" s="1"/>
  <c r="AL297" i="3"/>
  <c r="AK297" i="3"/>
  <c r="P280" i="3" s="1"/>
  <c r="AH297" i="3"/>
  <c r="AG297" i="3"/>
  <c r="AF297" i="3"/>
  <c r="AD297" i="3"/>
  <c r="AC297" i="3"/>
  <c r="AE297" i="3" s="1"/>
  <c r="N280" i="3" s="1"/>
  <c r="AA297" i="3"/>
  <c r="X297" i="3"/>
  <c r="W297" i="3"/>
  <c r="U297" i="3"/>
  <c r="V297" i="3" s="1"/>
  <c r="H280" i="3" s="1"/>
  <c r="T297" i="3"/>
  <c r="O297" i="3"/>
  <c r="R297" i="3" s="1"/>
  <c r="N297" i="3"/>
  <c r="M297" i="3"/>
  <c r="L297" i="3"/>
  <c r="K297" i="3"/>
  <c r="Q297" i="3" s="1"/>
  <c r="S297" i="3" s="1"/>
  <c r="G280" i="3" s="1"/>
  <c r="F297" i="3"/>
  <c r="E297" i="3"/>
  <c r="C297" i="3"/>
  <c r="I297" i="3" s="1"/>
  <c r="B297" i="3"/>
  <c r="B299" i="3" s="1"/>
  <c r="BC296" i="3"/>
  <c r="AY296" i="3"/>
  <c r="AX296" i="3"/>
  <c r="AZ296" i="3" s="1"/>
  <c r="U279" i="3" s="1"/>
  <c r="AV296" i="3"/>
  <c r="AU296" i="3"/>
  <c r="AW296" i="3" s="1"/>
  <c r="T279" i="3" s="1"/>
  <c r="AT296" i="3"/>
  <c r="AP296" i="3"/>
  <c r="AO296" i="3"/>
  <c r="AQ296" i="3" s="1"/>
  <c r="R279" i="3" s="1"/>
  <c r="AM296" i="3"/>
  <c r="AN296" i="3" s="1"/>
  <c r="Q279" i="3" s="1"/>
  <c r="AL296" i="3"/>
  <c r="AK296" i="3"/>
  <c r="AH296" i="3"/>
  <c r="AG296" i="3"/>
  <c r="AF296" i="3"/>
  <c r="AE296" i="3"/>
  <c r="AD296" i="3"/>
  <c r="AC296" i="3"/>
  <c r="AC298" i="3" s="1"/>
  <c r="AE298" i="3" s="1"/>
  <c r="N281" i="3" s="1"/>
  <c r="AA296" i="3"/>
  <c r="X296" i="3"/>
  <c r="W296" i="3"/>
  <c r="U296" i="3"/>
  <c r="V296" i="3" s="1"/>
  <c r="T296" i="3"/>
  <c r="O296" i="3"/>
  <c r="R296" i="3" s="1"/>
  <c r="N296" i="3"/>
  <c r="L296" i="3"/>
  <c r="K296" i="3"/>
  <c r="Q296" i="3" s="1"/>
  <c r="S296" i="3" s="1"/>
  <c r="G279" i="3" s="1"/>
  <c r="F296" i="3"/>
  <c r="E296" i="3"/>
  <c r="G296" i="3" s="1"/>
  <c r="C279" i="3" s="1"/>
  <c r="C296" i="3"/>
  <c r="I296" i="3" s="1"/>
  <c r="B296" i="3"/>
  <c r="BC295" i="3"/>
  <c r="AY295" i="3"/>
  <c r="AX295" i="3"/>
  <c r="AZ295" i="3" s="1"/>
  <c r="AV295" i="3"/>
  <c r="AU295" i="3"/>
  <c r="AW295" i="3" s="1"/>
  <c r="T278" i="3" s="1"/>
  <c r="AT295" i="3"/>
  <c r="AP295" i="3"/>
  <c r="AO295" i="3"/>
  <c r="AQ295" i="3" s="1"/>
  <c r="R278" i="3" s="1"/>
  <c r="AM295" i="3"/>
  <c r="AN295" i="3" s="1"/>
  <c r="AL295" i="3"/>
  <c r="AK295" i="3"/>
  <c r="AH295" i="3"/>
  <c r="AG295" i="3"/>
  <c r="AF295" i="3"/>
  <c r="AE295" i="3"/>
  <c r="N278" i="3" s="1"/>
  <c r="AD295" i="3"/>
  <c r="AC295" i="3"/>
  <c r="AA295" i="3"/>
  <c r="X295" i="3"/>
  <c r="W295" i="3"/>
  <c r="U295" i="3"/>
  <c r="V295" i="3" s="1"/>
  <c r="T295" i="3"/>
  <c r="O295" i="3"/>
  <c r="R295" i="3" s="1"/>
  <c r="N295" i="3"/>
  <c r="L295" i="3"/>
  <c r="K295" i="3"/>
  <c r="Q295" i="3" s="1"/>
  <c r="S295" i="3" s="1"/>
  <c r="G278" i="3" s="1"/>
  <c r="G295" i="3"/>
  <c r="F295" i="3"/>
  <c r="E295" i="3"/>
  <c r="C295" i="3"/>
  <c r="I295" i="3" s="1"/>
  <c r="B295" i="3"/>
  <c r="BC294" i="3"/>
  <c r="AY294" i="3"/>
  <c r="AX294" i="3"/>
  <c r="AZ294" i="3" s="1"/>
  <c r="AW294" i="3"/>
  <c r="AV294" i="3"/>
  <c r="AU294" i="3"/>
  <c r="AT294" i="3"/>
  <c r="AP294" i="3"/>
  <c r="AO294" i="3"/>
  <c r="AQ294" i="3" s="1"/>
  <c r="AM294" i="3"/>
  <c r="AN294" i="3" s="1"/>
  <c r="Q277" i="3" s="1"/>
  <c r="AL294" i="3"/>
  <c r="AK294" i="3"/>
  <c r="AH294" i="3"/>
  <c r="AG294" i="3"/>
  <c r="AF294" i="3"/>
  <c r="AD294" i="3"/>
  <c r="AC294" i="3"/>
  <c r="AE294" i="3" s="1"/>
  <c r="N277" i="3" s="1"/>
  <c r="AA294" i="3"/>
  <c r="X294" i="3"/>
  <c r="W294" i="3"/>
  <c r="U294" i="3"/>
  <c r="V294" i="3" s="1"/>
  <c r="T294" i="3"/>
  <c r="O294" i="3"/>
  <c r="R294" i="3" s="1"/>
  <c r="N294" i="3"/>
  <c r="M294" i="3"/>
  <c r="E277" i="3" s="1"/>
  <c r="L294" i="3"/>
  <c r="K294" i="3"/>
  <c r="G294" i="3"/>
  <c r="F294" i="3"/>
  <c r="E294" i="3"/>
  <c r="C294" i="3"/>
  <c r="I294" i="3" s="1"/>
  <c r="B294" i="3"/>
  <c r="H294" i="3" s="1"/>
  <c r="BC293" i="3"/>
  <c r="AY293" i="3"/>
  <c r="AX293" i="3"/>
  <c r="AZ293" i="3" s="1"/>
  <c r="AW293" i="3"/>
  <c r="T276" i="3" s="1"/>
  <c r="AV293" i="3"/>
  <c r="AU293" i="3"/>
  <c r="AT293" i="3"/>
  <c r="AP293" i="3"/>
  <c r="AO293" i="3"/>
  <c r="AQ293" i="3" s="1"/>
  <c r="AM293" i="3"/>
  <c r="AN293" i="3" s="1"/>
  <c r="AL293" i="3"/>
  <c r="AK293" i="3"/>
  <c r="AH293" i="3"/>
  <c r="AG293" i="3"/>
  <c r="AF293" i="3"/>
  <c r="AD293" i="3"/>
  <c r="AC293" i="3"/>
  <c r="AE293" i="3" s="1"/>
  <c r="N276" i="3" s="1"/>
  <c r="AA293" i="3"/>
  <c r="X293" i="3"/>
  <c r="W293" i="3"/>
  <c r="U293" i="3"/>
  <c r="V293" i="3" s="1"/>
  <c r="T293" i="3"/>
  <c r="O293" i="3"/>
  <c r="R293" i="3" s="1"/>
  <c r="N293" i="3"/>
  <c r="M293" i="3"/>
  <c r="L293" i="3"/>
  <c r="K293" i="3"/>
  <c r="Q293" i="3" s="1"/>
  <c r="S293" i="3" s="1"/>
  <c r="G276" i="3" s="1"/>
  <c r="F293" i="3"/>
  <c r="E293" i="3"/>
  <c r="C293" i="3"/>
  <c r="I293" i="3" s="1"/>
  <c r="B293" i="3"/>
  <c r="H293" i="3" s="1"/>
  <c r="BC292" i="3"/>
  <c r="AY292" i="3"/>
  <c r="AX292" i="3"/>
  <c r="AZ292" i="3" s="1"/>
  <c r="AV292" i="3"/>
  <c r="AU292" i="3"/>
  <c r="AW292" i="3" s="1"/>
  <c r="T275" i="3" s="1"/>
  <c r="AT292" i="3"/>
  <c r="AP292" i="3"/>
  <c r="AO292" i="3"/>
  <c r="AQ292" i="3" s="1"/>
  <c r="AM292" i="3"/>
  <c r="AN292" i="3" s="1"/>
  <c r="AL292" i="3"/>
  <c r="AK292" i="3"/>
  <c r="AG292" i="3"/>
  <c r="AH292" i="3" s="1"/>
  <c r="AF292" i="3"/>
  <c r="AE292" i="3"/>
  <c r="AD292" i="3"/>
  <c r="AC292" i="3"/>
  <c r="X292" i="3"/>
  <c r="W292" i="3"/>
  <c r="U292" i="3"/>
  <c r="V292" i="3" s="1"/>
  <c r="T292" i="3"/>
  <c r="S292" i="3"/>
  <c r="O292" i="3"/>
  <c r="R292" i="3" s="1"/>
  <c r="N292" i="3"/>
  <c r="P292" i="3" s="1"/>
  <c r="M292" i="3"/>
  <c r="L292" i="3"/>
  <c r="K292" i="3"/>
  <c r="Q292" i="3" s="1"/>
  <c r="F292" i="3"/>
  <c r="E292" i="3"/>
  <c r="G292" i="3" s="1"/>
  <c r="C275" i="3" s="1"/>
  <c r="C292" i="3"/>
  <c r="I292" i="3" s="1"/>
  <c r="B292" i="3"/>
  <c r="BC291" i="3"/>
  <c r="AY291" i="3"/>
  <c r="AY299" i="3" s="1"/>
  <c r="AX291" i="3"/>
  <c r="AV291" i="3"/>
  <c r="AV299" i="3" s="1"/>
  <c r="AU291" i="3"/>
  <c r="AU299" i="3" s="1"/>
  <c r="AW299" i="3" s="1"/>
  <c r="T282" i="3" s="1"/>
  <c r="AT291" i="3"/>
  <c r="AP291" i="3"/>
  <c r="AP299" i="3" s="1"/>
  <c r="AO291" i="3"/>
  <c r="AQ291" i="3" s="1"/>
  <c r="AM291" i="3"/>
  <c r="AN291" i="3" s="1"/>
  <c r="AL291" i="3"/>
  <c r="AL299" i="3" s="1"/>
  <c r="AK291" i="3"/>
  <c r="P274" i="3" s="1"/>
  <c r="AG291" i="3"/>
  <c r="AH291" i="3" s="1"/>
  <c r="AF291" i="3"/>
  <c r="AF299" i="3" s="1"/>
  <c r="AE291" i="3"/>
  <c r="AD291" i="3"/>
  <c r="AD299" i="3" s="1"/>
  <c r="AC291" i="3"/>
  <c r="AC299" i="3" s="1"/>
  <c r="AE299" i="3" s="1"/>
  <c r="N282" i="3" s="1"/>
  <c r="AA291" i="3"/>
  <c r="X291" i="3"/>
  <c r="X299" i="3" s="1"/>
  <c r="W291" i="3"/>
  <c r="U291" i="3"/>
  <c r="V291" i="3" s="1"/>
  <c r="T291" i="3"/>
  <c r="T299" i="3" s="1"/>
  <c r="O291" i="3"/>
  <c r="R291" i="3" s="1"/>
  <c r="N291" i="3"/>
  <c r="L291" i="3"/>
  <c r="L299" i="3" s="1"/>
  <c r="K291" i="3"/>
  <c r="Q291" i="3" s="1"/>
  <c r="S291" i="3" s="1"/>
  <c r="G274" i="3" s="1"/>
  <c r="I291" i="3"/>
  <c r="G291" i="3"/>
  <c r="F291" i="3"/>
  <c r="F299" i="3" s="1"/>
  <c r="E291" i="3"/>
  <c r="H291" i="3" s="1"/>
  <c r="J291" i="3" s="1"/>
  <c r="D291" i="3"/>
  <c r="BC290" i="3"/>
  <c r="AY290" i="3"/>
  <c r="AZ290" i="3" s="1"/>
  <c r="AX290" i="3"/>
  <c r="AV290" i="3"/>
  <c r="AU290" i="3"/>
  <c r="AW290" i="3" s="1"/>
  <c r="AT290" i="3"/>
  <c r="AQ290" i="3"/>
  <c r="AP290" i="3"/>
  <c r="AO290" i="3"/>
  <c r="AM290" i="3"/>
  <c r="AL290" i="3"/>
  <c r="AK290" i="3"/>
  <c r="AG290" i="3"/>
  <c r="AF290" i="3"/>
  <c r="AH290" i="3" s="1"/>
  <c r="O273" i="3" s="1"/>
  <c r="AD290" i="3"/>
  <c r="AC290" i="3"/>
  <c r="AE290" i="3" s="1"/>
  <c r="Y290" i="3"/>
  <c r="X290" i="3"/>
  <c r="W290" i="3"/>
  <c r="U290" i="3"/>
  <c r="AA290" i="3" s="1"/>
  <c r="T290" i="3"/>
  <c r="V290" i="3" s="1"/>
  <c r="Q290" i="3"/>
  <c r="S290" i="3" s="1"/>
  <c r="G273" i="3" s="1"/>
  <c r="O290" i="3"/>
  <c r="P290" i="3" s="1"/>
  <c r="N290" i="3"/>
  <c r="L290" i="3"/>
  <c r="R290" i="3" s="1"/>
  <c r="K290" i="3"/>
  <c r="M290" i="3" s="1"/>
  <c r="E273" i="3" s="1"/>
  <c r="I290" i="3"/>
  <c r="F290" i="3"/>
  <c r="E290" i="3"/>
  <c r="D290" i="3"/>
  <c r="BC289" i="3"/>
  <c r="AY289" i="3"/>
  <c r="AY298" i="3" s="1"/>
  <c r="AX289" i="3"/>
  <c r="AX298" i="3" s="1"/>
  <c r="AV289" i="3"/>
  <c r="AV298" i="3" s="1"/>
  <c r="AU289" i="3"/>
  <c r="AW289" i="3" s="1"/>
  <c r="T272" i="3" s="1"/>
  <c r="AT289" i="3"/>
  <c r="AP289" i="3"/>
  <c r="AP298" i="3" s="1"/>
  <c r="AO289" i="3"/>
  <c r="AQ289" i="3" s="1"/>
  <c r="R272" i="3" s="1"/>
  <c r="AM289" i="3"/>
  <c r="AN289" i="3" s="1"/>
  <c r="AL289" i="3"/>
  <c r="AL298" i="3" s="1"/>
  <c r="AN298" i="3" s="1"/>
  <c r="Q281" i="3" s="1"/>
  <c r="AK289" i="3"/>
  <c r="P272" i="3" s="1"/>
  <c r="AG289" i="3"/>
  <c r="AF289" i="3"/>
  <c r="AF298" i="3" s="1"/>
  <c r="AE289" i="3"/>
  <c r="AD289" i="3"/>
  <c r="AD298" i="3" s="1"/>
  <c r="AC289" i="3"/>
  <c r="AA289" i="3"/>
  <c r="Y289" i="3"/>
  <c r="X289" i="3"/>
  <c r="X298" i="3" s="1"/>
  <c r="W289" i="3"/>
  <c r="Z289" i="3" s="1"/>
  <c r="AB289" i="3" s="1"/>
  <c r="J272" i="3" s="1"/>
  <c r="U289" i="3"/>
  <c r="V289" i="3" s="1"/>
  <c r="T289" i="3"/>
  <c r="T298" i="3" s="1"/>
  <c r="O289" i="3"/>
  <c r="R289" i="3" s="1"/>
  <c r="N289" i="3"/>
  <c r="N298" i="3" s="1"/>
  <c r="L289" i="3"/>
  <c r="L298" i="3" s="1"/>
  <c r="K289" i="3"/>
  <c r="M289" i="3" s="1"/>
  <c r="I289" i="3"/>
  <c r="G289" i="3"/>
  <c r="F289" i="3"/>
  <c r="F298" i="3" s="1"/>
  <c r="E289" i="3"/>
  <c r="B289" i="3"/>
  <c r="BB288" i="3"/>
  <c r="BC288" i="3" s="1"/>
  <c r="BA288" i="3"/>
  <c r="AZ288" i="3"/>
  <c r="U271" i="3" s="1"/>
  <c r="AY288" i="3"/>
  <c r="AX288" i="3"/>
  <c r="AV288" i="3"/>
  <c r="AU288" i="3"/>
  <c r="AW288" i="3" s="1"/>
  <c r="AS288" i="3"/>
  <c r="AR288" i="3"/>
  <c r="AT288" i="3" s="1"/>
  <c r="S271" i="3" s="1"/>
  <c r="AP288" i="3"/>
  <c r="AQ288" i="3" s="1"/>
  <c r="AO288" i="3"/>
  <c r="AM288" i="3"/>
  <c r="AL288" i="3"/>
  <c r="AN288" i="3" s="1"/>
  <c r="Q271" i="3" s="1"/>
  <c r="AJ288" i="3"/>
  <c r="AI288" i="3"/>
  <c r="AK288" i="3" s="1"/>
  <c r="AH288" i="3"/>
  <c r="O271" i="3" s="1"/>
  <c r="AG288" i="3"/>
  <c r="AF288" i="3"/>
  <c r="AD288" i="3"/>
  <c r="AE288" i="3" s="1"/>
  <c r="AC288" i="3"/>
  <c r="X288" i="3"/>
  <c r="W288" i="3"/>
  <c r="Y288" i="3" s="1"/>
  <c r="I271" i="3" s="1"/>
  <c r="V288" i="3"/>
  <c r="U288" i="3"/>
  <c r="T288" i="3"/>
  <c r="O288" i="3"/>
  <c r="N288" i="3"/>
  <c r="P288" i="3" s="1"/>
  <c r="L288" i="3"/>
  <c r="K288" i="3"/>
  <c r="F288" i="3"/>
  <c r="G288" i="3" s="1"/>
  <c r="E288" i="3"/>
  <c r="C288" i="3"/>
  <c r="B288" i="3"/>
  <c r="D288" i="3" s="1"/>
  <c r="B271" i="3" s="1"/>
  <c r="V282" i="3"/>
  <c r="S282" i="3"/>
  <c r="V281" i="3"/>
  <c r="S281" i="3"/>
  <c r="P281" i="3"/>
  <c r="V280" i="3"/>
  <c r="U280" i="3"/>
  <c r="S280" i="3"/>
  <c r="Q280" i="3"/>
  <c r="O280" i="3"/>
  <c r="E280" i="3"/>
  <c r="V279" i="3"/>
  <c r="S279" i="3"/>
  <c r="P279" i="3"/>
  <c r="O279" i="3"/>
  <c r="N279" i="3"/>
  <c r="K279" i="3"/>
  <c r="H279" i="3"/>
  <c r="V278" i="3"/>
  <c r="U278" i="3"/>
  <c r="S278" i="3"/>
  <c r="Q278" i="3"/>
  <c r="P278" i="3"/>
  <c r="O278" i="3"/>
  <c r="K278" i="3"/>
  <c r="H278" i="3"/>
  <c r="C278" i="3"/>
  <c r="V277" i="3"/>
  <c r="U277" i="3"/>
  <c r="T277" i="3"/>
  <c r="S277" i="3"/>
  <c r="R277" i="3"/>
  <c r="P277" i="3"/>
  <c r="O277" i="3"/>
  <c r="L277" i="3"/>
  <c r="H277" i="3"/>
  <c r="C277" i="3"/>
  <c r="V276" i="3"/>
  <c r="U276" i="3"/>
  <c r="S276" i="3"/>
  <c r="R276" i="3"/>
  <c r="Q276" i="3"/>
  <c r="P276" i="3"/>
  <c r="O276" i="3"/>
  <c r="K276" i="3"/>
  <c r="H276" i="3"/>
  <c r="E276" i="3"/>
  <c r="V275" i="3"/>
  <c r="U275" i="3"/>
  <c r="S275" i="3"/>
  <c r="R275" i="3"/>
  <c r="Q275" i="3"/>
  <c r="P275" i="3"/>
  <c r="O275" i="3"/>
  <c r="N275" i="3"/>
  <c r="L275" i="3"/>
  <c r="H275" i="3"/>
  <c r="G275" i="3"/>
  <c r="F275" i="3"/>
  <c r="E275" i="3"/>
  <c r="V274" i="3"/>
  <c r="S274" i="3"/>
  <c r="R274" i="3"/>
  <c r="Q274" i="3"/>
  <c r="O274" i="3"/>
  <c r="N274" i="3"/>
  <c r="L274" i="3"/>
  <c r="K274" i="3"/>
  <c r="H274" i="3"/>
  <c r="D274" i="3"/>
  <c r="C274" i="3"/>
  <c r="B274" i="3"/>
  <c r="V273" i="3"/>
  <c r="U273" i="3"/>
  <c r="T273" i="3"/>
  <c r="S273" i="3"/>
  <c r="R273" i="3"/>
  <c r="P273" i="3"/>
  <c r="N273" i="3"/>
  <c r="L273" i="3"/>
  <c r="K273" i="3"/>
  <c r="I273" i="3"/>
  <c r="H273" i="3"/>
  <c r="F273" i="3"/>
  <c r="B273" i="3"/>
  <c r="V272" i="3"/>
  <c r="S272" i="3"/>
  <c r="Q272" i="3"/>
  <c r="N272" i="3"/>
  <c r="K272" i="3"/>
  <c r="I272" i="3"/>
  <c r="H272" i="3"/>
  <c r="E272" i="3"/>
  <c r="C272" i="3"/>
  <c r="V271" i="3"/>
  <c r="T271" i="3"/>
  <c r="R271" i="3"/>
  <c r="P271" i="3"/>
  <c r="N271" i="3"/>
  <c r="L271" i="3"/>
  <c r="K271" i="3"/>
  <c r="H271" i="3"/>
  <c r="F271" i="3"/>
  <c r="C271" i="3"/>
  <c r="BC264" i="3"/>
  <c r="AZ264" i="3"/>
  <c r="AW264" i="3"/>
  <c r="AT264" i="3"/>
  <c r="S220" i="3" s="1"/>
  <c r="AQ264" i="3"/>
  <c r="AN264" i="3"/>
  <c r="AK264" i="3"/>
  <c r="AH264" i="3"/>
  <c r="AE264" i="3"/>
  <c r="AA264" i="3"/>
  <c r="Z264" i="3"/>
  <c r="AB264" i="3" s="1"/>
  <c r="Y264" i="3"/>
  <c r="V264" i="3"/>
  <c r="S264" i="3"/>
  <c r="R264" i="3"/>
  <c r="Q264" i="3"/>
  <c r="P264" i="3"/>
  <c r="M264" i="3"/>
  <c r="J264" i="3"/>
  <c r="I264" i="3"/>
  <c r="H264" i="3"/>
  <c r="G264" i="3"/>
  <c r="D264" i="3"/>
  <c r="BC263" i="3"/>
  <c r="AZ263" i="3"/>
  <c r="AW263" i="3"/>
  <c r="AT263" i="3"/>
  <c r="AQ263" i="3"/>
  <c r="AN263" i="3"/>
  <c r="AK263" i="3"/>
  <c r="AH263" i="3"/>
  <c r="AE263" i="3"/>
  <c r="AA263" i="3"/>
  <c r="Z263" i="3"/>
  <c r="AB263" i="3" s="1"/>
  <c r="Y263" i="3"/>
  <c r="V263" i="3"/>
  <c r="S263" i="3"/>
  <c r="R263" i="3"/>
  <c r="Q263" i="3"/>
  <c r="P263" i="3"/>
  <c r="M263" i="3"/>
  <c r="J263" i="3"/>
  <c r="D219" i="3" s="1"/>
  <c r="I263" i="3"/>
  <c r="H263" i="3"/>
  <c r="G263" i="3"/>
  <c r="D263" i="3"/>
  <c r="BC262" i="3"/>
  <c r="AZ262" i="3"/>
  <c r="AW262" i="3"/>
  <c r="AT262" i="3"/>
  <c r="AQ262" i="3"/>
  <c r="AN262" i="3"/>
  <c r="AK262" i="3"/>
  <c r="AH262" i="3"/>
  <c r="AE262" i="3"/>
  <c r="AA262" i="3"/>
  <c r="Z262" i="3"/>
  <c r="Y262" i="3"/>
  <c r="V262" i="3"/>
  <c r="S262" i="3"/>
  <c r="R262" i="3"/>
  <c r="Q262" i="3"/>
  <c r="P262" i="3"/>
  <c r="M262" i="3"/>
  <c r="J262" i="3"/>
  <c r="I262" i="3"/>
  <c r="H262" i="3"/>
  <c r="G262" i="3"/>
  <c r="D262" i="3"/>
  <c r="BC261" i="3"/>
  <c r="AZ261" i="3"/>
  <c r="AW261" i="3"/>
  <c r="AT261" i="3"/>
  <c r="AQ261" i="3"/>
  <c r="AN261" i="3"/>
  <c r="AK261" i="3"/>
  <c r="AH261" i="3"/>
  <c r="AE261" i="3"/>
  <c r="AA261" i="3"/>
  <c r="Z261" i="3"/>
  <c r="AB261" i="3" s="1"/>
  <c r="J217" i="3" s="1"/>
  <c r="Y261" i="3"/>
  <c r="V261" i="3"/>
  <c r="S261" i="3"/>
  <c r="R261" i="3"/>
  <c r="Q261" i="3"/>
  <c r="P261" i="3"/>
  <c r="M261" i="3"/>
  <c r="J261" i="3"/>
  <c r="I261" i="3"/>
  <c r="H261" i="3"/>
  <c r="G261" i="3"/>
  <c r="D261" i="3"/>
  <c r="BC260" i="3"/>
  <c r="AZ260" i="3"/>
  <c r="AW260" i="3"/>
  <c r="AT260" i="3"/>
  <c r="S216" i="3" s="1"/>
  <c r="AQ260" i="3"/>
  <c r="AN260" i="3"/>
  <c r="AK260" i="3"/>
  <c r="AH260" i="3"/>
  <c r="AE260" i="3"/>
  <c r="AA260" i="3"/>
  <c r="Z260" i="3"/>
  <c r="AB260" i="3" s="1"/>
  <c r="Y260" i="3"/>
  <c r="V260" i="3"/>
  <c r="S260" i="3"/>
  <c r="R260" i="3"/>
  <c r="Q260" i="3"/>
  <c r="P260" i="3"/>
  <c r="M260" i="3"/>
  <c r="J260" i="3"/>
  <c r="I260" i="3"/>
  <c r="H260" i="3"/>
  <c r="G260" i="3"/>
  <c r="D260" i="3"/>
  <c r="BC259" i="3"/>
  <c r="AY259" i="3"/>
  <c r="AX259" i="3"/>
  <c r="AZ259" i="3" s="1"/>
  <c r="AV259" i="3"/>
  <c r="AU259" i="3"/>
  <c r="AW259" i="3" s="1"/>
  <c r="T215" i="3" s="1"/>
  <c r="AT259" i="3"/>
  <c r="AP259" i="3"/>
  <c r="AO259" i="3"/>
  <c r="AQ259" i="3" s="1"/>
  <c r="AN259" i="3"/>
  <c r="AM259" i="3"/>
  <c r="AL259" i="3"/>
  <c r="AK259" i="3"/>
  <c r="AH259" i="3"/>
  <c r="AG259" i="3"/>
  <c r="AF259" i="3"/>
  <c r="AD259" i="3"/>
  <c r="AC259" i="3"/>
  <c r="AA259" i="3"/>
  <c r="X259" i="3"/>
  <c r="W259" i="3"/>
  <c r="Y259" i="3" s="1"/>
  <c r="V259" i="3"/>
  <c r="H215" i="3" s="1"/>
  <c r="U259" i="3"/>
  <c r="T259" i="3"/>
  <c r="Z259" i="3" s="1"/>
  <c r="AB259" i="3" s="1"/>
  <c r="O259" i="3"/>
  <c r="N259" i="3"/>
  <c r="L259" i="3"/>
  <c r="R259" i="3" s="1"/>
  <c r="K259" i="3"/>
  <c r="F259" i="3"/>
  <c r="E259" i="3"/>
  <c r="C259" i="3"/>
  <c r="B259" i="3"/>
  <c r="H259" i="3" s="1"/>
  <c r="BC258" i="3"/>
  <c r="AY258" i="3"/>
  <c r="AX258" i="3"/>
  <c r="AZ258" i="3" s="1"/>
  <c r="U214" i="3" s="1"/>
  <c r="AV258" i="3"/>
  <c r="AU258" i="3"/>
  <c r="AW258" i="3" s="1"/>
  <c r="AT258" i="3"/>
  <c r="AP258" i="3"/>
  <c r="AO258" i="3"/>
  <c r="AQ258" i="3" s="1"/>
  <c r="AN258" i="3"/>
  <c r="Q214" i="3" s="1"/>
  <c r="AM258" i="3"/>
  <c r="AL258" i="3"/>
  <c r="AK258" i="3"/>
  <c r="AH258" i="3"/>
  <c r="AG258" i="3"/>
  <c r="AF258" i="3"/>
  <c r="AD258" i="3"/>
  <c r="AC258" i="3"/>
  <c r="AA258" i="3"/>
  <c r="X258" i="3"/>
  <c r="W258" i="3"/>
  <c r="Y258" i="3" s="1"/>
  <c r="I214" i="3" s="1"/>
  <c r="V258" i="3"/>
  <c r="U258" i="3"/>
  <c r="T258" i="3"/>
  <c r="Z258" i="3" s="1"/>
  <c r="AB258" i="3" s="1"/>
  <c r="O258" i="3"/>
  <c r="N258" i="3"/>
  <c r="P258" i="3" s="1"/>
  <c r="L258" i="3"/>
  <c r="R258" i="3" s="1"/>
  <c r="K258" i="3"/>
  <c r="Q258" i="3" s="1"/>
  <c r="S258" i="3" s="1"/>
  <c r="F258" i="3"/>
  <c r="E258" i="3"/>
  <c r="G258" i="3" s="1"/>
  <c r="C258" i="3"/>
  <c r="I258" i="3" s="1"/>
  <c r="B258" i="3"/>
  <c r="H258" i="3" s="1"/>
  <c r="BC257" i="3"/>
  <c r="AY257" i="3"/>
  <c r="AX257" i="3"/>
  <c r="AZ257" i="3" s="1"/>
  <c r="AV257" i="3"/>
  <c r="AU257" i="3"/>
  <c r="AW257" i="3" s="1"/>
  <c r="AT257" i="3"/>
  <c r="AP257" i="3"/>
  <c r="AO257" i="3"/>
  <c r="AQ257" i="3" s="1"/>
  <c r="R213" i="3" s="1"/>
  <c r="AN257" i="3"/>
  <c r="AM257" i="3"/>
  <c r="AL257" i="3"/>
  <c r="AK257" i="3"/>
  <c r="AH257" i="3"/>
  <c r="AG257" i="3"/>
  <c r="AF257" i="3"/>
  <c r="AD257" i="3"/>
  <c r="AC257" i="3"/>
  <c r="AE257" i="3" s="1"/>
  <c r="N213" i="3" s="1"/>
  <c r="AA257" i="3"/>
  <c r="X257" i="3"/>
  <c r="W257" i="3"/>
  <c r="Y257" i="3" s="1"/>
  <c r="V257" i="3"/>
  <c r="U257" i="3"/>
  <c r="T257" i="3"/>
  <c r="Z257" i="3" s="1"/>
  <c r="AB257" i="3" s="1"/>
  <c r="J213" i="3" s="1"/>
  <c r="O257" i="3"/>
  <c r="N257" i="3"/>
  <c r="P257" i="3" s="1"/>
  <c r="F213" i="3" s="1"/>
  <c r="L257" i="3"/>
  <c r="R257" i="3" s="1"/>
  <c r="K257" i="3"/>
  <c r="F257" i="3"/>
  <c r="E257" i="3"/>
  <c r="C257" i="3"/>
  <c r="I257" i="3" s="1"/>
  <c r="B257" i="3"/>
  <c r="H257" i="3" s="1"/>
  <c r="BC256" i="3"/>
  <c r="AY256" i="3"/>
  <c r="AX256" i="3"/>
  <c r="AZ256" i="3" s="1"/>
  <c r="AV256" i="3"/>
  <c r="AU256" i="3"/>
  <c r="AW256" i="3" s="1"/>
  <c r="AT256" i="3"/>
  <c r="AP256" i="3"/>
  <c r="AO256" i="3"/>
  <c r="AQ256" i="3" s="1"/>
  <c r="AN256" i="3"/>
  <c r="AM256" i="3"/>
  <c r="AL256" i="3"/>
  <c r="AK256" i="3"/>
  <c r="AH256" i="3"/>
  <c r="AG256" i="3"/>
  <c r="AF256" i="3"/>
  <c r="AD256" i="3"/>
  <c r="AC256" i="3"/>
  <c r="AA256" i="3"/>
  <c r="X256" i="3"/>
  <c r="W256" i="3"/>
  <c r="Y256" i="3" s="1"/>
  <c r="V256" i="3"/>
  <c r="U256" i="3"/>
  <c r="T256" i="3"/>
  <c r="Z256" i="3" s="1"/>
  <c r="AB256" i="3" s="1"/>
  <c r="O256" i="3"/>
  <c r="N256" i="3"/>
  <c r="P256" i="3" s="1"/>
  <c r="L256" i="3"/>
  <c r="R256" i="3" s="1"/>
  <c r="K256" i="3"/>
  <c r="Q256" i="3" s="1"/>
  <c r="F256" i="3"/>
  <c r="E256" i="3"/>
  <c r="G256" i="3" s="1"/>
  <c r="C212" i="3" s="1"/>
  <c r="C256" i="3"/>
  <c r="B256" i="3"/>
  <c r="H256" i="3" s="1"/>
  <c r="BC255" i="3"/>
  <c r="AY255" i="3"/>
  <c r="AX255" i="3"/>
  <c r="AZ255" i="3" s="1"/>
  <c r="AV255" i="3"/>
  <c r="AU255" i="3"/>
  <c r="AW255" i="3" s="1"/>
  <c r="T211" i="3" s="1"/>
  <c r="AT255" i="3"/>
  <c r="AP255" i="3"/>
  <c r="AO255" i="3"/>
  <c r="AQ255" i="3" s="1"/>
  <c r="AN255" i="3"/>
  <c r="AM255" i="3"/>
  <c r="AL255" i="3"/>
  <c r="AK255" i="3"/>
  <c r="AH255" i="3"/>
  <c r="AG255" i="3"/>
  <c r="AF255" i="3"/>
  <c r="AD255" i="3"/>
  <c r="AC255" i="3"/>
  <c r="AA255" i="3"/>
  <c r="X255" i="3"/>
  <c r="W255" i="3"/>
  <c r="Y255" i="3" s="1"/>
  <c r="V255" i="3"/>
  <c r="H211" i="3" s="1"/>
  <c r="U255" i="3"/>
  <c r="T255" i="3"/>
  <c r="Z255" i="3" s="1"/>
  <c r="AB255" i="3" s="1"/>
  <c r="O255" i="3"/>
  <c r="N255" i="3"/>
  <c r="L255" i="3"/>
  <c r="R255" i="3" s="1"/>
  <c r="K255" i="3"/>
  <c r="Q255" i="3" s="1"/>
  <c r="S255" i="3" s="1"/>
  <c r="F255" i="3"/>
  <c r="E255" i="3"/>
  <c r="C255" i="3"/>
  <c r="I255" i="3" s="1"/>
  <c r="B255" i="3"/>
  <c r="H255" i="3" s="1"/>
  <c r="BC254" i="3"/>
  <c r="AY254" i="3"/>
  <c r="AX254" i="3"/>
  <c r="AZ254" i="3" s="1"/>
  <c r="U210" i="3" s="1"/>
  <c r="AV254" i="3"/>
  <c r="AU254" i="3"/>
  <c r="AW254" i="3" s="1"/>
  <c r="AT254" i="3"/>
  <c r="AP254" i="3"/>
  <c r="AO254" i="3"/>
  <c r="AQ254" i="3" s="1"/>
  <c r="AN254" i="3"/>
  <c r="Q210" i="3" s="1"/>
  <c r="AM254" i="3"/>
  <c r="AL254" i="3"/>
  <c r="AK254" i="3"/>
  <c r="AH254" i="3"/>
  <c r="AG254" i="3"/>
  <c r="AF254" i="3"/>
  <c r="AD254" i="3"/>
  <c r="AC254" i="3"/>
  <c r="AE254" i="3" s="1"/>
  <c r="AA254" i="3"/>
  <c r="X254" i="3"/>
  <c r="W254" i="3"/>
  <c r="Y254" i="3" s="1"/>
  <c r="I210" i="3" s="1"/>
  <c r="V254" i="3"/>
  <c r="U254" i="3"/>
  <c r="T254" i="3"/>
  <c r="Z254" i="3" s="1"/>
  <c r="AB254" i="3" s="1"/>
  <c r="O254" i="3"/>
  <c r="N254" i="3"/>
  <c r="P254" i="3" s="1"/>
  <c r="L254" i="3"/>
  <c r="R254" i="3" s="1"/>
  <c r="K254" i="3"/>
  <c r="F254" i="3"/>
  <c r="E254" i="3"/>
  <c r="C254" i="3"/>
  <c r="B254" i="3"/>
  <c r="H254" i="3" s="1"/>
  <c r="BC253" i="3"/>
  <c r="AY253" i="3"/>
  <c r="AX253" i="3"/>
  <c r="AZ253" i="3" s="1"/>
  <c r="AV253" i="3"/>
  <c r="AU253" i="3"/>
  <c r="AW253" i="3" s="1"/>
  <c r="AT253" i="3"/>
  <c r="AP253" i="3"/>
  <c r="AO253" i="3"/>
  <c r="AQ253" i="3" s="1"/>
  <c r="R209" i="3" s="1"/>
  <c r="AN253" i="3"/>
  <c r="AM253" i="3"/>
  <c r="AL253" i="3"/>
  <c r="AK253" i="3"/>
  <c r="AH253" i="3"/>
  <c r="AG253" i="3"/>
  <c r="AF253" i="3"/>
  <c r="AD253" i="3"/>
  <c r="AC253" i="3"/>
  <c r="AA253" i="3"/>
  <c r="X253" i="3"/>
  <c r="W253" i="3"/>
  <c r="Y253" i="3" s="1"/>
  <c r="V253" i="3"/>
  <c r="U253" i="3"/>
  <c r="T253" i="3"/>
  <c r="Z253" i="3" s="1"/>
  <c r="AB253" i="3" s="1"/>
  <c r="J209" i="3" s="1"/>
  <c r="O253" i="3"/>
  <c r="N253" i="3"/>
  <c r="P253" i="3" s="1"/>
  <c r="L253" i="3"/>
  <c r="R253" i="3" s="1"/>
  <c r="K253" i="3"/>
  <c r="Q253" i="3" s="1"/>
  <c r="F253" i="3"/>
  <c r="E253" i="3"/>
  <c r="G253" i="3" s="1"/>
  <c r="C253" i="3"/>
  <c r="I253" i="3" s="1"/>
  <c r="B253" i="3"/>
  <c r="H253" i="3" s="1"/>
  <c r="BC252" i="3"/>
  <c r="AZ252" i="3"/>
  <c r="AW252" i="3"/>
  <c r="AT252" i="3"/>
  <c r="AQ252" i="3"/>
  <c r="AN252" i="3"/>
  <c r="AK252" i="3"/>
  <c r="AH252" i="3"/>
  <c r="AE252" i="3"/>
  <c r="AA252" i="3"/>
  <c r="Z252" i="3"/>
  <c r="AB252" i="3" s="1"/>
  <c r="Y252" i="3"/>
  <c r="V252" i="3"/>
  <c r="S252" i="3"/>
  <c r="R252" i="3"/>
  <c r="Q252" i="3"/>
  <c r="P252" i="3"/>
  <c r="M252" i="3"/>
  <c r="J252" i="3"/>
  <c r="I252" i="3"/>
  <c r="H252" i="3"/>
  <c r="G252" i="3"/>
  <c r="D252" i="3"/>
  <c r="BC251" i="3"/>
  <c r="AZ251" i="3"/>
  <c r="AW251" i="3"/>
  <c r="AT251" i="3"/>
  <c r="AQ251" i="3"/>
  <c r="AN251" i="3"/>
  <c r="AK251" i="3"/>
  <c r="AH251" i="3"/>
  <c r="AE251" i="3"/>
  <c r="AA251" i="3"/>
  <c r="Z251" i="3"/>
  <c r="AB251" i="3" s="1"/>
  <c r="Y251" i="3"/>
  <c r="V251" i="3"/>
  <c r="S251" i="3"/>
  <c r="R251" i="3"/>
  <c r="Q251" i="3"/>
  <c r="P251" i="3"/>
  <c r="M251" i="3"/>
  <c r="J251" i="3"/>
  <c r="D207" i="3" s="1"/>
  <c r="I251" i="3"/>
  <c r="H251" i="3"/>
  <c r="G251" i="3"/>
  <c r="D251" i="3"/>
  <c r="BC250" i="3"/>
  <c r="AZ250" i="3"/>
  <c r="AW250" i="3"/>
  <c r="AT250" i="3"/>
  <c r="AQ250" i="3"/>
  <c r="AN250" i="3"/>
  <c r="AK250" i="3"/>
  <c r="AH250" i="3"/>
  <c r="AE250" i="3"/>
  <c r="AA250" i="3"/>
  <c r="Z250" i="3"/>
  <c r="AB250" i="3" s="1"/>
  <c r="Y250" i="3"/>
  <c r="V250" i="3"/>
  <c r="S250" i="3"/>
  <c r="R250" i="3"/>
  <c r="Q250" i="3"/>
  <c r="P250" i="3"/>
  <c r="M250" i="3"/>
  <c r="J250" i="3"/>
  <c r="I250" i="3"/>
  <c r="H250" i="3"/>
  <c r="G250" i="3"/>
  <c r="D250" i="3"/>
  <c r="BC249" i="3"/>
  <c r="AZ249" i="3"/>
  <c r="AW249" i="3"/>
  <c r="AT249" i="3"/>
  <c r="AQ249" i="3"/>
  <c r="AN249" i="3"/>
  <c r="AK249" i="3"/>
  <c r="AH249" i="3"/>
  <c r="AE249" i="3"/>
  <c r="AA249" i="3"/>
  <c r="Z249" i="3"/>
  <c r="AB249" i="3" s="1"/>
  <c r="Y249" i="3"/>
  <c r="V249" i="3"/>
  <c r="S249" i="3"/>
  <c r="R249" i="3"/>
  <c r="Q249" i="3"/>
  <c r="P249" i="3"/>
  <c r="M249" i="3"/>
  <c r="J249" i="3"/>
  <c r="I249" i="3"/>
  <c r="H249" i="3"/>
  <c r="G249" i="3"/>
  <c r="D249" i="3"/>
  <c r="BC248" i="3"/>
  <c r="AZ248" i="3"/>
  <c r="AW248" i="3"/>
  <c r="AT248" i="3"/>
  <c r="S204" i="3" s="1"/>
  <c r="AQ248" i="3"/>
  <c r="AN248" i="3"/>
  <c r="AK248" i="3"/>
  <c r="AH248" i="3"/>
  <c r="AE248" i="3"/>
  <c r="AA248" i="3"/>
  <c r="Z248" i="3"/>
  <c r="AB248" i="3" s="1"/>
  <c r="Y248" i="3"/>
  <c r="V248" i="3"/>
  <c r="S248" i="3"/>
  <c r="R248" i="3"/>
  <c r="Q248" i="3"/>
  <c r="P248" i="3"/>
  <c r="M248" i="3"/>
  <c r="J248" i="3"/>
  <c r="I248" i="3"/>
  <c r="H248" i="3"/>
  <c r="G248" i="3"/>
  <c r="D248" i="3"/>
  <c r="BC247" i="3"/>
  <c r="AZ247" i="3"/>
  <c r="AW247" i="3"/>
  <c r="AT247" i="3"/>
  <c r="AQ247" i="3"/>
  <c r="AN247" i="3"/>
  <c r="AK247" i="3"/>
  <c r="AH247" i="3"/>
  <c r="AE247" i="3"/>
  <c r="AA247" i="3"/>
  <c r="Z247" i="3"/>
  <c r="AB247" i="3" s="1"/>
  <c r="Y247" i="3"/>
  <c r="V247" i="3"/>
  <c r="S247" i="3"/>
  <c r="R247" i="3"/>
  <c r="Q247" i="3"/>
  <c r="P247" i="3"/>
  <c r="M247" i="3"/>
  <c r="J247" i="3"/>
  <c r="I247" i="3"/>
  <c r="H247" i="3"/>
  <c r="G247" i="3"/>
  <c r="D247" i="3"/>
  <c r="BC246" i="3"/>
  <c r="AZ246" i="3"/>
  <c r="AW246" i="3"/>
  <c r="AT246" i="3"/>
  <c r="AQ246" i="3"/>
  <c r="AN246" i="3"/>
  <c r="AK246" i="3"/>
  <c r="AH246" i="3"/>
  <c r="AE246" i="3"/>
  <c r="AA246" i="3"/>
  <c r="Z246" i="3"/>
  <c r="Y246" i="3"/>
  <c r="V246" i="3"/>
  <c r="S246" i="3"/>
  <c r="R246" i="3"/>
  <c r="Q246" i="3"/>
  <c r="P246" i="3"/>
  <c r="M246" i="3"/>
  <c r="J246" i="3"/>
  <c r="I246" i="3"/>
  <c r="H246" i="3"/>
  <c r="G246" i="3"/>
  <c r="D246" i="3"/>
  <c r="BC245" i="3"/>
  <c r="AZ245" i="3"/>
  <c r="AW245" i="3"/>
  <c r="AT245" i="3"/>
  <c r="AQ245" i="3"/>
  <c r="AN245" i="3"/>
  <c r="AK245" i="3"/>
  <c r="AH245" i="3"/>
  <c r="AE245" i="3"/>
  <c r="AA245" i="3"/>
  <c r="Z245" i="3"/>
  <c r="AB245" i="3" s="1"/>
  <c r="J201" i="3" s="1"/>
  <c r="Y245" i="3"/>
  <c r="V245" i="3"/>
  <c r="S245" i="3"/>
  <c r="R245" i="3"/>
  <c r="Q245" i="3"/>
  <c r="P245" i="3"/>
  <c r="M245" i="3"/>
  <c r="J245" i="3"/>
  <c r="I245" i="3"/>
  <c r="H245" i="3"/>
  <c r="G245" i="3"/>
  <c r="D245" i="3"/>
  <c r="BC244" i="3"/>
  <c r="AZ244" i="3"/>
  <c r="AW244" i="3"/>
  <c r="AT244" i="3"/>
  <c r="AQ244" i="3"/>
  <c r="AN244" i="3"/>
  <c r="AK244" i="3"/>
  <c r="AH244" i="3"/>
  <c r="AE244" i="3"/>
  <c r="AA244" i="3"/>
  <c r="Z244" i="3"/>
  <c r="AB244" i="3" s="1"/>
  <c r="Y244" i="3"/>
  <c r="V244" i="3"/>
  <c r="S244" i="3"/>
  <c r="R244" i="3"/>
  <c r="Q244" i="3"/>
  <c r="P244" i="3"/>
  <c r="M244" i="3"/>
  <c r="J244" i="3"/>
  <c r="I244" i="3"/>
  <c r="H244" i="3"/>
  <c r="G244" i="3"/>
  <c r="D244" i="3"/>
  <c r="BC243" i="3"/>
  <c r="AZ243" i="3"/>
  <c r="AW243" i="3"/>
  <c r="AT243" i="3"/>
  <c r="AQ243" i="3"/>
  <c r="AN243" i="3"/>
  <c r="AK243" i="3"/>
  <c r="AH243" i="3"/>
  <c r="AE243" i="3"/>
  <c r="AA243" i="3"/>
  <c r="Z243" i="3"/>
  <c r="AB243" i="3" s="1"/>
  <c r="Y243" i="3"/>
  <c r="V243" i="3"/>
  <c r="S243" i="3"/>
  <c r="R243" i="3"/>
  <c r="Q243" i="3"/>
  <c r="P243" i="3"/>
  <c r="M243" i="3"/>
  <c r="J243" i="3"/>
  <c r="I243" i="3"/>
  <c r="H243" i="3"/>
  <c r="G243" i="3"/>
  <c r="D243" i="3"/>
  <c r="BC242" i="3"/>
  <c r="AZ242" i="3"/>
  <c r="AW242" i="3"/>
  <c r="AT242" i="3"/>
  <c r="AQ242" i="3"/>
  <c r="AN242" i="3"/>
  <c r="AK242" i="3"/>
  <c r="AH242" i="3"/>
  <c r="AE242" i="3"/>
  <c r="AA242" i="3"/>
  <c r="Z242" i="3"/>
  <c r="AB242" i="3" s="1"/>
  <c r="Y242" i="3"/>
  <c r="V242" i="3"/>
  <c r="S242" i="3"/>
  <c r="R242" i="3"/>
  <c r="Q242" i="3"/>
  <c r="P242" i="3"/>
  <c r="M242" i="3"/>
  <c r="J242" i="3"/>
  <c r="I242" i="3"/>
  <c r="H242" i="3"/>
  <c r="G242" i="3"/>
  <c r="D242" i="3"/>
  <c r="BC241" i="3"/>
  <c r="AZ241" i="3"/>
  <c r="AW241" i="3"/>
  <c r="AT241" i="3"/>
  <c r="AQ241" i="3"/>
  <c r="AN241" i="3"/>
  <c r="AK241" i="3"/>
  <c r="AH241" i="3"/>
  <c r="AE241" i="3"/>
  <c r="AA241" i="3"/>
  <c r="Z241" i="3"/>
  <c r="AB241" i="3" s="1"/>
  <c r="Y241" i="3"/>
  <c r="V241" i="3"/>
  <c r="S241" i="3"/>
  <c r="R241" i="3"/>
  <c r="Q241" i="3"/>
  <c r="P241" i="3"/>
  <c r="M241" i="3"/>
  <c r="J241" i="3"/>
  <c r="I241" i="3"/>
  <c r="H241" i="3"/>
  <c r="G241" i="3"/>
  <c r="D241" i="3"/>
  <c r="BC240" i="3"/>
  <c r="AZ240" i="3"/>
  <c r="AW240" i="3"/>
  <c r="AT240" i="3"/>
  <c r="AQ240" i="3"/>
  <c r="AN240" i="3"/>
  <c r="AK240" i="3"/>
  <c r="AH240" i="3"/>
  <c r="AE240" i="3"/>
  <c r="AA240" i="3"/>
  <c r="Z240" i="3"/>
  <c r="AB240" i="3" s="1"/>
  <c r="Y240" i="3"/>
  <c r="V240" i="3"/>
  <c r="S240" i="3"/>
  <c r="R240" i="3"/>
  <c r="Q240" i="3"/>
  <c r="P240" i="3"/>
  <c r="M240" i="3"/>
  <c r="J240" i="3"/>
  <c r="I240" i="3"/>
  <c r="H240" i="3"/>
  <c r="G240" i="3"/>
  <c r="D240" i="3"/>
  <c r="BC239" i="3"/>
  <c r="AZ239" i="3"/>
  <c r="AW239" i="3"/>
  <c r="AT239" i="3"/>
  <c r="AQ239" i="3"/>
  <c r="AN239" i="3"/>
  <c r="AK239" i="3"/>
  <c r="AH239" i="3"/>
  <c r="AE239" i="3"/>
  <c r="AA239" i="3"/>
  <c r="Z239" i="3"/>
  <c r="AB239" i="3" s="1"/>
  <c r="Y239" i="3"/>
  <c r="V239" i="3"/>
  <c r="S239" i="3"/>
  <c r="R239" i="3"/>
  <c r="Q239" i="3"/>
  <c r="P239" i="3"/>
  <c r="M239" i="3"/>
  <c r="J239" i="3"/>
  <c r="I239" i="3"/>
  <c r="H239" i="3"/>
  <c r="G239" i="3"/>
  <c r="D239" i="3"/>
  <c r="BC238" i="3"/>
  <c r="AZ238" i="3"/>
  <c r="AW238" i="3"/>
  <c r="AT238" i="3"/>
  <c r="AQ238" i="3"/>
  <c r="AN238" i="3"/>
  <c r="AK238" i="3"/>
  <c r="AH238" i="3"/>
  <c r="AE238" i="3"/>
  <c r="AA238" i="3"/>
  <c r="Z238" i="3"/>
  <c r="AB238" i="3" s="1"/>
  <c r="Y238" i="3"/>
  <c r="V238" i="3"/>
  <c r="S238" i="3"/>
  <c r="R238" i="3"/>
  <c r="Q238" i="3"/>
  <c r="P238" i="3"/>
  <c r="M238" i="3"/>
  <c r="J238" i="3"/>
  <c r="I238" i="3"/>
  <c r="H238" i="3"/>
  <c r="G238" i="3"/>
  <c r="D238" i="3"/>
  <c r="BC237" i="3"/>
  <c r="AZ237" i="3"/>
  <c r="AW237" i="3"/>
  <c r="AT237" i="3"/>
  <c r="AQ237" i="3"/>
  <c r="AN237" i="3"/>
  <c r="AK237" i="3"/>
  <c r="AH237" i="3"/>
  <c r="AE237" i="3"/>
  <c r="AA237" i="3"/>
  <c r="Z237" i="3"/>
  <c r="AB237" i="3" s="1"/>
  <c r="Y237" i="3"/>
  <c r="V237" i="3"/>
  <c r="S237" i="3"/>
  <c r="R237" i="3"/>
  <c r="Q237" i="3"/>
  <c r="P237" i="3"/>
  <c r="M237" i="3"/>
  <c r="J237" i="3"/>
  <c r="I237" i="3"/>
  <c r="H237" i="3"/>
  <c r="G237" i="3"/>
  <c r="D237" i="3"/>
  <c r="BC236" i="3"/>
  <c r="AZ236" i="3"/>
  <c r="AW236" i="3"/>
  <c r="AT236" i="3"/>
  <c r="AQ236" i="3"/>
  <c r="AN236" i="3"/>
  <c r="AK236" i="3"/>
  <c r="AH236" i="3"/>
  <c r="AE236" i="3"/>
  <c r="AA236" i="3"/>
  <c r="Z236" i="3"/>
  <c r="AB236" i="3" s="1"/>
  <c r="Y236" i="3"/>
  <c r="V236" i="3"/>
  <c r="S236" i="3"/>
  <c r="R236" i="3"/>
  <c r="Q236" i="3"/>
  <c r="P236" i="3"/>
  <c r="M236" i="3"/>
  <c r="J236" i="3"/>
  <c r="I236" i="3"/>
  <c r="H236" i="3"/>
  <c r="G236" i="3"/>
  <c r="D236" i="3"/>
  <c r="BC235" i="3"/>
  <c r="AZ235" i="3"/>
  <c r="AW235" i="3"/>
  <c r="AT235" i="3"/>
  <c r="AQ235" i="3"/>
  <c r="AN235" i="3"/>
  <c r="AK235" i="3"/>
  <c r="AH235" i="3"/>
  <c r="AE235" i="3"/>
  <c r="AA235" i="3"/>
  <c r="Z235" i="3"/>
  <c r="AB235" i="3" s="1"/>
  <c r="Y235" i="3"/>
  <c r="V235" i="3"/>
  <c r="S235" i="3"/>
  <c r="R235" i="3"/>
  <c r="Q235" i="3"/>
  <c r="P235" i="3"/>
  <c r="M235" i="3"/>
  <c r="J235" i="3"/>
  <c r="I235" i="3"/>
  <c r="H235" i="3"/>
  <c r="G235" i="3"/>
  <c r="D235" i="3"/>
  <c r="BC234" i="3"/>
  <c r="AZ234" i="3"/>
  <c r="AW234" i="3"/>
  <c r="AT234" i="3"/>
  <c r="AQ234" i="3"/>
  <c r="AN234" i="3"/>
  <c r="AK234" i="3"/>
  <c r="AH234" i="3"/>
  <c r="AE234" i="3"/>
  <c r="AA234" i="3"/>
  <c r="Z234" i="3"/>
  <c r="AB234" i="3" s="1"/>
  <c r="Y234" i="3"/>
  <c r="V234" i="3"/>
  <c r="S234" i="3"/>
  <c r="R234" i="3"/>
  <c r="Q234" i="3"/>
  <c r="P234" i="3"/>
  <c r="M234" i="3"/>
  <c r="J234" i="3"/>
  <c r="I234" i="3"/>
  <c r="H234" i="3"/>
  <c r="G234" i="3"/>
  <c r="D234" i="3"/>
  <c r="BC233" i="3"/>
  <c r="AZ233" i="3"/>
  <c r="AW233" i="3"/>
  <c r="AT233" i="3"/>
  <c r="AQ233" i="3"/>
  <c r="AN233" i="3"/>
  <c r="AK233" i="3"/>
  <c r="AH233" i="3"/>
  <c r="AE233" i="3"/>
  <c r="AA233" i="3"/>
  <c r="Z233" i="3"/>
  <c r="AB233" i="3" s="1"/>
  <c r="J189" i="3" s="1"/>
  <c r="Y233" i="3"/>
  <c r="V233" i="3"/>
  <c r="S233" i="3"/>
  <c r="R233" i="3"/>
  <c r="Q233" i="3"/>
  <c r="P233" i="3"/>
  <c r="M233" i="3"/>
  <c r="J233" i="3"/>
  <c r="I233" i="3"/>
  <c r="H233" i="3"/>
  <c r="G233" i="3"/>
  <c r="D233" i="3"/>
  <c r="BC232" i="3"/>
  <c r="AZ232" i="3"/>
  <c r="AW232" i="3"/>
  <c r="AT232" i="3"/>
  <c r="AQ232" i="3"/>
  <c r="AK232" i="3"/>
  <c r="AH232" i="3"/>
  <c r="AE232" i="3"/>
  <c r="AA232" i="3"/>
  <c r="AA288" i="3" s="1"/>
  <c r="Z232" i="3"/>
  <c r="Y232" i="3"/>
  <c r="V232" i="3"/>
  <c r="S232" i="3"/>
  <c r="R232" i="3"/>
  <c r="R288" i="3" s="1"/>
  <c r="Q232" i="3"/>
  <c r="Q288" i="3" s="1"/>
  <c r="P232" i="3"/>
  <c r="M232" i="3"/>
  <c r="I232" i="3"/>
  <c r="H232" i="3"/>
  <c r="H288" i="3" s="1"/>
  <c r="G232" i="3"/>
  <c r="D232" i="3"/>
  <c r="BC231" i="3"/>
  <c r="AY231" i="3"/>
  <c r="AX231" i="3"/>
  <c r="AW231" i="3"/>
  <c r="AT231" i="3"/>
  <c r="AP231" i="3"/>
  <c r="AP230" i="3" s="1"/>
  <c r="AO231" i="3"/>
  <c r="AM231" i="3"/>
  <c r="AL231" i="3"/>
  <c r="AN231" i="3" s="1"/>
  <c r="AK231" i="3"/>
  <c r="AG231" i="3"/>
  <c r="AF231" i="3"/>
  <c r="AD231" i="3"/>
  <c r="AC231" i="3"/>
  <c r="AE231" i="3" s="1"/>
  <c r="X231" i="3"/>
  <c r="W231" i="3"/>
  <c r="U231" i="3"/>
  <c r="T231" i="3"/>
  <c r="V231" i="3" s="1"/>
  <c r="P231" i="3"/>
  <c r="O231" i="3"/>
  <c r="N231" i="3"/>
  <c r="L231" i="3"/>
  <c r="R231" i="3" s="1"/>
  <c r="K231" i="3"/>
  <c r="Q231" i="3" s="1"/>
  <c r="I231" i="3"/>
  <c r="H231" i="3"/>
  <c r="G231" i="3"/>
  <c r="D231" i="3"/>
  <c r="BC230" i="3"/>
  <c r="AY230" i="3"/>
  <c r="AV230" i="3"/>
  <c r="AW230" i="3" s="1"/>
  <c r="T186" i="3" s="1"/>
  <c r="AU230" i="3"/>
  <c r="AT230" i="3"/>
  <c r="AQ230" i="3"/>
  <c r="AO230" i="3"/>
  <c r="AM230" i="3"/>
  <c r="AL230" i="3"/>
  <c r="AK230" i="3"/>
  <c r="W230" i="3"/>
  <c r="U230" i="3"/>
  <c r="T230" i="3"/>
  <c r="O230" i="3"/>
  <c r="P230" i="3" s="1"/>
  <c r="N230" i="3"/>
  <c r="L230" i="3"/>
  <c r="I230" i="3"/>
  <c r="F230" i="3"/>
  <c r="E230" i="3"/>
  <c r="H230" i="3" s="1"/>
  <c r="D230" i="3"/>
  <c r="C230" i="3"/>
  <c r="B230" i="3"/>
  <c r="BC229" i="3"/>
  <c r="AY229" i="3"/>
  <c r="AT229" i="3"/>
  <c r="AO229" i="3"/>
  <c r="AK229" i="3"/>
  <c r="AC229" i="3"/>
  <c r="W229" i="3"/>
  <c r="T229" i="3"/>
  <c r="BC228" i="3"/>
  <c r="AY228" i="3"/>
  <c r="AZ228" i="3" s="1"/>
  <c r="AX228" i="3"/>
  <c r="AW228" i="3"/>
  <c r="AV228" i="3"/>
  <c r="AV229" i="3" s="1"/>
  <c r="AW229" i="3" s="1"/>
  <c r="T185" i="3" s="1"/>
  <c r="AU228" i="3"/>
  <c r="AU229" i="3" s="1"/>
  <c r="AT228" i="3"/>
  <c r="AQ228" i="3"/>
  <c r="AP228" i="3"/>
  <c r="AO228" i="3"/>
  <c r="AM228" i="3"/>
  <c r="AM229" i="3" s="1"/>
  <c r="AL228" i="3"/>
  <c r="AL229" i="3" s="1"/>
  <c r="AK228" i="3"/>
  <c r="AG228" i="3"/>
  <c r="AF228" i="3"/>
  <c r="AE228" i="3"/>
  <c r="AD228" i="3"/>
  <c r="AC228" i="3"/>
  <c r="Y228" i="3"/>
  <c r="X228" i="3"/>
  <c r="W228" i="3"/>
  <c r="U228" i="3"/>
  <c r="AA228" i="3" s="1"/>
  <c r="T228" i="3"/>
  <c r="Q228" i="3"/>
  <c r="S228" i="3" s="1"/>
  <c r="G184" i="3" s="1"/>
  <c r="P228" i="3"/>
  <c r="O228" i="3"/>
  <c r="O229" i="3" s="1"/>
  <c r="N228" i="3"/>
  <c r="N229" i="3" s="1"/>
  <c r="L228" i="3"/>
  <c r="R228" i="3" s="1"/>
  <c r="K228" i="3"/>
  <c r="M228" i="3" s="1"/>
  <c r="E184" i="3" s="1"/>
  <c r="I228" i="3"/>
  <c r="G228" i="3"/>
  <c r="F228" i="3"/>
  <c r="F229" i="3" s="1"/>
  <c r="I229" i="3" s="1"/>
  <c r="E228" i="3"/>
  <c r="H228" i="3" s="1"/>
  <c r="J228" i="3" s="1"/>
  <c r="D228" i="3"/>
  <c r="C228" i="3"/>
  <c r="C229" i="3" s="1"/>
  <c r="B228" i="3"/>
  <c r="B229" i="3" s="1"/>
  <c r="BC227" i="3"/>
  <c r="AZ227" i="3"/>
  <c r="AW227" i="3"/>
  <c r="AT227" i="3"/>
  <c r="AQ227" i="3"/>
  <c r="AN227" i="3"/>
  <c r="AK227" i="3"/>
  <c r="AG227" i="3"/>
  <c r="AG230" i="3" s="1"/>
  <c r="AF227" i="3"/>
  <c r="AD227" i="3"/>
  <c r="AD230" i="3" s="1"/>
  <c r="AC227" i="3"/>
  <c r="AE227" i="3" s="1"/>
  <c r="N183" i="3" s="1"/>
  <c r="AA227" i="3"/>
  <c r="AB227" i="3" s="1"/>
  <c r="J183" i="3" s="1"/>
  <c r="Z227" i="3"/>
  <c r="Y227" i="3"/>
  <c r="V227" i="3"/>
  <c r="R227" i="3"/>
  <c r="Q227" i="3"/>
  <c r="S227" i="3" s="1"/>
  <c r="G183" i="3" s="1"/>
  <c r="P227" i="3"/>
  <c r="M227" i="3"/>
  <c r="I227" i="3"/>
  <c r="H227" i="3"/>
  <c r="J227" i="3" s="1"/>
  <c r="G227" i="3"/>
  <c r="D227" i="3"/>
  <c r="V220" i="3"/>
  <c r="U220" i="3"/>
  <c r="T220" i="3"/>
  <c r="R220" i="3"/>
  <c r="Q220" i="3"/>
  <c r="P220" i="3"/>
  <c r="O220" i="3"/>
  <c r="N220" i="3"/>
  <c r="M220" i="3"/>
  <c r="L220" i="3"/>
  <c r="K220" i="3"/>
  <c r="J220" i="3"/>
  <c r="I220" i="3"/>
  <c r="H220" i="3"/>
  <c r="G220" i="3"/>
  <c r="F220" i="3"/>
  <c r="E220" i="3"/>
  <c r="D220" i="3"/>
  <c r="C220" i="3"/>
  <c r="B220" i="3"/>
  <c r="V219" i="3"/>
  <c r="U219" i="3"/>
  <c r="T219" i="3"/>
  <c r="S219" i="3"/>
  <c r="R219" i="3"/>
  <c r="Q219" i="3"/>
  <c r="P219" i="3"/>
  <c r="O219" i="3"/>
  <c r="N219" i="3"/>
  <c r="M219" i="3"/>
  <c r="L219" i="3"/>
  <c r="K219" i="3"/>
  <c r="J219" i="3"/>
  <c r="I219" i="3"/>
  <c r="H219" i="3"/>
  <c r="G219" i="3"/>
  <c r="F219" i="3"/>
  <c r="E219" i="3"/>
  <c r="C219" i="3"/>
  <c r="B219" i="3"/>
  <c r="V218" i="3"/>
  <c r="U218" i="3"/>
  <c r="T218" i="3"/>
  <c r="S218" i="3"/>
  <c r="R218" i="3"/>
  <c r="Q218" i="3"/>
  <c r="P218" i="3"/>
  <c r="O218" i="3"/>
  <c r="N218" i="3"/>
  <c r="L218" i="3"/>
  <c r="K218" i="3"/>
  <c r="I218" i="3"/>
  <c r="H218" i="3"/>
  <c r="G218" i="3"/>
  <c r="F218" i="3"/>
  <c r="E218" i="3"/>
  <c r="D218" i="3"/>
  <c r="C218" i="3"/>
  <c r="B218" i="3"/>
  <c r="V217" i="3"/>
  <c r="U217" i="3"/>
  <c r="T217" i="3"/>
  <c r="S217" i="3"/>
  <c r="R217" i="3"/>
  <c r="Q217" i="3"/>
  <c r="P217" i="3"/>
  <c r="O217" i="3"/>
  <c r="N217" i="3"/>
  <c r="M217" i="3"/>
  <c r="L217" i="3"/>
  <c r="K217" i="3"/>
  <c r="I217" i="3"/>
  <c r="H217" i="3"/>
  <c r="G217" i="3"/>
  <c r="F217" i="3"/>
  <c r="E217" i="3"/>
  <c r="D217" i="3"/>
  <c r="C217" i="3"/>
  <c r="B217" i="3"/>
  <c r="V216" i="3"/>
  <c r="U216" i="3"/>
  <c r="T216" i="3"/>
  <c r="R216" i="3"/>
  <c r="Q216" i="3"/>
  <c r="P216" i="3"/>
  <c r="O216" i="3"/>
  <c r="N216" i="3"/>
  <c r="M216" i="3"/>
  <c r="L216" i="3"/>
  <c r="K216" i="3"/>
  <c r="J216" i="3"/>
  <c r="I216" i="3"/>
  <c r="H216" i="3"/>
  <c r="G216" i="3"/>
  <c r="F216" i="3"/>
  <c r="E216" i="3"/>
  <c r="D216" i="3"/>
  <c r="C216" i="3"/>
  <c r="B216" i="3"/>
  <c r="V215" i="3"/>
  <c r="U215" i="3"/>
  <c r="S215" i="3"/>
  <c r="R215" i="3"/>
  <c r="Q215" i="3"/>
  <c r="P215" i="3"/>
  <c r="O215" i="3"/>
  <c r="K215" i="3"/>
  <c r="J215" i="3"/>
  <c r="I215" i="3"/>
  <c r="V214" i="3"/>
  <c r="T214" i="3"/>
  <c r="S214" i="3"/>
  <c r="R214" i="3"/>
  <c r="P214" i="3"/>
  <c r="O214" i="3"/>
  <c r="L214" i="3"/>
  <c r="K214" i="3"/>
  <c r="J214" i="3"/>
  <c r="H214" i="3"/>
  <c r="G214" i="3"/>
  <c r="F214" i="3"/>
  <c r="C214" i="3"/>
  <c r="V213" i="3"/>
  <c r="U213" i="3"/>
  <c r="T213" i="3"/>
  <c r="S213" i="3"/>
  <c r="Q213" i="3"/>
  <c r="P213" i="3"/>
  <c r="O213" i="3"/>
  <c r="L213" i="3"/>
  <c r="K213" i="3"/>
  <c r="I213" i="3"/>
  <c r="H213" i="3"/>
  <c r="V212" i="3"/>
  <c r="U212" i="3"/>
  <c r="T212" i="3"/>
  <c r="S212" i="3"/>
  <c r="R212" i="3"/>
  <c r="Q212" i="3"/>
  <c r="P212" i="3"/>
  <c r="O212" i="3"/>
  <c r="L212" i="3"/>
  <c r="K212" i="3"/>
  <c r="J212" i="3"/>
  <c r="I212" i="3"/>
  <c r="H212" i="3"/>
  <c r="F212" i="3"/>
  <c r="V211" i="3"/>
  <c r="U211" i="3"/>
  <c r="S211" i="3"/>
  <c r="R211" i="3"/>
  <c r="Q211" i="3"/>
  <c r="P211" i="3"/>
  <c r="O211" i="3"/>
  <c r="M211" i="3"/>
  <c r="K211" i="3"/>
  <c r="J211" i="3"/>
  <c r="I211" i="3"/>
  <c r="G211" i="3"/>
  <c r="V210" i="3"/>
  <c r="T210" i="3"/>
  <c r="S210" i="3"/>
  <c r="R210" i="3"/>
  <c r="P210" i="3"/>
  <c r="O210" i="3"/>
  <c r="N210" i="3"/>
  <c r="L210" i="3"/>
  <c r="K210" i="3"/>
  <c r="J210" i="3"/>
  <c r="H210" i="3"/>
  <c r="F210" i="3"/>
  <c r="V209" i="3"/>
  <c r="U209" i="3"/>
  <c r="T209" i="3"/>
  <c r="S209" i="3"/>
  <c r="Q209" i="3"/>
  <c r="P209" i="3"/>
  <c r="O209" i="3"/>
  <c r="M209" i="3"/>
  <c r="L209" i="3"/>
  <c r="K209" i="3"/>
  <c r="I209" i="3"/>
  <c r="H209" i="3"/>
  <c r="F209" i="3"/>
  <c r="C209" i="3"/>
  <c r="V208" i="3"/>
  <c r="U208" i="3"/>
  <c r="T208" i="3"/>
  <c r="S208" i="3"/>
  <c r="R208" i="3"/>
  <c r="Q208" i="3"/>
  <c r="P208" i="3"/>
  <c r="O208" i="3"/>
  <c r="N208" i="3"/>
  <c r="M208" i="3"/>
  <c r="L208" i="3"/>
  <c r="K208" i="3"/>
  <c r="J208" i="3"/>
  <c r="I208" i="3"/>
  <c r="H208" i="3"/>
  <c r="G208" i="3"/>
  <c r="F208" i="3"/>
  <c r="E208" i="3"/>
  <c r="D208" i="3"/>
  <c r="C208" i="3"/>
  <c r="B208" i="3"/>
  <c r="V207" i="3"/>
  <c r="U207" i="3"/>
  <c r="T207" i="3"/>
  <c r="S207" i="3"/>
  <c r="R207" i="3"/>
  <c r="Q207" i="3"/>
  <c r="P207" i="3"/>
  <c r="O207" i="3"/>
  <c r="N207" i="3"/>
  <c r="M207" i="3"/>
  <c r="L207" i="3"/>
  <c r="K207" i="3"/>
  <c r="J207" i="3"/>
  <c r="I207" i="3"/>
  <c r="H207" i="3"/>
  <c r="G207" i="3"/>
  <c r="F207" i="3"/>
  <c r="E207" i="3"/>
  <c r="C207" i="3"/>
  <c r="B207" i="3"/>
  <c r="V206" i="3"/>
  <c r="U206" i="3"/>
  <c r="T206" i="3"/>
  <c r="S206" i="3"/>
  <c r="R206" i="3"/>
  <c r="Q206" i="3"/>
  <c r="P206" i="3"/>
  <c r="O206" i="3"/>
  <c r="N206" i="3"/>
  <c r="M206" i="3"/>
  <c r="L206" i="3"/>
  <c r="K206" i="3"/>
  <c r="J206" i="3"/>
  <c r="I206" i="3"/>
  <c r="H206" i="3"/>
  <c r="G206" i="3"/>
  <c r="F206" i="3"/>
  <c r="E206" i="3"/>
  <c r="D206" i="3"/>
  <c r="C206" i="3"/>
  <c r="B206" i="3"/>
  <c r="V205" i="3"/>
  <c r="U205" i="3"/>
  <c r="T205" i="3"/>
  <c r="S205" i="3"/>
  <c r="R205" i="3"/>
  <c r="Q205" i="3"/>
  <c r="P205" i="3"/>
  <c r="O205" i="3"/>
  <c r="N205" i="3"/>
  <c r="M205" i="3"/>
  <c r="L205" i="3"/>
  <c r="K205" i="3"/>
  <c r="J205" i="3"/>
  <c r="I205" i="3"/>
  <c r="H205" i="3"/>
  <c r="G205" i="3"/>
  <c r="F205" i="3"/>
  <c r="E205" i="3"/>
  <c r="D205" i="3"/>
  <c r="C205" i="3"/>
  <c r="B205" i="3"/>
  <c r="V204" i="3"/>
  <c r="U204" i="3"/>
  <c r="T204" i="3"/>
  <c r="R204" i="3"/>
  <c r="Q204" i="3"/>
  <c r="P204" i="3"/>
  <c r="O204" i="3"/>
  <c r="N204" i="3"/>
  <c r="M204" i="3"/>
  <c r="L204" i="3"/>
  <c r="K204" i="3"/>
  <c r="J204" i="3"/>
  <c r="I204" i="3"/>
  <c r="H204" i="3"/>
  <c r="G204" i="3"/>
  <c r="F204" i="3"/>
  <c r="E204" i="3"/>
  <c r="D204" i="3"/>
  <c r="C204" i="3"/>
  <c r="B204" i="3"/>
  <c r="V203" i="3"/>
  <c r="U203" i="3"/>
  <c r="T203" i="3"/>
  <c r="S203" i="3"/>
  <c r="R203" i="3"/>
  <c r="Q203" i="3"/>
  <c r="P203" i="3"/>
  <c r="O203" i="3"/>
  <c r="N203" i="3"/>
  <c r="M203" i="3"/>
  <c r="L203" i="3"/>
  <c r="K203" i="3"/>
  <c r="J203" i="3"/>
  <c r="I203" i="3"/>
  <c r="H203" i="3"/>
  <c r="G203" i="3"/>
  <c r="F203" i="3"/>
  <c r="E203" i="3"/>
  <c r="D203" i="3"/>
  <c r="C203" i="3"/>
  <c r="B203" i="3"/>
  <c r="V202" i="3"/>
  <c r="U202" i="3"/>
  <c r="T202" i="3"/>
  <c r="S202" i="3"/>
  <c r="R202" i="3"/>
  <c r="Q202" i="3"/>
  <c r="P202" i="3"/>
  <c r="O202" i="3"/>
  <c r="N202" i="3"/>
  <c r="L202" i="3"/>
  <c r="K202" i="3"/>
  <c r="I202" i="3"/>
  <c r="H202" i="3"/>
  <c r="G202" i="3"/>
  <c r="F202" i="3"/>
  <c r="E202" i="3"/>
  <c r="D202" i="3"/>
  <c r="C202" i="3"/>
  <c r="B202" i="3"/>
  <c r="V201" i="3"/>
  <c r="U201" i="3"/>
  <c r="T201" i="3"/>
  <c r="S201" i="3"/>
  <c r="R201" i="3"/>
  <c r="Q201" i="3"/>
  <c r="P201" i="3"/>
  <c r="O201" i="3"/>
  <c r="N201" i="3"/>
  <c r="M201" i="3"/>
  <c r="L201" i="3"/>
  <c r="K201" i="3"/>
  <c r="I201" i="3"/>
  <c r="H201" i="3"/>
  <c r="G201" i="3"/>
  <c r="F201" i="3"/>
  <c r="E201" i="3"/>
  <c r="D201" i="3"/>
  <c r="C201" i="3"/>
  <c r="B201" i="3"/>
  <c r="V200" i="3"/>
  <c r="U200" i="3"/>
  <c r="T200" i="3"/>
  <c r="S200" i="3"/>
  <c r="R200" i="3"/>
  <c r="Q200" i="3"/>
  <c r="P200" i="3"/>
  <c r="O200" i="3"/>
  <c r="N200" i="3"/>
  <c r="M200" i="3"/>
  <c r="L200" i="3"/>
  <c r="K200" i="3"/>
  <c r="J200" i="3"/>
  <c r="I200" i="3"/>
  <c r="H200" i="3"/>
  <c r="G200" i="3"/>
  <c r="F200" i="3"/>
  <c r="E200" i="3"/>
  <c r="D200" i="3"/>
  <c r="C200" i="3"/>
  <c r="B200" i="3"/>
  <c r="V199" i="3"/>
  <c r="U199" i="3"/>
  <c r="T199" i="3"/>
  <c r="S199" i="3"/>
  <c r="R199" i="3"/>
  <c r="Q199" i="3"/>
  <c r="P199" i="3"/>
  <c r="O199" i="3"/>
  <c r="N199" i="3"/>
  <c r="M199" i="3"/>
  <c r="L199" i="3"/>
  <c r="K199" i="3"/>
  <c r="J199" i="3"/>
  <c r="I199" i="3"/>
  <c r="H199" i="3"/>
  <c r="G199" i="3"/>
  <c r="F199" i="3"/>
  <c r="E199" i="3"/>
  <c r="D199" i="3"/>
  <c r="C199" i="3"/>
  <c r="B199" i="3"/>
  <c r="V198" i="3"/>
  <c r="U198" i="3"/>
  <c r="T198" i="3"/>
  <c r="S198" i="3"/>
  <c r="R198" i="3"/>
  <c r="Q198" i="3"/>
  <c r="P198" i="3"/>
  <c r="O198" i="3"/>
  <c r="N198" i="3"/>
  <c r="M198" i="3"/>
  <c r="L198" i="3"/>
  <c r="K198" i="3"/>
  <c r="J198" i="3"/>
  <c r="I198" i="3"/>
  <c r="H198" i="3"/>
  <c r="G198" i="3"/>
  <c r="F198" i="3"/>
  <c r="E198" i="3"/>
  <c r="D198" i="3"/>
  <c r="C198" i="3"/>
  <c r="B198" i="3"/>
  <c r="V197" i="3"/>
  <c r="U197" i="3"/>
  <c r="T197" i="3"/>
  <c r="S197" i="3"/>
  <c r="R197" i="3"/>
  <c r="Q197" i="3"/>
  <c r="P197" i="3"/>
  <c r="O197" i="3"/>
  <c r="N197" i="3"/>
  <c r="M197" i="3"/>
  <c r="L197" i="3"/>
  <c r="K197" i="3"/>
  <c r="J197" i="3"/>
  <c r="I197" i="3"/>
  <c r="H197" i="3"/>
  <c r="G197" i="3"/>
  <c r="F197" i="3"/>
  <c r="E197" i="3"/>
  <c r="D197" i="3"/>
  <c r="C197" i="3"/>
  <c r="B197" i="3"/>
  <c r="V196" i="3"/>
  <c r="U196" i="3"/>
  <c r="T196" i="3"/>
  <c r="S196" i="3"/>
  <c r="R196" i="3"/>
  <c r="Q196" i="3"/>
  <c r="P196" i="3"/>
  <c r="O196" i="3"/>
  <c r="N196" i="3"/>
  <c r="M196" i="3"/>
  <c r="L196" i="3"/>
  <c r="K196" i="3"/>
  <c r="J196" i="3"/>
  <c r="I196" i="3"/>
  <c r="H196" i="3"/>
  <c r="G196" i="3"/>
  <c r="F196" i="3"/>
  <c r="E196" i="3"/>
  <c r="D196" i="3"/>
  <c r="C196" i="3"/>
  <c r="B196" i="3"/>
  <c r="V195" i="3"/>
  <c r="U195" i="3"/>
  <c r="T195" i="3"/>
  <c r="S195" i="3"/>
  <c r="R195" i="3"/>
  <c r="Q195" i="3"/>
  <c r="P195" i="3"/>
  <c r="O195" i="3"/>
  <c r="N195" i="3"/>
  <c r="M195" i="3"/>
  <c r="L195" i="3"/>
  <c r="K195" i="3"/>
  <c r="J195" i="3"/>
  <c r="I195" i="3"/>
  <c r="H195" i="3"/>
  <c r="G195" i="3"/>
  <c r="F195" i="3"/>
  <c r="E195" i="3"/>
  <c r="D195" i="3"/>
  <c r="C195" i="3"/>
  <c r="B195" i="3"/>
  <c r="V194" i="3"/>
  <c r="U194" i="3"/>
  <c r="T194" i="3"/>
  <c r="S194" i="3"/>
  <c r="R194" i="3"/>
  <c r="Q194" i="3"/>
  <c r="P194" i="3"/>
  <c r="O194" i="3"/>
  <c r="N194" i="3"/>
  <c r="M194" i="3"/>
  <c r="L194" i="3"/>
  <c r="K194" i="3"/>
  <c r="J194" i="3"/>
  <c r="I194" i="3"/>
  <c r="H194" i="3"/>
  <c r="G194" i="3"/>
  <c r="F194" i="3"/>
  <c r="E194" i="3"/>
  <c r="D194" i="3"/>
  <c r="C194" i="3"/>
  <c r="B194" i="3"/>
  <c r="V193" i="3"/>
  <c r="U193" i="3"/>
  <c r="T193" i="3"/>
  <c r="S193" i="3"/>
  <c r="R193" i="3"/>
  <c r="Q193" i="3"/>
  <c r="P193" i="3"/>
  <c r="O193" i="3"/>
  <c r="N193" i="3"/>
  <c r="M193" i="3"/>
  <c r="L193" i="3"/>
  <c r="K193" i="3"/>
  <c r="J193" i="3"/>
  <c r="I193" i="3"/>
  <c r="H193" i="3"/>
  <c r="G193" i="3"/>
  <c r="F193" i="3"/>
  <c r="E193" i="3"/>
  <c r="D193" i="3"/>
  <c r="C193" i="3"/>
  <c r="B193" i="3"/>
  <c r="V192" i="3"/>
  <c r="U192" i="3"/>
  <c r="T192" i="3"/>
  <c r="S192" i="3"/>
  <c r="R192" i="3"/>
  <c r="Q192" i="3"/>
  <c r="P192" i="3"/>
  <c r="O192" i="3"/>
  <c r="N192" i="3"/>
  <c r="M192" i="3"/>
  <c r="L192" i="3"/>
  <c r="K192" i="3"/>
  <c r="J192" i="3"/>
  <c r="I192" i="3"/>
  <c r="H192" i="3"/>
  <c r="G192" i="3"/>
  <c r="F192" i="3"/>
  <c r="E192" i="3"/>
  <c r="D192" i="3"/>
  <c r="C192" i="3"/>
  <c r="B192" i="3"/>
  <c r="V191" i="3"/>
  <c r="U191" i="3"/>
  <c r="T191" i="3"/>
  <c r="S191" i="3"/>
  <c r="R191" i="3"/>
  <c r="Q191" i="3"/>
  <c r="P191" i="3"/>
  <c r="O191" i="3"/>
  <c r="N191" i="3"/>
  <c r="M191" i="3"/>
  <c r="L191" i="3"/>
  <c r="K191" i="3"/>
  <c r="J191" i="3"/>
  <c r="I191" i="3"/>
  <c r="H191" i="3"/>
  <c r="G191" i="3"/>
  <c r="F191" i="3"/>
  <c r="E191" i="3"/>
  <c r="D191" i="3"/>
  <c r="C191" i="3"/>
  <c r="B191" i="3"/>
  <c r="V190" i="3"/>
  <c r="U190" i="3"/>
  <c r="T190" i="3"/>
  <c r="S190" i="3"/>
  <c r="R190" i="3"/>
  <c r="Q190" i="3"/>
  <c r="P190" i="3"/>
  <c r="O190" i="3"/>
  <c r="N190" i="3"/>
  <c r="M190" i="3"/>
  <c r="L190" i="3"/>
  <c r="K190" i="3"/>
  <c r="J190" i="3"/>
  <c r="I190" i="3"/>
  <c r="H190" i="3"/>
  <c r="G190" i="3"/>
  <c r="F190" i="3"/>
  <c r="E190" i="3"/>
  <c r="D190" i="3"/>
  <c r="C190" i="3"/>
  <c r="B190" i="3"/>
  <c r="V189" i="3"/>
  <c r="U189" i="3"/>
  <c r="T189" i="3"/>
  <c r="S189" i="3"/>
  <c r="R189" i="3"/>
  <c r="Q189" i="3"/>
  <c r="P189" i="3"/>
  <c r="O189" i="3"/>
  <c r="N189" i="3"/>
  <c r="M189" i="3"/>
  <c r="L189" i="3"/>
  <c r="K189" i="3"/>
  <c r="I189" i="3"/>
  <c r="H189" i="3"/>
  <c r="G189" i="3"/>
  <c r="F189" i="3"/>
  <c r="E189" i="3"/>
  <c r="D189" i="3"/>
  <c r="C189" i="3"/>
  <c r="B189" i="3"/>
  <c r="V188" i="3"/>
  <c r="U188" i="3"/>
  <c r="T188" i="3"/>
  <c r="S188" i="3"/>
  <c r="R188" i="3"/>
  <c r="Q188" i="3"/>
  <c r="P188" i="3"/>
  <c r="O188" i="3"/>
  <c r="N188" i="3"/>
  <c r="M188" i="3"/>
  <c r="L188" i="3"/>
  <c r="K188" i="3"/>
  <c r="I188" i="3"/>
  <c r="H188" i="3"/>
  <c r="G188" i="3"/>
  <c r="F188" i="3"/>
  <c r="E188" i="3"/>
  <c r="C188" i="3"/>
  <c r="B188" i="3"/>
  <c r="V187" i="3"/>
  <c r="T187" i="3"/>
  <c r="S187" i="3"/>
  <c r="Q187" i="3"/>
  <c r="P187" i="3"/>
  <c r="N187" i="3"/>
  <c r="L187" i="3"/>
  <c r="K187" i="3"/>
  <c r="H187" i="3"/>
  <c r="F187" i="3"/>
  <c r="C187" i="3"/>
  <c r="B187" i="3"/>
  <c r="V186" i="3"/>
  <c r="S186" i="3"/>
  <c r="R186" i="3"/>
  <c r="P186" i="3"/>
  <c r="F186" i="3"/>
  <c r="B186" i="3"/>
  <c r="V185" i="3"/>
  <c r="S185" i="3"/>
  <c r="P185" i="3"/>
  <c r="V184" i="3"/>
  <c r="U184" i="3"/>
  <c r="T184" i="3"/>
  <c r="S184" i="3"/>
  <c r="R184" i="3"/>
  <c r="P184" i="3"/>
  <c r="N184" i="3"/>
  <c r="L184" i="3"/>
  <c r="K184" i="3"/>
  <c r="I184" i="3"/>
  <c r="F184" i="3"/>
  <c r="D184" i="3"/>
  <c r="C184" i="3"/>
  <c r="B184" i="3"/>
  <c r="V183" i="3"/>
  <c r="U183" i="3"/>
  <c r="T183" i="3"/>
  <c r="S183" i="3"/>
  <c r="R183" i="3"/>
  <c r="Q183" i="3"/>
  <c r="P183" i="3"/>
  <c r="M183" i="3"/>
  <c r="L183" i="3"/>
  <c r="K183" i="3"/>
  <c r="I183" i="3"/>
  <c r="H183" i="3"/>
  <c r="F183" i="3"/>
  <c r="E183" i="3"/>
  <c r="D183" i="3"/>
  <c r="C183" i="3"/>
  <c r="B183" i="3"/>
  <c r="AW176" i="3"/>
  <c r="AN176" i="3"/>
  <c r="AM176" i="3"/>
  <c r="AL176" i="3"/>
  <c r="AE176" i="3"/>
  <c r="AD176" i="3"/>
  <c r="AC176" i="3"/>
  <c r="B176" i="3"/>
  <c r="D176" i="3" s="1"/>
  <c r="B159" i="3" s="1"/>
  <c r="AW175" i="3"/>
  <c r="AN175" i="3"/>
  <c r="AM175" i="3"/>
  <c r="AL175" i="3"/>
  <c r="AE175" i="3"/>
  <c r="AD175" i="3"/>
  <c r="AC175" i="3"/>
  <c r="AW174" i="3"/>
  <c r="AS174" i="3"/>
  <c r="AT174" i="3" s="1"/>
  <c r="S157" i="3" s="1"/>
  <c r="AR174" i="3"/>
  <c r="AQ174" i="3"/>
  <c r="AP174" i="3"/>
  <c r="AO174" i="3"/>
  <c r="AN174" i="3"/>
  <c r="AM174" i="3"/>
  <c r="AL174" i="3"/>
  <c r="AK174" i="3"/>
  <c r="AJ174" i="3"/>
  <c r="AI174" i="3"/>
  <c r="AH174" i="3"/>
  <c r="AG174" i="3"/>
  <c r="AF174" i="3"/>
  <c r="AE174" i="3"/>
  <c r="Y174" i="3"/>
  <c r="X174" i="3"/>
  <c r="W174" i="3"/>
  <c r="U174" i="3"/>
  <c r="T174" i="3"/>
  <c r="V174" i="3" s="1"/>
  <c r="H157" i="3" s="1"/>
  <c r="I174" i="3"/>
  <c r="H174" i="3"/>
  <c r="J174" i="3" s="1"/>
  <c r="D157" i="3" s="1"/>
  <c r="F174" i="3"/>
  <c r="G174" i="3" s="1"/>
  <c r="C157" i="3" s="1"/>
  <c r="E174" i="3"/>
  <c r="C174" i="3"/>
  <c r="D174" i="3" s="1"/>
  <c r="B157" i="3" s="1"/>
  <c r="B174" i="3"/>
  <c r="AW173" i="3"/>
  <c r="AT173" i="3"/>
  <c r="AS173" i="3"/>
  <c r="AR173" i="3"/>
  <c r="AP173" i="3"/>
  <c r="AO173" i="3"/>
  <c r="AQ173" i="3" s="1"/>
  <c r="R156" i="3" s="1"/>
  <c r="AN173" i="3"/>
  <c r="AM173" i="3"/>
  <c r="AL173" i="3"/>
  <c r="AJ173" i="3"/>
  <c r="AK173" i="3" s="1"/>
  <c r="N156" i="3" s="1"/>
  <c r="AI173" i="3"/>
  <c r="AG173" i="3"/>
  <c r="AH173" i="3" s="1"/>
  <c r="AF173" i="3"/>
  <c r="AE173" i="3"/>
  <c r="X173" i="3"/>
  <c r="W173" i="3"/>
  <c r="Y173" i="3" s="1"/>
  <c r="I156" i="3" s="1"/>
  <c r="U173" i="3"/>
  <c r="T173" i="3"/>
  <c r="V173" i="3" s="1"/>
  <c r="H156" i="3" s="1"/>
  <c r="I173" i="3"/>
  <c r="H173" i="3"/>
  <c r="J173" i="3" s="1"/>
  <c r="D156" i="3" s="1"/>
  <c r="G173" i="3"/>
  <c r="C156" i="3" s="1"/>
  <c r="F173" i="3"/>
  <c r="E173" i="3"/>
  <c r="D173" i="3"/>
  <c r="C173" i="3"/>
  <c r="B173" i="3"/>
  <c r="AW172" i="3"/>
  <c r="AS172" i="3"/>
  <c r="AT172" i="3" s="1"/>
  <c r="S155" i="3" s="1"/>
  <c r="AR172" i="3"/>
  <c r="AQ172" i="3"/>
  <c r="AP172" i="3"/>
  <c r="AO172" i="3"/>
  <c r="AN172" i="3"/>
  <c r="AM172" i="3"/>
  <c r="AL172" i="3"/>
  <c r="AK172" i="3"/>
  <c r="AJ172" i="3"/>
  <c r="AI172" i="3"/>
  <c r="AH172" i="3"/>
  <c r="AG172" i="3"/>
  <c r="AF172" i="3"/>
  <c r="AE172" i="3"/>
  <c r="Y172" i="3"/>
  <c r="X172" i="3"/>
  <c r="W172" i="3"/>
  <c r="U172" i="3"/>
  <c r="T172" i="3"/>
  <c r="V172" i="3" s="1"/>
  <c r="H155" i="3" s="1"/>
  <c r="R172" i="3"/>
  <c r="P172" i="3"/>
  <c r="O172" i="3"/>
  <c r="N172" i="3"/>
  <c r="L172" i="3"/>
  <c r="K172" i="3"/>
  <c r="M172" i="3" s="1"/>
  <c r="I172" i="3"/>
  <c r="H172" i="3"/>
  <c r="J172" i="3" s="1"/>
  <c r="D155" i="3" s="1"/>
  <c r="F172" i="3"/>
  <c r="G172" i="3" s="1"/>
  <c r="C155" i="3" s="1"/>
  <c r="E172" i="3"/>
  <c r="C172" i="3"/>
  <c r="D172" i="3" s="1"/>
  <c r="B155" i="3" s="1"/>
  <c r="B172" i="3"/>
  <c r="AW171" i="3"/>
  <c r="AT171" i="3"/>
  <c r="AS171" i="3"/>
  <c r="AR171" i="3"/>
  <c r="AP171" i="3"/>
  <c r="AO171" i="3"/>
  <c r="AQ171" i="3" s="1"/>
  <c r="R154" i="3" s="1"/>
  <c r="AN171" i="3"/>
  <c r="AM171" i="3"/>
  <c r="AL171" i="3"/>
  <c r="AJ171" i="3"/>
  <c r="AK171" i="3" s="1"/>
  <c r="AI171" i="3"/>
  <c r="AG171" i="3"/>
  <c r="AH171" i="3" s="1"/>
  <c r="M154" i="3" s="1"/>
  <c r="AF171" i="3"/>
  <c r="AE171" i="3"/>
  <c r="X171" i="3"/>
  <c r="W171" i="3"/>
  <c r="Y171" i="3" s="1"/>
  <c r="I154" i="3" s="1"/>
  <c r="U171" i="3"/>
  <c r="T171" i="3"/>
  <c r="V171" i="3" s="1"/>
  <c r="H154" i="3" s="1"/>
  <c r="R171" i="3"/>
  <c r="O171" i="3"/>
  <c r="P171" i="3" s="1"/>
  <c r="N171" i="3"/>
  <c r="M171" i="3"/>
  <c r="L171" i="3"/>
  <c r="K171" i="3"/>
  <c r="I171" i="3"/>
  <c r="H171" i="3"/>
  <c r="J171" i="3" s="1"/>
  <c r="D154" i="3" s="1"/>
  <c r="G171" i="3"/>
  <c r="F171" i="3"/>
  <c r="E171" i="3"/>
  <c r="D171" i="3"/>
  <c r="C171" i="3"/>
  <c r="B171" i="3"/>
  <c r="AW170" i="3"/>
  <c r="AS170" i="3"/>
  <c r="AT170" i="3" s="1"/>
  <c r="AR170" i="3"/>
  <c r="AQ170" i="3"/>
  <c r="AP170" i="3"/>
  <c r="AO170" i="3"/>
  <c r="AN170" i="3"/>
  <c r="AM170" i="3"/>
  <c r="AL170" i="3"/>
  <c r="AJ170" i="3"/>
  <c r="AI170" i="3"/>
  <c r="AK170" i="3" s="1"/>
  <c r="N153" i="3" s="1"/>
  <c r="U153" i="3" s="1"/>
  <c r="AH170" i="3"/>
  <c r="AG170" i="3"/>
  <c r="AF170" i="3"/>
  <c r="AE170" i="3"/>
  <c r="Y170" i="3"/>
  <c r="I153" i="3" s="1"/>
  <c r="X170" i="3"/>
  <c r="W170" i="3"/>
  <c r="U170" i="3"/>
  <c r="T170" i="3"/>
  <c r="V170" i="3" s="1"/>
  <c r="H153" i="3" s="1"/>
  <c r="R170" i="3"/>
  <c r="P170" i="3"/>
  <c r="O170" i="3"/>
  <c r="N170" i="3"/>
  <c r="L170" i="3"/>
  <c r="K170" i="3"/>
  <c r="M170" i="3" s="1"/>
  <c r="I170" i="3"/>
  <c r="H170" i="3"/>
  <c r="F170" i="3"/>
  <c r="G170" i="3" s="1"/>
  <c r="E170" i="3"/>
  <c r="C170" i="3"/>
  <c r="D170" i="3" s="1"/>
  <c r="B153" i="3" s="1"/>
  <c r="B170" i="3"/>
  <c r="AW169" i="3"/>
  <c r="T152" i="3" s="1"/>
  <c r="AT169" i="3"/>
  <c r="AS169" i="3"/>
  <c r="AR169" i="3"/>
  <c r="AP169" i="3"/>
  <c r="AO169" i="3"/>
  <c r="AQ169" i="3" s="1"/>
  <c r="R152" i="3" s="1"/>
  <c r="AN169" i="3"/>
  <c r="AM169" i="3"/>
  <c r="AL169" i="3"/>
  <c r="AJ169" i="3"/>
  <c r="AK169" i="3" s="1"/>
  <c r="N152" i="3" s="1"/>
  <c r="AI169" i="3"/>
  <c r="AG169" i="3"/>
  <c r="AH169" i="3" s="1"/>
  <c r="M152" i="3" s="1"/>
  <c r="AF169" i="3"/>
  <c r="AE169" i="3"/>
  <c r="L152" i="3" s="1"/>
  <c r="X169" i="3"/>
  <c r="W169" i="3"/>
  <c r="Y169" i="3" s="1"/>
  <c r="U169" i="3"/>
  <c r="T169" i="3"/>
  <c r="V169" i="3" s="1"/>
  <c r="H152" i="3" s="1"/>
  <c r="O169" i="3"/>
  <c r="P169" i="3" s="1"/>
  <c r="N169" i="3"/>
  <c r="M169" i="3"/>
  <c r="L169" i="3"/>
  <c r="K169" i="3"/>
  <c r="I169" i="3"/>
  <c r="H169" i="3"/>
  <c r="J169" i="3" s="1"/>
  <c r="D152" i="3" s="1"/>
  <c r="F169" i="3"/>
  <c r="E169" i="3"/>
  <c r="G169" i="3" s="1"/>
  <c r="C152" i="3" s="1"/>
  <c r="D169" i="3"/>
  <c r="C169" i="3"/>
  <c r="B169" i="3"/>
  <c r="AW168" i="3"/>
  <c r="AS168" i="3"/>
  <c r="AS176" i="3" s="1"/>
  <c r="AR168" i="3"/>
  <c r="AR176" i="3" s="1"/>
  <c r="AT176" i="3" s="1"/>
  <c r="S159" i="3" s="1"/>
  <c r="AQ168" i="3"/>
  <c r="R151" i="3" s="1"/>
  <c r="AP168" i="3"/>
  <c r="AP176" i="3" s="1"/>
  <c r="AO168" i="3"/>
  <c r="AO176" i="3" s="1"/>
  <c r="AN168" i="3"/>
  <c r="AM168" i="3"/>
  <c r="AL168" i="3"/>
  <c r="AJ168" i="3"/>
  <c r="AJ176" i="3" s="1"/>
  <c r="AI168" i="3"/>
  <c r="AH168" i="3"/>
  <c r="AG168" i="3"/>
  <c r="AG176" i="3" s="1"/>
  <c r="AF168" i="3"/>
  <c r="AF176" i="3" s="1"/>
  <c r="AE168" i="3"/>
  <c r="Y168" i="3"/>
  <c r="I151" i="3" s="1"/>
  <c r="X168" i="3"/>
  <c r="X176" i="3" s="1"/>
  <c r="W168" i="3"/>
  <c r="W176" i="3" s="1"/>
  <c r="U168" i="3"/>
  <c r="U176" i="3" s="1"/>
  <c r="T168" i="3"/>
  <c r="T176" i="3" s="1"/>
  <c r="V176" i="3" s="1"/>
  <c r="H159" i="3" s="1"/>
  <c r="R168" i="3"/>
  <c r="P168" i="3"/>
  <c r="O168" i="3"/>
  <c r="N168" i="3"/>
  <c r="L168" i="3"/>
  <c r="K168" i="3"/>
  <c r="M168" i="3" s="1"/>
  <c r="I168" i="3"/>
  <c r="I176" i="3" s="1"/>
  <c r="H168" i="3"/>
  <c r="H176" i="3" s="1"/>
  <c r="F168" i="3"/>
  <c r="F176" i="3" s="1"/>
  <c r="E168" i="3"/>
  <c r="E176" i="3" s="1"/>
  <c r="C168" i="3"/>
  <c r="C176" i="3" s="1"/>
  <c r="B168" i="3"/>
  <c r="AW167" i="3"/>
  <c r="T150" i="3" s="1"/>
  <c r="AT167" i="3"/>
  <c r="AS167" i="3"/>
  <c r="AR167" i="3"/>
  <c r="AP167" i="3"/>
  <c r="AO167" i="3"/>
  <c r="AQ167" i="3" s="1"/>
  <c r="R150" i="3" s="1"/>
  <c r="AN167" i="3"/>
  <c r="AM167" i="3"/>
  <c r="AL167" i="3"/>
  <c r="AJ167" i="3"/>
  <c r="AK167" i="3" s="1"/>
  <c r="N150" i="3" s="1"/>
  <c r="AI167" i="3"/>
  <c r="AG167" i="3"/>
  <c r="AH167" i="3" s="1"/>
  <c r="M150" i="3" s="1"/>
  <c r="AF167" i="3"/>
  <c r="AE167" i="3"/>
  <c r="L150" i="3" s="1"/>
  <c r="X167" i="3"/>
  <c r="W167" i="3"/>
  <c r="Y167" i="3" s="1"/>
  <c r="I150" i="3" s="1"/>
  <c r="U167" i="3"/>
  <c r="T167" i="3"/>
  <c r="V167" i="3" s="1"/>
  <c r="H150" i="3" s="1"/>
  <c r="R167" i="3"/>
  <c r="O167" i="3"/>
  <c r="P167" i="3" s="1"/>
  <c r="N167" i="3"/>
  <c r="M167" i="3"/>
  <c r="L167" i="3"/>
  <c r="K167" i="3"/>
  <c r="I167" i="3"/>
  <c r="H167" i="3"/>
  <c r="J167" i="3" s="1"/>
  <c r="D150" i="3" s="1"/>
  <c r="F167" i="3"/>
  <c r="E167" i="3"/>
  <c r="G167" i="3" s="1"/>
  <c r="D167" i="3"/>
  <c r="C167" i="3"/>
  <c r="B167" i="3"/>
  <c r="AW166" i="3"/>
  <c r="AS166" i="3"/>
  <c r="AS175" i="3" s="1"/>
  <c r="AR166" i="3"/>
  <c r="AR175" i="3" s="1"/>
  <c r="AT175" i="3" s="1"/>
  <c r="S158" i="3" s="1"/>
  <c r="AQ166" i="3"/>
  <c r="R149" i="3" s="1"/>
  <c r="AP166" i="3"/>
  <c r="AP175" i="3" s="1"/>
  <c r="AO166" i="3"/>
  <c r="AO175" i="3" s="1"/>
  <c r="AN166" i="3"/>
  <c r="AM166" i="3"/>
  <c r="AL166" i="3"/>
  <c r="AJ166" i="3"/>
  <c r="AJ175" i="3" s="1"/>
  <c r="AI166" i="3"/>
  <c r="AH166" i="3"/>
  <c r="AG166" i="3"/>
  <c r="AG175" i="3" s="1"/>
  <c r="AF166" i="3"/>
  <c r="AF175" i="3" s="1"/>
  <c r="AE166" i="3"/>
  <c r="Y166" i="3"/>
  <c r="I149" i="3" s="1"/>
  <c r="X166" i="3"/>
  <c r="X175" i="3" s="1"/>
  <c r="W166" i="3"/>
  <c r="U166" i="3"/>
  <c r="U175" i="3" s="1"/>
  <c r="T166" i="3"/>
  <c r="T175" i="3" s="1"/>
  <c r="V175" i="3" s="1"/>
  <c r="H158" i="3" s="1"/>
  <c r="R166" i="3"/>
  <c r="P166" i="3"/>
  <c r="O166" i="3"/>
  <c r="N166" i="3"/>
  <c r="L166" i="3"/>
  <c r="K166" i="3"/>
  <c r="M166" i="3" s="1"/>
  <c r="I166" i="3"/>
  <c r="I175" i="3" s="1"/>
  <c r="H166" i="3"/>
  <c r="F166" i="3"/>
  <c r="F175" i="3" s="1"/>
  <c r="E166" i="3"/>
  <c r="E175" i="3" s="1"/>
  <c r="C166" i="3"/>
  <c r="C175" i="3" s="1"/>
  <c r="B166" i="3"/>
  <c r="B175" i="3" s="1"/>
  <c r="D175" i="3" s="1"/>
  <c r="B158" i="3" s="1"/>
  <c r="AW165" i="3"/>
  <c r="AT165" i="3"/>
  <c r="AS165" i="3"/>
  <c r="AR165" i="3"/>
  <c r="AP165" i="3"/>
  <c r="AO165" i="3"/>
  <c r="AQ165" i="3" s="1"/>
  <c r="AN165" i="3"/>
  <c r="AM165" i="3"/>
  <c r="AL165" i="3"/>
  <c r="AJ165" i="3"/>
  <c r="AK165" i="3" s="1"/>
  <c r="N148" i="3" s="1"/>
  <c r="AI165" i="3"/>
  <c r="AH165" i="3"/>
  <c r="AD165" i="3"/>
  <c r="AC165" i="3"/>
  <c r="AE165" i="3" s="1"/>
  <c r="L148" i="3" s="1"/>
  <c r="AB165" i="3"/>
  <c r="AA165" i="3"/>
  <c r="Z165" i="3"/>
  <c r="X165" i="3"/>
  <c r="W165" i="3"/>
  <c r="Y165" i="3" s="1"/>
  <c r="I148" i="3" s="1"/>
  <c r="U165" i="3"/>
  <c r="T165" i="3"/>
  <c r="O165" i="3"/>
  <c r="P165" i="3" s="1"/>
  <c r="N165" i="3"/>
  <c r="M165" i="3"/>
  <c r="L165" i="3"/>
  <c r="K165" i="3"/>
  <c r="F165" i="3"/>
  <c r="E165" i="3"/>
  <c r="G165" i="3" s="1"/>
  <c r="C148" i="3" s="1"/>
  <c r="D165" i="3"/>
  <c r="C165" i="3"/>
  <c r="B165" i="3"/>
  <c r="T159" i="3"/>
  <c r="Q159" i="3"/>
  <c r="P159" i="3"/>
  <c r="O159" i="3"/>
  <c r="L159" i="3"/>
  <c r="T158" i="3"/>
  <c r="Q158" i="3"/>
  <c r="P158" i="3"/>
  <c r="O158" i="3"/>
  <c r="L158" i="3"/>
  <c r="T157" i="3"/>
  <c r="R157" i="3"/>
  <c r="Q157" i="3"/>
  <c r="P157" i="3"/>
  <c r="O157" i="3"/>
  <c r="N157" i="3"/>
  <c r="M157" i="3"/>
  <c r="L157" i="3"/>
  <c r="I157" i="3"/>
  <c r="T156" i="3"/>
  <c r="S156" i="3"/>
  <c r="Q156" i="3"/>
  <c r="P156" i="3"/>
  <c r="O156" i="3"/>
  <c r="M156" i="3"/>
  <c r="U156" i="3" s="1"/>
  <c r="L156" i="3"/>
  <c r="E156" i="3"/>
  <c r="B156" i="3"/>
  <c r="T155" i="3"/>
  <c r="R155" i="3"/>
  <c r="Q155" i="3"/>
  <c r="P155" i="3"/>
  <c r="O155" i="3"/>
  <c r="N155" i="3"/>
  <c r="M155" i="3"/>
  <c r="L155" i="3"/>
  <c r="I155" i="3"/>
  <c r="E155" i="3"/>
  <c r="AK154" i="3"/>
  <c r="T154" i="3"/>
  <c r="S154" i="3"/>
  <c r="Q154" i="3"/>
  <c r="U154" i="3" s="1"/>
  <c r="P154" i="3"/>
  <c r="O154" i="3"/>
  <c r="N154" i="3"/>
  <c r="L154" i="3"/>
  <c r="F154" i="3"/>
  <c r="C154" i="3"/>
  <c r="B154" i="3"/>
  <c r="AK153" i="3"/>
  <c r="T153" i="3"/>
  <c r="S153" i="3"/>
  <c r="R153" i="3"/>
  <c r="Q153" i="3"/>
  <c r="P153" i="3"/>
  <c r="O153" i="3"/>
  <c r="M153" i="3"/>
  <c r="L153" i="3"/>
  <c r="E153" i="3"/>
  <c r="C153" i="3"/>
  <c r="AN152" i="3"/>
  <c r="AK152" i="3"/>
  <c r="S152" i="3"/>
  <c r="Q152" i="3"/>
  <c r="P152" i="3"/>
  <c r="O152" i="3"/>
  <c r="I152" i="3"/>
  <c r="F152" i="3"/>
  <c r="B152" i="3"/>
  <c r="AK151" i="3"/>
  <c r="T151" i="3"/>
  <c r="Q151" i="3"/>
  <c r="P151" i="3"/>
  <c r="O151" i="3"/>
  <c r="M151" i="3"/>
  <c r="L151" i="3"/>
  <c r="F151" i="3"/>
  <c r="E151" i="3"/>
  <c r="AK150" i="3"/>
  <c r="S150" i="3"/>
  <c r="Q150" i="3"/>
  <c r="P150" i="3"/>
  <c r="O150" i="3"/>
  <c r="F150" i="3"/>
  <c r="E150" i="3"/>
  <c r="C150" i="3"/>
  <c r="B150" i="3"/>
  <c r="AK149" i="3"/>
  <c r="T149" i="3"/>
  <c r="Q149" i="3"/>
  <c r="P149" i="3"/>
  <c r="O149" i="3"/>
  <c r="M149" i="3"/>
  <c r="L149" i="3"/>
  <c r="E149" i="3"/>
  <c r="AK148" i="3"/>
  <c r="Q148" i="3"/>
  <c r="P148" i="3"/>
  <c r="O148" i="3"/>
  <c r="J148" i="3"/>
  <c r="F148" i="3"/>
  <c r="E148" i="3"/>
  <c r="B148" i="3"/>
  <c r="AW141" i="3"/>
  <c r="AT141" i="3"/>
  <c r="AQ141" i="3"/>
  <c r="AN141" i="3"/>
  <c r="AM141" i="3"/>
  <c r="AL141" i="3"/>
  <c r="AK141" i="3"/>
  <c r="AH141" i="3"/>
  <c r="AE141" i="3"/>
  <c r="AA141" i="3"/>
  <c r="AB141" i="3" s="1"/>
  <c r="Z141" i="3"/>
  <c r="Y141" i="3"/>
  <c r="V141" i="3"/>
  <c r="R141" i="3"/>
  <c r="S141" i="3" s="1"/>
  <c r="Q141" i="3"/>
  <c r="O141" i="3"/>
  <c r="P141" i="3" s="1"/>
  <c r="N141" i="3"/>
  <c r="M141" i="3"/>
  <c r="L141" i="3"/>
  <c r="K141" i="3"/>
  <c r="J141" i="3"/>
  <c r="G141" i="3"/>
  <c r="C141" i="3"/>
  <c r="D141" i="3" s="1"/>
  <c r="B141" i="3"/>
  <c r="AW140" i="3"/>
  <c r="AT140" i="3"/>
  <c r="AQ140" i="3"/>
  <c r="AN140" i="3"/>
  <c r="AM140" i="3"/>
  <c r="AL140" i="3"/>
  <c r="AK140" i="3"/>
  <c r="AH140" i="3"/>
  <c r="AE140" i="3"/>
  <c r="AA140" i="3"/>
  <c r="Z140" i="3"/>
  <c r="AB140" i="3" s="1"/>
  <c r="Y140" i="3"/>
  <c r="V140" i="3"/>
  <c r="R140" i="3"/>
  <c r="Q140" i="3"/>
  <c r="S140" i="3" s="1"/>
  <c r="O140" i="3"/>
  <c r="N140" i="3"/>
  <c r="P140" i="3" s="1"/>
  <c r="L140" i="3"/>
  <c r="K140" i="3"/>
  <c r="M140" i="3" s="1"/>
  <c r="J140" i="3"/>
  <c r="G140" i="3"/>
  <c r="C140" i="3"/>
  <c r="B140" i="3"/>
  <c r="D140" i="3" s="1"/>
  <c r="AW139" i="3"/>
  <c r="AT139" i="3"/>
  <c r="AQ139" i="3"/>
  <c r="AN139" i="3"/>
  <c r="AM139" i="3"/>
  <c r="AL139" i="3"/>
  <c r="AK139" i="3"/>
  <c r="AH139" i="3"/>
  <c r="AE139" i="3"/>
  <c r="AA139" i="3"/>
  <c r="AB139" i="3" s="1"/>
  <c r="Z139" i="3"/>
  <c r="Y139" i="3"/>
  <c r="V139" i="3"/>
  <c r="R139" i="3"/>
  <c r="S139" i="3" s="1"/>
  <c r="Q139" i="3"/>
  <c r="O139" i="3"/>
  <c r="P139" i="3" s="1"/>
  <c r="N139" i="3"/>
  <c r="M139" i="3"/>
  <c r="L139" i="3"/>
  <c r="K139" i="3"/>
  <c r="J139" i="3"/>
  <c r="G139" i="3"/>
  <c r="D139" i="3"/>
  <c r="AW138" i="3"/>
  <c r="AT138" i="3"/>
  <c r="AQ138" i="3"/>
  <c r="AN138" i="3"/>
  <c r="AM138" i="3"/>
  <c r="AL138" i="3"/>
  <c r="AK138" i="3"/>
  <c r="AH138" i="3"/>
  <c r="AE138" i="3"/>
  <c r="AA138" i="3"/>
  <c r="AA174" i="3" s="1"/>
  <c r="Z138" i="3"/>
  <c r="Z174" i="3" s="1"/>
  <c r="AB174" i="3" s="1"/>
  <c r="J157" i="3" s="1"/>
  <c r="Y138" i="3"/>
  <c r="V138" i="3"/>
  <c r="R138" i="3"/>
  <c r="R174" i="3" s="1"/>
  <c r="Q138" i="3"/>
  <c r="Q174" i="3" s="1"/>
  <c r="S174" i="3" s="1"/>
  <c r="O138" i="3"/>
  <c r="O174" i="3" s="1"/>
  <c r="N138" i="3"/>
  <c r="P138" i="3" s="1"/>
  <c r="L138" i="3"/>
  <c r="M138" i="3" s="1"/>
  <c r="K138" i="3"/>
  <c r="K174" i="3" s="1"/>
  <c r="J138" i="3"/>
  <c r="G138" i="3"/>
  <c r="D138" i="3"/>
  <c r="AW137" i="3"/>
  <c r="AT137" i="3"/>
  <c r="AQ137" i="3"/>
  <c r="AN137" i="3"/>
  <c r="AM137" i="3"/>
  <c r="AL137" i="3"/>
  <c r="AK137" i="3"/>
  <c r="AH137" i="3"/>
  <c r="AE137" i="3"/>
  <c r="AA137" i="3"/>
  <c r="AA173" i="3" s="1"/>
  <c r="Z137" i="3"/>
  <c r="AB137" i="3" s="1"/>
  <c r="Y137" i="3"/>
  <c r="V137" i="3"/>
  <c r="R137" i="3"/>
  <c r="R173" i="3" s="1"/>
  <c r="Q137" i="3"/>
  <c r="O137" i="3"/>
  <c r="O173" i="3" s="1"/>
  <c r="N137" i="3"/>
  <c r="N173" i="3" s="1"/>
  <c r="P173" i="3" s="1"/>
  <c r="L137" i="3"/>
  <c r="L173" i="3" s="1"/>
  <c r="K137" i="3"/>
  <c r="K173" i="3" s="1"/>
  <c r="M173" i="3" s="1"/>
  <c r="J137" i="3"/>
  <c r="G137" i="3"/>
  <c r="D137" i="3"/>
  <c r="AW136" i="3"/>
  <c r="AT136" i="3"/>
  <c r="AS136" i="3"/>
  <c r="AR136" i="3"/>
  <c r="AP136" i="3"/>
  <c r="AO136" i="3"/>
  <c r="AQ136" i="3" s="1"/>
  <c r="AN136" i="3"/>
  <c r="AM136" i="3"/>
  <c r="AL136" i="3"/>
  <c r="AJ136" i="3"/>
  <c r="AI136" i="3"/>
  <c r="AK136" i="3" s="1"/>
  <c r="AG136" i="3"/>
  <c r="AF136" i="3"/>
  <c r="AH136" i="3" s="1"/>
  <c r="AD136" i="3"/>
  <c r="AE136" i="3" s="1"/>
  <c r="AC136" i="3"/>
  <c r="Y136" i="3"/>
  <c r="X136" i="3"/>
  <c r="W136" i="3"/>
  <c r="V136" i="3"/>
  <c r="U136" i="3"/>
  <c r="T136" i="3"/>
  <c r="O136" i="3"/>
  <c r="N136" i="3"/>
  <c r="P136" i="3" s="1"/>
  <c r="L136" i="3"/>
  <c r="K136" i="3"/>
  <c r="M136" i="3" s="1"/>
  <c r="I136" i="3"/>
  <c r="H136" i="3"/>
  <c r="F136" i="3"/>
  <c r="G136" i="3" s="1"/>
  <c r="E136" i="3"/>
  <c r="C136" i="3"/>
  <c r="D136" i="3" s="1"/>
  <c r="B136" i="3"/>
  <c r="AW135" i="3"/>
  <c r="AS135" i="3"/>
  <c r="AR135" i="3"/>
  <c r="AT135" i="3" s="1"/>
  <c r="AP135" i="3"/>
  <c r="AO135" i="3"/>
  <c r="AQ135" i="3" s="1"/>
  <c r="AN135" i="3"/>
  <c r="AM135" i="3"/>
  <c r="AL135" i="3"/>
  <c r="AJ135" i="3"/>
  <c r="AK135" i="3" s="1"/>
  <c r="AI135" i="3"/>
  <c r="AG135" i="3"/>
  <c r="AH135" i="3" s="1"/>
  <c r="AF135" i="3"/>
  <c r="AE135" i="3"/>
  <c r="AD135" i="3"/>
  <c r="AC135" i="3"/>
  <c r="X135" i="3"/>
  <c r="W135" i="3"/>
  <c r="Y135" i="3" s="1"/>
  <c r="U135" i="3"/>
  <c r="T135" i="3"/>
  <c r="V135" i="3" s="1"/>
  <c r="R135" i="3"/>
  <c r="Q135" i="3"/>
  <c r="S135" i="3" s="1"/>
  <c r="O135" i="3"/>
  <c r="N135" i="3"/>
  <c r="P135" i="3" s="1"/>
  <c r="L135" i="3"/>
  <c r="M135" i="3" s="1"/>
  <c r="K135" i="3"/>
  <c r="I135" i="3"/>
  <c r="J135" i="3" s="1"/>
  <c r="H135" i="3"/>
  <c r="G135" i="3"/>
  <c r="F135" i="3"/>
  <c r="E135" i="3"/>
  <c r="D135" i="3"/>
  <c r="C135" i="3"/>
  <c r="B135" i="3"/>
  <c r="AW134" i="3"/>
  <c r="AS134" i="3"/>
  <c r="AR134" i="3"/>
  <c r="AP134" i="3"/>
  <c r="AQ134" i="3" s="1"/>
  <c r="AO134" i="3"/>
  <c r="AN134" i="3"/>
  <c r="AM134" i="3"/>
  <c r="AL134" i="3"/>
  <c r="AK134" i="3"/>
  <c r="AJ134" i="3"/>
  <c r="AI134" i="3"/>
  <c r="AH134" i="3"/>
  <c r="AG134" i="3"/>
  <c r="AF134" i="3"/>
  <c r="AD134" i="3"/>
  <c r="AC134" i="3"/>
  <c r="AE134" i="3" s="1"/>
  <c r="X134" i="3"/>
  <c r="W134" i="3"/>
  <c r="Y134" i="3" s="1"/>
  <c r="U134" i="3"/>
  <c r="T134" i="3"/>
  <c r="V134" i="3" s="1"/>
  <c r="R134" i="3"/>
  <c r="O134" i="3"/>
  <c r="P134" i="3" s="1"/>
  <c r="N134" i="3"/>
  <c r="M134" i="3"/>
  <c r="L134" i="3"/>
  <c r="K134" i="3"/>
  <c r="J134" i="3"/>
  <c r="I134" i="3"/>
  <c r="H134" i="3"/>
  <c r="F134" i="3"/>
  <c r="E134" i="3"/>
  <c r="G134" i="3" s="1"/>
  <c r="C134" i="3"/>
  <c r="B134" i="3"/>
  <c r="D134" i="3" s="1"/>
  <c r="AW133" i="3"/>
  <c r="AS133" i="3"/>
  <c r="AT133" i="3" s="1"/>
  <c r="AR133" i="3"/>
  <c r="AQ133" i="3"/>
  <c r="AP133" i="3"/>
  <c r="AO133" i="3"/>
  <c r="AN133" i="3"/>
  <c r="AM133" i="3"/>
  <c r="AL133" i="3"/>
  <c r="AJ133" i="3"/>
  <c r="AI133" i="3"/>
  <c r="AK133" i="3" s="1"/>
  <c r="AG133" i="3"/>
  <c r="AF133" i="3"/>
  <c r="AH133" i="3" s="1"/>
  <c r="AD133" i="3"/>
  <c r="AC133" i="3"/>
  <c r="AE133" i="3" s="1"/>
  <c r="X133" i="3"/>
  <c r="Y133" i="3" s="1"/>
  <c r="W133" i="3"/>
  <c r="U133" i="3"/>
  <c r="V133" i="3" s="1"/>
  <c r="T133" i="3"/>
  <c r="Q133" i="3"/>
  <c r="P133" i="3"/>
  <c r="O133" i="3"/>
  <c r="N133" i="3"/>
  <c r="L133" i="3"/>
  <c r="K133" i="3"/>
  <c r="M133" i="3" s="1"/>
  <c r="I133" i="3"/>
  <c r="H133" i="3"/>
  <c r="J133" i="3" s="1"/>
  <c r="F133" i="3"/>
  <c r="E133" i="3"/>
  <c r="G133" i="3" s="1"/>
  <c r="C133" i="3"/>
  <c r="B133" i="3"/>
  <c r="D133" i="3" s="1"/>
  <c r="AW132" i="3"/>
  <c r="AT132" i="3"/>
  <c r="AS132" i="3"/>
  <c r="AR132" i="3"/>
  <c r="AP132" i="3"/>
  <c r="AO132" i="3"/>
  <c r="AQ132" i="3" s="1"/>
  <c r="AN132" i="3"/>
  <c r="AM132" i="3"/>
  <c r="AL132" i="3"/>
  <c r="AJ132" i="3"/>
  <c r="AI132" i="3"/>
  <c r="AK132" i="3" s="1"/>
  <c r="AG132" i="3"/>
  <c r="AF132" i="3"/>
  <c r="AH132" i="3" s="1"/>
  <c r="AD132" i="3"/>
  <c r="AE132" i="3" s="1"/>
  <c r="AC132" i="3"/>
  <c r="Y132" i="3"/>
  <c r="X132" i="3"/>
  <c r="W132" i="3"/>
  <c r="V132" i="3"/>
  <c r="U132" i="3"/>
  <c r="T132" i="3"/>
  <c r="S132" i="3"/>
  <c r="R132" i="3"/>
  <c r="Q132" i="3"/>
  <c r="O132" i="3"/>
  <c r="N132" i="3"/>
  <c r="P132" i="3" s="1"/>
  <c r="L132" i="3"/>
  <c r="K132" i="3"/>
  <c r="M132" i="3" s="1"/>
  <c r="I132" i="3"/>
  <c r="H132" i="3"/>
  <c r="F132" i="3"/>
  <c r="G132" i="3" s="1"/>
  <c r="E132" i="3"/>
  <c r="C132" i="3"/>
  <c r="D132" i="3" s="1"/>
  <c r="B132" i="3"/>
  <c r="AW131" i="3"/>
  <c r="AS131" i="3"/>
  <c r="AR131" i="3"/>
  <c r="AT131" i="3" s="1"/>
  <c r="AP131" i="3"/>
  <c r="AO131" i="3"/>
  <c r="AQ131" i="3" s="1"/>
  <c r="AN131" i="3"/>
  <c r="AM131" i="3"/>
  <c r="AL131" i="3"/>
  <c r="AJ131" i="3"/>
  <c r="AK131" i="3" s="1"/>
  <c r="AI131" i="3"/>
  <c r="AG131" i="3"/>
  <c r="AH131" i="3" s="1"/>
  <c r="AF131" i="3"/>
  <c r="AE131" i="3"/>
  <c r="AD131" i="3"/>
  <c r="AC131" i="3"/>
  <c r="X131" i="3"/>
  <c r="W131" i="3"/>
  <c r="Y131" i="3" s="1"/>
  <c r="I68" i="3" s="1"/>
  <c r="U131" i="3"/>
  <c r="T131" i="3"/>
  <c r="V131" i="3" s="1"/>
  <c r="O131" i="3"/>
  <c r="N131" i="3"/>
  <c r="L131" i="3"/>
  <c r="M131" i="3" s="1"/>
  <c r="K131" i="3"/>
  <c r="I131" i="3"/>
  <c r="J131" i="3" s="1"/>
  <c r="H131" i="3"/>
  <c r="G131" i="3"/>
  <c r="F131" i="3"/>
  <c r="E131" i="3"/>
  <c r="D131" i="3"/>
  <c r="C131" i="3"/>
  <c r="B131" i="3"/>
  <c r="AW130" i="3"/>
  <c r="AS130" i="3"/>
  <c r="AR130" i="3"/>
  <c r="AT130" i="3" s="1"/>
  <c r="AP130" i="3"/>
  <c r="AQ130" i="3" s="1"/>
  <c r="AO130" i="3"/>
  <c r="AN130" i="3"/>
  <c r="AM130" i="3"/>
  <c r="AL130" i="3"/>
  <c r="AK130" i="3"/>
  <c r="AJ130" i="3"/>
  <c r="AI130" i="3"/>
  <c r="AH130" i="3"/>
  <c r="AG130" i="3"/>
  <c r="AF130" i="3"/>
  <c r="AD130" i="3"/>
  <c r="AC130" i="3"/>
  <c r="AE130" i="3" s="1"/>
  <c r="L67" i="3" s="1"/>
  <c r="X130" i="3"/>
  <c r="W130" i="3"/>
  <c r="Y130" i="3" s="1"/>
  <c r="U130" i="3"/>
  <c r="T130" i="3"/>
  <c r="R130" i="3"/>
  <c r="S130" i="3" s="1"/>
  <c r="Q130" i="3"/>
  <c r="O130" i="3"/>
  <c r="P130" i="3" s="1"/>
  <c r="N130" i="3"/>
  <c r="M130" i="3"/>
  <c r="L130" i="3"/>
  <c r="K130" i="3"/>
  <c r="J130" i="3"/>
  <c r="I130" i="3"/>
  <c r="H130" i="3"/>
  <c r="G130" i="3"/>
  <c r="F130" i="3"/>
  <c r="E130" i="3"/>
  <c r="C130" i="3"/>
  <c r="B130" i="3"/>
  <c r="D130" i="3" s="1"/>
  <c r="AW129" i="3"/>
  <c r="AT129" i="3"/>
  <c r="AQ129" i="3"/>
  <c r="AN129" i="3"/>
  <c r="AM129" i="3"/>
  <c r="AL129" i="3"/>
  <c r="AK129" i="3"/>
  <c r="AH129" i="3"/>
  <c r="AE129" i="3"/>
  <c r="AA129" i="3"/>
  <c r="Z129" i="3"/>
  <c r="Y129" i="3"/>
  <c r="V129" i="3"/>
  <c r="R129" i="3"/>
  <c r="Q129" i="3"/>
  <c r="O129" i="3"/>
  <c r="P129" i="3" s="1"/>
  <c r="N129" i="3"/>
  <c r="M129" i="3"/>
  <c r="L129" i="3"/>
  <c r="K129" i="3"/>
  <c r="J129" i="3"/>
  <c r="G129" i="3"/>
  <c r="D129" i="3"/>
  <c r="AW128" i="3"/>
  <c r="AT128" i="3"/>
  <c r="AQ128" i="3"/>
  <c r="AN128" i="3"/>
  <c r="AM128" i="3"/>
  <c r="AL128" i="3"/>
  <c r="AK128" i="3"/>
  <c r="AH128" i="3"/>
  <c r="AE128" i="3"/>
  <c r="AA128" i="3"/>
  <c r="AA171" i="3" s="1"/>
  <c r="Z128" i="3"/>
  <c r="AB128" i="3" s="1"/>
  <c r="Y128" i="3"/>
  <c r="V128" i="3"/>
  <c r="R128" i="3"/>
  <c r="Q128" i="3"/>
  <c r="S128" i="3" s="1"/>
  <c r="O128" i="3"/>
  <c r="N128" i="3"/>
  <c r="P128" i="3" s="1"/>
  <c r="L128" i="3"/>
  <c r="K128" i="3"/>
  <c r="M128" i="3" s="1"/>
  <c r="J128" i="3"/>
  <c r="G128" i="3"/>
  <c r="D128" i="3"/>
  <c r="AW127" i="3"/>
  <c r="AT127" i="3"/>
  <c r="AQ127" i="3"/>
  <c r="AN127" i="3"/>
  <c r="AM127" i="3"/>
  <c r="AL127" i="3"/>
  <c r="AK127" i="3"/>
  <c r="AH127" i="3"/>
  <c r="AE127" i="3"/>
  <c r="AA127" i="3"/>
  <c r="Z127" i="3"/>
  <c r="AB127" i="3" s="1"/>
  <c r="Y127" i="3"/>
  <c r="V127" i="3"/>
  <c r="S127" i="3"/>
  <c r="R127" i="3"/>
  <c r="Q127" i="3"/>
  <c r="O127" i="3"/>
  <c r="N127" i="3"/>
  <c r="P127" i="3" s="1"/>
  <c r="L127" i="3"/>
  <c r="K127" i="3"/>
  <c r="J127" i="3"/>
  <c r="G127" i="3"/>
  <c r="D127" i="3"/>
  <c r="AW126" i="3"/>
  <c r="AT126" i="3"/>
  <c r="AQ126" i="3"/>
  <c r="AN126" i="3"/>
  <c r="AM126" i="3"/>
  <c r="AL126" i="3"/>
  <c r="AK126" i="3"/>
  <c r="AH126" i="3"/>
  <c r="AE126" i="3"/>
  <c r="AA126" i="3"/>
  <c r="Z126" i="3"/>
  <c r="AB126" i="3" s="1"/>
  <c r="J63" i="3" s="1"/>
  <c r="Y126" i="3"/>
  <c r="V126" i="3"/>
  <c r="S126" i="3"/>
  <c r="R126" i="3"/>
  <c r="Q126" i="3"/>
  <c r="O126" i="3"/>
  <c r="N126" i="3"/>
  <c r="P126" i="3" s="1"/>
  <c r="L126" i="3"/>
  <c r="K126" i="3"/>
  <c r="M126" i="3" s="1"/>
  <c r="J126" i="3"/>
  <c r="G126" i="3"/>
  <c r="D126" i="3"/>
  <c r="AW125" i="3"/>
  <c r="AT125" i="3"/>
  <c r="AQ125" i="3"/>
  <c r="AN125" i="3"/>
  <c r="AM125" i="3"/>
  <c r="AL125" i="3"/>
  <c r="AK125" i="3"/>
  <c r="AH125" i="3"/>
  <c r="AE125" i="3"/>
  <c r="AB125" i="3"/>
  <c r="AA125" i="3"/>
  <c r="Z125" i="3"/>
  <c r="Y125" i="3"/>
  <c r="V125" i="3"/>
  <c r="R125" i="3"/>
  <c r="S125" i="3" s="1"/>
  <c r="Q125" i="3"/>
  <c r="P125" i="3"/>
  <c r="O125" i="3"/>
  <c r="N125" i="3"/>
  <c r="M125" i="3"/>
  <c r="L125" i="3"/>
  <c r="K125" i="3"/>
  <c r="J125" i="3"/>
  <c r="G125" i="3"/>
  <c r="D125" i="3"/>
  <c r="AW124" i="3"/>
  <c r="AT124" i="3"/>
  <c r="AQ124" i="3"/>
  <c r="AN124" i="3"/>
  <c r="AM124" i="3"/>
  <c r="AL124" i="3"/>
  <c r="AK124" i="3"/>
  <c r="AH124" i="3"/>
  <c r="AE124" i="3"/>
  <c r="AA124" i="3"/>
  <c r="AA170" i="3" s="1"/>
  <c r="Z124" i="3"/>
  <c r="Z170" i="3" s="1"/>
  <c r="AB170" i="3" s="1"/>
  <c r="J153" i="3" s="1"/>
  <c r="Y124" i="3"/>
  <c r="V124" i="3"/>
  <c r="R124" i="3"/>
  <c r="Q124" i="3"/>
  <c r="O124" i="3"/>
  <c r="N124" i="3"/>
  <c r="L124" i="3"/>
  <c r="M124" i="3" s="1"/>
  <c r="K124" i="3"/>
  <c r="J124" i="3"/>
  <c r="G124" i="3"/>
  <c r="D124" i="3"/>
  <c r="AW123" i="3"/>
  <c r="AT123" i="3"/>
  <c r="AQ123" i="3"/>
  <c r="AN123" i="3"/>
  <c r="AM123" i="3"/>
  <c r="AL123" i="3"/>
  <c r="AK123" i="3"/>
  <c r="AH123" i="3"/>
  <c r="AE123" i="3"/>
  <c r="AA123" i="3"/>
  <c r="Z123" i="3"/>
  <c r="AB123" i="3" s="1"/>
  <c r="Y123" i="3"/>
  <c r="V123" i="3"/>
  <c r="S123" i="3"/>
  <c r="R123" i="3"/>
  <c r="Q123" i="3"/>
  <c r="O123" i="3"/>
  <c r="N123" i="3"/>
  <c r="L123" i="3"/>
  <c r="K123" i="3"/>
  <c r="M123" i="3" s="1"/>
  <c r="J123" i="3"/>
  <c r="G123" i="3"/>
  <c r="D123" i="3"/>
  <c r="AW122" i="3"/>
  <c r="AT122" i="3"/>
  <c r="AQ122" i="3"/>
  <c r="AN122" i="3"/>
  <c r="AM122" i="3"/>
  <c r="AL122" i="3"/>
  <c r="AK122" i="3"/>
  <c r="AH122" i="3"/>
  <c r="AE122" i="3"/>
  <c r="AB122" i="3"/>
  <c r="AA122" i="3"/>
  <c r="AA136" i="3" s="1"/>
  <c r="Z122" i="3"/>
  <c r="Y122" i="3"/>
  <c r="V122" i="3"/>
  <c r="R122" i="3"/>
  <c r="S122" i="3" s="1"/>
  <c r="Q122" i="3"/>
  <c r="P122" i="3"/>
  <c r="O122" i="3"/>
  <c r="N122" i="3"/>
  <c r="M122" i="3"/>
  <c r="L122" i="3"/>
  <c r="K122" i="3"/>
  <c r="J122" i="3"/>
  <c r="G122" i="3"/>
  <c r="D122" i="3"/>
  <c r="AW121" i="3"/>
  <c r="AT121" i="3"/>
  <c r="AQ121" i="3"/>
  <c r="AN121" i="3"/>
  <c r="AM121" i="3"/>
  <c r="AL121" i="3"/>
  <c r="AK121" i="3"/>
  <c r="AH121" i="3"/>
  <c r="AE121" i="3"/>
  <c r="AA121" i="3"/>
  <c r="AB121" i="3" s="1"/>
  <c r="Z121" i="3"/>
  <c r="Y121" i="3"/>
  <c r="V121" i="3"/>
  <c r="R121" i="3"/>
  <c r="S121" i="3" s="1"/>
  <c r="Q121" i="3"/>
  <c r="O121" i="3"/>
  <c r="P121" i="3" s="1"/>
  <c r="N121" i="3"/>
  <c r="L121" i="3"/>
  <c r="M121" i="3" s="1"/>
  <c r="K121" i="3"/>
  <c r="J121" i="3"/>
  <c r="G121" i="3"/>
  <c r="D121" i="3"/>
  <c r="AW120" i="3"/>
  <c r="AT120" i="3"/>
  <c r="AQ120" i="3"/>
  <c r="AN120" i="3"/>
  <c r="AM120" i="3"/>
  <c r="AL120" i="3"/>
  <c r="AK120" i="3"/>
  <c r="AH120" i="3"/>
  <c r="AE120" i="3"/>
  <c r="AA120" i="3"/>
  <c r="Z120" i="3"/>
  <c r="Y120" i="3"/>
  <c r="V120" i="3"/>
  <c r="S120" i="3"/>
  <c r="R120" i="3"/>
  <c r="Q120" i="3"/>
  <c r="O120" i="3"/>
  <c r="N120" i="3"/>
  <c r="L120" i="3"/>
  <c r="M120" i="3" s="1"/>
  <c r="K120" i="3"/>
  <c r="J120" i="3"/>
  <c r="G120" i="3"/>
  <c r="D120" i="3"/>
  <c r="AW119" i="3"/>
  <c r="AT119" i="3"/>
  <c r="AQ119" i="3"/>
  <c r="AN119" i="3"/>
  <c r="AM119" i="3"/>
  <c r="AL119" i="3"/>
  <c r="AK119" i="3"/>
  <c r="AH119" i="3"/>
  <c r="AE119" i="3"/>
  <c r="AA119" i="3"/>
  <c r="Z119" i="3"/>
  <c r="AB119" i="3" s="1"/>
  <c r="Y119" i="3"/>
  <c r="V119" i="3"/>
  <c r="R119" i="3"/>
  <c r="Q119" i="3"/>
  <c r="S119" i="3" s="1"/>
  <c r="O119" i="3"/>
  <c r="N119" i="3"/>
  <c r="P119" i="3" s="1"/>
  <c r="L119" i="3"/>
  <c r="K119" i="3"/>
  <c r="M119" i="3" s="1"/>
  <c r="J119" i="3"/>
  <c r="G119" i="3"/>
  <c r="D119" i="3"/>
  <c r="AW118" i="3"/>
  <c r="AT118" i="3"/>
  <c r="AQ118" i="3"/>
  <c r="AN118" i="3"/>
  <c r="AM118" i="3"/>
  <c r="AL118" i="3"/>
  <c r="AK118" i="3"/>
  <c r="AH118" i="3"/>
  <c r="AE118" i="3"/>
  <c r="AA118" i="3"/>
  <c r="AA132" i="3" s="1"/>
  <c r="Z118" i="3"/>
  <c r="Z132" i="3" s="1"/>
  <c r="Y118" i="3"/>
  <c r="V118" i="3"/>
  <c r="S118" i="3"/>
  <c r="R118" i="3"/>
  <c r="Q118" i="3"/>
  <c r="O118" i="3"/>
  <c r="N118" i="3"/>
  <c r="P118" i="3" s="1"/>
  <c r="L118" i="3"/>
  <c r="K118" i="3"/>
  <c r="M118" i="3" s="1"/>
  <c r="J118" i="3"/>
  <c r="G118" i="3"/>
  <c r="D118" i="3"/>
  <c r="AW117" i="3"/>
  <c r="AT117" i="3"/>
  <c r="AQ117" i="3"/>
  <c r="AN117" i="3"/>
  <c r="AM117" i="3"/>
  <c r="AL117" i="3"/>
  <c r="AK117" i="3"/>
  <c r="AH117" i="3"/>
  <c r="AE117" i="3"/>
  <c r="AB117" i="3"/>
  <c r="AA117" i="3"/>
  <c r="Z117" i="3"/>
  <c r="Y117" i="3"/>
  <c r="V117" i="3"/>
  <c r="R117" i="3"/>
  <c r="S117" i="3" s="1"/>
  <c r="Q117" i="3"/>
  <c r="P117" i="3"/>
  <c r="O117" i="3"/>
  <c r="N117" i="3"/>
  <c r="M117" i="3"/>
  <c r="L117" i="3"/>
  <c r="K117" i="3"/>
  <c r="J117" i="3"/>
  <c r="G117" i="3"/>
  <c r="D117" i="3"/>
  <c r="AW116" i="3"/>
  <c r="AT116" i="3"/>
  <c r="AQ116" i="3"/>
  <c r="AN116" i="3"/>
  <c r="AM116" i="3"/>
  <c r="AL116" i="3"/>
  <c r="AK116" i="3"/>
  <c r="AH116" i="3"/>
  <c r="AE116" i="3"/>
  <c r="AA116" i="3"/>
  <c r="AB116" i="3" s="1"/>
  <c r="J53" i="3" s="1"/>
  <c r="Z116" i="3"/>
  <c r="Y116" i="3"/>
  <c r="V116" i="3"/>
  <c r="R116" i="3"/>
  <c r="Q116" i="3"/>
  <c r="S116" i="3" s="1"/>
  <c r="O116" i="3"/>
  <c r="N116" i="3"/>
  <c r="P116" i="3" s="1"/>
  <c r="L116" i="3"/>
  <c r="M116" i="3" s="1"/>
  <c r="K116" i="3"/>
  <c r="J116" i="3"/>
  <c r="G116" i="3"/>
  <c r="D116" i="3"/>
  <c r="AW115" i="3"/>
  <c r="AT115" i="3"/>
  <c r="AQ115" i="3"/>
  <c r="AN115" i="3"/>
  <c r="AM115" i="3"/>
  <c r="AL115" i="3"/>
  <c r="AK115" i="3"/>
  <c r="AH115" i="3"/>
  <c r="AE115" i="3"/>
  <c r="AA115" i="3"/>
  <c r="Z115" i="3"/>
  <c r="Z176" i="3" s="1"/>
  <c r="Y115" i="3"/>
  <c r="V115" i="3"/>
  <c r="R115" i="3"/>
  <c r="Q115" i="3"/>
  <c r="S115" i="3" s="1"/>
  <c r="O115" i="3"/>
  <c r="N115" i="3"/>
  <c r="P115" i="3" s="1"/>
  <c r="L115" i="3"/>
  <c r="K115" i="3"/>
  <c r="M115" i="3" s="1"/>
  <c r="J115" i="3"/>
  <c r="G115" i="3"/>
  <c r="D115" i="3"/>
  <c r="AW114" i="3"/>
  <c r="AT114" i="3"/>
  <c r="AQ114" i="3"/>
  <c r="AN114" i="3"/>
  <c r="AM114" i="3"/>
  <c r="AL114" i="3"/>
  <c r="AK114" i="3"/>
  <c r="AH114" i="3"/>
  <c r="AE114" i="3"/>
  <c r="AA114" i="3"/>
  <c r="Z114" i="3"/>
  <c r="Z130" i="3" s="1"/>
  <c r="Y114" i="3"/>
  <c r="V114" i="3"/>
  <c r="S114" i="3"/>
  <c r="R114" i="3"/>
  <c r="Q114" i="3"/>
  <c r="O114" i="3"/>
  <c r="N114" i="3"/>
  <c r="P114" i="3" s="1"/>
  <c r="L114" i="3"/>
  <c r="K114" i="3"/>
  <c r="M114" i="3" s="1"/>
  <c r="J114" i="3"/>
  <c r="G114" i="3"/>
  <c r="D114" i="3"/>
  <c r="AW113" i="3"/>
  <c r="AT113" i="3"/>
  <c r="AQ113" i="3"/>
  <c r="AN113" i="3"/>
  <c r="AM113" i="3"/>
  <c r="AL113" i="3"/>
  <c r="AK113" i="3"/>
  <c r="AH113" i="3"/>
  <c r="AE113" i="3"/>
  <c r="AB113" i="3"/>
  <c r="AA113" i="3"/>
  <c r="Z113" i="3"/>
  <c r="Y113" i="3"/>
  <c r="V113" i="3"/>
  <c r="R113" i="3"/>
  <c r="S113" i="3" s="1"/>
  <c r="Q113" i="3"/>
  <c r="P113" i="3"/>
  <c r="O113" i="3"/>
  <c r="N113" i="3"/>
  <c r="M113" i="3"/>
  <c r="L113" i="3"/>
  <c r="K113" i="3"/>
  <c r="J113" i="3"/>
  <c r="G113" i="3"/>
  <c r="D113" i="3"/>
  <c r="AW112" i="3"/>
  <c r="AT112" i="3"/>
  <c r="AQ112" i="3"/>
  <c r="AN112" i="3"/>
  <c r="AM112" i="3"/>
  <c r="AL112" i="3"/>
  <c r="AK112" i="3"/>
  <c r="AH112" i="3"/>
  <c r="AE112" i="3"/>
  <c r="AA112" i="3"/>
  <c r="Z112" i="3"/>
  <c r="Y112" i="3"/>
  <c r="V112" i="3"/>
  <c r="R112" i="3"/>
  <c r="Q112" i="3"/>
  <c r="S112" i="3" s="1"/>
  <c r="O112" i="3"/>
  <c r="N112" i="3"/>
  <c r="P112" i="3" s="1"/>
  <c r="L112" i="3"/>
  <c r="M112" i="3" s="1"/>
  <c r="K112" i="3"/>
  <c r="J112" i="3"/>
  <c r="G112" i="3"/>
  <c r="D112" i="3"/>
  <c r="AW111" i="3"/>
  <c r="AT111" i="3"/>
  <c r="AQ111" i="3"/>
  <c r="AN111" i="3"/>
  <c r="AM111" i="3"/>
  <c r="AL111" i="3"/>
  <c r="AK111" i="3"/>
  <c r="AH111" i="3"/>
  <c r="AE111" i="3"/>
  <c r="AA111" i="3"/>
  <c r="Z111" i="3"/>
  <c r="Y111" i="3"/>
  <c r="V111" i="3"/>
  <c r="R111" i="3"/>
  <c r="Q111" i="3"/>
  <c r="S111" i="3" s="1"/>
  <c r="O111" i="3"/>
  <c r="N111" i="3"/>
  <c r="P111" i="3" s="1"/>
  <c r="L111" i="3"/>
  <c r="K111" i="3"/>
  <c r="M111" i="3" s="1"/>
  <c r="J111" i="3"/>
  <c r="G111" i="3"/>
  <c r="D111" i="3"/>
  <c r="AW110" i="3"/>
  <c r="AT110" i="3"/>
  <c r="AQ110" i="3"/>
  <c r="AN110" i="3"/>
  <c r="AM110" i="3"/>
  <c r="AL110" i="3"/>
  <c r="AK110" i="3"/>
  <c r="AH110" i="3"/>
  <c r="AE110" i="3"/>
  <c r="AA110" i="3"/>
  <c r="Z110" i="3"/>
  <c r="Z166" i="3" s="1"/>
  <c r="Y110" i="3"/>
  <c r="V110" i="3"/>
  <c r="S110" i="3"/>
  <c r="R110" i="3"/>
  <c r="Q110" i="3"/>
  <c r="O110" i="3"/>
  <c r="N110" i="3"/>
  <c r="P110" i="3" s="1"/>
  <c r="L110" i="3"/>
  <c r="K110" i="3"/>
  <c r="M110" i="3" s="1"/>
  <c r="J110" i="3"/>
  <c r="G110" i="3"/>
  <c r="D110" i="3"/>
  <c r="AW109" i="3"/>
  <c r="AT109" i="3"/>
  <c r="AQ109" i="3"/>
  <c r="AH109" i="3"/>
  <c r="AE109" i="3"/>
  <c r="AB109" i="3"/>
  <c r="Y109" i="3"/>
  <c r="V109" i="3"/>
  <c r="S109" i="3"/>
  <c r="P109" i="3"/>
  <c r="M109" i="3"/>
  <c r="J109" i="3"/>
  <c r="D109" i="3"/>
  <c r="AW108" i="3"/>
  <c r="AT108" i="3"/>
  <c r="AQ108" i="3"/>
  <c r="AN108" i="3"/>
  <c r="AM108" i="3"/>
  <c r="AL108" i="3"/>
  <c r="AK108" i="3"/>
  <c r="AH108" i="3"/>
  <c r="AE108" i="3"/>
  <c r="AB108" i="3"/>
  <c r="Y108" i="3"/>
  <c r="V108" i="3"/>
  <c r="R108" i="3"/>
  <c r="Q108" i="3"/>
  <c r="S108" i="3" s="1"/>
  <c r="P108" i="3"/>
  <c r="O108" i="3"/>
  <c r="N108" i="3"/>
  <c r="L108" i="3"/>
  <c r="K108" i="3"/>
  <c r="M108" i="3" s="1"/>
  <c r="I108" i="3"/>
  <c r="I165" i="3" s="1"/>
  <c r="H108" i="3"/>
  <c r="H165" i="3" s="1"/>
  <c r="G108" i="3"/>
  <c r="D108" i="3"/>
  <c r="AW107" i="3"/>
  <c r="AT107" i="3"/>
  <c r="AQ107" i="3"/>
  <c r="AH107" i="3"/>
  <c r="AE107" i="3"/>
  <c r="Y107" i="3"/>
  <c r="V107" i="3"/>
  <c r="S107" i="3"/>
  <c r="P107" i="3"/>
  <c r="M107" i="3"/>
  <c r="J107" i="3"/>
  <c r="D107" i="3"/>
  <c r="AW106" i="3"/>
  <c r="AT106" i="3"/>
  <c r="S43" i="3" s="1"/>
  <c r="AQ106" i="3"/>
  <c r="AK106" i="3"/>
  <c r="AH106" i="3"/>
  <c r="AE106" i="3"/>
  <c r="AB106" i="3"/>
  <c r="Y106" i="3"/>
  <c r="V106" i="3"/>
  <c r="S106" i="3"/>
  <c r="P106" i="3"/>
  <c r="M106" i="3"/>
  <c r="I106" i="3"/>
  <c r="H106" i="3"/>
  <c r="J106" i="3" s="1"/>
  <c r="D43" i="3" s="1"/>
  <c r="G106" i="3"/>
  <c r="D106" i="3"/>
  <c r="AW105" i="3"/>
  <c r="AT105" i="3"/>
  <c r="AQ105" i="3"/>
  <c r="AK105" i="3"/>
  <c r="AH105" i="3"/>
  <c r="AE105" i="3"/>
  <c r="Z105" i="3"/>
  <c r="V105" i="3"/>
  <c r="S105" i="3"/>
  <c r="P105" i="3"/>
  <c r="M105" i="3"/>
  <c r="J105" i="3"/>
  <c r="D42" i="3" s="1"/>
  <c r="G105" i="3"/>
  <c r="D105" i="3"/>
  <c r="AW104" i="3"/>
  <c r="AT104" i="3"/>
  <c r="AQ104" i="3"/>
  <c r="AK104" i="3"/>
  <c r="AH104" i="3"/>
  <c r="AE104" i="3"/>
  <c r="L41" i="3" s="1"/>
  <c r="AB104" i="3"/>
  <c r="Y104" i="3"/>
  <c r="V104" i="3"/>
  <c r="S104" i="3"/>
  <c r="P104" i="3"/>
  <c r="M104" i="3"/>
  <c r="J104" i="3"/>
  <c r="D104" i="3"/>
  <c r="AW103" i="3"/>
  <c r="AT103" i="3"/>
  <c r="AQ103" i="3"/>
  <c r="AK103" i="3"/>
  <c r="AH103" i="3"/>
  <c r="AE103" i="3"/>
  <c r="AB103" i="3"/>
  <c r="Y103" i="3"/>
  <c r="V103" i="3"/>
  <c r="S103" i="3"/>
  <c r="P103" i="3"/>
  <c r="M103" i="3"/>
  <c r="J103" i="3"/>
  <c r="D103" i="3"/>
  <c r="AW102" i="3"/>
  <c r="AT102" i="3"/>
  <c r="AQ102" i="3"/>
  <c r="AK102" i="3"/>
  <c r="AH102" i="3"/>
  <c r="AE102" i="3"/>
  <c r="AB102" i="3"/>
  <c r="Y102" i="3"/>
  <c r="V102" i="3"/>
  <c r="S102" i="3"/>
  <c r="P102" i="3"/>
  <c r="M102" i="3"/>
  <c r="I102" i="3"/>
  <c r="H102" i="3"/>
  <c r="J102" i="3" s="1"/>
  <c r="D102" i="3"/>
  <c r="AW101" i="3"/>
  <c r="AT101" i="3"/>
  <c r="AQ101" i="3"/>
  <c r="AK101" i="3"/>
  <c r="AJ101" i="3"/>
  <c r="AI101" i="3"/>
  <c r="AH101" i="3"/>
  <c r="M38" i="3" s="1"/>
  <c r="AE101" i="3"/>
  <c r="AB101" i="3"/>
  <c r="V101" i="3"/>
  <c r="S101" i="3"/>
  <c r="P101" i="3"/>
  <c r="M101" i="3"/>
  <c r="I101" i="3"/>
  <c r="J101" i="3" s="1"/>
  <c r="H101" i="3"/>
  <c r="G101" i="3"/>
  <c r="D101" i="3"/>
  <c r="AW100" i="3"/>
  <c r="AT100" i="3"/>
  <c r="AQ100" i="3"/>
  <c r="AK100" i="3"/>
  <c r="AH100" i="3"/>
  <c r="AE100" i="3"/>
  <c r="AB100" i="3"/>
  <c r="Y100" i="3"/>
  <c r="V100" i="3"/>
  <c r="S100" i="3"/>
  <c r="P100" i="3"/>
  <c r="M100" i="3"/>
  <c r="I100" i="3"/>
  <c r="H100" i="3"/>
  <c r="J100" i="3" s="1"/>
  <c r="D37" i="3" s="1"/>
  <c r="G100" i="3"/>
  <c r="D100" i="3"/>
  <c r="AW99" i="3"/>
  <c r="T36" i="3" s="1"/>
  <c r="U36" i="3" s="1"/>
  <c r="AT99" i="3"/>
  <c r="AQ99" i="3"/>
  <c r="AK99" i="3"/>
  <c r="AH99" i="3"/>
  <c r="AE99" i="3"/>
  <c r="Y99" i="3"/>
  <c r="V99" i="3"/>
  <c r="S99" i="3"/>
  <c r="P99" i="3"/>
  <c r="M99" i="3"/>
  <c r="I99" i="3"/>
  <c r="H99" i="3"/>
  <c r="J99" i="3" s="1"/>
  <c r="D99" i="3"/>
  <c r="AW98" i="3"/>
  <c r="AT98" i="3"/>
  <c r="S35" i="3" s="1"/>
  <c r="AQ98" i="3"/>
  <c r="AK98" i="3"/>
  <c r="AG98" i="3"/>
  <c r="AF98" i="3"/>
  <c r="AH98" i="3" s="1"/>
  <c r="AE98" i="3"/>
  <c r="AB98" i="3"/>
  <c r="Y98" i="3"/>
  <c r="I35" i="3" s="1"/>
  <c r="V98" i="3"/>
  <c r="S98" i="3"/>
  <c r="P98" i="3"/>
  <c r="M98" i="3"/>
  <c r="J98" i="3"/>
  <c r="D98" i="3"/>
  <c r="AW97" i="3"/>
  <c r="AT97" i="3"/>
  <c r="AQ97" i="3"/>
  <c r="AH97" i="3"/>
  <c r="AE97" i="3"/>
  <c r="AB97" i="3"/>
  <c r="Y97" i="3"/>
  <c r="V97" i="3"/>
  <c r="S97" i="3"/>
  <c r="P97" i="3"/>
  <c r="M97" i="3"/>
  <c r="J97" i="3"/>
  <c r="E97" i="3"/>
  <c r="D97" i="3"/>
  <c r="AW96" i="3"/>
  <c r="AT96" i="3"/>
  <c r="AQ96" i="3"/>
  <c r="AH96" i="3"/>
  <c r="AE96" i="3"/>
  <c r="AB96" i="3"/>
  <c r="Y96" i="3"/>
  <c r="V96" i="3"/>
  <c r="S96" i="3"/>
  <c r="P96" i="3"/>
  <c r="M96" i="3"/>
  <c r="J96" i="3"/>
  <c r="E96" i="3"/>
  <c r="D96" i="3"/>
  <c r="AW95" i="3"/>
  <c r="AT95" i="3"/>
  <c r="AQ95" i="3"/>
  <c r="AK95" i="3"/>
  <c r="AG95" i="3"/>
  <c r="AG89" i="3" s="1"/>
  <c r="AF95" i="3"/>
  <c r="AE95" i="3"/>
  <c r="AB95" i="3"/>
  <c r="Y95" i="3"/>
  <c r="V95" i="3"/>
  <c r="S95" i="3"/>
  <c r="P95" i="3"/>
  <c r="M95" i="3"/>
  <c r="J95" i="3"/>
  <c r="I95" i="3"/>
  <c r="H95" i="3"/>
  <c r="D95" i="3"/>
  <c r="AW94" i="3"/>
  <c r="AT94" i="3"/>
  <c r="S31" i="3" s="1"/>
  <c r="AQ94" i="3"/>
  <c r="AJ94" i="3"/>
  <c r="AK94" i="3" s="1"/>
  <c r="N31" i="3" s="1"/>
  <c r="AI94" i="3"/>
  <c r="AH94" i="3"/>
  <c r="AE94" i="3"/>
  <c r="T94" i="3"/>
  <c r="S94" i="3"/>
  <c r="P94" i="3"/>
  <c r="M94" i="3"/>
  <c r="I94" i="3"/>
  <c r="H94" i="3"/>
  <c r="H91" i="3" s="1"/>
  <c r="G94" i="3"/>
  <c r="D94" i="3"/>
  <c r="AW93" i="3"/>
  <c r="T30" i="3" s="1"/>
  <c r="AS93" i="3"/>
  <c r="AR93" i="3"/>
  <c r="AT93" i="3" s="1"/>
  <c r="AP93" i="3"/>
  <c r="AO93" i="3"/>
  <c r="AQ93" i="3" s="1"/>
  <c r="R30" i="3" s="1"/>
  <c r="AJ93" i="3"/>
  <c r="AK93" i="3" s="1"/>
  <c r="N30" i="3" s="1"/>
  <c r="AI93" i="3"/>
  <c r="AE93" i="3"/>
  <c r="AD93" i="3"/>
  <c r="AC93" i="3"/>
  <c r="AB93" i="3"/>
  <c r="J30" i="3" s="1"/>
  <c r="Y93" i="3"/>
  <c r="V93" i="3"/>
  <c r="S93" i="3"/>
  <c r="P93" i="3"/>
  <c r="M93" i="3"/>
  <c r="I93" i="3"/>
  <c r="H93" i="3"/>
  <c r="J93" i="3" s="1"/>
  <c r="D30" i="3" s="1"/>
  <c r="C93" i="3"/>
  <c r="B93" i="3"/>
  <c r="D93" i="3" s="1"/>
  <c r="B30" i="3" s="1"/>
  <c r="AW92" i="3"/>
  <c r="AT92" i="3"/>
  <c r="S29" i="3" s="1"/>
  <c r="AS92" i="3"/>
  <c r="AR92" i="3"/>
  <c r="AP92" i="3"/>
  <c r="AO92" i="3"/>
  <c r="AQ92" i="3" s="1"/>
  <c r="R29" i="3" s="1"/>
  <c r="AJ92" i="3"/>
  <c r="AI92" i="3"/>
  <c r="AK92" i="3" s="1"/>
  <c r="AG92" i="3"/>
  <c r="AD92" i="3"/>
  <c r="AC92" i="3"/>
  <c r="AE92" i="3" s="1"/>
  <c r="L29" i="3" s="1"/>
  <c r="T92" i="3"/>
  <c r="S92" i="3"/>
  <c r="P92" i="3"/>
  <c r="M92" i="3"/>
  <c r="I92" i="3"/>
  <c r="H92" i="3"/>
  <c r="J92" i="3" s="1"/>
  <c r="D29" i="3" s="1"/>
  <c r="C92" i="3"/>
  <c r="B92" i="3"/>
  <c r="D92" i="3" s="1"/>
  <c r="B29" i="3" s="1"/>
  <c r="AW91" i="3"/>
  <c r="AT91" i="3"/>
  <c r="AS91" i="3"/>
  <c r="AR91" i="3"/>
  <c r="AQ91" i="3"/>
  <c r="AP91" i="3"/>
  <c r="AO91" i="3"/>
  <c r="AJ91" i="3"/>
  <c r="AI91" i="3"/>
  <c r="AK91" i="3" s="1"/>
  <c r="N28" i="3" s="1"/>
  <c r="AG91" i="3"/>
  <c r="AH91" i="3" s="1"/>
  <c r="M28" i="3" s="1"/>
  <c r="AF91" i="3"/>
  <c r="AD91" i="3"/>
  <c r="AE91" i="3" s="1"/>
  <c r="L28" i="3" s="1"/>
  <c r="AC91" i="3"/>
  <c r="Z91" i="3"/>
  <c r="W91" i="3"/>
  <c r="T91" i="3"/>
  <c r="O91" i="3"/>
  <c r="L91" i="3"/>
  <c r="I91" i="3"/>
  <c r="G91" i="3"/>
  <c r="C91" i="3"/>
  <c r="B91" i="3"/>
  <c r="D91" i="3" s="1"/>
  <c r="AW90" i="3"/>
  <c r="AS90" i="3"/>
  <c r="AT90" i="3" s="1"/>
  <c r="S27" i="3" s="1"/>
  <c r="AR90" i="3"/>
  <c r="AP90" i="3"/>
  <c r="AQ90" i="3" s="1"/>
  <c r="AO90" i="3"/>
  <c r="AN90" i="3"/>
  <c r="AL90" i="3"/>
  <c r="AK90" i="3"/>
  <c r="N27" i="3" s="1"/>
  <c r="AI90" i="3"/>
  <c r="AD90" i="3"/>
  <c r="AC90" i="3"/>
  <c r="AE90" i="3" s="1"/>
  <c r="L27" i="3" s="1"/>
  <c r="U90" i="3"/>
  <c r="C90" i="3"/>
  <c r="B90" i="3"/>
  <c r="D90" i="3" s="1"/>
  <c r="AW89" i="3"/>
  <c r="AT89" i="3"/>
  <c r="AQ89" i="3"/>
  <c r="AN89" i="3"/>
  <c r="AM89" i="3"/>
  <c r="AL89" i="3"/>
  <c r="AJ89" i="3"/>
  <c r="AJ90" i="3" s="1"/>
  <c r="AI89" i="3"/>
  <c r="AE89" i="3"/>
  <c r="Z89" i="3"/>
  <c r="Z94" i="3" s="1"/>
  <c r="X89" i="3"/>
  <c r="X90" i="3" s="1"/>
  <c r="W89" i="3"/>
  <c r="W90" i="3" s="1"/>
  <c r="Y90" i="3" s="1"/>
  <c r="I27" i="3" s="1"/>
  <c r="U89" i="3"/>
  <c r="T89" i="3"/>
  <c r="T90" i="3" s="1"/>
  <c r="P89" i="3"/>
  <c r="O89" i="3"/>
  <c r="O90" i="3" s="1"/>
  <c r="N89" i="3"/>
  <c r="N90" i="3" s="1"/>
  <c r="M89" i="3"/>
  <c r="L89" i="3"/>
  <c r="L90" i="3" s="1"/>
  <c r="K89" i="3"/>
  <c r="K91" i="3" s="1"/>
  <c r="M91" i="3" s="1"/>
  <c r="I89" i="3"/>
  <c r="I90" i="3" s="1"/>
  <c r="H89" i="3"/>
  <c r="H90" i="3" s="1"/>
  <c r="F89" i="3"/>
  <c r="F98" i="3" s="1"/>
  <c r="E89" i="3"/>
  <c r="E98" i="3" s="1"/>
  <c r="G98" i="3" s="1"/>
  <c r="C35" i="3" s="1"/>
  <c r="K35" i="3" s="1"/>
  <c r="D89" i="3"/>
  <c r="AW88" i="3"/>
  <c r="AS88" i="3"/>
  <c r="AR88" i="3"/>
  <c r="AT88" i="3" s="1"/>
  <c r="AP88" i="3"/>
  <c r="AO88" i="3"/>
  <c r="AQ88" i="3" s="1"/>
  <c r="R25" i="3" s="1"/>
  <c r="AN88" i="3"/>
  <c r="AM88" i="3"/>
  <c r="AL88" i="3"/>
  <c r="AJ88" i="3"/>
  <c r="AI88" i="3"/>
  <c r="AK88" i="3" s="1"/>
  <c r="N25" i="3" s="1"/>
  <c r="AG88" i="3"/>
  <c r="AE88" i="3"/>
  <c r="W88" i="3"/>
  <c r="N88" i="3"/>
  <c r="L88" i="3"/>
  <c r="C88" i="3"/>
  <c r="B88" i="3"/>
  <c r="D88" i="3" s="1"/>
  <c r="B25" i="3" s="1"/>
  <c r="AW87" i="3"/>
  <c r="AS87" i="3"/>
  <c r="AT87" i="3" s="1"/>
  <c r="S24" i="3" s="1"/>
  <c r="AR87" i="3"/>
  <c r="AP87" i="3"/>
  <c r="AQ87" i="3" s="1"/>
  <c r="R24" i="3" s="1"/>
  <c r="AO87" i="3"/>
  <c r="AN87" i="3"/>
  <c r="AM87" i="3"/>
  <c r="AL87" i="3"/>
  <c r="AK87" i="3"/>
  <c r="N24" i="3" s="1"/>
  <c r="AJ87" i="3"/>
  <c r="AI87" i="3"/>
  <c r="AE87" i="3"/>
  <c r="C87" i="3"/>
  <c r="AW86" i="3"/>
  <c r="AT86" i="3"/>
  <c r="AQ86" i="3"/>
  <c r="AN86" i="3"/>
  <c r="AM86" i="3"/>
  <c r="AL86" i="3"/>
  <c r="AK86" i="3"/>
  <c r="N23" i="3" s="1"/>
  <c r="AH86" i="3"/>
  <c r="AE86" i="3"/>
  <c r="X86" i="3"/>
  <c r="W86" i="3"/>
  <c r="U86" i="3"/>
  <c r="AA86" i="3" s="1"/>
  <c r="T86" i="3"/>
  <c r="V86" i="3" s="1"/>
  <c r="R86" i="3"/>
  <c r="O86" i="3"/>
  <c r="P86" i="3" s="1"/>
  <c r="N86" i="3"/>
  <c r="L86" i="3"/>
  <c r="M86" i="3" s="1"/>
  <c r="K86" i="3"/>
  <c r="J86" i="3"/>
  <c r="I86" i="3"/>
  <c r="H86" i="3"/>
  <c r="G86" i="3"/>
  <c r="F86" i="3"/>
  <c r="E86" i="3"/>
  <c r="C86" i="3"/>
  <c r="B86" i="3"/>
  <c r="B87" i="3" s="1"/>
  <c r="AW85" i="3"/>
  <c r="AT85" i="3"/>
  <c r="AQ85" i="3"/>
  <c r="R22" i="3" s="1"/>
  <c r="AN85" i="3"/>
  <c r="AM85" i="3"/>
  <c r="AL85" i="3"/>
  <c r="AK85" i="3"/>
  <c r="AH85" i="3"/>
  <c r="AE85" i="3"/>
  <c r="AA85" i="3"/>
  <c r="X85" i="3"/>
  <c r="Y85" i="3" s="1"/>
  <c r="I22" i="3" s="1"/>
  <c r="W85" i="3"/>
  <c r="W87" i="3" s="1"/>
  <c r="V85" i="3"/>
  <c r="U85" i="3"/>
  <c r="T85" i="3"/>
  <c r="T87" i="3" s="1"/>
  <c r="S85" i="3"/>
  <c r="R85" i="3"/>
  <c r="Q85" i="3"/>
  <c r="O85" i="3"/>
  <c r="N85" i="3"/>
  <c r="P85" i="3" s="1"/>
  <c r="L85" i="3"/>
  <c r="K85" i="3"/>
  <c r="M85" i="3" s="1"/>
  <c r="I85" i="3"/>
  <c r="I88" i="3" s="1"/>
  <c r="H85" i="3"/>
  <c r="J85" i="3" s="1"/>
  <c r="F85" i="3"/>
  <c r="F87" i="3" s="1"/>
  <c r="E85" i="3"/>
  <c r="D85" i="3"/>
  <c r="U78" i="3"/>
  <c r="T78" i="3"/>
  <c r="S78" i="3"/>
  <c r="R78" i="3"/>
  <c r="Q78" i="3"/>
  <c r="P78" i="3"/>
  <c r="O78" i="3"/>
  <c r="M78" i="3"/>
  <c r="L78" i="3"/>
  <c r="J78" i="3"/>
  <c r="I78" i="3"/>
  <c r="H78" i="3"/>
  <c r="G78" i="3"/>
  <c r="F78" i="3"/>
  <c r="E78" i="3"/>
  <c r="C78" i="3"/>
  <c r="K78" i="3" s="1"/>
  <c r="B78" i="3"/>
  <c r="T77" i="3"/>
  <c r="U77" i="3" s="1"/>
  <c r="S77" i="3"/>
  <c r="R77" i="3"/>
  <c r="Q77" i="3"/>
  <c r="P77" i="3"/>
  <c r="O77" i="3"/>
  <c r="M77" i="3"/>
  <c r="L77" i="3"/>
  <c r="J77" i="3"/>
  <c r="I77" i="3"/>
  <c r="H77" i="3"/>
  <c r="G77" i="3"/>
  <c r="F77" i="3"/>
  <c r="E77" i="3"/>
  <c r="D77" i="3"/>
  <c r="C77" i="3"/>
  <c r="K77" i="3" s="1"/>
  <c r="B77" i="3"/>
  <c r="T76" i="3"/>
  <c r="S76" i="3"/>
  <c r="R76" i="3"/>
  <c r="Q76" i="3"/>
  <c r="P76" i="3"/>
  <c r="O76" i="3"/>
  <c r="N76" i="3"/>
  <c r="M76" i="3"/>
  <c r="U76" i="3" s="1"/>
  <c r="L76" i="3"/>
  <c r="J76" i="3"/>
  <c r="I76" i="3"/>
  <c r="H76" i="3"/>
  <c r="F76" i="3"/>
  <c r="E76" i="3"/>
  <c r="D76" i="3"/>
  <c r="C76" i="3"/>
  <c r="B76" i="3"/>
  <c r="T75" i="3"/>
  <c r="S75" i="3"/>
  <c r="R75" i="3"/>
  <c r="Q75" i="3"/>
  <c r="U75" i="3" s="1"/>
  <c r="P75" i="3"/>
  <c r="O75" i="3"/>
  <c r="N75" i="3"/>
  <c r="M75" i="3"/>
  <c r="L75" i="3"/>
  <c r="I75" i="3"/>
  <c r="H75" i="3"/>
  <c r="G75" i="3"/>
  <c r="F75" i="3"/>
  <c r="E75" i="3"/>
  <c r="D75" i="3"/>
  <c r="C75" i="3"/>
  <c r="B75" i="3"/>
  <c r="T74" i="3"/>
  <c r="S74" i="3"/>
  <c r="R74" i="3"/>
  <c r="Q74" i="3"/>
  <c r="P74" i="3"/>
  <c r="O74" i="3"/>
  <c r="N74" i="3"/>
  <c r="M74" i="3"/>
  <c r="U74" i="3" s="1"/>
  <c r="L74" i="3"/>
  <c r="J74" i="3"/>
  <c r="I74" i="3"/>
  <c r="H74" i="3"/>
  <c r="G74" i="3"/>
  <c r="F74" i="3"/>
  <c r="E74" i="3"/>
  <c r="D74" i="3"/>
  <c r="C74" i="3"/>
  <c r="B74" i="3"/>
  <c r="T73" i="3"/>
  <c r="S73" i="3"/>
  <c r="R73" i="3"/>
  <c r="Q73" i="3"/>
  <c r="U73" i="3" s="1"/>
  <c r="P73" i="3"/>
  <c r="O73" i="3"/>
  <c r="N73" i="3"/>
  <c r="M73" i="3"/>
  <c r="L73" i="3"/>
  <c r="I73" i="3"/>
  <c r="H73" i="3"/>
  <c r="E73" i="3"/>
  <c r="C73" i="3"/>
  <c r="B73" i="3"/>
  <c r="T72" i="3"/>
  <c r="S72" i="3"/>
  <c r="R72" i="3"/>
  <c r="Q72" i="3"/>
  <c r="P72" i="3"/>
  <c r="O72" i="3"/>
  <c r="N72" i="3"/>
  <c r="M72" i="3"/>
  <c r="U72" i="3" s="1"/>
  <c r="L72" i="3"/>
  <c r="I72" i="3"/>
  <c r="H72" i="3"/>
  <c r="F72" i="3"/>
  <c r="E72" i="3"/>
  <c r="D72" i="3"/>
  <c r="C72" i="3"/>
  <c r="B72" i="3"/>
  <c r="T71" i="3"/>
  <c r="R71" i="3"/>
  <c r="Q71" i="3"/>
  <c r="P71" i="3"/>
  <c r="O71" i="3"/>
  <c r="N71" i="3"/>
  <c r="M71" i="3"/>
  <c r="L71" i="3"/>
  <c r="I71" i="3"/>
  <c r="H71" i="3"/>
  <c r="F71" i="3"/>
  <c r="E71" i="3"/>
  <c r="D71" i="3"/>
  <c r="C71" i="3"/>
  <c r="B71" i="3"/>
  <c r="T70" i="3"/>
  <c r="S70" i="3"/>
  <c r="R70" i="3"/>
  <c r="Q70" i="3"/>
  <c r="P70" i="3"/>
  <c r="O70" i="3"/>
  <c r="N70" i="3"/>
  <c r="M70" i="3"/>
  <c r="U70" i="3" s="1"/>
  <c r="L70" i="3"/>
  <c r="I70" i="3"/>
  <c r="H70" i="3"/>
  <c r="F70" i="3"/>
  <c r="E70" i="3"/>
  <c r="D70" i="3"/>
  <c r="C70" i="3"/>
  <c r="B70" i="3"/>
  <c r="T69" i="3"/>
  <c r="S69" i="3"/>
  <c r="R69" i="3"/>
  <c r="Q69" i="3"/>
  <c r="U69" i="3" s="1"/>
  <c r="P69" i="3"/>
  <c r="O69" i="3"/>
  <c r="N69" i="3"/>
  <c r="M69" i="3"/>
  <c r="L69" i="3"/>
  <c r="I69" i="3"/>
  <c r="H69" i="3"/>
  <c r="G69" i="3"/>
  <c r="E69" i="3"/>
  <c r="C69" i="3"/>
  <c r="B69" i="3"/>
  <c r="T68" i="3"/>
  <c r="S68" i="3"/>
  <c r="R68" i="3"/>
  <c r="Q68" i="3"/>
  <c r="P68" i="3"/>
  <c r="O68" i="3"/>
  <c r="N68" i="3"/>
  <c r="M68" i="3"/>
  <c r="U68" i="3" s="1"/>
  <c r="L68" i="3"/>
  <c r="H68" i="3"/>
  <c r="F68" i="3"/>
  <c r="E68" i="3"/>
  <c r="D68" i="3"/>
  <c r="C68" i="3"/>
  <c r="B68" i="3"/>
  <c r="T67" i="3"/>
  <c r="S67" i="3"/>
  <c r="R67" i="3"/>
  <c r="Q67" i="3"/>
  <c r="U67" i="3" s="1"/>
  <c r="P67" i="3"/>
  <c r="O67" i="3"/>
  <c r="N67" i="3"/>
  <c r="M67" i="3"/>
  <c r="I67" i="3"/>
  <c r="G67" i="3"/>
  <c r="F67" i="3"/>
  <c r="E67" i="3"/>
  <c r="D67" i="3"/>
  <c r="C67" i="3"/>
  <c r="B67" i="3"/>
  <c r="T66" i="3"/>
  <c r="S66" i="3"/>
  <c r="R66" i="3"/>
  <c r="Q66" i="3"/>
  <c r="P66" i="3"/>
  <c r="O66" i="3"/>
  <c r="N66" i="3"/>
  <c r="M66" i="3"/>
  <c r="U66" i="3" s="1"/>
  <c r="L66" i="3"/>
  <c r="I66" i="3"/>
  <c r="H66" i="3"/>
  <c r="G66" i="3"/>
  <c r="F66" i="3"/>
  <c r="E66" i="3"/>
  <c r="D66" i="3"/>
  <c r="C66" i="3"/>
  <c r="B66" i="3"/>
  <c r="T65" i="3"/>
  <c r="S65" i="3"/>
  <c r="R65" i="3"/>
  <c r="Q65" i="3"/>
  <c r="U65" i="3" s="1"/>
  <c r="P65" i="3"/>
  <c r="O65" i="3"/>
  <c r="N65" i="3"/>
  <c r="M65" i="3"/>
  <c r="L65" i="3"/>
  <c r="J65" i="3"/>
  <c r="I65" i="3"/>
  <c r="H65" i="3"/>
  <c r="G65" i="3"/>
  <c r="F65" i="3"/>
  <c r="E65" i="3"/>
  <c r="D65" i="3"/>
  <c r="C65" i="3"/>
  <c r="K65" i="3" s="1"/>
  <c r="B65" i="3"/>
  <c r="T64" i="3"/>
  <c r="S64" i="3"/>
  <c r="R64" i="3"/>
  <c r="Q64" i="3"/>
  <c r="P64" i="3"/>
  <c r="O64" i="3"/>
  <c r="N64" i="3"/>
  <c r="M64" i="3"/>
  <c r="U64" i="3" s="1"/>
  <c r="L64" i="3"/>
  <c r="J64" i="3"/>
  <c r="I64" i="3"/>
  <c r="H64" i="3"/>
  <c r="G64" i="3"/>
  <c r="F64" i="3"/>
  <c r="E64" i="3"/>
  <c r="D64" i="3"/>
  <c r="C64" i="3"/>
  <c r="B64" i="3"/>
  <c r="T63" i="3"/>
  <c r="S63" i="3"/>
  <c r="R63" i="3"/>
  <c r="Q63" i="3"/>
  <c r="U63" i="3" s="1"/>
  <c r="P63" i="3"/>
  <c r="O63" i="3"/>
  <c r="N63" i="3"/>
  <c r="M63" i="3"/>
  <c r="L63" i="3"/>
  <c r="I63" i="3"/>
  <c r="H63" i="3"/>
  <c r="G63" i="3"/>
  <c r="F63" i="3"/>
  <c r="E63" i="3"/>
  <c r="D63" i="3"/>
  <c r="C63" i="3"/>
  <c r="K63" i="3" s="1"/>
  <c r="B63" i="3"/>
  <c r="T62" i="3"/>
  <c r="S62" i="3"/>
  <c r="R62" i="3"/>
  <c r="Q62" i="3"/>
  <c r="P62" i="3"/>
  <c r="O62" i="3"/>
  <c r="N62" i="3"/>
  <c r="M62" i="3"/>
  <c r="U62" i="3" s="1"/>
  <c r="L62" i="3"/>
  <c r="J62" i="3"/>
  <c r="I62" i="3"/>
  <c r="H62" i="3"/>
  <c r="G62" i="3"/>
  <c r="F62" i="3"/>
  <c r="E62" i="3"/>
  <c r="D62" i="3"/>
  <c r="C62" i="3"/>
  <c r="B62" i="3"/>
  <c r="T61" i="3"/>
  <c r="S61" i="3"/>
  <c r="R61" i="3"/>
  <c r="Q61" i="3"/>
  <c r="U61" i="3" s="1"/>
  <c r="P61" i="3"/>
  <c r="O61" i="3"/>
  <c r="N61" i="3"/>
  <c r="M61" i="3"/>
  <c r="L61" i="3"/>
  <c r="I61" i="3"/>
  <c r="H61" i="3"/>
  <c r="G61" i="3"/>
  <c r="F61" i="3"/>
  <c r="E61" i="3"/>
  <c r="D61" i="3"/>
  <c r="C61" i="3"/>
  <c r="B61" i="3"/>
  <c r="T60" i="3"/>
  <c r="S60" i="3"/>
  <c r="R60" i="3"/>
  <c r="Q60" i="3"/>
  <c r="P60" i="3"/>
  <c r="O60" i="3"/>
  <c r="N60" i="3"/>
  <c r="M60" i="3"/>
  <c r="U60" i="3" s="1"/>
  <c r="L60" i="3"/>
  <c r="J60" i="3"/>
  <c r="I60" i="3"/>
  <c r="H60" i="3"/>
  <c r="F60" i="3"/>
  <c r="E60" i="3"/>
  <c r="D60" i="3"/>
  <c r="C60" i="3"/>
  <c r="B60" i="3"/>
  <c r="T59" i="3"/>
  <c r="S59" i="3"/>
  <c r="R59" i="3"/>
  <c r="Q59" i="3"/>
  <c r="P59" i="3"/>
  <c r="O59" i="3"/>
  <c r="N59" i="3"/>
  <c r="M59" i="3"/>
  <c r="L59" i="3"/>
  <c r="J59" i="3"/>
  <c r="I59" i="3"/>
  <c r="H59" i="3"/>
  <c r="G59" i="3"/>
  <c r="F59" i="3"/>
  <c r="E59" i="3"/>
  <c r="D59" i="3"/>
  <c r="C59" i="3"/>
  <c r="K59" i="3" s="1"/>
  <c r="B59" i="3"/>
  <c r="T58" i="3"/>
  <c r="S58" i="3"/>
  <c r="R58" i="3"/>
  <c r="Q58" i="3"/>
  <c r="P58" i="3"/>
  <c r="O58" i="3"/>
  <c r="N58" i="3"/>
  <c r="M58" i="3"/>
  <c r="U58" i="3" s="1"/>
  <c r="L58" i="3"/>
  <c r="J58" i="3"/>
  <c r="I58" i="3"/>
  <c r="H58" i="3"/>
  <c r="G58" i="3"/>
  <c r="F58" i="3"/>
  <c r="E58" i="3"/>
  <c r="D58" i="3"/>
  <c r="C58" i="3"/>
  <c r="B58" i="3"/>
  <c r="T57" i="3"/>
  <c r="S57" i="3"/>
  <c r="R57" i="3"/>
  <c r="Q57" i="3"/>
  <c r="U57" i="3" s="1"/>
  <c r="P57" i="3"/>
  <c r="O57" i="3"/>
  <c r="N57" i="3"/>
  <c r="M57" i="3"/>
  <c r="L57" i="3"/>
  <c r="I57" i="3"/>
  <c r="H57" i="3"/>
  <c r="G57" i="3"/>
  <c r="F57" i="3"/>
  <c r="E57" i="3"/>
  <c r="D57" i="3"/>
  <c r="C57" i="3"/>
  <c r="B57" i="3"/>
  <c r="T56" i="3"/>
  <c r="S56" i="3"/>
  <c r="R56" i="3"/>
  <c r="Q56" i="3"/>
  <c r="P56" i="3"/>
  <c r="O56" i="3"/>
  <c r="N56" i="3"/>
  <c r="M56" i="3"/>
  <c r="U56" i="3" s="1"/>
  <c r="L56" i="3"/>
  <c r="J56" i="3"/>
  <c r="I56" i="3"/>
  <c r="H56" i="3"/>
  <c r="G56" i="3"/>
  <c r="F56" i="3"/>
  <c r="E56" i="3"/>
  <c r="D56" i="3"/>
  <c r="C56" i="3"/>
  <c r="B56" i="3"/>
  <c r="T55" i="3"/>
  <c r="S55" i="3"/>
  <c r="R55" i="3"/>
  <c r="Q55" i="3"/>
  <c r="U55" i="3" s="1"/>
  <c r="P55" i="3"/>
  <c r="O55" i="3"/>
  <c r="N55" i="3"/>
  <c r="M55" i="3"/>
  <c r="L55" i="3"/>
  <c r="I55" i="3"/>
  <c r="H55" i="3"/>
  <c r="G55" i="3"/>
  <c r="F55" i="3"/>
  <c r="E55" i="3"/>
  <c r="D55" i="3"/>
  <c r="C55" i="3"/>
  <c r="B55" i="3"/>
  <c r="T54" i="3"/>
  <c r="S54" i="3"/>
  <c r="R54" i="3"/>
  <c r="Q54" i="3"/>
  <c r="P54" i="3"/>
  <c r="O54" i="3"/>
  <c r="N54" i="3"/>
  <c r="M54" i="3"/>
  <c r="U54" i="3" s="1"/>
  <c r="L54" i="3"/>
  <c r="J54" i="3"/>
  <c r="I54" i="3"/>
  <c r="H54" i="3"/>
  <c r="G54" i="3"/>
  <c r="F54" i="3"/>
  <c r="E54" i="3"/>
  <c r="D54" i="3"/>
  <c r="C54" i="3"/>
  <c r="B54" i="3"/>
  <c r="T53" i="3"/>
  <c r="S53" i="3"/>
  <c r="R53" i="3"/>
  <c r="Q53" i="3"/>
  <c r="U53" i="3" s="1"/>
  <c r="P53" i="3"/>
  <c r="O53" i="3"/>
  <c r="N53" i="3"/>
  <c r="M53" i="3"/>
  <c r="L53" i="3"/>
  <c r="I53" i="3"/>
  <c r="H53" i="3"/>
  <c r="G53" i="3"/>
  <c r="F53" i="3"/>
  <c r="E53" i="3"/>
  <c r="D53" i="3"/>
  <c r="C53" i="3"/>
  <c r="K53" i="3" s="1"/>
  <c r="B53" i="3"/>
  <c r="T52" i="3"/>
  <c r="S52" i="3"/>
  <c r="R52" i="3"/>
  <c r="Q52" i="3"/>
  <c r="P52" i="3"/>
  <c r="O52" i="3"/>
  <c r="N52" i="3"/>
  <c r="M52" i="3"/>
  <c r="U52" i="3" s="1"/>
  <c r="L52" i="3"/>
  <c r="I52" i="3"/>
  <c r="H52" i="3"/>
  <c r="G52" i="3"/>
  <c r="F52" i="3"/>
  <c r="E52" i="3"/>
  <c r="D52" i="3"/>
  <c r="C52" i="3"/>
  <c r="B52" i="3"/>
  <c r="T51" i="3"/>
  <c r="S51" i="3"/>
  <c r="R51" i="3"/>
  <c r="Q51" i="3"/>
  <c r="U51" i="3" s="1"/>
  <c r="P51" i="3"/>
  <c r="O51" i="3"/>
  <c r="N51" i="3"/>
  <c r="M51" i="3"/>
  <c r="L51" i="3"/>
  <c r="I51" i="3"/>
  <c r="H51" i="3"/>
  <c r="G51" i="3"/>
  <c r="F51" i="3"/>
  <c r="E51" i="3"/>
  <c r="D51" i="3"/>
  <c r="C51" i="3"/>
  <c r="B51" i="3"/>
  <c r="T50" i="3"/>
  <c r="S50" i="3"/>
  <c r="R50" i="3"/>
  <c r="Q50" i="3"/>
  <c r="P50" i="3"/>
  <c r="O50" i="3"/>
  <c r="N50" i="3"/>
  <c r="M50" i="3"/>
  <c r="U50" i="3" s="1"/>
  <c r="L50" i="3"/>
  <c r="J50" i="3"/>
  <c r="I50" i="3"/>
  <c r="H50" i="3"/>
  <c r="G50" i="3"/>
  <c r="F50" i="3"/>
  <c r="E50" i="3"/>
  <c r="D50" i="3"/>
  <c r="C50" i="3"/>
  <c r="B50" i="3"/>
  <c r="T49" i="3"/>
  <c r="S49" i="3"/>
  <c r="R49" i="3"/>
  <c r="Q49" i="3"/>
  <c r="U49" i="3" s="1"/>
  <c r="P49" i="3"/>
  <c r="O49" i="3"/>
  <c r="N49" i="3"/>
  <c r="M49" i="3"/>
  <c r="L49" i="3"/>
  <c r="I49" i="3"/>
  <c r="H49" i="3"/>
  <c r="G49" i="3"/>
  <c r="F49" i="3"/>
  <c r="E49" i="3"/>
  <c r="D49" i="3"/>
  <c r="C49" i="3"/>
  <c r="B49" i="3"/>
  <c r="T48" i="3"/>
  <c r="S48" i="3"/>
  <c r="R48" i="3"/>
  <c r="Q48" i="3"/>
  <c r="P48" i="3"/>
  <c r="O48" i="3"/>
  <c r="N48" i="3"/>
  <c r="M48" i="3"/>
  <c r="U48" i="3" s="1"/>
  <c r="L48" i="3"/>
  <c r="I48" i="3"/>
  <c r="H48" i="3"/>
  <c r="G48" i="3"/>
  <c r="F48" i="3"/>
  <c r="E48" i="3"/>
  <c r="D48" i="3"/>
  <c r="C48" i="3"/>
  <c r="B48" i="3"/>
  <c r="T47" i="3"/>
  <c r="S47" i="3"/>
  <c r="R47" i="3"/>
  <c r="Q47" i="3"/>
  <c r="U47" i="3" s="1"/>
  <c r="P47" i="3"/>
  <c r="O47" i="3"/>
  <c r="N47" i="3"/>
  <c r="M47" i="3"/>
  <c r="L47" i="3"/>
  <c r="I47" i="3"/>
  <c r="H47" i="3"/>
  <c r="G47" i="3"/>
  <c r="F47" i="3"/>
  <c r="E47" i="3"/>
  <c r="D47" i="3"/>
  <c r="C47" i="3"/>
  <c r="B47" i="3"/>
  <c r="U46" i="3"/>
  <c r="T46" i="3"/>
  <c r="S46" i="3"/>
  <c r="R46" i="3"/>
  <c r="Q46" i="3"/>
  <c r="N46" i="3"/>
  <c r="M46" i="3"/>
  <c r="L46" i="3"/>
  <c r="K46" i="3"/>
  <c r="B46" i="3"/>
  <c r="T45" i="3"/>
  <c r="S45" i="3"/>
  <c r="S148" i="3" s="1"/>
  <c r="R45" i="3"/>
  <c r="R148" i="3" s="1"/>
  <c r="Q45" i="3"/>
  <c r="N45" i="3"/>
  <c r="M45" i="3"/>
  <c r="M148" i="3" s="1"/>
  <c r="L45" i="3"/>
  <c r="J45" i="3"/>
  <c r="I45" i="3"/>
  <c r="H45" i="3"/>
  <c r="G45" i="3"/>
  <c r="F45" i="3"/>
  <c r="E45" i="3"/>
  <c r="C45" i="3"/>
  <c r="B45" i="3"/>
  <c r="T44" i="3"/>
  <c r="S44" i="3"/>
  <c r="R44" i="3"/>
  <c r="M44" i="3"/>
  <c r="U44" i="3" s="1"/>
  <c r="L44" i="3"/>
  <c r="K44" i="3"/>
  <c r="B44" i="3"/>
  <c r="T43" i="3"/>
  <c r="R43" i="3"/>
  <c r="N43" i="3"/>
  <c r="U43" i="3" s="1"/>
  <c r="M43" i="3"/>
  <c r="L43" i="3"/>
  <c r="K43" i="3"/>
  <c r="J43" i="3"/>
  <c r="I43" i="3"/>
  <c r="H43" i="3"/>
  <c r="C43" i="3"/>
  <c r="B43" i="3"/>
  <c r="T42" i="3"/>
  <c r="U42" i="3" s="1"/>
  <c r="S42" i="3"/>
  <c r="R42" i="3"/>
  <c r="N42" i="3"/>
  <c r="M42" i="3"/>
  <c r="L42" i="3"/>
  <c r="H42" i="3"/>
  <c r="C42" i="3"/>
  <c r="B42" i="3"/>
  <c r="U41" i="3"/>
  <c r="T41" i="3"/>
  <c r="S41" i="3"/>
  <c r="R41" i="3"/>
  <c r="N41" i="3"/>
  <c r="M41" i="3"/>
  <c r="J41" i="3"/>
  <c r="I41" i="3"/>
  <c r="H41" i="3"/>
  <c r="D41" i="3"/>
  <c r="B41" i="3"/>
  <c r="T40" i="3"/>
  <c r="S40" i="3"/>
  <c r="R40" i="3"/>
  <c r="N40" i="3"/>
  <c r="M40" i="3"/>
  <c r="L40" i="3"/>
  <c r="K40" i="3"/>
  <c r="B40" i="3"/>
  <c r="T39" i="3"/>
  <c r="S39" i="3"/>
  <c r="R39" i="3"/>
  <c r="N39" i="3"/>
  <c r="M39" i="3"/>
  <c r="L39" i="3"/>
  <c r="K39" i="3"/>
  <c r="B39" i="3"/>
  <c r="U38" i="3"/>
  <c r="T38" i="3"/>
  <c r="S38" i="3"/>
  <c r="R38" i="3"/>
  <c r="N38" i="3"/>
  <c r="L38" i="3"/>
  <c r="J38" i="3"/>
  <c r="H38" i="3"/>
  <c r="D38" i="3"/>
  <c r="C38" i="3"/>
  <c r="B38" i="3"/>
  <c r="T37" i="3"/>
  <c r="S37" i="3"/>
  <c r="R37" i="3"/>
  <c r="N37" i="3"/>
  <c r="U37" i="3" s="1"/>
  <c r="M37" i="3"/>
  <c r="L37" i="3"/>
  <c r="J37" i="3"/>
  <c r="I37" i="3"/>
  <c r="H37" i="3"/>
  <c r="C37" i="3"/>
  <c r="K37" i="3" s="1"/>
  <c r="B37" i="3"/>
  <c r="Y36" i="3"/>
  <c r="X36" i="3"/>
  <c r="W36" i="3"/>
  <c r="Z36" i="3" s="1"/>
  <c r="AA36" i="3" s="1"/>
  <c r="S36" i="3"/>
  <c r="R36" i="3"/>
  <c r="N36" i="3"/>
  <c r="M36" i="3"/>
  <c r="L36" i="3"/>
  <c r="K36" i="3"/>
  <c r="B36" i="3"/>
  <c r="W35" i="3"/>
  <c r="T35" i="3"/>
  <c r="R35" i="3"/>
  <c r="N35" i="3"/>
  <c r="M35" i="3"/>
  <c r="U35" i="3" s="1"/>
  <c r="L35" i="3"/>
  <c r="J35" i="3"/>
  <c r="H35" i="3"/>
  <c r="D35" i="3"/>
  <c r="B35" i="3"/>
  <c r="T34" i="3"/>
  <c r="U34" i="3" s="1"/>
  <c r="S34" i="3"/>
  <c r="R34" i="3"/>
  <c r="Q34" i="3"/>
  <c r="N34" i="3"/>
  <c r="M34" i="3"/>
  <c r="L34" i="3"/>
  <c r="K34" i="3"/>
  <c r="B34" i="3"/>
  <c r="U33" i="3"/>
  <c r="T33" i="3"/>
  <c r="S33" i="3"/>
  <c r="R33" i="3"/>
  <c r="Q33" i="3"/>
  <c r="N33" i="3"/>
  <c r="M33" i="3"/>
  <c r="L33" i="3"/>
  <c r="K33" i="3"/>
  <c r="B33" i="3"/>
  <c r="T32" i="3"/>
  <c r="S32" i="3"/>
  <c r="R32" i="3"/>
  <c r="N32" i="3"/>
  <c r="L32" i="3"/>
  <c r="J32" i="3"/>
  <c r="I32" i="3"/>
  <c r="H32" i="3"/>
  <c r="D32" i="3"/>
  <c r="B32" i="3"/>
  <c r="T31" i="3"/>
  <c r="R31" i="3"/>
  <c r="M31" i="3"/>
  <c r="U31" i="3" s="1"/>
  <c r="L31" i="3"/>
  <c r="C31" i="3"/>
  <c r="B31" i="3"/>
  <c r="S30" i="3"/>
  <c r="L30" i="3"/>
  <c r="I30" i="3"/>
  <c r="H30" i="3"/>
  <c r="T29" i="3"/>
  <c r="N29" i="3"/>
  <c r="T28" i="3"/>
  <c r="S28" i="3"/>
  <c r="R28" i="3"/>
  <c r="P28" i="3"/>
  <c r="F28" i="3"/>
  <c r="C28" i="3"/>
  <c r="B28" i="3"/>
  <c r="Y27" i="3"/>
  <c r="X27" i="3"/>
  <c r="W27" i="3"/>
  <c r="T27" i="3"/>
  <c r="R27" i="3"/>
  <c r="P27" i="3"/>
  <c r="F27" i="3"/>
  <c r="B27" i="3"/>
  <c r="W26" i="3"/>
  <c r="T26" i="3"/>
  <c r="S26" i="3"/>
  <c r="R26" i="3"/>
  <c r="Q26" i="3"/>
  <c r="Q28" i="3" s="1"/>
  <c r="P26" i="3"/>
  <c r="O26" i="3"/>
  <c r="O27" i="3" s="1"/>
  <c r="L26" i="3"/>
  <c r="F26" i="3"/>
  <c r="E26" i="3"/>
  <c r="E28" i="3" s="1"/>
  <c r="B26" i="3"/>
  <c r="T25" i="3"/>
  <c r="S25" i="3"/>
  <c r="Q25" i="3"/>
  <c r="P25" i="3"/>
  <c r="O25" i="3"/>
  <c r="L25" i="3"/>
  <c r="T24" i="3"/>
  <c r="Q24" i="3"/>
  <c r="P24" i="3"/>
  <c r="O24" i="3"/>
  <c r="L24" i="3"/>
  <c r="T23" i="3"/>
  <c r="S23" i="3"/>
  <c r="R23" i="3"/>
  <c r="Q23" i="3"/>
  <c r="U23" i="3" s="1"/>
  <c r="P23" i="3"/>
  <c r="O23" i="3"/>
  <c r="M23" i="3"/>
  <c r="L23" i="3"/>
  <c r="H23" i="3"/>
  <c r="F23" i="3"/>
  <c r="E23" i="3"/>
  <c r="D23" i="3"/>
  <c r="C23" i="3"/>
  <c r="T22" i="3"/>
  <c r="U22" i="3" s="1"/>
  <c r="S22" i="3"/>
  <c r="Q22" i="3"/>
  <c r="P22" i="3"/>
  <c r="O22" i="3"/>
  <c r="N22" i="3"/>
  <c r="M22" i="3"/>
  <c r="L22" i="3"/>
  <c r="H22" i="3"/>
  <c r="G22" i="3"/>
  <c r="F22" i="3"/>
  <c r="E22" i="3"/>
  <c r="D22" i="3"/>
  <c r="B22" i="3"/>
  <c r="N14" i="3"/>
  <c r="K14" i="3"/>
  <c r="N13" i="3"/>
  <c r="K13" i="3"/>
  <c r="X11" i="3"/>
  <c r="K869" i="2"/>
  <c r="D869" i="2"/>
  <c r="K868" i="2"/>
  <c r="H868" i="2"/>
  <c r="G868" i="2"/>
  <c r="F868" i="2"/>
  <c r="D868" i="2"/>
  <c r="C868" i="2"/>
  <c r="E868" i="2" s="1"/>
  <c r="K867" i="2"/>
  <c r="G867" i="2"/>
  <c r="H867" i="2" s="1"/>
  <c r="F867" i="2"/>
  <c r="D867" i="2"/>
  <c r="E867" i="2" s="1"/>
  <c r="C867" i="2"/>
  <c r="K866" i="2"/>
  <c r="G866" i="2"/>
  <c r="G857" i="2" s="1"/>
  <c r="F866" i="2"/>
  <c r="D866" i="2"/>
  <c r="C866" i="2"/>
  <c r="C869" i="2" s="1"/>
  <c r="E869" i="2" s="1"/>
  <c r="K865" i="2"/>
  <c r="F865" i="2"/>
  <c r="K864" i="2"/>
  <c r="G864" i="2"/>
  <c r="F864" i="2"/>
  <c r="H864" i="2" s="1"/>
  <c r="D864" i="2"/>
  <c r="E864" i="2" s="1"/>
  <c r="C864" i="2"/>
  <c r="K863" i="2"/>
  <c r="G863" i="2"/>
  <c r="F863" i="2"/>
  <c r="H863" i="2" s="1"/>
  <c r="D863" i="2"/>
  <c r="C863" i="2"/>
  <c r="K862" i="2"/>
  <c r="G862" i="2"/>
  <c r="H862" i="2" s="1"/>
  <c r="F862" i="2"/>
  <c r="E862" i="2"/>
  <c r="D862" i="2"/>
  <c r="C862" i="2"/>
  <c r="K861" i="2"/>
  <c r="G861" i="2"/>
  <c r="F861" i="2"/>
  <c r="H861" i="2" s="1"/>
  <c r="D861" i="2"/>
  <c r="C861" i="2"/>
  <c r="E861" i="2" s="1"/>
  <c r="K860" i="2"/>
  <c r="H860" i="2"/>
  <c r="G860" i="2"/>
  <c r="F860" i="2"/>
  <c r="D860" i="2"/>
  <c r="C860" i="2"/>
  <c r="E860" i="2" s="1"/>
  <c r="K859" i="2"/>
  <c r="H859" i="2"/>
  <c r="G859" i="2"/>
  <c r="F859" i="2"/>
  <c r="D859" i="2"/>
  <c r="E859" i="2" s="1"/>
  <c r="C859" i="2"/>
  <c r="K858" i="2"/>
  <c r="G858" i="2"/>
  <c r="F858" i="2"/>
  <c r="D858" i="2"/>
  <c r="C858" i="2"/>
  <c r="E858" i="2" s="1"/>
  <c r="K857" i="2"/>
  <c r="F857" i="2"/>
  <c r="H857" i="2" s="1"/>
  <c r="D857" i="2"/>
  <c r="K856" i="2"/>
  <c r="G856" i="2"/>
  <c r="G865" i="2" s="1"/>
  <c r="H865" i="2" s="1"/>
  <c r="F856" i="2"/>
  <c r="E856" i="2"/>
  <c r="D856" i="2"/>
  <c r="C856" i="2"/>
  <c r="C865" i="2" s="1"/>
  <c r="K855" i="2"/>
  <c r="F855" i="2"/>
  <c r="D855" i="2"/>
  <c r="C855" i="2"/>
  <c r="K854" i="2"/>
  <c r="G854" i="2"/>
  <c r="H854" i="2" s="1"/>
  <c r="F854" i="2"/>
  <c r="D854" i="2"/>
  <c r="C854" i="2"/>
  <c r="E854" i="2" s="1"/>
  <c r="K848" i="2"/>
  <c r="H848" i="2"/>
  <c r="E848" i="2"/>
  <c r="K847" i="2"/>
  <c r="H847" i="2"/>
  <c r="E847" i="2"/>
  <c r="K846" i="2"/>
  <c r="H846" i="2"/>
  <c r="E846" i="2"/>
  <c r="K845" i="2"/>
  <c r="H845" i="2"/>
  <c r="E845" i="2"/>
  <c r="K844" i="2"/>
  <c r="H844" i="2"/>
  <c r="E844" i="2"/>
  <c r="K843" i="2"/>
  <c r="H843" i="2"/>
  <c r="G843" i="2"/>
  <c r="F843" i="2"/>
  <c r="D843" i="2"/>
  <c r="C843" i="2"/>
  <c r="E843" i="2" s="1"/>
  <c r="K842" i="2"/>
  <c r="G842" i="2"/>
  <c r="H842" i="2" s="1"/>
  <c r="F842" i="2"/>
  <c r="D842" i="2"/>
  <c r="E842" i="2" s="1"/>
  <c r="C842" i="2"/>
  <c r="K841" i="2"/>
  <c r="G841" i="2"/>
  <c r="F841" i="2"/>
  <c r="H841" i="2" s="1"/>
  <c r="E841" i="2"/>
  <c r="D841" i="2"/>
  <c r="C841" i="2"/>
  <c r="K840" i="2"/>
  <c r="G840" i="2"/>
  <c r="F840" i="2"/>
  <c r="H840" i="2" s="1"/>
  <c r="E840" i="2"/>
  <c r="D840" i="2"/>
  <c r="C840" i="2"/>
  <c r="K838" i="2"/>
  <c r="G838" i="2"/>
  <c r="F838" i="2"/>
  <c r="E838" i="2"/>
  <c r="D838" i="2"/>
  <c r="C838" i="2"/>
  <c r="K837" i="2"/>
  <c r="H837" i="2"/>
  <c r="G837" i="2"/>
  <c r="F837" i="2"/>
  <c r="D837" i="2"/>
  <c r="C837" i="2"/>
  <c r="E837" i="2" s="1"/>
  <c r="K836" i="2"/>
  <c r="G836" i="2"/>
  <c r="H836" i="2" s="1"/>
  <c r="F836" i="2"/>
  <c r="E836" i="2"/>
  <c r="D836" i="2"/>
  <c r="C836" i="2"/>
  <c r="K835" i="2"/>
  <c r="H835" i="2"/>
  <c r="E835" i="2"/>
  <c r="K834" i="2"/>
  <c r="H834" i="2"/>
  <c r="E834" i="2"/>
  <c r="K833" i="2"/>
  <c r="H833" i="2"/>
  <c r="E833" i="2"/>
  <c r="K832" i="2"/>
  <c r="H832" i="2"/>
  <c r="E832" i="2"/>
  <c r="K831" i="2"/>
  <c r="H831" i="2"/>
  <c r="E831" i="2"/>
  <c r="K830" i="2"/>
  <c r="H830" i="2"/>
  <c r="E830" i="2"/>
  <c r="K829" i="2"/>
  <c r="H829" i="2"/>
  <c r="E829" i="2"/>
  <c r="K828" i="2"/>
  <c r="H828" i="2"/>
  <c r="E828" i="2"/>
  <c r="K827" i="2"/>
  <c r="H827" i="2"/>
  <c r="E827" i="2"/>
  <c r="K826" i="2"/>
  <c r="H826" i="2"/>
  <c r="E826" i="2"/>
  <c r="K825" i="2"/>
  <c r="H825" i="2"/>
  <c r="E825" i="2"/>
  <c r="K824" i="2"/>
  <c r="H824" i="2"/>
  <c r="E824" i="2"/>
  <c r="K823" i="2"/>
  <c r="H823" i="2"/>
  <c r="E823" i="2"/>
  <c r="K822" i="2"/>
  <c r="H822" i="2"/>
  <c r="E822" i="2"/>
  <c r="K821" i="2"/>
  <c r="H821" i="2"/>
  <c r="E821" i="2"/>
  <c r="K820" i="2"/>
  <c r="H820" i="2"/>
  <c r="E820" i="2"/>
  <c r="K819" i="2"/>
  <c r="H819" i="2"/>
  <c r="E819" i="2"/>
  <c r="K818" i="2"/>
  <c r="H818" i="2"/>
  <c r="E818" i="2"/>
  <c r="K817" i="2"/>
  <c r="H817" i="2"/>
  <c r="E817" i="2"/>
  <c r="K816" i="2"/>
  <c r="H816" i="2"/>
  <c r="E816" i="2"/>
  <c r="K815" i="2"/>
  <c r="H815" i="2"/>
  <c r="E815" i="2"/>
  <c r="K814" i="2"/>
  <c r="G814" i="2"/>
  <c r="C814" i="2"/>
  <c r="K813" i="2"/>
  <c r="H813" i="2"/>
  <c r="E813" i="2"/>
  <c r="K812" i="2"/>
  <c r="G812" i="2"/>
  <c r="H812" i="2" s="1"/>
  <c r="F812" i="2"/>
  <c r="D812" i="2"/>
  <c r="C812" i="2"/>
  <c r="C809" i="2" s="1"/>
  <c r="K811" i="2"/>
  <c r="H811" i="2"/>
  <c r="G811" i="2"/>
  <c r="F811" i="2"/>
  <c r="D811" i="2"/>
  <c r="D809" i="2" s="1"/>
  <c r="C811" i="2"/>
  <c r="K810" i="2"/>
  <c r="G810" i="2"/>
  <c r="K809" i="2"/>
  <c r="H809" i="2"/>
  <c r="G809" i="2"/>
  <c r="F809" i="2"/>
  <c r="T801" i="2"/>
  <c r="S801" i="2"/>
  <c r="R801" i="2"/>
  <c r="P801" i="2"/>
  <c r="Q801" i="2" s="1"/>
  <c r="O801" i="2"/>
  <c r="N801" i="2"/>
  <c r="M801" i="2"/>
  <c r="L801" i="2"/>
  <c r="J801" i="2"/>
  <c r="I801" i="2"/>
  <c r="G801" i="2"/>
  <c r="F801" i="2"/>
  <c r="H801" i="2" s="1"/>
  <c r="D801" i="2"/>
  <c r="C801" i="2"/>
  <c r="T800" i="2"/>
  <c r="S800" i="2"/>
  <c r="R800" i="2"/>
  <c r="P800" i="2"/>
  <c r="Q800" i="2" s="1"/>
  <c r="O800" i="2"/>
  <c r="M800" i="2"/>
  <c r="L800" i="2"/>
  <c r="N800" i="2" s="1"/>
  <c r="K800" i="2"/>
  <c r="J800" i="2"/>
  <c r="I800" i="2"/>
  <c r="G800" i="2"/>
  <c r="F800" i="2"/>
  <c r="H800" i="2" s="1"/>
  <c r="D800" i="2"/>
  <c r="D790" i="2" s="1"/>
  <c r="E790" i="2" s="1"/>
  <c r="C800" i="2"/>
  <c r="T799" i="2"/>
  <c r="Q799" i="2"/>
  <c r="N799" i="2"/>
  <c r="J799" i="2"/>
  <c r="I799" i="2"/>
  <c r="K799" i="2" s="1"/>
  <c r="G799" i="2"/>
  <c r="G790" i="2" s="1"/>
  <c r="H790" i="2" s="1"/>
  <c r="F799" i="2"/>
  <c r="H799" i="2" s="1"/>
  <c r="E799" i="2"/>
  <c r="D799" i="2"/>
  <c r="C799" i="2"/>
  <c r="S796" i="2"/>
  <c r="R796" i="2"/>
  <c r="T796" i="2" s="1"/>
  <c r="Q796" i="2"/>
  <c r="P796" i="2"/>
  <c r="O796" i="2"/>
  <c r="N796" i="2"/>
  <c r="M796" i="2"/>
  <c r="L796" i="2"/>
  <c r="K796" i="2"/>
  <c r="J796" i="2"/>
  <c r="I796" i="2"/>
  <c r="I788" i="2" s="1"/>
  <c r="K788" i="2" s="1"/>
  <c r="G796" i="2"/>
  <c r="H796" i="2" s="1"/>
  <c r="F796" i="2"/>
  <c r="D796" i="2"/>
  <c r="C796" i="2"/>
  <c r="T795" i="2"/>
  <c r="Q795" i="2"/>
  <c r="N795" i="2"/>
  <c r="J795" i="2"/>
  <c r="K795" i="2" s="1"/>
  <c r="I795" i="2"/>
  <c r="G795" i="2"/>
  <c r="F795" i="2"/>
  <c r="F788" i="2" s="1"/>
  <c r="D795" i="2"/>
  <c r="D788" i="2" s="1"/>
  <c r="E788" i="2" s="1"/>
  <c r="C795" i="2"/>
  <c r="E795" i="2" s="1"/>
  <c r="T794" i="2"/>
  <c r="Q794" i="2"/>
  <c r="N794" i="2"/>
  <c r="J794" i="2"/>
  <c r="I794" i="2"/>
  <c r="K794" i="2" s="1"/>
  <c r="H794" i="2"/>
  <c r="G794" i="2"/>
  <c r="F794" i="2"/>
  <c r="D794" i="2"/>
  <c r="E794" i="2" s="1"/>
  <c r="C794" i="2"/>
  <c r="T793" i="2"/>
  <c r="Q793" i="2"/>
  <c r="N793" i="2"/>
  <c r="J793" i="2"/>
  <c r="K793" i="2" s="1"/>
  <c r="I793" i="2"/>
  <c r="G793" i="2"/>
  <c r="F793" i="2"/>
  <c r="H793" i="2" s="1"/>
  <c r="D793" i="2"/>
  <c r="C793" i="2"/>
  <c r="E793" i="2" s="1"/>
  <c r="T792" i="2"/>
  <c r="Q792" i="2"/>
  <c r="N792" i="2"/>
  <c r="J792" i="2"/>
  <c r="I792" i="2"/>
  <c r="K792" i="2" s="1"/>
  <c r="H792" i="2"/>
  <c r="G792" i="2"/>
  <c r="F792" i="2"/>
  <c r="D792" i="2"/>
  <c r="E792" i="2" s="1"/>
  <c r="C792" i="2"/>
  <c r="T791" i="2"/>
  <c r="Q791" i="2"/>
  <c r="N791" i="2"/>
  <c r="J791" i="2"/>
  <c r="K791" i="2" s="1"/>
  <c r="I791" i="2"/>
  <c r="G791" i="2"/>
  <c r="F791" i="2"/>
  <c r="H791" i="2" s="1"/>
  <c r="D791" i="2"/>
  <c r="C791" i="2"/>
  <c r="E791" i="2" s="1"/>
  <c r="T790" i="2"/>
  <c r="Q790" i="2"/>
  <c r="N790" i="2"/>
  <c r="J790" i="2"/>
  <c r="I790" i="2"/>
  <c r="K790" i="2" s="1"/>
  <c r="F790" i="2"/>
  <c r="C790" i="2"/>
  <c r="T789" i="2"/>
  <c r="Q789" i="2"/>
  <c r="N789" i="2"/>
  <c r="J789" i="2"/>
  <c r="K789" i="2" s="1"/>
  <c r="I789" i="2"/>
  <c r="G789" i="2"/>
  <c r="F789" i="2"/>
  <c r="H789" i="2" s="1"/>
  <c r="D789" i="2"/>
  <c r="E789" i="2" s="1"/>
  <c r="C789" i="2"/>
  <c r="T788" i="2"/>
  <c r="Q788" i="2"/>
  <c r="N788" i="2"/>
  <c r="J788" i="2"/>
  <c r="C788" i="2"/>
  <c r="T787" i="2"/>
  <c r="Q787" i="2"/>
  <c r="N787" i="2"/>
  <c r="J787" i="2"/>
  <c r="I787" i="2"/>
  <c r="K787" i="2" s="1"/>
  <c r="G787" i="2"/>
  <c r="F787" i="2"/>
  <c r="H787" i="2" s="1"/>
  <c r="D787" i="2"/>
  <c r="E787" i="2" s="1"/>
  <c r="C787" i="2"/>
  <c r="AL778" i="2"/>
  <c r="AL774" i="2"/>
  <c r="AL772" i="2"/>
  <c r="AL771" i="2"/>
  <c r="AL770" i="2"/>
  <c r="AL768" i="2"/>
  <c r="AL766" i="2"/>
  <c r="I693" i="2"/>
  <c r="E693" i="2"/>
  <c r="D693" i="2"/>
  <c r="C693" i="2"/>
  <c r="I692" i="2"/>
  <c r="E692" i="2"/>
  <c r="D692" i="2"/>
  <c r="C692" i="2"/>
  <c r="I691" i="2"/>
  <c r="E691" i="2"/>
  <c r="D691" i="2"/>
  <c r="C691" i="2"/>
  <c r="I690" i="2"/>
  <c r="E690" i="2"/>
  <c r="D690" i="2"/>
  <c r="C690" i="2"/>
  <c r="I689" i="2"/>
  <c r="E689" i="2"/>
  <c r="D689" i="2"/>
  <c r="C689" i="2"/>
  <c r="I688" i="2"/>
  <c r="E688" i="2"/>
  <c r="D688" i="2"/>
  <c r="C688" i="2"/>
  <c r="P679" i="2"/>
  <c r="P678" i="2"/>
  <c r="P675" i="2"/>
  <c r="P674" i="2"/>
  <c r="P673" i="2"/>
  <c r="P672" i="2"/>
  <c r="P671" i="2"/>
  <c r="P670" i="2"/>
  <c r="P669" i="2"/>
  <c r="P668" i="2"/>
  <c r="P667" i="2"/>
  <c r="P666" i="2"/>
  <c r="P665" i="2"/>
  <c r="P664" i="2"/>
  <c r="P663" i="2"/>
  <c r="P662" i="2"/>
  <c r="P661" i="2"/>
  <c r="P660" i="2"/>
  <c r="P659" i="2"/>
  <c r="P658" i="2"/>
  <c r="P657" i="2"/>
  <c r="P656" i="2"/>
  <c r="P655" i="2"/>
  <c r="P654" i="2"/>
  <c r="P653" i="2"/>
  <c r="P652" i="2"/>
  <c r="P651" i="2"/>
  <c r="P650" i="2"/>
  <c r="P649" i="2"/>
  <c r="P648" i="2"/>
  <c r="P647" i="2"/>
  <c r="P646" i="2"/>
  <c r="P645" i="2"/>
  <c r="P644" i="2"/>
  <c r="P643" i="2"/>
  <c r="P642" i="2"/>
  <c r="P641" i="2"/>
  <c r="P640" i="2"/>
  <c r="P639" i="2"/>
  <c r="P638" i="2"/>
  <c r="P637" i="2"/>
  <c r="P636" i="2"/>
  <c r="P635" i="2"/>
  <c r="P634" i="2"/>
  <c r="P633" i="2"/>
  <c r="P632" i="2"/>
  <c r="P631" i="2"/>
  <c r="P630" i="2"/>
  <c r="P629" i="2"/>
  <c r="P628" i="2"/>
  <c r="P627" i="2"/>
  <c r="P626" i="2"/>
  <c r="P625" i="2"/>
  <c r="P624" i="2"/>
  <c r="P623" i="2"/>
  <c r="P622" i="2"/>
  <c r="P621" i="2"/>
  <c r="P620" i="2"/>
  <c r="P619" i="2"/>
  <c r="P618" i="2"/>
  <c r="P617" i="2"/>
  <c r="P616" i="2"/>
  <c r="P615" i="2"/>
  <c r="P614" i="2"/>
  <c r="P613" i="2"/>
  <c r="P612" i="2"/>
  <c r="P611" i="2"/>
  <c r="P610" i="2"/>
  <c r="P609" i="2"/>
  <c r="AG603" i="2"/>
  <c r="W603" i="2"/>
  <c r="V603" i="2"/>
  <c r="U603" i="2"/>
  <c r="T603" i="2"/>
  <c r="Y603" i="2" s="1"/>
  <c r="AG602" i="2"/>
  <c r="W602" i="2"/>
  <c r="V602" i="2"/>
  <c r="U602" i="2"/>
  <c r="T602" i="2"/>
  <c r="Y602" i="2" s="1"/>
  <c r="AG601" i="2"/>
  <c r="W601" i="2"/>
  <c r="V601" i="2"/>
  <c r="U601" i="2"/>
  <c r="T601" i="2"/>
  <c r="Y601" i="2" s="1"/>
  <c r="AG600" i="2"/>
  <c r="W600" i="2"/>
  <c r="V600" i="2"/>
  <c r="U600" i="2"/>
  <c r="Y600" i="2" s="1"/>
  <c r="T600" i="2"/>
  <c r="AG599" i="2"/>
  <c r="W599" i="2"/>
  <c r="V599" i="2"/>
  <c r="U599" i="2"/>
  <c r="T599" i="2"/>
  <c r="Y599" i="2" s="1"/>
  <c r="AG598" i="2"/>
  <c r="Y598" i="2"/>
  <c r="W598" i="2"/>
  <c r="V598" i="2"/>
  <c r="U598" i="2"/>
  <c r="T598" i="2"/>
  <c r="AG597" i="2"/>
  <c r="W597" i="2"/>
  <c r="V597" i="2"/>
  <c r="U597" i="2"/>
  <c r="T597" i="2"/>
  <c r="Y597" i="2" s="1"/>
  <c r="AG596" i="2"/>
  <c r="W596" i="2"/>
  <c r="V596" i="2"/>
  <c r="U596" i="2"/>
  <c r="T596" i="2"/>
  <c r="Y596" i="2" s="1"/>
  <c r="AG595" i="2"/>
  <c r="Y595" i="2"/>
  <c r="W595" i="2"/>
  <c r="V595" i="2"/>
  <c r="U595" i="2"/>
  <c r="T595" i="2"/>
  <c r="AG594" i="2"/>
  <c r="Y594" i="2"/>
  <c r="X594" i="2" s="1"/>
  <c r="W594" i="2"/>
  <c r="V594" i="2"/>
  <c r="U594" i="2"/>
  <c r="T594" i="2"/>
  <c r="AG593" i="2"/>
  <c r="W593" i="2"/>
  <c r="V593" i="2"/>
  <c r="U593" i="2"/>
  <c r="T593" i="2"/>
  <c r="Y593" i="2" s="1"/>
  <c r="AG592" i="2"/>
  <c r="W592" i="2"/>
  <c r="V592" i="2"/>
  <c r="U592" i="2"/>
  <c r="T592" i="2"/>
  <c r="Y592" i="2" s="1"/>
  <c r="AG591" i="2"/>
  <c r="W591" i="2"/>
  <c r="V591" i="2"/>
  <c r="U591" i="2"/>
  <c r="T591" i="2"/>
  <c r="Y591" i="2" s="1"/>
  <c r="AG590" i="2"/>
  <c r="W590" i="2"/>
  <c r="V590" i="2"/>
  <c r="U590" i="2"/>
  <c r="T590" i="2"/>
  <c r="Y590" i="2" s="1"/>
  <c r="AG589" i="2"/>
  <c r="W589" i="2"/>
  <c r="V589" i="2"/>
  <c r="U589" i="2"/>
  <c r="T589" i="2"/>
  <c r="Y589" i="2" s="1"/>
  <c r="AG588" i="2"/>
  <c r="W588" i="2"/>
  <c r="V588" i="2"/>
  <c r="U588" i="2"/>
  <c r="T588" i="2"/>
  <c r="Y588" i="2" s="1"/>
  <c r="AG587" i="2"/>
  <c r="W587" i="2"/>
  <c r="V587" i="2"/>
  <c r="U587" i="2"/>
  <c r="T587" i="2"/>
  <c r="Y587" i="2" s="1"/>
  <c r="AG586" i="2"/>
  <c r="Y586" i="2"/>
  <c r="W586" i="2"/>
  <c r="V586" i="2"/>
  <c r="U586" i="2"/>
  <c r="T586" i="2"/>
  <c r="AG585" i="2"/>
  <c r="Y585" i="2"/>
  <c r="W585" i="2"/>
  <c r="V585" i="2"/>
  <c r="U585" i="2"/>
  <c r="T585" i="2"/>
  <c r="AG584" i="2"/>
  <c r="W584" i="2"/>
  <c r="V584" i="2"/>
  <c r="U584" i="2"/>
  <c r="Y584" i="2" s="1"/>
  <c r="T584" i="2"/>
  <c r="AG583" i="2"/>
  <c r="W583" i="2"/>
  <c r="V583" i="2"/>
  <c r="U583" i="2"/>
  <c r="T583" i="2"/>
  <c r="Y583" i="2" s="1"/>
  <c r="AG582" i="2"/>
  <c r="W582" i="2"/>
  <c r="V582" i="2"/>
  <c r="U582" i="2"/>
  <c r="T582" i="2"/>
  <c r="Y582" i="2" s="1"/>
  <c r="AG581" i="2"/>
  <c r="W581" i="2"/>
  <c r="V581" i="2"/>
  <c r="U581" i="2"/>
  <c r="T581" i="2"/>
  <c r="Y581" i="2" s="1"/>
  <c r="AG580" i="2"/>
  <c r="W580" i="2"/>
  <c r="V580" i="2"/>
  <c r="U580" i="2"/>
  <c r="T580" i="2"/>
  <c r="Y580" i="2" s="1"/>
  <c r="AG579" i="2"/>
  <c r="W579" i="2"/>
  <c r="V579" i="2"/>
  <c r="U579" i="2"/>
  <c r="T579" i="2"/>
  <c r="Y579" i="2" s="1"/>
  <c r="AG578" i="2"/>
  <c r="W578" i="2"/>
  <c r="V578" i="2"/>
  <c r="U578" i="2"/>
  <c r="T578" i="2"/>
  <c r="Y578" i="2" s="1"/>
  <c r="AG577" i="2"/>
  <c r="Y577" i="2"/>
  <c r="W577" i="2"/>
  <c r="V577" i="2"/>
  <c r="U577" i="2"/>
  <c r="T577" i="2"/>
  <c r="AG576" i="2"/>
  <c r="Y576" i="2"/>
  <c r="W576" i="2"/>
  <c r="V576" i="2"/>
  <c r="U576" i="2"/>
  <c r="T576" i="2"/>
  <c r="AG575" i="2"/>
  <c r="W575" i="2"/>
  <c r="V575" i="2"/>
  <c r="U575" i="2"/>
  <c r="T575" i="2"/>
  <c r="Y575" i="2" s="1"/>
  <c r="AG574" i="2"/>
  <c r="W574" i="2"/>
  <c r="V574" i="2"/>
  <c r="U574" i="2"/>
  <c r="Y574" i="2" s="1"/>
  <c r="X574" i="2" s="1"/>
  <c r="T574" i="2"/>
  <c r="AG573" i="2"/>
  <c r="W573" i="2"/>
  <c r="V573" i="2"/>
  <c r="U573" i="2"/>
  <c r="T573" i="2"/>
  <c r="Y573" i="2" s="1"/>
  <c r="AG572" i="2"/>
  <c r="W572" i="2"/>
  <c r="V572" i="2"/>
  <c r="U572" i="2"/>
  <c r="T572" i="2"/>
  <c r="Y572" i="2" s="1"/>
  <c r="AG571" i="2"/>
  <c r="W571" i="2"/>
  <c r="V571" i="2"/>
  <c r="U571" i="2"/>
  <c r="T571" i="2"/>
  <c r="Y571" i="2" s="1"/>
  <c r="AG570" i="2"/>
  <c r="W570" i="2"/>
  <c r="V570" i="2"/>
  <c r="U570" i="2"/>
  <c r="T570" i="2"/>
  <c r="Y570" i="2" s="1"/>
  <c r="AG569" i="2"/>
  <c r="W569" i="2"/>
  <c r="V569" i="2"/>
  <c r="U569" i="2"/>
  <c r="T569" i="2"/>
  <c r="Y569" i="2" s="1"/>
  <c r="AG568" i="2"/>
  <c r="Y568" i="2"/>
  <c r="W568" i="2"/>
  <c r="V568" i="2"/>
  <c r="U568" i="2"/>
  <c r="T568" i="2"/>
  <c r="AG567" i="2"/>
  <c r="Y567" i="2"/>
  <c r="W567" i="2"/>
  <c r="V567" i="2"/>
  <c r="U567" i="2"/>
  <c r="T567" i="2"/>
  <c r="AG566" i="2"/>
  <c r="W566" i="2"/>
  <c r="V566" i="2"/>
  <c r="U566" i="2"/>
  <c r="T566" i="2"/>
  <c r="Y566" i="2" s="1"/>
  <c r="AG565" i="2"/>
  <c r="W565" i="2"/>
  <c r="V565" i="2"/>
  <c r="U565" i="2"/>
  <c r="T565" i="2"/>
  <c r="Y565" i="2" s="1"/>
  <c r="AG564" i="2"/>
  <c r="Y564" i="2"/>
  <c r="W564" i="2"/>
  <c r="V564" i="2"/>
  <c r="U564" i="2"/>
  <c r="T564" i="2"/>
  <c r="AG563" i="2"/>
  <c r="W563" i="2"/>
  <c r="V563" i="2"/>
  <c r="U563" i="2"/>
  <c r="T563" i="2"/>
  <c r="Y563" i="2" s="1"/>
  <c r="AG562" i="2"/>
  <c r="W562" i="2"/>
  <c r="V562" i="2"/>
  <c r="U562" i="2"/>
  <c r="T562" i="2"/>
  <c r="Y562" i="2" s="1"/>
  <c r="AG561" i="2"/>
  <c r="W561" i="2"/>
  <c r="V561" i="2"/>
  <c r="U561" i="2"/>
  <c r="T561" i="2"/>
  <c r="Y561" i="2" s="1"/>
  <c r="AG560" i="2"/>
  <c r="W560" i="2"/>
  <c r="V560" i="2"/>
  <c r="U560" i="2"/>
  <c r="T560" i="2"/>
  <c r="Y560" i="2" s="1"/>
  <c r="AG559" i="2"/>
  <c r="W559" i="2"/>
  <c r="V559" i="2"/>
  <c r="U559" i="2"/>
  <c r="T559" i="2"/>
  <c r="Y559" i="2" s="1"/>
  <c r="X559" i="2" s="1"/>
  <c r="AG558" i="2"/>
  <c r="Y558" i="2"/>
  <c r="W558" i="2"/>
  <c r="V558" i="2"/>
  <c r="U558" i="2"/>
  <c r="T558" i="2"/>
  <c r="AG557" i="2"/>
  <c r="W557" i="2"/>
  <c r="V557" i="2"/>
  <c r="U557" i="2"/>
  <c r="T557" i="2"/>
  <c r="Y557" i="2" s="1"/>
  <c r="AG556" i="2"/>
  <c r="W556" i="2"/>
  <c r="V556" i="2"/>
  <c r="U556" i="2"/>
  <c r="T556" i="2"/>
  <c r="Y556" i="2" s="1"/>
  <c r="AG555" i="2"/>
  <c r="W555" i="2"/>
  <c r="V555" i="2"/>
  <c r="Y555" i="2" s="1"/>
  <c r="U555" i="2"/>
  <c r="T555" i="2"/>
  <c r="AG554" i="2"/>
  <c r="Y554" i="2"/>
  <c r="W554" i="2"/>
  <c r="V554" i="2"/>
  <c r="U554" i="2"/>
  <c r="T554" i="2"/>
  <c r="AG553" i="2"/>
  <c r="W553" i="2"/>
  <c r="V553" i="2"/>
  <c r="U553" i="2"/>
  <c r="T553" i="2"/>
  <c r="Y553" i="2" s="1"/>
  <c r="AG552" i="2"/>
  <c r="W552" i="2"/>
  <c r="V552" i="2"/>
  <c r="U552" i="2"/>
  <c r="T552" i="2"/>
  <c r="Y552" i="2" s="1"/>
  <c r="AG551" i="2"/>
  <c r="W551" i="2"/>
  <c r="V551" i="2"/>
  <c r="U551" i="2"/>
  <c r="T551" i="2"/>
  <c r="Y551" i="2" s="1"/>
  <c r="AG550" i="2"/>
  <c r="W550" i="2"/>
  <c r="V550" i="2"/>
  <c r="U550" i="2"/>
  <c r="T550" i="2"/>
  <c r="Y550" i="2" s="1"/>
  <c r="AG549" i="2"/>
  <c r="W549" i="2"/>
  <c r="V549" i="2"/>
  <c r="U549" i="2"/>
  <c r="T549" i="2"/>
  <c r="Y549" i="2" s="1"/>
  <c r="AG548" i="2"/>
  <c r="W548" i="2"/>
  <c r="V548" i="2"/>
  <c r="U548" i="2"/>
  <c r="T548" i="2"/>
  <c r="Y548" i="2" s="1"/>
  <c r="AG547" i="2"/>
  <c r="W547" i="2"/>
  <c r="V547" i="2"/>
  <c r="U547" i="2"/>
  <c r="T547" i="2"/>
  <c r="Y547" i="2" s="1"/>
  <c r="AG546" i="2"/>
  <c r="W546" i="2"/>
  <c r="V546" i="2"/>
  <c r="Y546" i="2" s="1"/>
  <c r="U546" i="2"/>
  <c r="T546" i="2"/>
  <c r="AG545" i="2"/>
  <c r="Y545" i="2"/>
  <c r="W545" i="2"/>
  <c r="V545" i="2"/>
  <c r="U545" i="2"/>
  <c r="T545" i="2"/>
  <c r="AG544" i="2"/>
  <c r="W544" i="2"/>
  <c r="V544" i="2"/>
  <c r="U544" i="2"/>
  <c r="Y544" i="2" s="1"/>
  <c r="T544" i="2"/>
  <c r="AG543" i="2"/>
  <c r="W543" i="2"/>
  <c r="V543" i="2"/>
  <c r="U543" i="2"/>
  <c r="T543" i="2"/>
  <c r="Y543" i="2" s="1"/>
  <c r="AG542" i="2"/>
  <c r="W542" i="2"/>
  <c r="V542" i="2"/>
  <c r="U542" i="2"/>
  <c r="T542" i="2"/>
  <c r="Y542" i="2" s="1"/>
  <c r="AG541" i="2"/>
  <c r="W541" i="2"/>
  <c r="V541" i="2"/>
  <c r="U541" i="2"/>
  <c r="T541" i="2"/>
  <c r="Y541" i="2" s="1"/>
  <c r="AG540" i="2"/>
  <c r="W540" i="2"/>
  <c r="V540" i="2"/>
  <c r="U540" i="2"/>
  <c r="T540" i="2"/>
  <c r="Y540" i="2" s="1"/>
  <c r="AG539" i="2"/>
  <c r="W539" i="2"/>
  <c r="V539" i="2"/>
  <c r="U539" i="2"/>
  <c r="T539" i="2"/>
  <c r="Y539" i="2" s="1"/>
  <c r="AG538" i="2"/>
  <c r="W538" i="2"/>
  <c r="V538" i="2"/>
  <c r="U538" i="2"/>
  <c r="T538" i="2"/>
  <c r="Y538" i="2" s="1"/>
  <c r="AG537" i="2"/>
  <c r="W537" i="2"/>
  <c r="V537" i="2"/>
  <c r="Y537" i="2" s="1"/>
  <c r="U537" i="2"/>
  <c r="T537" i="2"/>
  <c r="AG536" i="2"/>
  <c r="Y536" i="2"/>
  <c r="W536" i="2"/>
  <c r="V536" i="2"/>
  <c r="U536" i="2"/>
  <c r="T536" i="2"/>
  <c r="AG535" i="2"/>
  <c r="W535" i="2"/>
  <c r="V535" i="2"/>
  <c r="U535" i="2"/>
  <c r="T535" i="2"/>
  <c r="Y535" i="2" s="1"/>
  <c r="AG534" i="2"/>
  <c r="W534" i="2"/>
  <c r="V534" i="2"/>
  <c r="U534" i="2"/>
  <c r="Y534" i="2" s="1"/>
  <c r="X534" i="2" s="1"/>
  <c r="T534" i="2"/>
  <c r="AG533" i="2"/>
  <c r="W533" i="2"/>
  <c r="V533" i="2"/>
  <c r="U533" i="2"/>
  <c r="T533" i="2"/>
  <c r="Y533" i="2" s="1"/>
  <c r="AG532" i="2"/>
  <c r="W532" i="2"/>
  <c r="V532" i="2"/>
  <c r="U532" i="2"/>
  <c r="T532" i="2"/>
  <c r="Y532" i="2" s="1"/>
  <c r="AG531" i="2"/>
  <c r="W531" i="2"/>
  <c r="V531" i="2"/>
  <c r="U531" i="2"/>
  <c r="T531" i="2"/>
  <c r="Y531" i="2" s="1"/>
  <c r="AG530" i="2"/>
  <c r="W530" i="2"/>
  <c r="V530" i="2"/>
  <c r="U530" i="2"/>
  <c r="T530" i="2"/>
  <c r="Y530" i="2" s="1"/>
  <c r="AG529" i="2"/>
  <c r="W529" i="2"/>
  <c r="V529" i="2"/>
  <c r="U529" i="2"/>
  <c r="T529" i="2"/>
  <c r="Y529" i="2" s="1"/>
  <c r="AC527" i="2"/>
  <c r="AG523" i="2"/>
  <c r="W523" i="2"/>
  <c r="V523" i="2"/>
  <c r="U523" i="2"/>
  <c r="T523" i="2"/>
  <c r="Y523" i="2" s="1"/>
  <c r="AG522" i="2"/>
  <c r="W522" i="2"/>
  <c r="V522" i="2"/>
  <c r="U522" i="2"/>
  <c r="T522" i="2"/>
  <c r="Y522" i="2" s="1"/>
  <c r="AG521" i="2"/>
  <c r="W521" i="2"/>
  <c r="V521" i="2"/>
  <c r="U521" i="2"/>
  <c r="T521" i="2"/>
  <c r="Y521" i="2" s="1"/>
  <c r="AG520" i="2"/>
  <c r="W520" i="2"/>
  <c r="V520" i="2"/>
  <c r="U520" i="2"/>
  <c r="T520" i="2"/>
  <c r="Y520" i="2" s="1"/>
  <c r="AG519" i="2"/>
  <c r="W519" i="2"/>
  <c r="V519" i="2"/>
  <c r="U519" i="2"/>
  <c r="T519" i="2"/>
  <c r="Y519" i="2" s="1"/>
  <c r="AG518" i="2"/>
  <c r="W518" i="2"/>
  <c r="V518" i="2"/>
  <c r="Y518" i="2" s="1"/>
  <c r="U518" i="2"/>
  <c r="T518" i="2"/>
  <c r="AG517" i="2"/>
  <c r="Y517" i="2"/>
  <c r="W517" i="2"/>
  <c r="V517" i="2"/>
  <c r="U517" i="2"/>
  <c r="T517" i="2"/>
  <c r="AG516" i="2"/>
  <c r="W516" i="2"/>
  <c r="V516" i="2"/>
  <c r="U516" i="2"/>
  <c r="T516" i="2"/>
  <c r="Y516" i="2" s="1"/>
  <c r="AG515" i="2"/>
  <c r="W515" i="2"/>
  <c r="V515" i="2"/>
  <c r="U515" i="2"/>
  <c r="T515" i="2"/>
  <c r="Y515" i="2" s="1"/>
  <c r="AG514" i="2"/>
  <c r="W514" i="2"/>
  <c r="Y514" i="2" s="1"/>
  <c r="V514" i="2"/>
  <c r="U514" i="2"/>
  <c r="T514" i="2"/>
  <c r="AG513" i="2"/>
  <c r="W513" i="2"/>
  <c r="V513" i="2"/>
  <c r="U513" i="2"/>
  <c r="T513" i="2"/>
  <c r="Y513" i="2" s="1"/>
  <c r="AG512" i="2"/>
  <c r="W512" i="2"/>
  <c r="V512" i="2"/>
  <c r="U512" i="2"/>
  <c r="T512" i="2"/>
  <c r="Y512" i="2" s="1"/>
  <c r="AG511" i="2"/>
  <c r="W511" i="2"/>
  <c r="V511" i="2"/>
  <c r="U511" i="2"/>
  <c r="T511" i="2"/>
  <c r="Y511" i="2" s="1"/>
  <c r="AG510" i="2"/>
  <c r="W510" i="2"/>
  <c r="V510" i="2"/>
  <c r="U510" i="2"/>
  <c r="T510" i="2"/>
  <c r="Y510" i="2" s="1"/>
  <c r="AG509" i="2"/>
  <c r="W509" i="2"/>
  <c r="V509" i="2"/>
  <c r="U509" i="2"/>
  <c r="T509" i="2"/>
  <c r="Y509" i="2" s="1"/>
  <c r="AG508" i="2"/>
  <c r="Y508" i="2"/>
  <c r="W508" i="2"/>
  <c r="V508" i="2"/>
  <c r="U508" i="2"/>
  <c r="T508" i="2"/>
  <c r="AG507" i="2"/>
  <c r="W507" i="2"/>
  <c r="V507" i="2"/>
  <c r="U507" i="2"/>
  <c r="T507" i="2"/>
  <c r="Y507" i="2" s="1"/>
  <c r="AG506" i="2"/>
  <c r="W506" i="2"/>
  <c r="V506" i="2"/>
  <c r="U506" i="2"/>
  <c r="T506" i="2"/>
  <c r="Y506" i="2" s="1"/>
  <c r="AG505" i="2"/>
  <c r="W505" i="2"/>
  <c r="V505" i="2"/>
  <c r="Y505" i="2" s="1"/>
  <c r="U505" i="2"/>
  <c r="T505" i="2"/>
  <c r="AG504" i="2"/>
  <c r="Y504" i="2"/>
  <c r="X504" i="2" s="1"/>
  <c r="W504" i="2"/>
  <c r="V504" i="2"/>
  <c r="U504" i="2"/>
  <c r="T504" i="2"/>
  <c r="AG503" i="2"/>
  <c r="W503" i="2"/>
  <c r="V503" i="2"/>
  <c r="U503" i="2"/>
  <c r="T503" i="2"/>
  <c r="Y503" i="2" s="1"/>
  <c r="AG502" i="2"/>
  <c r="W502" i="2"/>
  <c r="V502" i="2"/>
  <c r="U502" i="2"/>
  <c r="T502" i="2"/>
  <c r="Y502" i="2" s="1"/>
  <c r="AG501" i="2"/>
  <c r="W501" i="2"/>
  <c r="V501" i="2"/>
  <c r="U501" i="2"/>
  <c r="T501" i="2"/>
  <c r="Y501" i="2" s="1"/>
  <c r="AG500" i="2"/>
  <c r="W500" i="2"/>
  <c r="V500" i="2"/>
  <c r="U500" i="2"/>
  <c r="T500" i="2"/>
  <c r="Y500" i="2" s="1"/>
  <c r="AG499" i="2"/>
  <c r="W499" i="2"/>
  <c r="V499" i="2"/>
  <c r="U499" i="2"/>
  <c r="T499" i="2"/>
  <c r="Y499" i="2" s="1"/>
  <c r="AG498" i="2"/>
  <c r="W498" i="2"/>
  <c r="V498" i="2"/>
  <c r="U498" i="2"/>
  <c r="T498" i="2"/>
  <c r="Y498" i="2" s="1"/>
  <c r="AG497" i="2"/>
  <c r="W497" i="2"/>
  <c r="V497" i="2"/>
  <c r="U497" i="2"/>
  <c r="T497" i="2"/>
  <c r="Y497" i="2" s="1"/>
  <c r="AG496" i="2"/>
  <c r="W496" i="2"/>
  <c r="V496" i="2"/>
  <c r="Y496" i="2" s="1"/>
  <c r="U496" i="2"/>
  <c r="T496" i="2"/>
  <c r="AG495" i="2"/>
  <c r="Y495" i="2"/>
  <c r="W495" i="2"/>
  <c r="V495" i="2"/>
  <c r="U495" i="2"/>
  <c r="T495" i="2"/>
  <c r="AG494" i="2"/>
  <c r="W494" i="2"/>
  <c r="V494" i="2"/>
  <c r="U494" i="2"/>
  <c r="Y494" i="2" s="1"/>
  <c r="T494" i="2"/>
  <c r="AG493" i="2"/>
  <c r="W493" i="2"/>
  <c r="V493" i="2"/>
  <c r="U493" i="2"/>
  <c r="T493" i="2"/>
  <c r="Y493" i="2" s="1"/>
  <c r="AG492" i="2"/>
  <c r="W492" i="2"/>
  <c r="V492" i="2"/>
  <c r="U492" i="2"/>
  <c r="T492" i="2"/>
  <c r="Y492" i="2" s="1"/>
  <c r="AG491" i="2"/>
  <c r="W491" i="2"/>
  <c r="V491" i="2"/>
  <c r="U491" i="2"/>
  <c r="T491" i="2"/>
  <c r="Y491" i="2" s="1"/>
  <c r="AG490" i="2"/>
  <c r="W490" i="2"/>
  <c r="V490" i="2"/>
  <c r="U490" i="2"/>
  <c r="T490" i="2"/>
  <c r="Y490" i="2" s="1"/>
  <c r="AG489" i="2"/>
  <c r="W489" i="2"/>
  <c r="V489" i="2"/>
  <c r="U489" i="2"/>
  <c r="T489" i="2"/>
  <c r="Y489" i="2" s="1"/>
  <c r="X489" i="2" s="1"/>
  <c r="AG488" i="2"/>
  <c r="W488" i="2"/>
  <c r="V488" i="2"/>
  <c r="U488" i="2"/>
  <c r="T488" i="2"/>
  <c r="Y488" i="2" s="1"/>
  <c r="AG487" i="2"/>
  <c r="W487" i="2"/>
  <c r="V487" i="2"/>
  <c r="Y487" i="2" s="1"/>
  <c r="U487" i="2"/>
  <c r="T487" i="2"/>
  <c r="AG486" i="2"/>
  <c r="Y486" i="2"/>
  <c r="W486" i="2"/>
  <c r="V486" i="2"/>
  <c r="U486" i="2"/>
  <c r="T486" i="2"/>
  <c r="AG485" i="2"/>
  <c r="W485" i="2"/>
  <c r="V485" i="2"/>
  <c r="U485" i="2"/>
  <c r="T485" i="2"/>
  <c r="Y485" i="2" s="1"/>
  <c r="AG484" i="2"/>
  <c r="W484" i="2"/>
  <c r="V484" i="2"/>
  <c r="U484" i="2"/>
  <c r="Y484" i="2" s="1"/>
  <c r="T484" i="2"/>
  <c r="AG483" i="2"/>
  <c r="W483" i="2"/>
  <c r="V483" i="2"/>
  <c r="U483" i="2"/>
  <c r="T483" i="2"/>
  <c r="Y483" i="2" s="1"/>
  <c r="AG482" i="2"/>
  <c r="W482" i="2"/>
  <c r="V482" i="2"/>
  <c r="U482" i="2"/>
  <c r="T482" i="2"/>
  <c r="Y482" i="2" s="1"/>
  <c r="AG481" i="2"/>
  <c r="W481" i="2"/>
  <c r="V481" i="2"/>
  <c r="U481" i="2"/>
  <c r="T481" i="2"/>
  <c r="Y481" i="2" s="1"/>
  <c r="AG480" i="2"/>
  <c r="W480" i="2"/>
  <c r="V480" i="2"/>
  <c r="U480" i="2"/>
  <c r="T480" i="2"/>
  <c r="Y480" i="2" s="1"/>
  <c r="AG479" i="2"/>
  <c r="W479" i="2"/>
  <c r="V479" i="2"/>
  <c r="U479" i="2"/>
  <c r="T479" i="2"/>
  <c r="Y479" i="2" s="1"/>
  <c r="AG478" i="2"/>
  <c r="W478" i="2"/>
  <c r="V478" i="2"/>
  <c r="Y478" i="2" s="1"/>
  <c r="U478" i="2"/>
  <c r="T478" i="2"/>
  <c r="AG477" i="2"/>
  <c r="Y477" i="2"/>
  <c r="W477" i="2"/>
  <c r="V477" i="2"/>
  <c r="U477" i="2"/>
  <c r="T477" i="2"/>
  <c r="AG476" i="2"/>
  <c r="W476" i="2"/>
  <c r="V476" i="2"/>
  <c r="U476" i="2"/>
  <c r="T476" i="2"/>
  <c r="Y476" i="2" s="1"/>
  <c r="AG475" i="2"/>
  <c r="W475" i="2"/>
  <c r="V475" i="2"/>
  <c r="U475" i="2"/>
  <c r="T475" i="2"/>
  <c r="Y475" i="2" s="1"/>
  <c r="AG474" i="2"/>
  <c r="W474" i="2"/>
  <c r="Y474" i="2" s="1"/>
  <c r="X474" i="2" s="1"/>
  <c r="V474" i="2"/>
  <c r="U474" i="2"/>
  <c r="T474" i="2"/>
  <c r="AG473" i="2"/>
  <c r="W473" i="2"/>
  <c r="V473" i="2"/>
  <c r="U473" i="2"/>
  <c r="T473" i="2"/>
  <c r="Y473" i="2" s="1"/>
  <c r="AG472" i="2"/>
  <c r="W472" i="2"/>
  <c r="V472" i="2"/>
  <c r="U472" i="2"/>
  <c r="T472" i="2"/>
  <c r="Y472" i="2" s="1"/>
  <c r="AG471" i="2"/>
  <c r="W471" i="2"/>
  <c r="V471" i="2"/>
  <c r="U471" i="2"/>
  <c r="T471" i="2"/>
  <c r="Y471" i="2" s="1"/>
  <c r="AG470" i="2"/>
  <c r="W470" i="2"/>
  <c r="V470" i="2"/>
  <c r="U470" i="2"/>
  <c r="T470" i="2"/>
  <c r="Y470" i="2" s="1"/>
  <c r="AG469" i="2"/>
  <c r="W469" i="2"/>
  <c r="V469" i="2"/>
  <c r="U469" i="2"/>
  <c r="T469" i="2"/>
  <c r="Y469" i="2" s="1"/>
  <c r="AG468" i="2"/>
  <c r="Y468" i="2"/>
  <c r="W468" i="2"/>
  <c r="V468" i="2"/>
  <c r="U468" i="2"/>
  <c r="T468" i="2"/>
  <c r="AG467" i="2"/>
  <c r="W467" i="2"/>
  <c r="V467" i="2"/>
  <c r="U467" i="2"/>
  <c r="T467" i="2"/>
  <c r="Y467" i="2" s="1"/>
  <c r="AG466" i="2"/>
  <c r="W466" i="2"/>
  <c r="V466" i="2"/>
  <c r="U466" i="2"/>
  <c r="T466" i="2"/>
  <c r="Y466" i="2" s="1"/>
  <c r="AG465" i="2"/>
  <c r="W465" i="2"/>
  <c r="V465" i="2"/>
  <c r="Y465" i="2" s="1"/>
  <c r="U465" i="2"/>
  <c r="T465" i="2"/>
  <c r="AG464" i="2"/>
  <c r="Y464" i="2"/>
  <c r="W464" i="2"/>
  <c r="V464" i="2"/>
  <c r="U464" i="2"/>
  <c r="T464" i="2"/>
  <c r="AG463" i="2"/>
  <c r="W463" i="2"/>
  <c r="V463" i="2"/>
  <c r="U463" i="2"/>
  <c r="T463" i="2"/>
  <c r="Y463" i="2" s="1"/>
  <c r="AG462" i="2"/>
  <c r="W462" i="2"/>
  <c r="V462" i="2"/>
  <c r="U462" i="2"/>
  <c r="T462" i="2"/>
  <c r="Y462" i="2" s="1"/>
  <c r="AG461" i="2"/>
  <c r="W461" i="2"/>
  <c r="V461" i="2"/>
  <c r="U461" i="2"/>
  <c r="T461" i="2"/>
  <c r="Y461" i="2" s="1"/>
  <c r="AG460" i="2"/>
  <c r="W460" i="2"/>
  <c r="V460" i="2"/>
  <c r="U460" i="2"/>
  <c r="T460" i="2"/>
  <c r="Y460" i="2" s="1"/>
  <c r="AG459" i="2"/>
  <c r="W459" i="2"/>
  <c r="V459" i="2"/>
  <c r="U459" i="2"/>
  <c r="T459" i="2"/>
  <c r="Y459" i="2" s="1"/>
  <c r="X459" i="2" s="1"/>
  <c r="AG458" i="2"/>
  <c r="W458" i="2"/>
  <c r="V458" i="2"/>
  <c r="U458" i="2"/>
  <c r="T458" i="2"/>
  <c r="Y458" i="2" s="1"/>
  <c r="AG457" i="2"/>
  <c r="W457" i="2"/>
  <c r="V457" i="2"/>
  <c r="U457" i="2"/>
  <c r="T457" i="2"/>
  <c r="Y457" i="2" s="1"/>
  <c r="AG456" i="2"/>
  <c r="W456" i="2"/>
  <c r="V456" i="2"/>
  <c r="Y456" i="2" s="1"/>
  <c r="U456" i="2"/>
  <c r="T456" i="2"/>
  <c r="AG455" i="2"/>
  <c r="Y455" i="2"/>
  <c r="W455" i="2"/>
  <c r="V455" i="2"/>
  <c r="U455" i="2"/>
  <c r="T455" i="2"/>
  <c r="AG454" i="2"/>
  <c r="W454" i="2"/>
  <c r="V454" i="2"/>
  <c r="U454" i="2"/>
  <c r="Y454" i="2" s="1"/>
  <c r="X454" i="2" s="1"/>
  <c r="T454" i="2"/>
  <c r="AG453" i="2"/>
  <c r="W453" i="2"/>
  <c r="V453" i="2"/>
  <c r="U453" i="2"/>
  <c r="T453" i="2"/>
  <c r="Y453" i="2" s="1"/>
  <c r="AG452" i="2"/>
  <c r="W452" i="2"/>
  <c r="V452" i="2"/>
  <c r="U452" i="2"/>
  <c r="T452" i="2"/>
  <c r="Y452" i="2" s="1"/>
  <c r="AG451" i="2"/>
  <c r="W451" i="2"/>
  <c r="V451" i="2"/>
  <c r="U451" i="2"/>
  <c r="T451" i="2"/>
  <c r="Y451" i="2" s="1"/>
  <c r="AG450" i="2"/>
  <c r="W450" i="2"/>
  <c r="V450" i="2"/>
  <c r="U450" i="2"/>
  <c r="T450" i="2"/>
  <c r="Y450" i="2" s="1"/>
  <c r="AG449" i="2"/>
  <c r="W449" i="2"/>
  <c r="V449" i="2"/>
  <c r="U449" i="2"/>
  <c r="T449" i="2"/>
  <c r="Y449" i="2" s="1"/>
  <c r="AG448" i="2"/>
  <c r="W448" i="2"/>
  <c r="V448" i="2"/>
  <c r="U448" i="2"/>
  <c r="T448" i="2"/>
  <c r="Y448" i="2" s="1"/>
  <c r="AG447" i="2"/>
  <c r="W447" i="2"/>
  <c r="V447" i="2"/>
  <c r="Y447" i="2" s="1"/>
  <c r="U447" i="2"/>
  <c r="T447" i="2"/>
  <c r="AG446" i="2"/>
  <c r="Y446" i="2"/>
  <c r="W446" i="2"/>
  <c r="V446" i="2"/>
  <c r="U446" i="2"/>
  <c r="T446" i="2"/>
  <c r="AG445" i="2"/>
  <c r="W445" i="2"/>
  <c r="V445" i="2"/>
  <c r="U445" i="2"/>
  <c r="T445" i="2"/>
  <c r="Y445" i="2" s="1"/>
  <c r="AG444" i="2"/>
  <c r="W444" i="2"/>
  <c r="V444" i="2"/>
  <c r="U444" i="2"/>
  <c r="Y444" i="2" s="1"/>
  <c r="T444" i="2"/>
  <c r="AG443" i="2"/>
  <c r="W443" i="2"/>
  <c r="V443" i="2"/>
  <c r="U443" i="2"/>
  <c r="T443" i="2"/>
  <c r="Y443" i="2" s="1"/>
  <c r="AG442" i="2"/>
  <c r="W442" i="2"/>
  <c r="V442" i="2"/>
  <c r="U442" i="2"/>
  <c r="T442" i="2"/>
  <c r="Y442" i="2" s="1"/>
  <c r="AG441" i="2"/>
  <c r="W441" i="2"/>
  <c r="V441" i="2"/>
  <c r="U441" i="2"/>
  <c r="T441" i="2"/>
  <c r="Y441" i="2" s="1"/>
  <c r="AG440" i="2"/>
  <c r="W440" i="2"/>
  <c r="V440" i="2"/>
  <c r="U440" i="2"/>
  <c r="T440" i="2"/>
  <c r="AG439" i="2"/>
  <c r="W439" i="2"/>
  <c r="V439" i="2"/>
  <c r="U439" i="2"/>
  <c r="T439" i="2"/>
  <c r="Y439" i="2" s="1"/>
  <c r="AG438" i="2"/>
  <c r="W438" i="2"/>
  <c r="V438" i="2"/>
  <c r="Y438" i="2" s="1"/>
  <c r="U438" i="2"/>
  <c r="T438" i="2"/>
  <c r="AG437" i="2"/>
  <c r="Y437" i="2"/>
  <c r="W437" i="2"/>
  <c r="V437" i="2"/>
  <c r="U437" i="2"/>
  <c r="T437" i="2"/>
  <c r="AG436" i="2"/>
  <c r="W436" i="2"/>
  <c r="V436" i="2"/>
  <c r="U436" i="2"/>
  <c r="T436" i="2"/>
  <c r="Y436" i="2" s="1"/>
  <c r="AG435" i="2"/>
  <c r="W435" i="2"/>
  <c r="V435" i="2"/>
  <c r="U435" i="2"/>
  <c r="T435" i="2"/>
  <c r="Y435" i="2" s="1"/>
  <c r="AG434" i="2"/>
  <c r="Y434" i="2"/>
  <c r="W434" i="2"/>
  <c r="V434" i="2"/>
  <c r="U434" i="2"/>
  <c r="T434" i="2"/>
  <c r="AG433" i="2"/>
  <c r="W433" i="2"/>
  <c r="V433" i="2"/>
  <c r="U433" i="2"/>
  <c r="T433" i="2"/>
  <c r="Y433" i="2" s="1"/>
  <c r="AG432" i="2"/>
  <c r="W432" i="2"/>
  <c r="V432" i="2"/>
  <c r="U432" i="2"/>
  <c r="T432" i="2"/>
  <c r="AG431" i="2"/>
  <c r="W431" i="2"/>
  <c r="V431" i="2"/>
  <c r="U431" i="2"/>
  <c r="T431" i="2"/>
  <c r="Y431" i="2" s="1"/>
  <c r="AG430" i="2"/>
  <c r="W430" i="2"/>
  <c r="V430" i="2"/>
  <c r="U430" i="2"/>
  <c r="T430" i="2"/>
  <c r="Y430" i="2" s="1"/>
  <c r="AG429" i="2"/>
  <c r="W429" i="2"/>
  <c r="V429" i="2"/>
  <c r="U429" i="2"/>
  <c r="T429" i="2"/>
  <c r="Y429" i="2" s="1"/>
  <c r="AG428" i="2"/>
  <c r="Y428" i="2"/>
  <c r="W428" i="2"/>
  <c r="V428" i="2"/>
  <c r="U428" i="2"/>
  <c r="T428" i="2"/>
  <c r="AG427" i="2"/>
  <c r="W427" i="2"/>
  <c r="V427" i="2"/>
  <c r="U427" i="2"/>
  <c r="T427" i="2"/>
  <c r="AG426" i="2"/>
  <c r="W426" i="2"/>
  <c r="V426" i="2"/>
  <c r="U426" i="2"/>
  <c r="T426" i="2"/>
  <c r="Y426" i="2" s="1"/>
  <c r="AG425" i="2"/>
  <c r="Y425" i="2"/>
  <c r="W425" i="2"/>
  <c r="V425" i="2"/>
  <c r="U425" i="2"/>
  <c r="T425" i="2"/>
  <c r="AG424" i="2"/>
  <c r="Y424" i="2"/>
  <c r="W424" i="2"/>
  <c r="V424" i="2"/>
  <c r="U424" i="2"/>
  <c r="T424" i="2"/>
  <c r="AG423" i="2"/>
  <c r="W423" i="2"/>
  <c r="V423" i="2"/>
  <c r="U423" i="2"/>
  <c r="T423" i="2"/>
  <c r="AG422" i="2"/>
  <c r="W422" i="2"/>
  <c r="V422" i="2"/>
  <c r="U422" i="2"/>
  <c r="T422" i="2"/>
  <c r="Y422" i="2" s="1"/>
  <c r="AG421" i="2"/>
  <c r="W421" i="2"/>
  <c r="V421" i="2"/>
  <c r="U421" i="2"/>
  <c r="T421" i="2"/>
  <c r="Y421" i="2" s="1"/>
  <c r="AG420" i="2"/>
  <c r="W420" i="2"/>
  <c r="V420" i="2"/>
  <c r="U420" i="2"/>
  <c r="T420" i="2"/>
  <c r="Y420" i="2" s="1"/>
  <c r="AG419" i="2"/>
  <c r="W419" i="2"/>
  <c r="V419" i="2"/>
  <c r="U419" i="2"/>
  <c r="T419" i="2"/>
  <c r="Y419" i="2" s="1"/>
  <c r="AG418" i="2"/>
  <c r="W418" i="2"/>
  <c r="V418" i="2"/>
  <c r="U418" i="2"/>
  <c r="T418" i="2"/>
  <c r="AG417" i="2"/>
  <c r="W417" i="2"/>
  <c r="V417" i="2"/>
  <c r="U417" i="2"/>
  <c r="T417" i="2"/>
  <c r="Y417" i="2" s="1"/>
  <c r="AG416" i="2"/>
  <c r="Y416" i="2"/>
  <c r="W416" i="2"/>
  <c r="V416" i="2"/>
  <c r="U416" i="2"/>
  <c r="T416" i="2"/>
  <c r="AG415" i="2"/>
  <c r="Y415" i="2"/>
  <c r="W415" i="2"/>
  <c r="V415" i="2"/>
  <c r="U415" i="2"/>
  <c r="T415" i="2"/>
  <c r="AG414" i="2"/>
  <c r="W414" i="2"/>
  <c r="V414" i="2"/>
  <c r="U414" i="2"/>
  <c r="T414" i="2"/>
  <c r="AG413" i="2"/>
  <c r="W413" i="2"/>
  <c r="V413" i="2"/>
  <c r="U413" i="2"/>
  <c r="T413" i="2"/>
  <c r="Y413" i="2" s="1"/>
  <c r="AG412" i="2"/>
  <c r="W412" i="2"/>
  <c r="V412" i="2"/>
  <c r="U412" i="2"/>
  <c r="T412" i="2"/>
  <c r="Y412" i="2" s="1"/>
  <c r="AG411" i="2"/>
  <c r="W411" i="2"/>
  <c r="V411" i="2"/>
  <c r="U411" i="2"/>
  <c r="T411" i="2"/>
  <c r="Y411" i="2" s="1"/>
  <c r="AG410" i="2"/>
  <c r="W410" i="2"/>
  <c r="V410" i="2"/>
  <c r="U410" i="2"/>
  <c r="T410" i="2"/>
  <c r="AG409" i="2"/>
  <c r="W409" i="2"/>
  <c r="V409" i="2"/>
  <c r="U409" i="2"/>
  <c r="T409" i="2"/>
  <c r="Y409" i="2" s="1"/>
  <c r="AG408" i="2"/>
  <c r="W408" i="2"/>
  <c r="V408" i="2"/>
  <c r="U408" i="2"/>
  <c r="T408" i="2"/>
  <c r="Y408" i="2" s="1"/>
  <c r="AG407" i="2"/>
  <c r="Y407" i="2"/>
  <c r="W407" i="2"/>
  <c r="V407" i="2"/>
  <c r="U407" i="2"/>
  <c r="T407" i="2"/>
  <c r="AG406" i="2"/>
  <c r="Y406" i="2"/>
  <c r="W406" i="2"/>
  <c r="V406" i="2"/>
  <c r="U406" i="2"/>
  <c r="T406" i="2"/>
  <c r="AG405" i="2"/>
  <c r="W405" i="2"/>
  <c r="V405" i="2"/>
  <c r="U405" i="2"/>
  <c r="T405" i="2"/>
  <c r="AG404" i="2"/>
  <c r="W404" i="2"/>
  <c r="V404" i="2"/>
  <c r="U404" i="2"/>
  <c r="Y404" i="2" s="1"/>
  <c r="T404" i="2"/>
  <c r="AG403" i="2"/>
  <c r="W403" i="2"/>
  <c r="V403" i="2"/>
  <c r="U403" i="2"/>
  <c r="T403" i="2"/>
  <c r="Y403" i="2" s="1"/>
  <c r="AG402" i="2"/>
  <c r="W402" i="2"/>
  <c r="V402" i="2"/>
  <c r="U402" i="2"/>
  <c r="T402" i="2"/>
  <c r="Y402" i="2" s="1"/>
  <c r="AG401" i="2"/>
  <c r="W401" i="2"/>
  <c r="V401" i="2"/>
  <c r="U401" i="2"/>
  <c r="T401" i="2"/>
  <c r="Y401" i="2" s="1"/>
  <c r="AG400" i="2"/>
  <c r="W400" i="2"/>
  <c r="V400" i="2"/>
  <c r="U400" i="2"/>
  <c r="T400" i="2"/>
  <c r="AG399" i="2"/>
  <c r="W399" i="2"/>
  <c r="V399" i="2"/>
  <c r="U399" i="2"/>
  <c r="T399" i="2"/>
  <c r="Y399" i="2" s="1"/>
  <c r="AG398" i="2"/>
  <c r="Y398" i="2"/>
  <c r="W398" i="2"/>
  <c r="V398" i="2"/>
  <c r="U398" i="2"/>
  <c r="T398" i="2"/>
  <c r="AG397" i="2"/>
  <c r="Y397" i="2"/>
  <c r="W397" i="2"/>
  <c r="V397" i="2"/>
  <c r="U397" i="2"/>
  <c r="T397" i="2"/>
  <c r="AG396" i="2"/>
  <c r="W396" i="2"/>
  <c r="V396" i="2"/>
  <c r="U396" i="2"/>
  <c r="T396" i="2"/>
  <c r="Y396" i="2" s="1"/>
  <c r="AG395" i="2"/>
  <c r="W395" i="2"/>
  <c r="V395" i="2"/>
  <c r="U395" i="2"/>
  <c r="T395" i="2"/>
  <c r="Y395" i="2" s="1"/>
  <c r="AG394" i="2"/>
  <c r="Y394" i="2"/>
  <c r="X394" i="2" s="1"/>
  <c r="W394" i="2"/>
  <c r="V394" i="2"/>
  <c r="U394" i="2"/>
  <c r="T394" i="2"/>
  <c r="AG393" i="2"/>
  <c r="W393" i="2"/>
  <c r="V393" i="2"/>
  <c r="U393" i="2"/>
  <c r="T393" i="2"/>
  <c r="Y393" i="2" s="1"/>
  <c r="AG392" i="2"/>
  <c r="W392" i="2"/>
  <c r="V392" i="2"/>
  <c r="U392" i="2"/>
  <c r="T392" i="2"/>
  <c r="Y392" i="2" s="1"/>
  <c r="AG391" i="2"/>
  <c r="W391" i="2"/>
  <c r="V391" i="2"/>
  <c r="U391" i="2"/>
  <c r="T391" i="2"/>
  <c r="AG390" i="2"/>
  <c r="W390" i="2"/>
  <c r="V390" i="2"/>
  <c r="U390" i="2"/>
  <c r="T390" i="2"/>
  <c r="Y390" i="2" s="1"/>
  <c r="AG389" i="2"/>
  <c r="W389" i="2"/>
  <c r="V389" i="2"/>
  <c r="U389" i="2"/>
  <c r="T389" i="2"/>
  <c r="Y389" i="2" s="1"/>
  <c r="AG388" i="2"/>
  <c r="Y388" i="2"/>
  <c r="W388" i="2"/>
  <c r="V388" i="2"/>
  <c r="U388" i="2"/>
  <c r="T388" i="2"/>
  <c r="AG387" i="2"/>
  <c r="W387" i="2"/>
  <c r="V387" i="2"/>
  <c r="U387" i="2"/>
  <c r="T387" i="2"/>
  <c r="Y387" i="2" s="1"/>
  <c r="AG386" i="2"/>
  <c r="W386" i="2"/>
  <c r="V386" i="2"/>
  <c r="U386" i="2"/>
  <c r="T386" i="2"/>
  <c r="Y386" i="2" s="1"/>
  <c r="AG385" i="2"/>
  <c r="Y385" i="2"/>
  <c r="W385" i="2"/>
  <c r="V385" i="2"/>
  <c r="U385" i="2"/>
  <c r="T385" i="2"/>
  <c r="AG384" i="2"/>
  <c r="Y384" i="2"/>
  <c r="W384" i="2"/>
  <c r="V384" i="2"/>
  <c r="U384" i="2"/>
  <c r="T384" i="2"/>
  <c r="AG383" i="2"/>
  <c r="W383" i="2"/>
  <c r="V383" i="2"/>
  <c r="U383" i="2"/>
  <c r="T383" i="2"/>
  <c r="Y383" i="2" s="1"/>
  <c r="AG382" i="2"/>
  <c r="W382" i="2"/>
  <c r="V382" i="2"/>
  <c r="U382" i="2"/>
  <c r="T382" i="2"/>
  <c r="AG381" i="2"/>
  <c r="W381" i="2"/>
  <c r="V381" i="2"/>
  <c r="U381" i="2"/>
  <c r="T381" i="2"/>
  <c r="Y381" i="2" s="1"/>
  <c r="AG380" i="2"/>
  <c r="W380" i="2"/>
  <c r="V380" i="2"/>
  <c r="U380" i="2"/>
  <c r="T380" i="2"/>
  <c r="Y380" i="2" s="1"/>
  <c r="AG379" i="2"/>
  <c r="W379" i="2"/>
  <c r="V379" i="2"/>
  <c r="U379" i="2"/>
  <c r="T379" i="2"/>
  <c r="Y379" i="2" s="1"/>
  <c r="AG378" i="2"/>
  <c r="W378" i="2"/>
  <c r="V378" i="2"/>
  <c r="U378" i="2"/>
  <c r="T378" i="2"/>
  <c r="Y378" i="2" s="1"/>
  <c r="AG377" i="2"/>
  <c r="W377" i="2"/>
  <c r="V377" i="2"/>
  <c r="U377" i="2"/>
  <c r="T377" i="2"/>
  <c r="Y377" i="2" s="1"/>
  <c r="AG376" i="2"/>
  <c r="Y376" i="2"/>
  <c r="W376" i="2"/>
  <c r="V376" i="2"/>
  <c r="U376" i="2"/>
  <c r="T376" i="2"/>
  <c r="AG375" i="2"/>
  <c r="Y375" i="2"/>
  <c r="W375" i="2"/>
  <c r="V375" i="2"/>
  <c r="U375" i="2"/>
  <c r="T375" i="2"/>
  <c r="AG374" i="2"/>
  <c r="W374" i="2"/>
  <c r="V374" i="2"/>
  <c r="U374" i="2"/>
  <c r="Y374" i="2" s="1"/>
  <c r="X374" i="2" s="1"/>
  <c r="T374" i="2"/>
  <c r="AG373" i="2"/>
  <c r="W373" i="2"/>
  <c r="V373" i="2"/>
  <c r="U373" i="2"/>
  <c r="T373" i="2"/>
  <c r="AG372" i="2"/>
  <c r="W372" i="2"/>
  <c r="V372" i="2"/>
  <c r="U372" i="2"/>
  <c r="T372" i="2"/>
  <c r="Y372" i="2" s="1"/>
  <c r="AG371" i="2"/>
  <c r="W371" i="2"/>
  <c r="V371" i="2"/>
  <c r="U371" i="2"/>
  <c r="T371" i="2"/>
  <c r="Y371" i="2" s="1"/>
  <c r="AG370" i="2"/>
  <c r="W370" i="2"/>
  <c r="V370" i="2"/>
  <c r="U370" i="2"/>
  <c r="T370" i="2"/>
  <c r="Y370" i="2" s="1"/>
  <c r="AG369" i="2"/>
  <c r="W369" i="2"/>
  <c r="V369" i="2"/>
  <c r="U369" i="2"/>
  <c r="T369" i="2"/>
  <c r="AG368" i="2"/>
  <c r="W368" i="2"/>
  <c r="V368" i="2"/>
  <c r="U368" i="2"/>
  <c r="T368" i="2"/>
  <c r="Y368" i="2" s="1"/>
  <c r="AG367" i="2"/>
  <c r="Y367" i="2"/>
  <c r="W367" i="2"/>
  <c r="V367" i="2"/>
  <c r="U367" i="2"/>
  <c r="T367" i="2"/>
  <c r="AG366" i="2"/>
  <c r="Y366" i="2"/>
  <c r="W366" i="2"/>
  <c r="V366" i="2"/>
  <c r="U366" i="2"/>
  <c r="T366" i="2"/>
  <c r="AG365" i="2"/>
  <c r="W365" i="2"/>
  <c r="V365" i="2"/>
  <c r="U365" i="2"/>
  <c r="T365" i="2"/>
  <c r="Y365" i="2" s="1"/>
  <c r="AG364" i="2"/>
  <c r="W364" i="2"/>
  <c r="V364" i="2"/>
  <c r="U364" i="2"/>
  <c r="Y364" i="2" s="1"/>
  <c r="T364" i="2"/>
  <c r="AG363" i="2"/>
  <c r="W363" i="2"/>
  <c r="V363" i="2"/>
  <c r="U363" i="2"/>
  <c r="T363" i="2"/>
  <c r="Y363" i="2" s="1"/>
  <c r="AG362" i="2"/>
  <c r="W362" i="2"/>
  <c r="V362" i="2"/>
  <c r="U362" i="2"/>
  <c r="T362" i="2"/>
  <c r="Y362" i="2" s="1"/>
  <c r="AG361" i="2"/>
  <c r="W361" i="2"/>
  <c r="V361" i="2"/>
  <c r="U361" i="2"/>
  <c r="T361" i="2"/>
  <c r="AG360" i="2"/>
  <c r="W360" i="2"/>
  <c r="V360" i="2"/>
  <c r="U360" i="2"/>
  <c r="T360" i="2"/>
  <c r="Y360" i="2" s="1"/>
  <c r="AG359" i="2"/>
  <c r="W359" i="2"/>
  <c r="V359" i="2"/>
  <c r="U359" i="2"/>
  <c r="T359" i="2"/>
  <c r="Y359" i="2" s="1"/>
  <c r="AC357" i="2"/>
  <c r="Y353" i="2"/>
  <c r="W353" i="2"/>
  <c r="V353" i="2"/>
  <c r="U353" i="2"/>
  <c r="T353" i="2"/>
  <c r="W352" i="2"/>
  <c r="V352" i="2"/>
  <c r="U352" i="2"/>
  <c r="T352" i="2"/>
  <c r="Y352" i="2" s="1"/>
  <c r="W351" i="2"/>
  <c r="V351" i="2"/>
  <c r="U351" i="2"/>
  <c r="T351" i="2"/>
  <c r="Y351" i="2" s="1"/>
  <c r="W350" i="2"/>
  <c r="V350" i="2"/>
  <c r="U350" i="2"/>
  <c r="T350" i="2"/>
  <c r="Y350" i="2" s="1"/>
  <c r="W349" i="2"/>
  <c r="V349" i="2"/>
  <c r="U349" i="2"/>
  <c r="Y349" i="2" s="1"/>
  <c r="X349" i="2" s="1"/>
  <c r="T349" i="2"/>
  <c r="W348" i="2"/>
  <c r="V348" i="2"/>
  <c r="U348" i="2"/>
  <c r="T348" i="2"/>
  <c r="Y348" i="2" s="1"/>
  <c r="W347" i="2"/>
  <c r="V347" i="2"/>
  <c r="U347" i="2"/>
  <c r="T347" i="2"/>
  <c r="Y347" i="2" s="1"/>
  <c r="W346" i="2"/>
  <c r="V346" i="2"/>
  <c r="U346" i="2"/>
  <c r="T346" i="2"/>
  <c r="Y346" i="2" s="1"/>
  <c r="W345" i="2"/>
  <c r="V345" i="2"/>
  <c r="U345" i="2"/>
  <c r="T345" i="2"/>
  <c r="Y345" i="2" s="1"/>
  <c r="Y344" i="2"/>
  <c r="W344" i="2"/>
  <c r="V344" i="2"/>
  <c r="U344" i="2"/>
  <c r="T344" i="2"/>
  <c r="W343" i="2"/>
  <c r="V343" i="2"/>
  <c r="U343" i="2"/>
  <c r="T343" i="2"/>
  <c r="W342" i="2"/>
  <c r="V342" i="2"/>
  <c r="U342" i="2"/>
  <c r="T342" i="2"/>
  <c r="Y342" i="2" s="1"/>
  <c r="Y341" i="2"/>
  <c r="W341" i="2"/>
  <c r="V341" i="2"/>
  <c r="U341" i="2"/>
  <c r="T341" i="2"/>
  <c r="W340" i="2"/>
  <c r="V340" i="2"/>
  <c r="U340" i="2"/>
  <c r="T340" i="2"/>
  <c r="Y339" i="2"/>
  <c r="W339" i="2"/>
  <c r="V339" i="2"/>
  <c r="U339" i="2"/>
  <c r="T339" i="2"/>
  <c r="Y338" i="2"/>
  <c r="W338" i="2"/>
  <c r="V338" i="2"/>
  <c r="U338" i="2"/>
  <c r="T338" i="2"/>
  <c r="W337" i="2"/>
  <c r="V337" i="2"/>
  <c r="U337" i="2"/>
  <c r="T337" i="2"/>
  <c r="Y337" i="2" s="1"/>
  <c r="Y336" i="2"/>
  <c r="W336" i="2"/>
  <c r="V336" i="2"/>
  <c r="U336" i="2"/>
  <c r="T336" i="2"/>
  <c r="W335" i="2"/>
  <c r="V335" i="2"/>
  <c r="U335" i="2"/>
  <c r="T335" i="2"/>
  <c r="Y335" i="2" s="1"/>
  <c r="W334" i="2"/>
  <c r="V334" i="2"/>
  <c r="U334" i="2"/>
  <c r="Y334" i="2" s="1"/>
  <c r="T334" i="2"/>
  <c r="Y333" i="2"/>
  <c r="W333" i="2"/>
  <c r="V333" i="2"/>
  <c r="U333" i="2"/>
  <c r="T333" i="2"/>
  <c r="W332" i="2"/>
  <c r="V332" i="2"/>
  <c r="U332" i="2"/>
  <c r="T332" i="2"/>
  <c r="W331" i="2"/>
  <c r="V331" i="2"/>
  <c r="U331" i="2"/>
  <c r="T331" i="2"/>
  <c r="Y331" i="2" s="1"/>
  <c r="W330" i="2"/>
  <c r="V330" i="2"/>
  <c r="U330" i="2"/>
  <c r="T330" i="2"/>
  <c r="W329" i="2"/>
  <c r="V329" i="2"/>
  <c r="U329" i="2"/>
  <c r="Y329" i="2" s="1"/>
  <c r="T329" i="2"/>
  <c r="AB327" i="2"/>
  <c r="AS321" i="2"/>
  <c r="AK321" i="2"/>
  <c r="U321" i="2"/>
  <c r="M321" i="2"/>
  <c r="C321" i="2"/>
  <c r="BC320" i="2"/>
  <c r="BC321" i="2" s="1"/>
  <c r="BB320" i="2"/>
  <c r="BB321" i="2" s="1"/>
  <c r="BD321" i="2" s="1"/>
  <c r="W300" i="2" s="1"/>
  <c r="AZ320" i="2"/>
  <c r="AY320" i="2"/>
  <c r="BA320" i="2" s="1"/>
  <c r="V299" i="2" s="1"/>
  <c r="AW320" i="2"/>
  <c r="AW321" i="2" s="1"/>
  <c r="AV320" i="2"/>
  <c r="AX320" i="2" s="1"/>
  <c r="AU320" i="2"/>
  <c r="T299" i="2" s="1"/>
  <c r="AT320" i="2"/>
  <c r="AT321" i="2" s="1"/>
  <c r="AS320" i="2"/>
  <c r="AQ320" i="2"/>
  <c r="AR320" i="2" s="1"/>
  <c r="S299" i="2" s="1"/>
  <c r="AP320" i="2"/>
  <c r="AO320" i="2"/>
  <c r="R299" i="2" s="1"/>
  <c r="AN320" i="2"/>
  <c r="AM320" i="2"/>
  <c r="AK320" i="2"/>
  <c r="AJ320" i="2"/>
  <c r="AL320" i="2" s="1"/>
  <c r="Q299" i="2" s="1"/>
  <c r="AH320" i="2"/>
  <c r="AG320" i="2"/>
  <c r="AI320" i="2" s="1"/>
  <c r="P299" i="2" s="1"/>
  <c r="AE320" i="2"/>
  <c r="AF320" i="2" s="1"/>
  <c r="AD320" i="2"/>
  <c r="AA320" i="2"/>
  <c r="Y320" i="2"/>
  <c r="X320" i="2"/>
  <c r="Z320" i="2" s="1"/>
  <c r="J299" i="2" s="1"/>
  <c r="W320" i="2"/>
  <c r="I299" i="2" s="1"/>
  <c r="V320" i="2"/>
  <c r="U320" i="2"/>
  <c r="Q320" i="2"/>
  <c r="P320" i="2"/>
  <c r="O320" i="2"/>
  <c r="M320" i="2"/>
  <c r="L320" i="2"/>
  <c r="N320" i="2" s="1"/>
  <c r="F299" i="2" s="1"/>
  <c r="G320" i="2"/>
  <c r="H320" i="2" s="1"/>
  <c r="D299" i="2" s="1"/>
  <c r="F320" i="2"/>
  <c r="D320" i="2"/>
  <c r="C320" i="2"/>
  <c r="BD319" i="2"/>
  <c r="BA319" i="2"/>
  <c r="V298" i="2" s="1"/>
  <c r="AZ319" i="2"/>
  <c r="AY319" i="2"/>
  <c r="AW319" i="2"/>
  <c r="AV319" i="2"/>
  <c r="AX319" i="2" s="1"/>
  <c r="U298" i="2" s="1"/>
  <c r="AU319" i="2"/>
  <c r="AQ319" i="2"/>
  <c r="AP319" i="2"/>
  <c r="AR319" i="2" s="1"/>
  <c r="S298" i="2" s="1"/>
  <c r="AO319" i="2"/>
  <c r="AN319" i="2"/>
  <c r="AM319" i="2"/>
  <c r="AL319" i="2"/>
  <c r="AH319" i="2"/>
  <c r="AG319" i="2"/>
  <c r="AI319" i="2" s="1"/>
  <c r="P298" i="2" s="1"/>
  <c r="AE319" i="2"/>
  <c r="AF319" i="2" s="1"/>
  <c r="O298" i="2" s="1"/>
  <c r="AD319" i="2"/>
  <c r="AA319" i="2"/>
  <c r="AC319" i="2" s="1"/>
  <c r="K298" i="2" s="1"/>
  <c r="Y319" i="2"/>
  <c r="AB319" i="2" s="1"/>
  <c r="X319" i="2"/>
  <c r="Z319" i="2" s="1"/>
  <c r="W319" i="2"/>
  <c r="I298" i="2" s="1"/>
  <c r="V319" i="2"/>
  <c r="U319" i="2"/>
  <c r="S319" i="2"/>
  <c r="Q319" i="2"/>
  <c r="G298" i="2" s="1"/>
  <c r="P319" i="2"/>
  <c r="O319" i="2"/>
  <c r="M298" i="2" s="1"/>
  <c r="M319" i="2"/>
  <c r="L319" i="2"/>
  <c r="N319" i="2" s="1"/>
  <c r="F298" i="2" s="1"/>
  <c r="I319" i="2"/>
  <c r="G319" i="2"/>
  <c r="H319" i="2" s="1"/>
  <c r="F319" i="2"/>
  <c r="D319" i="2"/>
  <c r="J319" i="2" s="1"/>
  <c r="C319" i="2"/>
  <c r="E319" i="2" s="1"/>
  <c r="C298" i="2" s="1"/>
  <c r="BD318" i="2"/>
  <c r="BA318" i="2"/>
  <c r="V297" i="2" s="1"/>
  <c r="AZ318" i="2"/>
  <c r="AZ321" i="2" s="1"/>
  <c r="AY318" i="2"/>
  <c r="AW318" i="2"/>
  <c r="AV318" i="2"/>
  <c r="AV321" i="2" s="1"/>
  <c r="AX321" i="2" s="1"/>
  <c r="U300" i="2" s="1"/>
  <c r="AU318" i="2"/>
  <c r="T297" i="2" s="1"/>
  <c r="AQ318" i="2"/>
  <c r="AP318" i="2"/>
  <c r="AO318" i="2"/>
  <c r="R297" i="2" s="1"/>
  <c r="AN318" i="2"/>
  <c r="AN321" i="2" s="1"/>
  <c r="AM318" i="2"/>
  <c r="AM321" i="2" s="1"/>
  <c r="AO321" i="2" s="1"/>
  <c r="AL318" i="2"/>
  <c r="AH318" i="2"/>
  <c r="AH321" i="2" s="1"/>
  <c r="AG318" i="2"/>
  <c r="AE318" i="2"/>
  <c r="AE321" i="2" s="1"/>
  <c r="AD318" i="2"/>
  <c r="AD321" i="2" s="1"/>
  <c r="AA318" i="2"/>
  <c r="Y318" i="2"/>
  <c r="X318" i="2"/>
  <c r="X321" i="2" s="1"/>
  <c r="W318" i="2"/>
  <c r="V318" i="2"/>
  <c r="V321" i="2" s="1"/>
  <c r="U318" i="2"/>
  <c r="S318" i="2"/>
  <c r="Q318" i="2"/>
  <c r="P318" i="2"/>
  <c r="P321" i="2" s="1"/>
  <c r="O318" i="2"/>
  <c r="O321" i="2" s="1"/>
  <c r="Q321" i="2" s="1"/>
  <c r="G300" i="2" s="1"/>
  <c r="M318" i="2"/>
  <c r="L318" i="2"/>
  <c r="N318" i="2" s="1"/>
  <c r="F297" i="2" s="1"/>
  <c r="G318" i="2"/>
  <c r="G321" i="2" s="1"/>
  <c r="F318" i="2"/>
  <c r="F321" i="2" s="1"/>
  <c r="D318" i="2"/>
  <c r="D321" i="2" s="1"/>
  <c r="C318" i="2"/>
  <c r="I318" i="2" s="1"/>
  <c r="BC317" i="2"/>
  <c r="AU317" i="2"/>
  <c r="T296" i="2" s="1"/>
  <c r="AG317" i="2"/>
  <c r="Y317" i="2"/>
  <c r="BC316" i="2"/>
  <c r="BD316" i="2" s="1"/>
  <c r="BB316" i="2"/>
  <c r="BB317" i="2" s="1"/>
  <c r="BA316" i="2"/>
  <c r="V295" i="2" s="1"/>
  <c r="AZ316" i="2"/>
  <c r="AY316" i="2"/>
  <c r="AW316" i="2"/>
  <c r="AV316" i="2"/>
  <c r="AX316" i="2" s="1"/>
  <c r="U295" i="2" s="1"/>
  <c r="AT316" i="2"/>
  <c r="AT317" i="2" s="1"/>
  <c r="AS316" i="2"/>
  <c r="AS317" i="2" s="1"/>
  <c r="AQ316" i="2"/>
  <c r="AR316" i="2" s="1"/>
  <c r="AP316" i="2"/>
  <c r="AN316" i="2"/>
  <c r="AM316" i="2"/>
  <c r="AO316" i="2" s="1"/>
  <c r="R295" i="2" s="1"/>
  <c r="AK316" i="2"/>
  <c r="AK317" i="2" s="1"/>
  <c r="AJ316" i="2"/>
  <c r="AJ317" i="2" s="1"/>
  <c r="AI316" i="2"/>
  <c r="P295" i="2" s="1"/>
  <c r="AH316" i="2"/>
  <c r="AG316" i="2"/>
  <c r="AE316" i="2"/>
  <c r="AF316" i="2" s="1"/>
  <c r="AD316" i="2"/>
  <c r="AA316" i="2"/>
  <c r="Y316" i="2"/>
  <c r="X316" i="2"/>
  <c r="Z316" i="2" s="1"/>
  <c r="V316" i="2"/>
  <c r="U316" i="2"/>
  <c r="W316" i="2" s="1"/>
  <c r="P316" i="2"/>
  <c r="O316" i="2"/>
  <c r="M316" i="2"/>
  <c r="L316" i="2"/>
  <c r="G316" i="2"/>
  <c r="H316" i="2" s="1"/>
  <c r="F316" i="2"/>
  <c r="E316" i="2"/>
  <c r="D316" i="2"/>
  <c r="C316" i="2"/>
  <c r="BD315" i="2"/>
  <c r="AZ315" i="2"/>
  <c r="AY315" i="2"/>
  <c r="BA315" i="2" s="1"/>
  <c r="AW315" i="2"/>
  <c r="AV315" i="2"/>
  <c r="AX315" i="2" s="1"/>
  <c r="U294" i="2" s="1"/>
  <c r="AU315" i="2"/>
  <c r="AQ315" i="2"/>
  <c r="AP315" i="2"/>
  <c r="AR315" i="2" s="1"/>
  <c r="S294" i="2" s="1"/>
  <c r="AO315" i="2"/>
  <c r="R294" i="2" s="1"/>
  <c r="AN315" i="2"/>
  <c r="AM315" i="2"/>
  <c r="AL315" i="2"/>
  <c r="AI315" i="2"/>
  <c r="AH315" i="2"/>
  <c r="AG315" i="2"/>
  <c r="AE315" i="2"/>
  <c r="AF315" i="2" s="1"/>
  <c r="O294" i="2" s="1"/>
  <c r="AD315" i="2"/>
  <c r="Y315" i="2"/>
  <c r="X315" i="2"/>
  <c r="Z315" i="2" s="1"/>
  <c r="J294" i="2" s="1"/>
  <c r="V315" i="2"/>
  <c r="AB315" i="2" s="1"/>
  <c r="U315" i="2"/>
  <c r="AA315" i="2" s="1"/>
  <c r="AC315" i="2" s="1"/>
  <c r="K294" i="2" s="1"/>
  <c r="P315" i="2"/>
  <c r="O315" i="2"/>
  <c r="M315" i="2"/>
  <c r="S315" i="2" s="1"/>
  <c r="L315" i="2"/>
  <c r="G315" i="2"/>
  <c r="H315" i="2" s="1"/>
  <c r="F315" i="2"/>
  <c r="E315" i="2"/>
  <c r="C294" i="2" s="1"/>
  <c r="D315" i="2"/>
  <c r="J315" i="2" s="1"/>
  <c r="C315" i="2"/>
  <c r="I315" i="2" s="1"/>
  <c r="BD314" i="2"/>
  <c r="AZ314" i="2"/>
  <c r="AY314" i="2"/>
  <c r="BA314" i="2" s="1"/>
  <c r="V293" i="2" s="1"/>
  <c r="AW314" i="2"/>
  <c r="AV314" i="2"/>
  <c r="AU314" i="2"/>
  <c r="T293" i="2" s="1"/>
  <c r="AQ314" i="2"/>
  <c r="AP314" i="2"/>
  <c r="AR314" i="2" s="1"/>
  <c r="AO314" i="2"/>
  <c r="R293" i="2" s="1"/>
  <c r="AN314" i="2"/>
  <c r="AM314" i="2"/>
  <c r="AL314" i="2"/>
  <c r="AI314" i="2"/>
  <c r="P293" i="2" s="1"/>
  <c r="AH314" i="2"/>
  <c r="AG314" i="2"/>
  <c r="AE314" i="2"/>
  <c r="AD314" i="2"/>
  <c r="AF314" i="2" s="1"/>
  <c r="O293" i="2" s="1"/>
  <c r="Y314" i="2"/>
  <c r="X314" i="2"/>
  <c r="Z314" i="2" s="1"/>
  <c r="J293" i="2" s="1"/>
  <c r="V314" i="2"/>
  <c r="AB314" i="2" s="1"/>
  <c r="U314" i="2"/>
  <c r="AA314" i="2" s="1"/>
  <c r="AC314" i="2" s="1"/>
  <c r="K293" i="2" s="1"/>
  <c r="P314" i="2"/>
  <c r="O314" i="2"/>
  <c r="Q314" i="2" s="1"/>
  <c r="G293" i="2" s="1"/>
  <c r="M314" i="2"/>
  <c r="S314" i="2" s="1"/>
  <c r="L314" i="2"/>
  <c r="G314" i="2"/>
  <c r="F314" i="2"/>
  <c r="E314" i="2"/>
  <c r="D314" i="2"/>
  <c r="J314" i="2" s="1"/>
  <c r="C314" i="2"/>
  <c r="I314" i="2" s="1"/>
  <c r="BD313" i="2"/>
  <c r="AZ313" i="2"/>
  <c r="AY313" i="2"/>
  <c r="BA313" i="2" s="1"/>
  <c r="AW313" i="2"/>
  <c r="AV313" i="2"/>
  <c r="AU313" i="2"/>
  <c r="T292" i="2" s="1"/>
  <c r="AQ313" i="2"/>
  <c r="AP313" i="2"/>
  <c r="AR313" i="2" s="1"/>
  <c r="S292" i="2" s="1"/>
  <c r="AO313" i="2"/>
  <c r="AN313" i="2"/>
  <c r="AM313" i="2"/>
  <c r="AL313" i="2"/>
  <c r="AI313" i="2"/>
  <c r="AH313" i="2"/>
  <c r="AG313" i="2"/>
  <c r="AE313" i="2"/>
  <c r="AD313" i="2"/>
  <c r="AF313" i="2" s="1"/>
  <c r="O292" i="2" s="1"/>
  <c r="AA313" i="2"/>
  <c r="AC313" i="2" s="1"/>
  <c r="K292" i="2" s="1"/>
  <c r="Y313" i="2"/>
  <c r="X313" i="2"/>
  <c r="Z313" i="2" s="1"/>
  <c r="W313" i="2"/>
  <c r="I292" i="2" s="1"/>
  <c r="V313" i="2"/>
  <c r="AB313" i="2" s="1"/>
  <c r="U313" i="2"/>
  <c r="S313" i="2"/>
  <c r="P313" i="2"/>
  <c r="O313" i="2"/>
  <c r="M313" i="2"/>
  <c r="L313" i="2"/>
  <c r="G313" i="2"/>
  <c r="F313" i="2"/>
  <c r="E313" i="2"/>
  <c r="C292" i="2" s="1"/>
  <c r="D313" i="2"/>
  <c r="C313" i="2"/>
  <c r="BD312" i="2"/>
  <c r="AZ312" i="2"/>
  <c r="AY312" i="2"/>
  <c r="BA312" i="2" s="1"/>
  <c r="V291" i="2" s="1"/>
  <c r="AW312" i="2"/>
  <c r="AV312" i="2"/>
  <c r="AU312" i="2"/>
  <c r="T291" i="2" s="1"/>
  <c r="AQ312" i="2"/>
  <c r="AP312" i="2"/>
  <c r="AR312" i="2" s="1"/>
  <c r="AN312" i="2"/>
  <c r="AM312" i="2"/>
  <c r="AO312" i="2" s="1"/>
  <c r="R291" i="2" s="1"/>
  <c r="AL312" i="2"/>
  <c r="AI312" i="2"/>
  <c r="P291" i="2" s="1"/>
  <c r="AH312" i="2"/>
  <c r="AG312" i="2"/>
  <c r="AE312" i="2"/>
  <c r="AD312" i="2"/>
  <c r="AA312" i="2"/>
  <c r="AC312" i="2" s="1"/>
  <c r="K291" i="2" s="1"/>
  <c r="Y312" i="2"/>
  <c r="X312" i="2"/>
  <c r="Z312" i="2" s="1"/>
  <c r="J291" i="2" s="1"/>
  <c r="W312" i="2"/>
  <c r="I291" i="2" s="1"/>
  <c r="V312" i="2"/>
  <c r="AB312" i="2" s="1"/>
  <c r="U312" i="2"/>
  <c r="P312" i="2"/>
  <c r="O312" i="2"/>
  <c r="Q312" i="2" s="1"/>
  <c r="M312" i="2"/>
  <c r="S312" i="2" s="1"/>
  <c r="L312" i="2"/>
  <c r="G312" i="2"/>
  <c r="F312" i="2"/>
  <c r="H312" i="2" s="1"/>
  <c r="D291" i="2" s="1"/>
  <c r="D312" i="2"/>
  <c r="C312" i="2"/>
  <c r="BD311" i="2"/>
  <c r="AZ311" i="2"/>
  <c r="AY311" i="2"/>
  <c r="BA311" i="2" s="1"/>
  <c r="V290" i="2" s="1"/>
  <c r="AW311" i="2"/>
  <c r="AV311" i="2"/>
  <c r="AX311" i="2" s="1"/>
  <c r="U290" i="2" s="1"/>
  <c r="AU311" i="2"/>
  <c r="AQ311" i="2"/>
  <c r="AP311" i="2"/>
  <c r="AR311" i="2" s="1"/>
  <c r="S290" i="2" s="1"/>
  <c r="AN311" i="2"/>
  <c r="AM311" i="2"/>
  <c r="AO311" i="2" s="1"/>
  <c r="R290" i="2" s="1"/>
  <c r="AL311" i="2"/>
  <c r="AI311" i="2"/>
  <c r="AH311" i="2"/>
  <c r="AG311" i="2"/>
  <c r="AE311" i="2"/>
  <c r="AD311" i="2"/>
  <c r="AF311" i="2" s="1"/>
  <c r="O290" i="2" s="1"/>
  <c r="AA311" i="2"/>
  <c r="AC311" i="2" s="1"/>
  <c r="K290" i="2" s="1"/>
  <c r="Y311" i="2"/>
  <c r="X311" i="2"/>
  <c r="Z311" i="2" s="1"/>
  <c r="V311" i="2"/>
  <c r="AB311" i="2" s="1"/>
  <c r="U311" i="2"/>
  <c r="W311" i="2" s="1"/>
  <c r="I290" i="2" s="1"/>
  <c r="S311" i="2"/>
  <c r="P311" i="2"/>
  <c r="O311" i="2"/>
  <c r="M311" i="2"/>
  <c r="L311" i="2"/>
  <c r="G311" i="2"/>
  <c r="F311" i="2"/>
  <c r="H311" i="2" s="1"/>
  <c r="D311" i="2"/>
  <c r="C311" i="2"/>
  <c r="I311" i="2" s="1"/>
  <c r="BD310" i="2"/>
  <c r="AZ310" i="2"/>
  <c r="AY310" i="2"/>
  <c r="BA310" i="2" s="1"/>
  <c r="V289" i="2" s="1"/>
  <c r="AW310" i="2"/>
  <c r="AV310" i="2"/>
  <c r="AX310" i="2" s="1"/>
  <c r="AU310" i="2"/>
  <c r="T289" i="2" s="1"/>
  <c r="AQ310" i="2"/>
  <c r="AP310" i="2"/>
  <c r="AR310" i="2" s="1"/>
  <c r="S289" i="2" s="1"/>
  <c r="AO310" i="2"/>
  <c r="R289" i="2" s="1"/>
  <c r="AN310" i="2"/>
  <c r="AM310" i="2"/>
  <c r="AL310" i="2"/>
  <c r="AI310" i="2"/>
  <c r="P289" i="2" s="1"/>
  <c r="AH310" i="2"/>
  <c r="AG310" i="2"/>
  <c r="AE310" i="2"/>
  <c r="AD310" i="2"/>
  <c r="Y310" i="2"/>
  <c r="X310" i="2"/>
  <c r="Z310" i="2" s="1"/>
  <c r="J289" i="2" s="1"/>
  <c r="V310" i="2"/>
  <c r="AB310" i="2" s="1"/>
  <c r="U310" i="2"/>
  <c r="AA310" i="2" s="1"/>
  <c r="AC310" i="2" s="1"/>
  <c r="K289" i="2" s="1"/>
  <c r="S310" i="2"/>
  <c r="P310" i="2"/>
  <c r="O310" i="2"/>
  <c r="Q310" i="2" s="1"/>
  <c r="M310" i="2"/>
  <c r="L310" i="2"/>
  <c r="R310" i="2" s="1"/>
  <c r="T310" i="2" s="1"/>
  <c r="H289" i="2" s="1"/>
  <c r="G310" i="2"/>
  <c r="F310" i="2"/>
  <c r="H310" i="2" s="1"/>
  <c r="D289" i="2" s="1"/>
  <c r="E310" i="2"/>
  <c r="C289" i="2" s="1"/>
  <c r="D310" i="2"/>
  <c r="J310" i="2" s="1"/>
  <c r="C310" i="2"/>
  <c r="BD309" i="2"/>
  <c r="AZ309" i="2"/>
  <c r="AY309" i="2"/>
  <c r="BA309" i="2" s="1"/>
  <c r="V288" i="2" s="1"/>
  <c r="AW309" i="2"/>
  <c r="AV309" i="2"/>
  <c r="AX309" i="2" s="1"/>
  <c r="U288" i="2" s="1"/>
  <c r="AU309" i="2"/>
  <c r="AP309" i="2"/>
  <c r="AN309" i="2"/>
  <c r="AM309" i="2"/>
  <c r="AO309" i="2" s="1"/>
  <c r="R288" i="2" s="1"/>
  <c r="AL309" i="2"/>
  <c r="AH309" i="2"/>
  <c r="AE309" i="2"/>
  <c r="AD309" i="2"/>
  <c r="X309" i="2"/>
  <c r="V309" i="2"/>
  <c r="U309" i="2"/>
  <c r="AA309" i="2" s="1"/>
  <c r="S309" i="2"/>
  <c r="P309" i="2"/>
  <c r="O309" i="2"/>
  <c r="M309" i="2"/>
  <c r="N309" i="2" s="1"/>
  <c r="L309" i="2"/>
  <c r="R309" i="2" s="1"/>
  <c r="T309" i="2" s="1"/>
  <c r="H288" i="2" s="1"/>
  <c r="K309" i="2"/>
  <c r="E288" i="2" s="1"/>
  <c r="G309" i="2"/>
  <c r="F309" i="2"/>
  <c r="H309" i="2" s="1"/>
  <c r="D288" i="2" s="1"/>
  <c r="E309" i="2"/>
  <c r="C288" i="2" s="1"/>
  <c r="D309" i="2"/>
  <c r="J309" i="2" s="1"/>
  <c r="C309" i="2"/>
  <c r="I309" i="2" s="1"/>
  <c r="BD308" i="2"/>
  <c r="AZ308" i="2"/>
  <c r="AZ317" i="2" s="1"/>
  <c r="AY308" i="2"/>
  <c r="AW308" i="2"/>
  <c r="AW317" i="2" s="1"/>
  <c r="AV308" i="2"/>
  <c r="AV317" i="2" s="1"/>
  <c r="AU308" i="2"/>
  <c r="T287" i="2" s="1"/>
  <c r="AQ308" i="2"/>
  <c r="AQ317" i="2" s="1"/>
  <c r="AP308" i="2"/>
  <c r="AR308" i="2" s="1"/>
  <c r="AN308" i="2"/>
  <c r="AN317" i="2" s="1"/>
  <c r="AM308" i="2"/>
  <c r="AO308" i="2" s="1"/>
  <c r="R287" i="2" s="1"/>
  <c r="AL308" i="2"/>
  <c r="AI308" i="2"/>
  <c r="P287" i="2" s="1"/>
  <c r="AH308" i="2"/>
  <c r="AH317" i="2" s="1"/>
  <c r="AG308" i="2"/>
  <c r="AE308" i="2"/>
  <c r="AE317" i="2" s="1"/>
  <c r="AD308" i="2"/>
  <c r="AA308" i="2"/>
  <c r="AA317" i="2" s="1"/>
  <c r="Y308" i="2"/>
  <c r="X308" i="2"/>
  <c r="Z308" i="2" s="1"/>
  <c r="J287" i="2" s="1"/>
  <c r="V308" i="2"/>
  <c r="V317" i="2" s="1"/>
  <c r="U308" i="2"/>
  <c r="W308" i="2" s="1"/>
  <c r="I287" i="2" s="1"/>
  <c r="S308" i="2"/>
  <c r="P308" i="2"/>
  <c r="P317" i="2" s="1"/>
  <c r="O308" i="2"/>
  <c r="M308" i="2"/>
  <c r="L308" i="2"/>
  <c r="L317" i="2" s="1"/>
  <c r="G308" i="2"/>
  <c r="G317" i="2" s="1"/>
  <c r="F308" i="2"/>
  <c r="H308" i="2" s="1"/>
  <c r="D287" i="2" s="1"/>
  <c r="D308" i="2"/>
  <c r="D317" i="2" s="1"/>
  <c r="C308" i="2"/>
  <c r="BD307" i="2"/>
  <c r="AZ307" i="2"/>
  <c r="AY307" i="2"/>
  <c r="BA307" i="2" s="1"/>
  <c r="AW307" i="2"/>
  <c r="AV307" i="2"/>
  <c r="AX307" i="2" s="1"/>
  <c r="U286" i="2" s="1"/>
  <c r="AU307" i="2"/>
  <c r="AQ307" i="2"/>
  <c r="AP307" i="2"/>
  <c r="AR307" i="2" s="1"/>
  <c r="S286" i="2" s="1"/>
  <c r="AN307" i="2"/>
  <c r="AM307" i="2"/>
  <c r="AO307" i="2" s="1"/>
  <c r="R286" i="2" s="1"/>
  <c r="AL307" i="2"/>
  <c r="AI307" i="2"/>
  <c r="AH307" i="2"/>
  <c r="AG307" i="2"/>
  <c r="AE307" i="2"/>
  <c r="AD307" i="2"/>
  <c r="Y307" i="2"/>
  <c r="X307" i="2"/>
  <c r="Z307" i="2" s="1"/>
  <c r="J286" i="2" s="1"/>
  <c r="V307" i="2"/>
  <c r="AB307" i="2" s="1"/>
  <c r="U307" i="2"/>
  <c r="W307" i="2" s="1"/>
  <c r="I286" i="2" s="1"/>
  <c r="P307" i="2"/>
  <c r="M307" i="2"/>
  <c r="N307" i="2" s="1"/>
  <c r="L307" i="2"/>
  <c r="G307" i="2"/>
  <c r="F307" i="2"/>
  <c r="H307" i="2" s="1"/>
  <c r="D286" i="2" s="1"/>
  <c r="D307" i="2"/>
  <c r="J307" i="2" s="1"/>
  <c r="C307" i="2"/>
  <c r="I307" i="2" s="1"/>
  <c r="K307" i="2" s="1"/>
  <c r="E286" i="2" s="1"/>
  <c r="BC306" i="2"/>
  <c r="BB306" i="2"/>
  <c r="BD306" i="2" s="1"/>
  <c r="W285" i="2" s="1"/>
  <c r="AZ306" i="2"/>
  <c r="AY306" i="2"/>
  <c r="BA306" i="2" s="1"/>
  <c r="V285" i="2" s="1"/>
  <c r="AW306" i="2"/>
  <c r="AX306" i="2" s="1"/>
  <c r="AV306" i="2"/>
  <c r="AT306" i="2"/>
  <c r="AS306" i="2"/>
  <c r="AU306" i="2" s="1"/>
  <c r="T285" i="2" s="1"/>
  <c r="AQ306" i="2"/>
  <c r="AR306" i="2" s="1"/>
  <c r="S285" i="2" s="1"/>
  <c r="AP306" i="2"/>
  <c r="AO306" i="2"/>
  <c r="R285" i="2" s="1"/>
  <c r="AN306" i="2"/>
  <c r="AM306" i="2"/>
  <c r="AK306" i="2"/>
  <c r="AJ306" i="2"/>
  <c r="AI306" i="2"/>
  <c r="P285" i="2" s="1"/>
  <c r="AH306" i="2"/>
  <c r="AG306" i="2"/>
  <c r="AE306" i="2"/>
  <c r="AD306" i="2"/>
  <c r="AF306" i="2" s="1"/>
  <c r="O285" i="2" s="1"/>
  <c r="Y306" i="2"/>
  <c r="Z306" i="2" s="1"/>
  <c r="J285" i="2" s="1"/>
  <c r="X306" i="2"/>
  <c r="V306" i="2"/>
  <c r="U306" i="2"/>
  <c r="W306" i="2" s="1"/>
  <c r="Q306" i="2"/>
  <c r="G285" i="2" s="1"/>
  <c r="P306" i="2"/>
  <c r="O306" i="2"/>
  <c r="M306" i="2"/>
  <c r="L306" i="2"/>
  <c r="G306" i="2"/>
  <c r="F306" i="2"/>
  <c r="H306" i="2" s="1"/>
  <c r="D285" i="2" s="1"/>
  <c r="D306" i="2"/>
  <c r="C306" i="2"/>
  <c r="L285" i="2" s="1"/>
  <c r="R300" i="2"/>
  <c r="U299" i="2"/>
  <c r="O299" i="2"/>
  <c r="M299" i="2"/>
  <c r="G299" i="2"/>
  <c r="W298" i="2"/>
  <c r="T298" i="2"/>
  <c r="R298" i="2"/>
  <c r="Q298" i="2"/>
  <c r="L298" i="2"/>
  <c r="J298" i="2"/>
  <c r="D298" i="2"/>
  <c r="W297" i="2"/>
  <c r="Q297" i="2"/>
  <c r="M297" i="2"/>
  <c r="I297" i="2"/>
  <c r="G297" i="2"/>
  <c r="W295" i="2"/>
  <c r="S295" i="2"/>
  <c r="O295" i="2"/>
  <c r="I295" i="2"/>
  <c r="W294" i="2"/>
  <c r="V294" i="2"/>
  <c r="T294" i="2"/>
  <c r="Q294" i="2"/>
  <c r="P294" i="2"/>
  <c r="L294" i="2"/>
  <c r="D294" i="2"/>
  <c r="W293" i="2"/>
  <c r="S293" i="2"/>
  <c r="Q293" i="2"/>
  <c r="C293" i="2"/>
  <c r="W292" i="2"/>
  <c r="V292" i="2"/>
  <c r="R292" i="2"/>
  <c r="Q292" i="2"/>
  <c r="P292" i="2"/>
  <c r="J292" i="2"/>
  <c r="W291" i="2"/>
  <c r="S291" i="2"/>
  <c r="Q291" i="2"/>
  <c r="M291" i="2"/>
  <c r="G291" i="2"/>
  <c r="W290" i="2"/>
  <c r="T290" i="2"/>
  <c r="Q290" i="2"/>
  <c r="P290" i="2"/>
  <c r="J290" i="2"/>
  <c r="D290" i="2"/>
  <c r="W289" i="2"/>
  <c r="U289" i="2"/>
  <c r="Q289" i="2"/>
  <c r="M289" i="2"/>
  <c r="G289" i="2"/>
  <c r="W288" i="2"/>
  <c r="T288" i="2"/>
  <c r="Q288" i="2"/>
  <c r="L288" i="2"/>
  <c r="F288" i="2"/>
  <c r="W287" i="2"/>
  <c r="S287" i="2"/>
  <c r="Q287" i="2"/>
  <c r="W286" i="2"/>
  <c r="V286" i="2"/>
  <c r="T286" i="2"/>
  <c r="Q286" i="2"/>
  <c r="P286" i="2"/>
  <c r="F286" i="2"/>
  <c r="U285" i="2"/>
  <c r="M285" i="2"/>
  <c r="I285" i="2"/>
  <c r="BD278" i="2"/>
  <c r="BA278" i="2"/>
  <c r="AX278" i="2"/>
  <c r="AU278" i="2"/>
  <c r="AR278" i="2"/>
  <c r="AO278" i="2"/>
  <c r="AL278" i="2"/>
  <c r="AI278" i="2"/>
  <c r="AF278" i="2"/>
  <c r="AC278" i="2"/>
  <c r="K295" i="2" s="1"/>
  <c r="AB278" i="2"/>
  <c r="AB316" i="2" s="1"/>
  <c r="AC316" i="2" s="1"/>
  <c r="AA278" i="2"/>
  <c r="Z278" i="2"/>
  <c r="J295" i="2" s="1"/>
  <c r="W278" i="2"/>
  <c r="S278" i="2"/>
  <c r="R278" i="2"/>
  <c r="R316" i="2" s="1"/>
  <c r="Q278" i="2"/>
  <c r="G295" i="2" s="1"/>
  <c r="N278" i="2"/>
  <c r="F295" i="2" s="1"/>
  <c r="J278" i="2"/>
  <c r="J316" i="2" s="1"/>
  <c r="I278" i="2"/>
  <c r="H278" i="2"/>
  <c r="D295" i="2" s="1"/>
  <c r="E278" i="2"/>
  <c r="C295" i="2" s="1"/>
  <c r="BD277" i="2"/>
  <c r="BA277" i="2"/>
  <c r="AX277" i="2"/>
  <c r="AU277" i="2"/>
  <c r="AR277" i="2"/>
  <c r="AO277" i="2"/>
  <c r="AL277" i="2"/>
  <c r="AI277" i="2"/>
  <c r="AF277" i="2"/>
  <c r="AC277" i="2"/>
  <c r="AB277" i="2"/>
  <c r="AB320" i="2" s="1"/>
  <c r="AA277" i="2"/>
  <c r="Z277" i="2"/>
  <c r="W277" i="2"/>
  <c r="S277" i="2"/>
  <c r="T277" i="2" s="1"/>
  <c r="R277" i="2"/>
  <c r="R320" i="2" s="1"/>
  <c r="Q277" i="2"/>
  <c r="N277" i="2"/>
  <c r="J277" i="2"/>
  <c r="J320" i="2" s="1"/>
  <c r="I277" i="2"/>
  <c r="K277" i="2" s="1"/>
  <c r="H277" i="2"/>
  <c r="E277" i="2"/>
  <c r="BD276" i="2"/>
  <c r="BA276" i="2"/>
  <c r="AX276" i="2"/>
  <c r="AU276" i="2"/>
  <c r="AR276" i="2"/>
  <c r="AO276" i="2"/>
  <c r="AL276" i="2"/>
  <c r="AI276" i="2"/>
  <c r="AF276" i="2"/>
  <c r="AC276" i="2"/>
  <c r="AB276" i="2"/>
  <c r="AA276" i="2"/>
  <c r="Z276" i="2"/>
  <c r="W276" i="2"/>
  <c r="S276" i="2"/>
  <c r="T276" i="2" s="1"/>
  <c r="R276" i="2"/>
  <c r="Q276" i="2"/>
  <c r="N276" i="2"/>
  <c r="J276" i="2"/>
  <c r="I276" i="2"/>
  <c r="K276" i="2" s="1"/>
  <c r="H276" i="2"/>
  <c r="E276" i="2"/>
  <c r="BD275" i="2"/>
  <c r="BA275" i="2"/>
  <c r="AX275" i="2"/>
  <c r="AU275" i="2"/>
  <c r="AR275" i="2"/>
  <c r="AO275" i="2"/>
  <c r="AL275" i="2"/>
  <c r="AI275" i="2"/>
  <c r="AF275" i="2"/>
  <c r="AC275" i="2"/>
  <c r="AB275" i="2"/>
  <c r="AA275" i="2"/>
  <c r="Z275" i="2"/>
  <c r="W275" i="2"/>
  <c r="S275" i="2"/>
  <c r="T275" i="2" s="1"/>
  <c r="R275" i="2"/>
  <c r="Q275" i="2"/>
  <c r="N275" i="2"/>
  <c r="J275" i="2"/>
  <c r="I275" i="2"/>
  <c r="K275" i="2" s="1"/>
  <c r="H275" i="2"/>
  <c r="E275" i="2"/>
  <c r="BD274" i="2"/>
  <c r="BA274" i="2"/>
  <c r="AX274" i="2"/>
  <c r="AU274" i="2"/>
  <c r="AR274" i="2"/>
  <c r="AO274" i="2"/>
  <c r="AL274" i="2"/>
  <c r="AI274" i="2"/>
  <c r="AF274" i="2"/>
  <c r="AC274" i="2"/>
  <c r="AB274" i="2"/>
  <c r="AA274" i="2"/>
  <c r="Z274" i="2"/>
  <c r="W274" i="2"/>
  <c r="S274" i="2"/>
  <c r="T274" i="2" s="1"/>
  <c r="R274" i="2"/>
  <c r="Q274" i="2"/>
  <c r="N274" i="2"/>
  <c r="J274" i="2"/>
  <c r="I274" i="2"/>
  <c r="K274" i="2" s="1"/>
  <c r="H274" i="2"/>
  <c r="E274" i="2"/>
  <c r="BD273" i="2"/>
  <c r="BA273" i="2"/>
  <c r="AZ273" i="2"/>
  <c r="AY273" i="2"/>
  <c r="AW273" i="2"/>
  <c r="AX273" i="2" s="1"/>
  <c r="AV273" i="2"/>
  <c r="AU273" i="2"/>
  <c r="AQ273" i="2"/>
  <c r="AP273" i="2"/>
  <c r="AN273" i="2"/>
  <c r="AM273" i="2"/>
  <c r="AO273" i="2" s="1"/>
  <c r="AL273" i="2"/>
  <c r="AI273" i="2"/>
  <c r="AH273" i="2"/>
  <c r="AG273" i="2"/>
  <c r="AF273" i="2"/>
  <c r="AE273" i="2"/>
  <c r="AD273" i="2"/>
  <c r="Y273" i="2"/>
  <c r="X273" i="2"/>
  <c r="V273" i="2"/>
  <c r="U273" i="2"/>
  <c r="W273" i="2" s="1"/>
  <c r="P273" i="2"/>
  <c r="Q273" i="2" s="1"/>
  <c r="G228" i="2" s="1"/>
  <c r="O273" i="2"/>
  <c r="M273" i="2"/>
  <c r="N273" i="2" s="1"/>
  <c r="L273" i="2"/>
  <c r="R273" i="2" s="1"/>
  <c r="G273" i="2"/>
  <c r="F273" i="2"/>
  <c r="I273" i="2" s="1"/>
  <c r="D273" i="2"/>
  <c r="J273" i="2" s="1"/>
  <c r="C273" i="2"/>
  <c r="E273" i="2" s="1"/>
  <c r="C228" i="2" s="1"/>
  <c r="BD272" i="2"/>
  <c r="BA272" i="2"/>
  <c r="AZ272" i="2"/>
  <c r="AY272" i="2"/>
  <c r="AX272" i="2"/>
  <c r="AW272" i="2"/>
  <c r="AV272" i="2"/>
  <c r="AU272" i="2"/>
  <c r="AQ272" i="2"/>
  <c r="AP272" i="2"/>
  <c r="AR272" i="2" s="1"/>
  <c r="AN272" i="2"/>
  <c r="AM272" i="2"/>
  <c r="AO272" i="2" s="1"/>
  <c r="AL272" i="2"/>
  <c r="AH272" i="2"/>
  <c r="AG272" i="2"/>
  <c r="AI272" i="2" s="1"/>
  <c r="P227" i="2" s="1"/>
  <c r="AE272" i="2"/>
  <c r="AF272" i="2" s="1"/>
  <c r="O227" i="2" s="1"/>
  <c r="AD272" i="2"/>
  <c r="Y272" i="2"/>
  <c r="X272" i="2"/>
  <c r="Z272" i="2" s="1"/>
  <c r="V272" i="2"/>
  <c r="U272" i="2"/>
  <c r="W272" i="2" s="1"/>
  <c r="I227" i="2" s="1"/>
  <c r="P272" i="2"/>
  <c r="Q272" i="2" s="1"/>
  <c r="G227" i="2" s="1"/>
  <c r="O272" i="2"/>
  <c r="N272" i="2"/>
  <c r="M272" i="2"/>
  <c r="S272" i="2" s="1"/>
  <c r="L272" i="2"/>
  <c r="G272" i="2"/>
  <c r="H272" i="2" s="1"/>
  <c r="D227" i="2" s="1"/>
  <c r="F272" i="2"/>
  <c r="E272" i="2"/>
  <c r="D272" i="2"/>
  <c r="C272" i="2"/>
  <c r="I272" i="2" s="1"/>
  <c r="BD271" i="2"/>
  <c r="AZ271" i="2"/>
  <c r="AY271" i="2"/>
  <c r="BA271" i="2" s="1"/>
  <c r="V226" i="2" s="1"/>
  <c r="AW271" i="2"/>
  <c r="AX271" i="2" s="1"/>
  <c r="U226" i="2" s="1"/>
  <c r="AV271" i="2"/>
  <c r="AU271" i="2"/>
  <c r="AQ271" i="2"/>
  <c r="AP271" i="2"/>
  <c r="AN271" i="2"/>
  <c r="AO271" i="2" s="1"/>
  <c r="R226" i="2" s="1"/>
  <c r="AM271" i="2"/>
  <c r="AL271" i="2"/>
  <c r="AH271" i="2"/>
  <c r="AG271" i="2"/>
  <c r="AI271" i="2" s="1"/>
  <c r="P226" i="2" s="1"/>
  <c r="AE271" i="2"/>
  <c r="AD271" i="2"/>
  <c r="AF271" i="2" s="1"/>
  <c r="O226" i="2" s="1"/>
  <c r="AB271" i="2"/>
  <c r="Y271" i="2"/>
  <c r="X271" i="2"/>
  <c r="Z271" i="2" s="1"/>
  <c r="V271" i="2"/>
  <c r="U271" i="2"/>
  <c r="W271" i="2" s="1"/>
  <c r="I226" i="2" s="1"/>
  <c r="S271" i="2"/>
  <c r="P271" i="2"/>
  <c r="O271" i="2"/>
  <c r="Q271" i="2" s="1"/>
  <c r="G226" i="2" s="1"/>
  <c r="M271" i="2"/>
  <c r="L271" i="2"/>
  <c r="R271" i="2" s="1"/>
  <c r="T271" i="2" s="1"/>
  <c r="H226" i="2" s="1"/>
  <c r="I271" i="2"/>
  <c r="K271" i="2" s="1"/>
  <c r="E226" i="2" s="1"/>
  <c r="G271" i="2"/>
  <c r="F271" i="2"/>
  <c r="H271" i="2" s="1"/>
  <c r="D226" i="2" s="1"/>
  <c r="D271" i="2"/>
  <c r="J271" i="2" s="1"/>
  <c r="C271" i="2"/>
  <c r="E271" i="2" s="1"/>
  <c r="BD270" i="2"/>
  <c r="BA270" i="2"/>
  <c r="AZ270" i="2"/>
  <c r="AY270" i="2"/>
  <c r="AW270" i="2"/>
  <c r="AV270" i="2"/>
  <c r="AX270" i="2" s="1"/>
  <c r="U225" i="2" s="1"/>
  <c r="AU270" i="2"/>
  <c r="AQ270" i="2"/>
  <c r="AP270" i="2"/>
  <c r="AR270" i="2" s="1"/>
  <c r="S225" i="2" s="1"/>
  <c r="AN270" i="2"/>
  <c r="AO270" i="2" s="1"/>
  <c r="R225" i="2" s="1"/>
  <c r="AM270" i="2"/>
  <c r="AL270" i="2"/>
  <c r="AH270" i="2"/>
  <c r="AG270" i="2"/>
  <c r="AI270" i="2" s="1"/>
  <c r="AE270" i="2"/>
  <c r="AD270" i="2"/>
  <c r="AF270" i="2" s="1"/>
  <c r="O225" i="2" s="1"/>
  <c r="AA270" i="2"/>
  <c r="Y270" i="2"/>
  <c r="AB270" i="2" s="1"/>
  <c r="X270" i="2"/>
  <c r="Z270" i="2" s="1"/>
  <c r="J225" i="2" s="1"/>
  <c r="V270" i="2"/>
  <c r="W270" i="2" s="1"/>
  <c r="I225" i="2" s="1"/>
  <c r="U270" i="2"/>
  <c r="S270" i="2"/>
  <c r="Q270" i="2"/>
  <c r="P270" i="2"/>
  <c r="O270" i="2"/>
  <c r="M270" i="2"/>
  <c r="L270" i="2"/>
  <c r="N270" i="2" s="1"/>
  <c r="F225" i="2" s="1"/>
  <c r="I270" i="2"/>
  <c r="G270" i="2"/>
  <c r="F270" i="2"/>
  <c r="H270" i="2" s="1"/>
  <c r="D225" i="2" s="1"/>
  <c r="D270" i="2"/>
  <c r="J270" i="2" s="1"/>
  <c r="C270" i="2"/>
  <c r="E270" i="2" s="1"/>
  <c r="C225" i="2" s="1"/>
  <c r="BC269" i="2"/>
  <c r="BB269" i="2"/>
  <c r="BD269" i="2" s="1"/>
  <c r="W224" i="2" s="1"/>
  <c r="AZ269" i="2"/>
  <c r="BA269" i="2" s="1"/>
  <c r="V224" i="2" s="1"/>
  <c r="AY269" i="2"/>
  <c r="AW269" i="2"/>
  <c r="AX269" i="2" s="1"/>
  <c r="AV269" i="2"/>
  <c r="AU269" i="2"/>
  <c r="AR269" i="2"/>
  <c r="AO269" i="2"/>
  <c r="AK269" i="2"/>
  <c r="AJ269" i="2"/>
  <c r="AL269" i="2" s="1"/>
  <c r="Q224" i="2" s="1"/>
  <c r="AH269" i="2"/>
  <c r="AG269" i="2"/>
  <c r="AI269" i="2" s="1"/>
  <c r="P224" i="2" s="1"/>
  <c r="AE269" i="2"/>
  <c r="AD269" i="2"/>
  <c r="AF269" i="2" s="1"/>
  <c r="O224" i="2" s="1"/>
  <c r="AA269" i="2"/>
  <c r="Y269" i="2"/>
  <c r="X269" i="2"/>
  <c r="Z269" i="2" s="1"/>
  <c r="J224" i="2" s="1"/>
  <c r="V269" i="2"/>
  <c r="W269" i="2" s="1"/>
  <c r="I224" i="2" s="1"/>
  <c r="U269" i="2"/>
  <c r="Q269" i="2"/>
  <c r="P269" i="2"/>
  <c r="O269" i="2"/>
  <c r="M269" i="2"/>
  <c r="L269" i="2"/>
  <c r="N269" i="2" s="1"/>
  <c r="F224" i="2" s="1"/>
  <c r="I269" i="2"/>
  <c r="G269" i="2"/>
  <c r="F269" i="2"/>
  <c r="H269" i="2" s="1"/>
  <c r="D224" i="2" s="1"/>
  <c r="D269" i="2"/>
  <c r="C269" i="2"/>
  <c r="E269" i="2" s="1"/>
  <c r="C224" i="2" s="1"/>
  <c r="BD268" i="2"/>
  <c r="BA268" i="2"/>
  <c r="AZ268" i="2"/>
  <c r="AY268" i="2"/>
  <c r="AW268" i="2"/>
  <c r="AV268" i="2"/>
  <c r="AX268" i="2" s="1"/>
  <c r="U223" i="2" s="1"/>
  <c r="AU268" i="2"/>
  <c r="AQ268" i="2"/>
  <c r="AP268" i="2"/>
  <c r="AR268" i="2" s="1"/>
  <c r="S223" i="2" s="1"/>
  <c r="AN268" i="2"/>
  <c r="AO268" i="2" s="1"/>
  <c r="AM268" i="2"/>
  <c r="AL268" i="2"/>
  <c r="AH268" i="2"/>
  <c r="AG268" i="2"/>
  <c r="AI268" i="2" s="1"/>
  <c r="P223" i="2" s="1"/>
  <c r="AE268" i="2"/>
  <c r="AD268" i="2"/>
  <c r="AF268" i="2" s="1"/>
  <c r="O223" i="2" s="1"/>
  <c r="AA268" i="2"/>
  <c r="AC268" i="2" s="1"/>
  <c r="K223" i="2" s="1"/>
  <c r="Y268" i="2"/>
  <c r="AB268" i="2" s="1"/>
  <c r="X268" i="2"/>
  <c r="Z268" i="2" s="1"/>
  <c r="V268" i="2"/>
  <c r="W268" i="2" s="1"/>
  <c r="I223" i="2" s="1"/>
  <c r="U268" i="2"/>
  <c r="S268" i="2"/>
  <c r="Q268" i="2"/>
  <c r="P268" i="2"/>
  <c r="O268" i="2"/>
  <c r="M268" i="2"/>
  <c r="L268" i="2"/>
  <c r="N268" i="2" s="1"/>
  <c r="F223" i="2" s="1"/>
  <c r="I268" i="2"/>
  <c r="K268" i="2" s="1"/>
  <c r="E223" i="2" s="1"/>
  <c r="G268" i="2"/>
  <c r="F268" i="2"/>
  <c r="H268" i="2" s="1"/>
  <c r="D223" i="2" s="1"/>
  <c r="D268" i="2"/>
  <c r="J268" i="2" s="1"/>
  <c r="C268" i="2"/>
  <c r="E268" i="2" s="1"/>
  <c r="C223" i="2" s="1"/>
  <c r="BD267" i="2"/>
  <c r="BA267" i="2"/>
  <c r="AZ267" i="2"/>
  <c r="AY267" i="2"/>
  <c r="AW267" i="2"/>
  <c r="AV267" i="2"/>
  <c r="AX267" i="2" s="1"/>
  <c r="U222" i="2" s="1"/>
  <c r="AU267" i="2"/>
  <c r="AQ267" i="2"/>
  <c r="AP267" i="2"/>
  <c r="AR267" i="2" s="1"/>
  <c r="S222" i="2" s="1"/>
  <c r="AN267" i="2"/>
  <c r="AO267" i="2" s="1"/>
  <c r="R222" i="2" s="1"/>
  <c r="AM267" i="2"/>
  <c r="AL267" i="2"/>
  <c r="AH267" i="2"/>
  <c r="AG267" i="2"/>
  <c r="AI267" i="2" s="1"/>
  <c r="P222" i="2" s="1"/>
  <c r="AE267" i="2"/>
  <c r="AD267" i="2"/>
  <c r="AF267" i="2" s="1"/>
  <c r="AA267" i="2"/>
  <c r="AC267" i="2" s="1"/>
  <c r="K222" i="2" s="1"/>
  <c r="Y267" i="2"/>
  <c r="AB267" i="2" s="1"/>
  <c r="X267" i="2"/>
  <c r="Z267" i="2" s="1"/>
  <c r="J222" i="2" s="1"/>
  <c r="V267" i="2"/>
  <c r="W267" i="2" s="1"/>
  <c r="I222" i="2" s="1"/>
  <c r="U267" i="2"/>
  <c r="S267" i="2"/>
  <c r="Q267" i="2"/>
  <c r="P267" i="2"/>
  <c r="O267" i="2"/>
  <c r="M267" i="2"/>
  <c r="L267" i="2"/>
  <c r="N267" i="2" s="1"/>
  <c r="F222" i="2" s="1"/>
  <c r="I267" i="2"/>
  <c r="K267" i="2" s="1"/>
  <c r="E222" i="2" s="1"/>
  <c r="G267" i="2"/>
  <c r="F267" i="2"/>
  <c r="H267" i="2" s="1"/>
  <c r="D222" i="2" s="1"/>
  <c r="D267" i="2"/>
  <c r="J267" i="2" s="1"/>
  <c r="C267" i="2"/>
  <c r="E267" i="2" s="1"/>
  <c r="C222" i="2" s="1"/>
  <c r="BD266" i="2"/>
  <c r="BA266" i="2"/>
  <c r="AZ266" i="2"/>
  <c r="AY266" i="2"/>
  <c r="AW266" i="2"/>
  <c r="AV266" i="2"/>
  <c r="AX266" i="2" s="1"/>
  <c r="U221" i="2" s="1"/>
  <c r="AU266" i="2"/>
  <c r="AQ266" i="2"/>
  <c r="AP266" i="2"/>
  <c r="AR266" i="2" s="1"/>
  <c r="S221" i="2" s="1"/>
  <c r="AN266" i="2"/>
  <c r="AO266" i="2" s="1"/>
  <c r="R221" i="2" s="1"/>
  <c r="AM266" i="2"/>
  <c r="AL266" i="2"/>
  <c r="AH266" i="2"/>
  <c r="AG266" i="2"/>
  <c r="AI266" i="2" s="1"/>
  <c r="P221" i="2" s="1"/>
  <c r="AE266" i="2"/>
  <c r="AD266" i="2"/>
  <c r="AF266" i="2" s="1"/>
  <c r="O221" i="2" s="1"/>
  <c r="AA266" i="2"/>
  <c r="AC266" i="2" s="1"/>
  <c r="K221" i="2" s="1"/>
  <c r="Y266" i="2"/>
  <c r="AB266" i="2" s="1"/>
  <c r="X266" i="2"/>
  <c r="Z266" i="2" s="1"/>
  <c r="J221" i="2" s="1"/>
  <c r="V266" i="2"/>
  <c r="W266" i="2" s="1"/>
  <c r="I221" i="2" s="1"/>
  <c r="U266" i="2"/>
  <c r="S266" i="2"/>
  <c r="Q266" i="2"/>
  <c r="P266" i="2"/>
  <c r="O266" i="2"/>
  <c r="M266" i="2"/>
  <c r="L266" i="2"/>
  <c r="N266" i="2" s="1"/>
  <c r="F221" i="2" s="1"/>
  <c r="I266" i="2"/>
  <c r="K266" i="2" s="1"/>
  <c r="E221" i="2" s="1"/>
  <c r="G266" i="2"/>
  <c r="F266" i="2"/>
  <c r="H266" i="2" s="1"/>
  <c r="D266" i="2"/>
  <c r="J266" i="2" s="1"/>
  <c r="C266" i="2"/>
  <c r="E266" i="2" s="1"/>
  <c r="C221" i="2" s="1"/>
  <c r="BD265" i="2"/>
  <c r="BA265" i="2"/>
  <c r="AX265" i="2"/>
  <c r="AU265" i="2"/>
  <c r="AR265" i="2"/>
  <c r="AO265" i="2"/>
  <c r="AL265" i="2"/>
  <c r="AI265" i="2"/>
  <c r="AF265" i="2"/>
  <c r="AC265" i="2"/>
  <c r="AB265" i="2"/>
  <c r="AA265" i="2"/>
  <c r="Z265" i="2"/>
  <c r="W265" i="2"/>
  <c r="S265" i="2"/>
  <c r="T265" i="2" s="1"/>
  <c r="H220" i="2" s="1"/>
  <c r="R265" i="2"/>
  <c r="Q265" i="2"/>
  <c r="N265" i="2"/>
  <c r="J265" i="2"/>
  <c r="K265" i="2" s="1"/>
  <c r="E220" i="2" s="1"/>
  <c r="I265" i="2"/>
  <c r="H265" i="2"/>
  <c r="E265" i="2"/>
  <c r="BD264" i="2"/>
  <c r="BA264" i="2"/>
  <c r="AX264" i="2"/>
  <c r="AU264" i="2"/>
  <c r="AR264" i="2"/>
  <c r="AO264" i="2"/>
  <c r="AL264" i="2"/>
  <c r="AI264" i="2"/>
  <c r="AF264" i="2"/>
  <c r="AC264" i="2"/>
  <c r="AB264" i="2"/>
  <c r="AA264" i="2"/>
  <c r="Z264" i="2"/>
  <c r="W264" i="2"/>
  <c r="S264" i="2"/>
  <c r="T264" i="2" s="1"/>
  <c r="H219" i="2" s="1"/>
  <c r="R264" i="2"/>
  <c r="Q264" i="2"/>
  <c r="N264" i="2"/>
  <c r="J264" i="2"/>
  <c r="K264" i="2" s="1"/>
  <c r="E219" i="2" s="1"/>
  <c r="I264" i="2"/>
  <c r="H264" i="2"/>
  <c r="E264" i="2"/>
  <c r="BD263" i="2"/>
  <c r="BA263" i="2"/>
  <c r="AX263" i="2"/>
  <c r="AU263" i="2"/>
  <c r="AR263" i="2"/>
  <c r="AO263" i="2"/>
  <c r="AL263" i="2"/>
  <c r="AI263" i="2"/>
  <c r="AF263" i="2"/>
  <c r="AC263" i="2"/>
  <c r="AB263" i="2"/>
  <c r="AA263" i="2"/>
  <c r="Z263" i="2"/>
  <c r="W263" i="2"/>
  <c r="S263" i="2"/>
  <c r="T263" i="2" s="1"/>
  <c r="H218" i="2" s="1"/>
  <c r="R263" i="2"/>
  <c r="Q263" i="2"/>
  <c r="G218" i="2" s="1"/>
  <c r="N263" i="2"/>
  <c r="J263" i="2"/>
  <c r="K263" i="2" s="1"/>
  <c r="E218" i="2" s="1"/>
  <c r="I263" i="2"/>
  <c r="H263" i="2"/>
  <c r="E263" i="2"/>
  <c r="BD262" i="2"/>
  <c r="BA262" i="2"/>
  <c r="AX262" i="2"/>
  <c r="AU262" i="2"/>
  <c r="AR262" i="2"/>
  <c r="AO262" i="2"/>
  <c r="AL262" i="2"/>
  <c r="AI262" i="2"/>
  <c r="AF262" i="2"/>
  <c r="AC262" i="2"/>
  <c r="AB262" i="2"/>
  <c r="AB269" i="2" s="1"/>
  <c r="AA262" i="2"/>
  <c r="Z262" i="2"/>
  <c r="W262" i="2"/>
  <c r="S262" i="2"/>
  <c r="T262" i="2" s="1"/>
  <c r="R262" i="2"/>
  <c r="R269" i="2" s="1"/>
  <c r="Q262" i="2"/>
  <c r="G217" i="2" s="1"/>
  <c r="N262" i="2"/>
  <c r="J262" i="2"/>
  <c r="J269" i="2" s="1"/>
  <c r="I262" i="2"/>
  <c r="H262" i="2"/>
  <c r="E262" i="2"/>
  <c r="BD261" i="2"/>
  <c r="BA261" i="2"/>
  <c r="AX261" i="2"/>
  <c r="AU261" i="2"/>
  <c r="AR261" i="2"/>
  <c r="AO261" i="2"/>
  <c r="AL261" i="2"/>
  <c r="AI261" i="2"/>
  <c r="AF261" i="2"/>
  <c r="AC261" i="2"/>
  <c r="AB261" i="2"/>
  <c r="AA261" i="2"/>
  <c r="Z261" i="2"/>
  <c r="W261" i="2"/>
  <c r="S261" i="2"/>
  <c r="T261" i="2" s="1"/>
  <c r="H216" i="2" s="1"/>
  <c r="R261" i="2"/>
  <c r="Q261" i="2"/>
  <c r="N261" i="2"/>
  <c r="J261" i="2"/>
  <c r="K261" i="2" s="1"/>
  <c r="I261" i="2"/>
  <c r="H261" i="2"/>
  <c r="E261" i="2"/>
  <c r="C216" i="2" s="1"/>
  <c r="BD260" i="2"/>
  <c r="BA260" i="2"/>
  <c r="V215" i="2" s="1"/>
  <c r="AX260" i="2"/>
  <c r="AU260" i="2"/>
  <c r="AR260" i="2"/>
  <c r="AO260" i="2"/>
  <c r="AL260" i="2"/>
  <c r="AI260" i="2"/>
  <c r="P215" i="2" s="1"/>
  <c r="AF260" i="2"/>
  <c r="AC260" i="2"/>
  <c r="AB260" i="2"/>
  <c r="AA260" i="2"/>
  <c r="Z260" i="2"/>
  <c r="W260" i="2"/>
  <c r="S260" i="2"/>
  <c r="R260" i="2"/>
  <c r="Q260" i="2"/>
  <c r="G215" i="2" s="1"/>
  <c r="N260" i="2"/>
  <c r="J260" i="2"/>
  <c r="K260" i="2" s="1"/>
  <c r="E215" i="2" s="1"/>
  <c r="I260" i="2"/>
  <c r="H260" i="2"/>
  <c r="E260" i="2"/>
  <c r="C215" i="2" s="1"/>
  <c r="BD259" i="2"/>
  <c r="BA259" i="2"/>
  <c r="V214" i="2" s="1"/>
  <c r="AX259" i="2"/>
  <c r="AU259" i="2"/>
  <c r="AR259" i="2"/>
  <c r="AO259" i="2"/>
  <c r="AL259" i="2"/>
  <c r="AI259" i="2"/>
  <c r="P214" i="2" s="1"/>
  <c r="AF259" i="2"/>
  <c r="AC259" i="2"/>
  <c r="K214" i="2" s="1"/>
  <c r="AB259" i="2"/>
  <c r="AA259" i="2"/>
  <c r="Z259" i="2"/>
  <c r="W259" i="2"/>
  <c r="S259" i="2"/>
  <c r="R259" i="2"/>
  <c r="Q259" i="2"/>
  <c r="N259" i="2"/>
  <c r="J259" i="2"/>
  <c r="K259" i="2" s="1"/>
  <c r="E214" i="2" s="1"/>
  <c r="I259" i="2"/>
  <c r="H259" i="2"/>
  <c r="E259" i="2"/>
  <c r="C214" i="2" s="1"/>
  <c r="BD258" i="2"/>
  <c r="BA258" i="2"/>
  <c r="AX258" i="2"/>
  <c r="AU258" i="2"/>
  <c r="AR258" i="2"/>
  <c r="AO258" i="2"/>
  <c r="AL258" i="2"/>
  <c r="AI258" i="2"/>
  <c r="P213" i="2" s="1"/>
  <c r="AF258" i="2"/>
  <c r="AC258" i="2"/>
  <c r="K213" i="2" s="1"/>
  <c r="AB258" i="2"/>
  <c r="AA258" i="2"/>
  <c r="Z258" i="2"/>
  <c r="W258" i="2"/>
  <c r="S258" i="2"/>
  <c r="R258" i="2"/>
  <c r="Q258" i="2"/>
  <c r="N258" i="2"/>
  <c r="J258" i="2"/>
  <c r="K258" i="2" s="1"/>
  <c r="E213" i="2" s="1"/>
  <c r="I258" i="2"/>
  <c r="H258" i="2"/>
  <c r="E258" i="2"/>
  <c r="C213" i="2" s="1"/>
  <c r="BD257" i="2"/>
  <c r="BA257" i="2"/>
  <c r="V212" i="2" s="1"/>
  <c r="AX257" i="2"/>
  <c r="AU257" i="2"/>
  <c r="AR257" i="2"/>
  <c r="AO257" i="2"/>
  <c r="AL257" i="2"/>
  <c r="AI257" i="2"/>
  <c r="P212" i="2" s="1"/>
  <c r="AF257" i="2"/>
  <c r="AC257" i="2"/>
  <c r="AB257" i="2"/>
  <c r="AA257" i="2"/>
  <c r="Z257" i="2"/>
  <c r="W257" i="2"/>
  <c r="S257" i="2"/>
  <c r="R257" i="2"/>
  <c r="Q257" i="2"/>
  <c r="N257" i="2"/>
  <c r="J257" i="2"/>
  <c r="K257" i="2" s="1"/>
  <c r="E212" i="2" s="1"/>
  <c r="I257" i="2"/>
  <c r="H257" i="2"/>
  <c r="E257" i="2"/>
  <c r="C212" i="2" s="1"/>
  <c r="BD256" i="2"/>
  <c r="BA256" i="2"/>
  <c r="AX256" i="2"/>
  <c r="AU256" i="2"/>
  <c r="AR256" i="2"/>
  <c r="AO256" i="2"/>
  <c r="AL256" i="2"/>
  <c r="AI256" i="2"/>
  <c r="P211" i="2" s="1"/>
  <c r="AF256" i="2"/>
  <c r="AC256" i="2"/>
  <c r="K211" i="2" s="1"/>
  <c r="AB256" i="2"/>
  <c r="AA256" i="2"/>
  <c r="Z256" i="2"/>
  <c r="W256" i="2"/>
  <c r="S256" i="2"/>
  <c r="T256" i="2" s="1"/>
  <c r="H211" i="2" s="1"/>
  <c r="R256" i="2"/>
  <c r="Q256" i="2"/>
  <c r="N256" i="2"/>
  <c r="J256" i="2"/>
  <c r="K256" i="2" s="1"/>
  <c r="E211" i="2" s="1"/>
  <c r="I256" i="2"/>
  <c r="H256" i="2"/>
  <c r="E256" i="2"/>
  <c r="C211" i="2" s="1"/>
  <c r="BD255" i="2"/>
  <c r="BA255" i="2"/>
  <c r="AX255" i="2"/>
  <c r="AU255" i="2"/>
  <c r="AR255" i="2"/>
  <c r="AO255" i="2"/>
  <c r="AL255" i="2"/>
  <c r="AI255" i="2"/>
  <c r="P210" i="2" s="1"/>
  <c r="AF255" i="2"/>
  <c r="AC255" i="2"/>
  <c r="AB255" i="2"/>
  <c r="AA255" i="2"/>
  <c r="Z255" i="2"/>
  <c r="W255" i="2"/>
  <c r="S255" i="2"/>
  <c r="R255" i="2"/>
  <c r="Q255" i="2"/>
  <c r="G210" i="2" s="1"/>
  <c r="N255" i="2"/>
  <c r="J255" i="2"/>
  <c r="K255" i="2" s="1"/>
  <c r="E210" i="2" s="1"/>
  <c r="I255" i="2"/>
  <c r="H255" i="2"/>
  <c r="E255" i="2"/>
  <c r="BD254" i="2"/>
  <c r="BA254" i="2"/>
  <c r="AX254" i="2"/>
  <c r="AU254" i="2"/>
  <c r="AR254" i="2"/>
  <c r="AO254" i="2"/>
  <c r="AL254" i="2"/>
  <c r="AI254" i="2"/>
  <c r="AF254" i="2"/>
  <c r="AC254" i="2"/>
  <c r="AB254" i="2"/>
  <c r="AA254" i="2"/>
  <c r="Z254" i="2"/>
  <c r="W254" i="2"/>
  <c r="S254" i="2"/>
  <c r="T254" i="2" s="1"/>
  <c r="R254" i="2"/>
  <c r="Q254" i="2"/>
  <c r="G209" i="2" s="1"/>
  <c r="N254" i="2"/>
  <c r="J254" i="2"/>
  <c r="K254" i="2" s="1"/>
  <c r="E209" i="2" s="1"/>
  <c r="I254" i="2"/>
  <c r="H254" i="2"/>
  <c r="E254" i="2"/>
  <c r="C209" i="2" s="1"/>
  <c r="BD253" i="2"/>
  <c r="BA253" i="2"/>
  <c r="AX253" i="2"/>
  <c r="AU253" i="2"/>
  <c r="AR253" i="2"/>
  <c r="AO253" i="2"/>
  <c r="AL253" i="2"/>
  <c r="AI253" i="2"/>
  <c r="P208" i="2" s="1"/>
  <c r="AF253" i="2"/>
  <c r="AC253" i="2"/>
  <c r="AB253" i="2"/>
  <c r="AA253" i="2"/>
  <c r="Z253" i="2"/>
  <c r="W253" i="2"/>
  <c r="S253" i="2"/>
  <c r="R253" i="2"/>
  <c r="Q253" i="2"/>
  <c r="N253" i="2"/>
  <c r="J253" i="2"/>
  <c r="I253" i="2"/>
  <c r="K253" i="2" s="1"/>
  <c r="H253" i="2"/>
  <c r="E253" i="2"/>
  <c r="BD252" i="2"/>
  <c r="BA252" i="2"/>
  <c r="V207" i="2" s="1"/>
  <c r="AX252" i="2"/>
  <c r="AU252" i="2"/>
  <c r="AR252" i="2"/>
  <c r="AO252" i="2"/>
  <c r="AL252" i="2"/>
  <c r="AI252" i="2"/>
  <c r="AF252" i="2"/>
  <c r="AC252" i="2"/>
  <c r="AB252" i="2"/>
  <c r="AA252" i="2"/>
  <c r="Z252" i="2"/>
  <c r="W252" i="2"/>
  <c r="S252" i="2"/>
  <c r="R252" i="2"/>
  <c r="Q252" i="2"/>
  <c r="G207" i="2" s="1"/>
  <c r="N252" i="2"/>
  <c r="J252" i="2"/>
  <c r="I252" i="2"/>
  <c r="K252" i="2" s="1"/>
  <c r="E207" i="2" s="1"/>
  <c r="H252" i="2"/>
  <c r="E252" i="2"/>
  <c r="C207" i="2" s="1"/>
  <c r="BD251" i="2"/>
  <c r="BA251" i="2"/>
  <c r="V206" i="2" s="1"/>
  <c r="AX251" i="2"/>
  <c r="AU251" i="2"/>
  <c r="AR251" i="2"/>
  <c r="AO251" i="2"/>
  <c r="AL251" i="2"/>
  <c r="AI251" i="2"/>
  <c r="P206" i="2" s="1"/>
  <c r="AF251" i="2"/>
  <c r="AC251" i="2"/>
  <c r="K206" i="2" s="1"/>
  <c r="AB251" i="2"/>
  <c r="AA251" i="2"/>
  <c r="Z251" i="2"/>
  <c r="W251" i="2"/>
  <c r="S251" i="2"/>
  <c r="R251" i="2"/>
  <c r="Q251" i="2"/>
  <c r="N251" i="2"/>
  <c r="J251" i="2"/>
  <c r="I251" i="2"/>
  <c r="K251" i="2" s="1"/>
  <c r="H251" i="2"/>
  <c r="E251" i="2"/>
  <c r="C206" i="2" s="1"/>
  <c r="BD250" i="2"/>
  <c r="BA250" i="2"/>
  <c r="AX250" i="2"/>
  <c r="AU250" i="2"/>
  <c r="AR250" i="2"/>
  <c r="AO250" i="2"/>
  <c r="AL250" i="2"/>
  <c r="AI250" i="2"/>
  <c r="P205" i="2" s="1"/>
  <c r="AF250" i="2"/>
  <c r="AC250" i="2"/>
  <c r="AB250" i="2"/>
  <c r="AA250" i="2"/>
  <c r="Z250" i="2"/>
  <c r="W250" i="2"/>
  <c r="S250" i="2"/>
  <c r="R250" i="2"/>
  <c r="N250" i="2"/>
  <c r="J250" i="2"/>
  <c r="I250" i="2"/>
  <c r="K250" i="2" s="1"/>
  <c r="E205" i="2" s="1"/>
  <c r="H250" i="2"/>
  <c r="E250" i="2"/>
  <c r="BD249" i="2"/>
  <c r="W204" i="2" s="1"/>
  <c r="BA249" i="2"/>
  <c r="AX249" i="2"/>
  <c r="AU249" i="2"/>
  <c r="AR249" i="2"/>
  <c r="AO249" i="2"/>
  <c r="AL249" i="2"/>
  <c r="AI249" i="2"/>
  <c r="AF249" i="2"/>
  <c r="O204" i="2" s="1"/>
  <c r="AB249" i="2"/>
  <c r="AA249" i="2"/>
  <c r="AC249" i="2" s="1"/>
  <c r="K204" i="2" s="1"/>
  <c r="Z249" i="2"/>
  <c r="W249" i="2"/>
  <c r="S249" i="2"/>
  <c r="R249" i="2"/>
  <c r="T249" i="2" s="1"/>
  <c r="Q249" i="2"/>
  <c r="N249" i="2"/>
  <c r="J249" i="2"/>
  <c r="I249" i="2"/>
  <c r="K249" i="2" s="1"/>
  <c r="E204" i="2" s="1"/>
  <c r="H249" i="2"/>
  <c r="E249" i="2"/>
  <c r="BD248" i="2"/>
  <c r="W203" i="2" s="1"/>
  <c r="BA248" i="2"/>
  <c r="AX248" i="2"/>
  <c r="AU248" i="2"/>
  <c r="AR248" i="2"/>
  <c r="AO248" i="2"/>
  <c r="AL248" i="2"/>
  <c r="AI248" i="2"/>
  <c r="AF248" i="2"/>
  <c r="O203" i="2" s="1"/>
  <c r="AB248" i="2"/>
  <c r="AA248" i="2"/>
  <c r="AC248" i="2" s="1"/>
  <c r="Z248" i="2"/>
  <c r="W248" i="2"/>
  <c r="S248" i="2"/>
  <c r="R248" i="2"/>
  <c r="Q248" i="2"/>
  <c r="N248" i="2"/>
  <c r="F203" i="2" s="1"/>
  <c r="J248" i="2"/>
  <c r="I248" i="2"/>
  <c r="K248" i="2" s="1"/>
  <c r="H248" i="2"/>
  <c r="E248" i="2"/>
  <c r="BD247" i="2"/>
  <c r="W202" i="2" s="1"/>
  <c r="BA247" i="2"/>
  <c r="AX247" i="2"/>
  <c r="AU247" i="2"/>
  <c r="AR247" i="2"/>
  <c r="AO247" i="2"/>
  <c r="AL247" i="2"/>
  <c r="AI247" i="2"/>
  <c r="AF247" i="2"/>
  <c r="O202" i="2" s="1"/>
  <c r="AB247" i="2"/>
  <c r="AA247" i="2"/>
  <c r="AC247" i="2" s="1"/>
  <c r="K202" i="2" s="1"/>
  <c r="Z247" i="2"/>
  <c r="W247" i="2"/>
  <c r="S247" i="2"/>
  <c r="R247" i="2"/>
  <c r="Q247" i="2"/>
  <c r="N247" i="2"/>
  <c r="F202" i="2" s="1"/>
  <c r="J247" i="2"/>
  <c r="I247" i="2"/>
  <c r="K247" i="2" s="1"/>
  <c r="E202" i="2" s="1"/>
  <c r="H247" i="2"/>
  <c r="E247" i="2"/>
  <c r="BD246" i="2"/>
  <c r="BA246" i="2"/>
  <c r="AX246" i="2"/>
  <c r="AU246" i="2"/>
  <c r="AR246" i="2"/>
  <c r="AO246" i="2"/>
  <c r="AL246" i="2"/>
  <c r="AI246" i="2"/>
  <c r="AF246" i="2"/>
  <c r="AB246" i="2"/>
  <c r="AA246" i="2"/>
  <c r="AC246" i="2" s="1"/>
  <c r="K201" i="2" s="1"/>
  <c r="Z246" i="2"/>
  <c r="W246" i="2"/>
  <c r="S246" i="2"/>
  <c r="R246" i="2"/>
  <c r="Q246" i="2"/>
  <c r="N246" i="2"/>
  <c r="F201" i="2" s="1"/>
  <c r="J246" i="2"/>
  <c r="I246" i="2"/>
  <c r="K246" i="2" s="1"/>
  <c r="H246" i="2"/>
  <c r="E246" i="2"/>
  <c r="BD245" i="2"/>
  <c r="W200" i="2" s="1"/>
  <c r="BA245" i="2"/>
  <c r="AX245" i="2"/>
  <c r="U200" i="2" s="1"/>
  <c r="AU245" i="2"/>
  <c r="AR245" i="2"/>
  <c r="AL245" i="2"/>
  <c r="AI245" i="2"/>
  <c r="AF245" i="2"/>
  <c r="AC245" i="2"/>
  <c r="K200" i="2" s="1"/>
  <c r="AB245" i="2"/>
  <c r="AB306" i="2" s="1"/>
  <c r="AA245" i="2"/>
  <c r="AA306" i="2" s="1"/>
  <c r="AC306" i="2" s="1"/>
  <c r="K285" i="2" s="1"/>
  <c r="Z245" i="2"/>
  <c r="W245" i="2"/>
  <c r="S245" i="2"/>
  <c r="T245" i="2" s="1"/>
  <c r="H200" i="2" s="1"/>
  <c r="R245" i="2"/>
  <c r="R306" i="2" s="1"/>
  <c r="Q245" i="2"/>
  <c r="G200" i="2" s="1"/>
  <c r="N245" i="2"/>
  <c r="K245" i="2"/>
  <c r="E200" i="2" s="1"/>
  <c r="J245" i="2"/>
  <c r="J306" i="2" s="1"/>
  <c r="I245" i="2"/>
  <c r="I306" i="2" s="1"/>
  <c r="H245" i="2"/>
  <c r="E245" i="2"/>
  <c r="BD244" i="2"/>
  <c r="BA244" i="2"/>
  <c r="V199" i="2" s="1"/>
  <c r="AZ244" i="2"/>
  <c r="AY244" i="2"/>
  <c r="AW244" i="2"/>
  <c r="AV244" i="2"/>
  <c r="AX244" i="2" s="1"/>
  <c r="U199" i="2" s="1"/>
  <c r="AU244" i="2"/>
  <c r="AQ244" i="2"/>
  <c r="AP244" i="2"/>
  <c r="AO244" i="2"/>
  <c r="R199" i="2" s="1"/>
  <c r="AN244" i="2"/>
  <c r="AM244" i="2"/>
  <c r="AL244" i="2"/>
  <c r="AH244" i="2"/>
  <c r="AG244" i="2"/>
  <c r="AE244" i="2"/>
  <c r="AD244" i="2"/>
  <c r="AF244" i="2" s="1"/>
  <c r="AA244" i="2"/>
  <c r="Y244" i="2"/>
  <c r="X244" i="2"/>
  <c r="W244" i="2"/>
  <c r="V244" i="2"/>
  <c r="U244" i="2"/>
  <c r="S244" i="2"/>
  <c r="Q244" i="2"/>
  <c r="P244" i="2"/>
  <c r="O244" i="2"/>
  <c r="O240" i="2" s="1"/>
  <c r="Q240" i="2" s="1"/>
  <c r="G195" i="2" s="1"/>
  <c r="M244" i="2"/>
  <c r="L244" i="2"/>
  <c r="R244" i="2" s="1"/>
  <c r="T244" i="2" s="1"/>
  <c r="H199" i="2" s="1"/>
  <c r="J244" i="2"/>
  <c r="I244" i="2"/>
  <c r="H244" i="2"/>
  <c r="E244" i="2"/>
  <c r="BD243" i="2"/>
  <c r="AZ243" i="2"/>
  <c r="AZ241" i="2" s="1"/>
  <c r="AY243" i="2"/>
  <c r="BA243" i="2" s="1"/>
  <c r="V198" i="2" s="1"/>
  <c r="AX243" i="2"/>
  <c r="AU243" i="2"/>
  <c r="AR243" i="2"/>
  <c r="AO243" i="2"/>
  <c r="R198" i="2" s="1"/>
  <c r="AL243" i="2"/>
  <c r="AH243" i="2"/>
  <c r="AH241" i="2" s="1"/>
  <c r="AI241" i="2" s="1"/>
  <c r="P196" i="2" s="1"/>
  <c r="AG243" i="2"/>
  <c r="AI243" i="2" s="1"/>
  <c r="P198" i="2" s="1"/>
  <c r="AE243" i="2"/>
  <c r="AD243" i="2"/>
  <c r="Y243" i="2"/>
  <c r="Z243" i="2" s="1"/>
  <c r="J198" i="2" s="1"/>
  <c r="X243" i="2"/>
  <c r="W243" i="2"/>
  <c r="I198" i="2" s="1"/>
  <c r="V243" i="2"/>
  <c r="U243" i="2"/>
  <c r="U241" i="2" s="1"/>
  <c r="W241" i="2" s="1"/>
  <c r="I196" i="2" s="1"/>
  <c r="S243" i="2"/>
  <c r="R243" i="2"/>
  <c r="T243" i="2" s="1"/>
  <c r="H198" i="2" s="1"/>
  <c r="Q243" i="2"/>
  <c r="N243" i="2"/>
  <c r="G243" i="2"/>
  <c r="F243" i="2"/>
  <c r="H243" i="2" s="1"/>
  <c r="D243" i="2"/>
  <c r="J243" i="2" s="1"/>
  <c r="C243" i="2"/>
  <c r="L198" i="2" s="1"/>
  <c r="BD242" i="2"/>
  <c r="BA242" i="2"/>
  <c r="V197" i="2" s="1"/>
  <c r="AZ242" i="2"/>
  <c r="AY242" i="2"/>
  <c r="AW242" i="2"/>
  <c r="AX242" i="2" s="1"/>
  <c r="U197" i="2" s="1"/>
  <c r="AV242" i="2"/>
  <c r="AU242" i="2"/>
  <c r="T197" i="2" s="1"/>
  <c r="AQ242" i="2"/>
  <c r="AP242" i="2"/>
  <c r="AR242" i="2" s="1"/>
  <c r="AN242" i="2"/>
  <c r="AM242" i="2"/>
  <c r="AO242" i="2" s="1"/>
  <c r="R197" i="2" s="1"/>
  <c r="AL242" i="2"/>
  <c r="AI242" i="2"/>
  <c r="P197" i="2" s="1"/>
  <c r="AH242" i="2"/>
  <c r="AG242" i="2"/>
  <c r="AE242" i="2"/>
  <c r="AD242" i="2"/>
  <c r="AF242" i="2" s="1"/>
  <c r="O197" i="2" s="1"/>
  <c r="AA242" i="2"/>
  <c r="Y242" i="2"/>
  <c r="X242" i="2"/>
  <c r="Z242" i="2" s="1"/>
  <c r="J197" i="2" s="1"/>
  <c r="V242" i="2"/>
  <c r="AB242" i="2" s="1"/>
  <c r="U242" i="2"/>
  <c r="W242" i="2" s="1"/>
  <c r="S242" i="2"/>
  <c r="Q242" i="2"/>
  <c r="G197" i="2" s="1"/>
  <c r="P242" i="2"/>
  <c r="O242" i="2"/>
  <c r="M242" i="2"/>
  <c r="N242" i="2" s="1"/>
  <c r="F197" i="2" s="1"/>
  <c r="L242" i="2"/>
  <c r="R242" i="2" s="1"/>
  <c r="G242" i="2"/>
  <c r="F242" i="2"/>
  <c r="H242" i="2" s="1"/>
  <c r="D197" i="2" s="1"/>
  <c r="D242" i="2"/>
  <c r="J242" i="2" s="1"/>
  <c r="C242" i="2"/>
  <c r="C241" i="2" s="1"/>
  <c r="BD241" i="2"/>
  <c r="AW241" i="2"/>
  <c r="AX241" i="2" s="1"/>
  <c r="U196" i="2" s="1"/>
  <c r="AV241" i="2"/>
  <c r="AU241" i="2"/>
  <c r="T196" i="2" s="1"/>
  <c r="AQ241" i="2"/>
  <c r="AP241" i="2"/>
  <c r="AR241" i="2" s="1"/>
  <c r="S196" i="2" s="1"/>
  <c r="AN241" i="2"/>
  <c r="AM241" i="2"/>
  <c r="AO241" i="2" s="1"/>
  <c r="R196" i="2" s="1"/>
  <c r="AL241" i="2"/>
  <c r="AG241" i="2"/>
  <c r="AD241" i="2"/>
  <c r="Y241" i="2"/>
  <c r="M196" i="2" s="1"/>
  <c r="X241" i="2"/>
  <c r="Z241" i="2" s="1"/>
  <c r="J196" i="2" s="1"/>
  <c r="V241" i="2"/>
  <c r="AB241" i="2" s="1"/>
  <c r="S241" i="2"/>
  <c r="Q241" i="2"/>
  <c r="G196" i="2" s="1"/>
  <c r="P241" i="2"/>
  <c r="O241" i="2"/>
  <c r="M241" i="2"/>
  <c r="N241" i="2" s="1"/>
  <c r="L241" i="2"/>
  <c r="R241" i="2" s="1"/>
  <c r="T241" i="2" s="1"/>
  <c r="G241" i="2"/>
  <c r="F241" i="2"/>
  <c r="H241" i="2" s="1"/>
  <c r="D196" i="2" s="1"/>
  <c r="D241" i="2"/>
  <c r="J241" i="2" s="1"/>
  <c r="BD240" i="2"/>
  <c r="AZ240" i="2"/>
  <c r="AW240" i="2"/>
  <c r="AX240" i="2" s="1"/>
  <c r="AV240" i="2"/>
  <c r="AU240" i="2"/>
  <c r="T195" i="2" s="1"/>
  <c r="AP240" i="2"/>
  <c r="AN240" i="2"/>
  <c r="AM240" i="2"/>
  <c r="AO240" i="2" s="1"/>
  <c r="R195" i="2" s="1"/>
  <c r="AL240" i="2"/>
  <c r="AH240" i="2"/>
  <c r="AD240" i="2"/>
  <c r="X240" i="2"/>
  <c r="V240" i="2"/>
  <c r="S240" i="2"/>
  <c r="P240" i="2"/>
  <c r="M240" i="2"/>
  <c r="N240" i="2" s="1"/>
  <c r="F195" i="2" s="1"/>
  <c r="L240" i="2"/>
  <c r="G240" i="2"/>
  <c r="F240" i="2"/>
  <c r="H240" i="2" s="1"/>
  <c r="D195" i="2" s="1"/>
  <c r="D240" i="2"/>
  <c r="J240" i="2" s="1"/>
  <c r="W233" i="2"/>
  <c r="V233" i="2"/>
  <c r="U233" i="2"/>
  <c r="T233" i="2"/>
  <c r="S233" i="2"/>
  <c r="R233" i="2"/>
  <c r="Q233" i="2"/>
  <c r="P233" i="2"/>
  <c r="O233" i="2"/>
  <c r="N233" i="2"/>
  <c r="M233" i="2"/>
  <c r="L233" i="2"/>
  <c r="K233" i="2"/>
  <c r="J233" i="2"/>
  <c r="I233" i="2"/>
  <c r="G233" i="2"/>
  <c r="F233" i="2"/>
  <c r="D233" i="2"/>
  <c r="C233" i="2"/>
  <c r="W232" i="2"/>
  <c r="V232" i="2"/>
  <c r="U232" i="2"/>
  <c r="T232" i="2"/>
  <c r="S232" i="2"/>
  <c r="R232" i="2"/>
  <c r="Q232" i="2"/>
  <c r="P232" i="2"/>
  <c r="O232" i="2"/>
  <c r="N232" i="2"/>
  <c r="M232" i="2"/>
  <c r="L232" i="2"/>
  <c r="K232" i="2"/>
  <c r="J232" i="2"/>
  <c r="I232" i="2"/>
  <c r="H232" i="2"/>
  <c r="G232" i="2"/>
  <c r="F232" i="2"/>
  <c r="E232" i="2"/>
  <c r="D232" i="2"/>
  <c r="C232" i="2"/>
  <c r="W231" i="2"/>
  <c r="V231" i="2"/>
  <c r="U231" i="2"/>
  <c r="T231" i="2"/>
  <c r="S231" i="2"/>
  <c r="R231" i="2"/>
  <c r="Q231" i="2"/>
  <c r="P231" i="2"/>
  <c r="O231" i="2"/>
  <c r="N231" i="2"/>
  <c r="M231" i="2"/>
  <c r="L231" i="2"/>
  <c r="K231" i="2"/>
  <c r="J231" i="2"/>
  <c r="I231" i="2"/>
  <c r="H231" i="2"/>
  <c r="G231" i="2"/>
  <c r="F231" i="2"/>
  <c r="E231" i="2"/>
  <c r="D231" i="2"/>
  <c r="C231" i="2"/>
  <c r="W230" i="2"/>
  <c r="V230" i="2"/>
  <c r="U230" i="2"/>
  <c r="T230" i="2"/>
  <c r="S230" i="2"/>
  <c r="R230" i="2"/>
  <c r="Q230" i="2"/>
  <c r="P230" i="2"/>
  <c r="O230" i="2"/>
  <c r="N230" i="2"/>
  <c r="M230" i="2"/>
  <c r="L230" i="2"/>
  <c r="K230" i="2"/>
  <c r="J230" i="2"/>
  <c r="I230" i="2"/>
  <c r="H230" i="2"/>
  <c r="G230" i="2"/>
  <c r="F230" i="2"/>
  <c r="E230" i="2"/>
  <c r="D230" i="2"/>
  <c r="C230" i="2"/>
  <c r="W229" i="2"/>
  <c r="V229" i="2"/>
  <c r="U229" i="2"/>
  <c r="T229" i="2"/>
  <c r="S229" i="2"/>
  <c r="R229" i="2"/>
  <c r="Q229" i="2"/>
  <c r="P229" i="2"/>
  <c r="O229" i="2"/>
  <c r="N229" i="2"/>
  <c r="M229" i="2"/>
  <c r="L229" i="2"/>
  <c r="K229" i="2"/>
  <c r="J229" i="2"/>
  <c r="I229" i="2"/>
  <c r="H229" i="2"/>
  <c r="G229" i="2"/>
  <c r="F229" i="2"/>
  <c r="E229" i="2"/>
  <c r="D229" i="2"/>
  <c r="C229" i="2"/>
  <c r="W228" i="2"/>
  <c r="V228" i="2"/>
  <c r="U228" i="2"/>
  <c r="T228" i="2"/>
  <c r="R228" i="2"/>
  <c r="Q228" i="2"/>
  <c r="P228" i="2"/>
  <c r="O228" i="2"/>
  <c r="M228" i="2"/>
  <c r="L228" i="2"/>
  <c r="I228" i="2"/>
  <c r="F228" i="2"/>
  <c r="W227" i="2"/>
  <c r="V227" i="2"/>
  <c r="U227" i="2"/>
  <c r="T227" i="2"/>
  <c r="S227" i="2"/>
  <c r="R227" i="2"/>
  <c r="Q227" i="2"/>
  <c r="M227" i="2"/>
  <c r="L227" i="2"/>
  <c r="J227" i="2"/>
  <c r="F227" i="2"/>
  <c r="C227" i="2"/>
  <c r="W226" i="2"/>
  <c r="T226" i="2"/>
  <c r="Q226" i="2"/>
  <c r="M226" i="2"/>
  <c r="L226" i="2"/>
  <c r="J226" i="2"/>
  <c r="C226" i="2"/>
  <c r="W225" i="2"/>
  <c r="V225" i="2"/>
  <c r="T225" i="2"/>
  <c r="Q225" i="2"/>
  <c r="P225" i="2"/>
  <c r="M225" i="2"/>
  <c r="L225" i="2"/>
  <c r="G225" i="2"/>
  <c r="U224" i="2"/>
  <c r="T224" i="2"/>
  <c r="S224" i="2"/>
  <c r="R224" i="2"/>
  <c r="M224" i="2"/>
  <c r="L224" i="2"/>
  <c r="G224" i="2"/>
  <c r="W223" i="2"/>
  <c r="V223" i="2"/>
  <c r="T223" i="2"/>
  <c r="R223" i="2"/>
  <c r="Q223" i="2"/>
  <c r="M223" i="2"/>
  <c r="L223" i="2"/>
  <c r="J223" i="2"/>
  <c r="G223" i="2"/>
  <c r="W222" i="2"/>
  <c r="V222" i="2"/>
  <c r="T222" i="2"/>
  <c r="Q222" i="2"/>
  <c r="O222" i="2"/>
  <c r="M222" i="2"/>
  <c r="L222" i="2"/>
  <c r="G222" i="2"/>
  <c r="W221" i="2"/>
  <c r="V221" i="2"/>
  <c r="T221" i="2"/>
  <c r="Q221" i="2"/>
  <c r="M221" i="2"/>
  <c r="L221" i="2"/>
  <c r="G221" i="2"/>
  <c r="D221" i="2"/>
  <c r="W220" i="2"/>
  <c r="V220" i="2"/>
  <c r="U220" i="2"/>
  <c r="T220" i="2"/>
  <c r="S220" i="2"/>
  <c r="R220" i="2"/>
  <c r="Q220" i="2"/>
  <c r="P220" i="2"/>
  <c r="O220" i="2"/>
  <c r="N220" i="2"/>
  <c r="M220" i="2"/>
  <c r="L220" i="2"/>
  <c r="K220" i="2"/>
  <c r="J220" i="2"/>
  <c r="I220" i="2"/>
  <c r="G220" i="2"/>
  <c r="F220" i="2"/>
  <c r="D220" i="2"/>
  <c r="C220" i="2"/>
  <c r="W219" i="2"/>
  <c r="V219" i="2"/>
  <c r="U219" i="2"/>
  <c r="T219" i="2"/>
  <c r="S219" i="2"/>
  <c r="R219" i="2"/>
  <c r="Q219" i="2"/>
  <c r="P219" i="2"/>
  <c r="O219" i="2"/>
  <c r="N219" i="2"/>
  <c r="M219" i="2"/>
  <c r="L219" i="2"/>
  <c r="K219" i="2"/>
  <c r="J219" i="2"/>
  <c r="I219" i="2"/>
  <c r="G219" i="2"/>
  <c r="F219" i="2"/>
  <c r="D219" i="2"/>
  <c r="C219" i="2"/>
  <c r="W218" i="2"/>
  <c r="V218" i="2"/>
  <c r="U218" i="2"/>
  <c r="T218" i="2"/>
  <c r="S218" i="2"/>
  <c r="R218" i="2"/>
  <c r="Q218" i="2"/>
  <c r="P218" i="2"/>
  <c r="O218" i="2"/>
  <c r="N218" i="2"/>
  <c r="M218" i="2"/>
  <c r="L218" i="2"/>
  <c r="K218" i="2"/>
  <c r="J218" i="2"/>
  <c r="I218" i="2"/>
  <c r="F218" i="2"/>
  <c r="D218" i="2"/>
  <c r="C218" i="2"/>
  <c r="W217" i="2"/>
  <c r="V217" i="2"/>
  <c r="U217" i="2"/>
  <c r="T217" i="2"/>
  <c r="S217" i="2"/>
  <c r="R217" i="2"/>
  <c r="Q217" i="2"/>
  <c r="P217" i="2"/>
  <c r="O217" i="2"/>
  <c r="N217" i="2"/>
  <c r="M217" i="2"/>
  <c r="L217" i="2"/>
  <c r="K217" i="2"/>
  <c r="J217" i="2"/>
  <c r="I217" i="2"/>
  <c r="H217" i="2"/>
  <c r="F217" i="2"/>
  <c r="D217" i="2"/>
  <c r="C217" i="2"/>
  <c r="W216" i="2"/>
  <c r="V216" i="2"/>
  <c r="U216" i="2"/>
  <c r="T216" i="2"/>
  <c r="S216" i="2"/>
  <c r="R216" i="2"/>
  <c r="Q216" i="2"/>
  <c r="P216" i="2"/>
  <c r="O216" i="2"/>
  <c r="M216" i="2"/>
  <c r="L216" i="2"/>
  <c r="K216" i="2"/>
  <c r="J216" i="2"/>
  <c r="I216" i="2"/>
  <c r="G216" i="2"/>
  <c r="F216" i="2"/>
  <c r="E216" i="2"/>
  <c r="D216" i="2"/>
  <c r="W215" i="2"/>
  <c r="U215" i="2"/>
  <c r="T215" i="2"/>
  <c r="S215" i="2"/>
  <c r="R215" i="2"/>
  <c r="Q215" i="2"/>
  <c r="O215" i="2"/>
  <c r="M215" i="2"/>
  <c r="L215" i="2"/>
  <c r="K215" i="2"/>
  <c r="J215" i="2"/>
  <c r="I215" i="2"/>
  <c r="F215" i="2"/>
  <c r="D215" i="2"/>
  <c r="W214" i="2"/>
  <c r="U214" i="2"/>
  <c r="T214" i="2"/>
  <c r="S214" i="2"/>
  <c r="R214" i="2"/>
  <c r="Q214" i="2"/>
  <c r="O214" i="2"/>
  <c r="M214" i="2"/>
  <c r="L214" i="2"/>
  <c r="J214" i="2"/>
  <c r="I214" i="2"/>
  <c r="G214" i="2"/>
  <c r="F214" i="2"/>
  <c r="D214" i="2"/>
  <c r="W213" i="2"/>
  <c r="V213" i="2"/>
  <c r="U213" i="2"/>
  <c r="T213" i="2"/>
  <c r="S213" i="2"/>
  <c r="R213" i="2"/>
  <c r="Q213" i="2"/>
  <c r="O213" i="2"/>
  <c r="M213" i="2"/>
  <c r="L213" i="2"/>
  <c r="J213" i="2"/>
  <c r="I213" i="2"/>
  <c r="G213" i="2"/>
  <c r="F213" i="2"/>
  <c r="D213" i="2"/>
  <c r="W212" i="2"/>
  <c r="U212" i="2"/>
  <c r="T212" i="2"/>
  <c r="S212" i="2"/>
  <c r="R212" i="2"/>
  <c r="Q212" i="2"/>
  <c r="O212" i="2"/>
  <c r="M212" i="2"/>
  <c r="L212" i="2"/>
  <c r="K212" i="2"/>
  <c r="J212" i="2"/>
  <c r="I212" i="2"/>
  <c r="G212" i="2"/>
  <c r="F212" i="2"/>
  <c r="D212" i="2"/>
  <c r="W211" i="2"/>
  <c r="V211" i="2"/>
  <c r="U211" i="2"/>
  <c r="T211" i="2"/>
  <c r="S211" i="2"/>
  <c r="R211" i="2"/>
  <c r="Q211" i="2"/>
  <c r="O211" i="2"/>
  <c r="M211" i="2"/>
  <c r="L211" i="2"/>
  <c r="J211" i="2"/>
  <c r="I211" i="2"/>
  <c r="G211" i="2"/>
  <c r="F211" i="2"/>
  <c r="D211" i="2"/>
  <c r="W210" i="2"/>
  <c r="V210" i="2"/>
  <c r="U210" i="2"/>
  <c r="T210" i="2"/>
  <c r="S210" i="2"/>
  <c r="R210" i="2"/>
  <c r="Q210" i="2"/>
  <c r="O210" i="2"/>
  <c r="M210" i="2"/>
  <c r="L210" i="2"/>
  <c r="K210" i="2"/>
  <c r="J210" i="2"/>
  <c r="I210" i="2"/>
  <c r="F210" i="2"/>
  <c r="D210" i="2"/>
  <c r="C210" i="2"/>
  <c r="W209" i="2"/>
  <c r="V209" i="2"/>
  <c r="U209" i="2"/>
  <c r="T209" i="2"/>
  <c r="S209" i="2"/>
  <c r="R209" i="2"/>
  <c r="Q209" i="2"/>
  <c r="P209" i="2"/>
  <c r="O209" i="2"/>
  <c r="N209" i="2"/>
  <c r="M209" i="2"/>
  <c r="L209" i="2"/>
  <c r="K209" i="2"/>
  <c r="J209" i="2"/>
  <c r="I209" i="2"/>
  <c r="H209" i="2"/>
  <c r="F209" i="2"/>
  <c r="D209" i="2"/>
  <c r="W208" i="2"/>
  <c r="V208" i="2"/>
  <c r="U208" i="2"/>
  <c r="T208" i="2"/>
  <c r="S208" i="2"/>
  <c r="R208" i="2"/>
  <c r="Q208" i="2"/>
  <c r="O208" i="2"/>
  <c r="M208" i="2"/>
  <c r="L208" i="2"/>
  <c r="K208" i="2"/>
  <c r="J208" i="2"/>
  <c r="I208" i="2"/>
  <c r="G208" i="2"/>
  <c r="F208" i="2"/>
  <c r="E208" i="2"/>
  <c r="D208" i="2"/>
  <c r="C208" i="2"/>
  <c r="W207" i="2"/>
  <c r="U207" i="2"/>
  <c r="T207" i="2"/>
  <c r="S207" i="2"/>
  <c r="R207" i="2"/>
  <c r="Q207" i="2"/>
  <c r="P207" i="2"/>
  <c r="O207" i="2"/>
  <c r="M207" i="2"/>
  <c r="L207" i="2"/>
  <c r="K207" i="2"/>
  <c r="J207" i="2"/>
  <c r="I207" i="2"/>
  <c r="F207" i="2"/>
  <c r="D207" i="2"/>
  <c r="W206" i="2"/>
  <c r="U206" i="2"/>
  <c r="T206" i="2"/>
  <c r="S206" i="2"/>
  <c r="R206" i="2"/>
  <c r="Q206" i="2"/>
  <c r="O206" i="2"/>
  <c r="M206" i="2"/>
  <c r="L206" i="2"/>
  <c r="J206" i="2"/>
  <c r="I206" i="2"/>
  <c r="G206" i="2"/>
  <c r="F206" i="2"/>
  <c r="E206" i="2"/>
  <c r="D206" i="2"/>
  <c r="W205" i="2"/>
  <c r="V205" i="2"/>
  <c r="U205" i="2"/>
  <c r="T205" i="2"/>
  <c r="S205" i="2"/>
  <c r="R205" i="2"/>
  <c r="Q205" i="2"/>
  <c r="O205" i="2"/>
  <c r="L205" i="2"/>
  <c r="K205" i="2"/>
  <c r="J205" i="2"/>
  <c r="I205" i="2"/>
  <c r="G205" i="2"/>
  <c r="F205" i="2"/>
  <c r="D205" i="2"/>
  <c r="C205" i="2"/>
  <c r="V204" i="2"/>
  <c r="U204" i="2"/>
  <c r="T204" i="2"/>
  <c r="S204" i="2"/>
  <c r="R204" i="2"/>
  <c r="Q204" i="2"/>
  <c r="P204" i="2"/>
  <c r="N204" i="2"/>
  <c r="M204" i="2"/>
  <c r="L204" i="2"/>
  <c r="J204" i="2"/>
  <c r="I204" i="2"/>
  <c r="H204" i="2"/>
  <c r="G204" i="2"/>
  <c r="F204" i="2"/>
  <c r="D204" i="2"/>
  <c r="C204" i="2"/>
  <c r="V203" i="2"/>
  <c r="U203" i="2"/>
  <c r="T203" i="2"/>
  <c r="S203" i="2"/>
  <c r="R203" i="2"/>
  <c r="Q203" i="2"/>
  <c r="P203" i="2"/>
  <c r="M203" i="2"/>
  <c r="L203" i="2"/>
  <c r="K203" i="2"/>
  <c r="J203" i="2"/>
  <c r="I203" i="2"/>
  <c r="G203" i="2"/>
  <c r="E203" i="2"/>
  <c r="D203" i="2"/>
  <c r="C203" i="2"/>
  <c r="V202" i="2"/>
  <c r="U202" i="2"/>
  <c r="T202" i="2"/>
  <c r="S202" i="2"/>
  <c r="R202" i="2"/>
  <c r="Q202" i="2"/>
  <c r="P202" i="2"/>
  <c r="M202" i="2"/>
  <c r="L202" i="2"/>
  <c r="J202" i="2"/>
  <c r="I202" i="2"/>
  <c r="G202" i="2"/>
  <c r="D202" i="2"/>
  <c r="C202" i="2"/>
  <c r="W201" i="2"/>
  <c r="V201" i="2"/>
  <c r="U201" i="2"/>
  <c r="T201" i="2"/>
  <c r="S201" i="2"/>
  <c r="R201" i="2"/>
  <c r="Q201" i="2"/>
  <c r="P201" i="2"/>
  <c r="O201" i="2"/>
  <c r="M201" i="2"/>
  <c r="L201" i="2"/>
  <c r="J201" i="2"/>
  <c r="I201" i="2"/>
  <c r="G201" i="2"/>
  <c r="E201" i="2"/>
  <c r="D201" i="2"/>
  <c r="C201" i="2"/>
  <c r="V200" i="2"/>
  <c r="T200" i="2"/>
  <c r="S200" i="2"/>
  <c r="R200" i="2"/>
  <c r="Q200" i="2"/>
  <c r="P200" i="2"/>
  <c r="O200" i="2"/>
  <c r="N200" i="2"/>
  <c r="M200" i="2"/>
  <c r="L200" i="2"/>
  <c r="J200" i="2"/>
  <c r="I200" i="2"/>
  <c r="F200" i="2"/>
  <c r="D200" i="2"/>
  <c r="C200" i="2"/>
  <c r="W199" i="2"/>
  <c r="T199" i="2"/>
  <c r="Q199" i="2"/>
  <c r="O199" i="2"/>
  <c r="L199" i="2"/>
  <c r="I199" i="2"/>
  <c r="G199" i="2"/>
  <c r="D199" i="2"/>
  <c r="C199" i="2"/>
  <c r="W198" i="2"/>
  <c r="U198" i="2"/>
  <c r="T198" i="2"/>
  <c r="S198" i="2"/>
  <c r="Q198" i="2"/>
  <c r="M198" i="2"/>
  <c r="G198" i="2"/>
  <c r="F198" i="2"/>
  <c r="D198" i="2"/>
  <c r="W197" i="2"/>
  <c r="S197" i="2"/>
  <c r="Q197" i="2"/>
  <c r="M197" i="2"/>
  <c r="I197" i="2"/>
  <c r="W196" i="2"/>
  <c r="Q196" i="2"/>
  <c r="H196" i="2"/>
  <c r="F196" i="2"/>
  <c r="W195" i="2"/>
  <c r="U195" i="2"/>
  <c r="Q195" i="2"/>
  <c r="AV188" i="2"/>
  <c r="AQ188" i="2"/>
  <c r="AN188" i="2"/>
  <c r="AG188" i="2"/>
  <c r="AI188" i="2" s="1"/>
  <c r="N167" i="2" s="1"/>
  <c r="AF188" i="2"/>
  <c r="Y188" i="2"/>
  <c r="T188" i="2"/>
  <c r="Q188" i="2"/>
  <c r="N188" i="2"/>
  <c r="I188" i="2"/>
  <c r="K188" i="2" s="1"/>
  <c r="E167" i="2" s="1"/>
  <c r="E188" i="2"/>
  <c r="AW187" i="2"/>
  <c r="AV187" i="2"/>
  <c r="AU187" i="2"/>
  <c r="T166" i="2" s="1"/>
  <c r="AT187" i="2"/>
  <c r="AS187" i="2"/>
  <c r="AQ187" i="2"/>
  <c r="AR187" i="2" s="1"/>
  <c r="AP187" i="2"/>
  <c r="AN187" i="2"/>
  <c r="AK187" i="2"/>
  <c r="AJ187" i="2"/>
  <c r="AH187" i="2"/>
  <c r="AG187" i="2"/>
  <c r="AI187" i="2" s="1"/>
  <c r="N166" i="2" s="1"/>
  <c r="AF187" i="2"/>
  <c r="Y187" i="2"/>
  <c r="X187" i="2"/>
  <c r="V187" i="2"/>
  <c r="U187" i="2"/>
  <c r="T187" i="2"/>
  <c r="Q187" i="2"/>
  <c r="G166" i="2" s="1"/>
  <c r="N187" i="2"/>
  <c r="J187" i="2"/>
  <c r="J188" i="2" s="1"/>
  <c r="I187" i="2"/>
  <c r="G187" i="2"/>
  <c r="F187" i="2"/>
  <c r="E187" i="2"/>
  <c r="AX186" i="2"/>
  <c r="AT186" i="2"/>
  <c r="AS186" i="2"/>
  <c r="AU186" i="2" s="1"/>
  <c r="AQ186" i="2"/>
  <c r="AP186" i="2"/>
  <c r="AO186" i="2"/>
  <c r="AN186" i="2"/>
  <c r="AM186" i="2"/>
  <c r="AK186" i="2"/>
  <c r="AL186" i="2" s="1"/>
  <c r="AJ186" i="2"/>
  <c r="AH186" i="2"/>
  <c r="AG186" i="2"/>
  <c r="AG176" i="2" s="1"/>
  <c r="AI176" i="2" s="1"/>
  <c r="AF186" i="2"/>
  <c r="Y186" i="2"/>
  <c r="Z186" i="2" s="1"/>
  <c r="X186" i="2"/>
  <c r="W186" i="2"/>
  <c r="I165" i="2" s="1"/>
  <c r="V186" i="2"/>
  <c r="U186" i="2"/>
  <c r="J186" i="2"/>
  <c r="I186" i="2"/>
  <c r="K186" i="2" s="1"/>
  <c r="D186" i="2"/>
  <c r="C186" i="2"/>
  <c r="E186" i="2" s="1"/>
  <c r="C165" i="2" s="1"/>
  <c r="AX185" i="2"/>
  <c r="AT185" i="2"/>
  <c r="AT188" i="2" s="1"/>
  <c r="AS185" i="2"/>
  <c r="AS188" i="2" s="1"/>
  <c r="AU188" i="2" s="1"/>
  <c r="T167" i="2" s="1"/>
  <c r="AQ185" i="2"/>
  <c r="AP185" i="2"/>
  <c r="AP188" i="2" s="1"/>
  <c r="AO185" i="2"/>
  <c r="AN185" i="2"/>
  <c r="AM185" i="2"/>
  <c r="AH185" i="2"/>
  <c r="AH188" i="2" s="1"/>
  <c r="AG185" i="2"/>
  <c r="AI185" i="2" s="1"/>
  <c r="AF185" i="2"/>
  <c r="Y185" i="2"/>
  <c r="X185" i="2"/>
  <c r="X188" i="2" s="1"/>
  <c r="V185" i="2"/>
  <c r="V188" i="2" s="1"/>
  <c r="U185" i="2"/>
  <c r="P185" i="2"/>
  <c r="O185" i="2"/>
  <c r="Q185" i="2" s="1"/>
  <c r="M185" i="2"/>
  <c r="N185" i="2" s="1"/>
  <c r="L185" i="2"/>
  <c r="K185" i="2"/>
  <c r="J185" i="2"/>
  <c r="I185" i="2"/>
  <c r="G185" i="2"/>
  <c r="H185" i="2" s="1"/>
  <c r="F185" i="2"/>
  <c r="D185" i="2"/>
  <c r="C185" i="2"/>
  <c r="C176" i="2" s="1"/>
  <c r="E176" i="2" s="1"/>
  <c r="C155" i="2" s="1"/>
  <c r="AV184" i="2"/>
  <c r="AN184" i="2"/>
  <c r="AG184" i="2"/>
  <c r="AI184" i="2" s="1"/>
  <c r="N163" i="2" s="1"/>
  <c r="AF184" i="2"/>
  <c r="Y184" i="2"/>
  <c r="T184" i="2"/>
  <c r="Q184" i="2"/>
  <c r="N184" i="2"/>
  <c r="E184" i="2"/>
  <c r="AW183" i="2"/>
  <c r="AV183" i="2"/>
  <c r="AU183" i="2"/>
  <c r="AT183" i="2"/>
  <c r="AS183" i="2"/>
  <c r="AQ183" i="2"/>
  <c r="AR183" i="2" s="1"/>
  <c r="AP183" i="2"/>
  <c r="AN183" i="2"/>
  <c r="AK183" i="2"/>
  <c r="AJ183" i="2"/>
  <c r="AH183" i="2"/>
  <c r="AH184" i="2" s="1"/>
  <c r="AG183" i="2"/>
  <c r="AI183" i="2" s="1"/>
  <c r="AF183" i="2"/>
  <c r="Y183" i="2"/>
  <c r="X183" i="2"/>
  <c r="X184" i="2" s="1"/>
  <c r="Z184" i="2" s="1"/>
  <c r="J163" i="2" s="1"/>
  <c r="V183" i="2"/>
  <c r="V184" i="2" s="1"/>
  <c r="U183" i="2"/>
  <c r="T183" i="2"/>
  <c r="Q183" i="2"/>
  <c r="N183" i="2"/>
  <c r="J183" i="2"/>
  <c r="J184" i="2" s="1"/>
  <c r="I183" i="2"/>
  <c r="G183" i="2"/>
  <c r="F183" i="2"/>
  <c r="E183" i="2"/>
  <c r="AX182" i="2"/>
  <c r="AT182" i="2"/>
  <c r="AS182" i="2"/>
  <c r="AU182" i="2" s="1"/>
  <c r="AQ182" i="2"/>
  <c r="AR182" i="2" s="1"/>
  <c r="AP182" i="2"/>
  <c r="AO182" i="2"/>
  <c r="AN182" i="2"/>
  <c r="AM182" i="2"/>
  <c r="AK182" i="2"/>
  <c r="AL182" i="2" s="1"/>
  <c r="AJ182" i="2"/>
  <c r="AH182" i="2"/>
  <c r="AG182" i="2"/>
  <c r="AI182" i="2" s="1"/>
  <c r="N161" i="2" s="1"/>
  <c r="V161" i="2" s="1"/>
  <c r="AF182" i="2"/>
  <c r="Y182" i="2"/>
  <c r="Z182" i="2" s="1"/>
  <c r="X182" i="2"/>
  <c r="W182" i="2"/>
  <c r="V182" i="2"/>
  <c r="U182" i="2"/>
  <c r="J182" i="2"/>
  <c r="I182" i="2"/>
  <c r="K182" i="2" s="1"/>
  <c r="D182" i="2"/>
  <c r="C182" i="2"/>
  <c r="E182" i="2" s="1"/>
  <c r="AX181" i="2"/>
  <c r="AT181" i="2"/>
  <c r="AS181" i="2"/>
  <c r="AS174" i="2" s="1"/>
  <c r="AU174" i="2" s="1"/>
  <c r="T153" i="2" s="1"/>
  <c r="AQ181" i="2"/>
  <c r="AP181" i="2"/>
  <c r="AR181" i="2" s="1"/>
  <c r="AO181" i="2"/>
  <c r="AN181" i="2"/>
  <c r="AM181" i="2"/>
  <c r="AH181" i="2"/>
  <c r="AG181" i="2"/>
  <c r="AI181" i="2" s="1"/>
  <c r="N160" i="2" s="1"/>
  <c r="AF181" i="2"/>
  <c r="Y181" i="2"/>
  <c r="X181" i="2"/>
  <c r="Z181" i="2" s="1"/>
  <c r="V181" i="2"/>
  <c r="U181" i="2"/>
  <c r="S181" i="2"/>
  <c r="P181" i="2"/>
  <c r="O181" i="2"/>
  <c r="Q181" i="2" s="1"/>
  <c r="M181" i="2"/>
  <c r="N181" i="2" s="1"/>
  <c r="L181" i="2"/>
  <c r="K181" i="2"/>
  <c r="J181" i="2"/>
  <c r="I181" i="2"/>
  <c r="E181" i="2"/>
  <c r="C160" i="2" s="1"/>
  <c r="D181" i="2"/>
  <c r="C181" i="2"/>
  <c r="AX180" i="2"/>
  <c r="AT180" i="2"/>
  <c r="AS180" i="2"/>
  <c r="AU180" i="2" s="1"/>
  <c r="AQ180" i="2"/>
  <c r="AR180" i="2" s="1"/>
  <c r="AP180" i="2"/>
  <c r="AO180" i="2"/>
  <c r="AN180" i="2"/>
  <c r="AM180" i="2"/>
  <c r="AI180" i="2"/>
  <c r="AH180" i="2"/>
  <c r="AG180" i="2"/>
  <c r="AF180" i="2"/>
  <c r="Y180" i="2"/>
  <c r="Z180" i="2" s="1"/>
  <c r="X180" i="2"/>
  <c r="W180" i="2"/>
  <c r="V180" i="2"/>
  <c r="U180" i="2"/>
  <c r="Q180" i="2"/>
  <c r="P180" i="2"/>
  <c r="O180" i="2"/>
  <c r="M180" i="2"/>
  <c r="L180" i="2"/>
  <c r="N180" i="2" s="1"/>
  <c r="J180" i="2"/>
  <c r="I180" i="2"/>
  <c r="K180" i="2" s="1"/>
  <c r="G180" i="2"/>
  <c r="F180" i="2"/>
  <c r="H180" i="2" s="1"/>
  <c r="D180" i="2"/>
  <c r="C180" i="2"/>
  <c r="E180" i="2" s="1"/>
  <c r="AX179" i="2"/>
  <c r="AU179" i="2"/>
  <c r="T158" i="2" s="1"/>
  <c r="AT179" i="2"/>
  <c r="AS179" i="2"/>
  <c r="AQ179" i="2"/>
  <c r="AP179" i="2"/>
  <c r="AR179" i="2" s="1"/>
  <c r="AO179" i="2"/>
  <c r="AN179" i="2"/>
  <c r="AM179" i="2"/>
  <c r="AK179" i="2"/>
  <c r="AH179" i="2"/>
  <c r="AG179" i="2"/>
  <c r="AI179" i="2" s="1"/>
  <c r="AF179" i="2"/>
  <c r="Y179" i="2"/>
  <c r="X179" i="2"/>
  <c r="Z179" i="2" s="1"/>
  <c r="V179" i="2"/>
  <c r="U179" i="2"/>
  <c r="W179" i="2" s="1"/>
  <c r="P179" i="2"/>
  <c r="O179" i="2"/>
  <c r="Q179" i="2" s="1"/>
  <c r="M179" i="2"/>
  <c r="N179" i="2" s="1"/>
  <c r="L179" i="2"/>
  <c r="K179" i="2"/>
  <c r="E158" i="2" s="1"/>
  <c r="J179" i="2"/>
  <c r="I179" i="2"/>
  <c r="G179" i="2"/>
  <c r="H179" i="2" s="1"/>
  <c r="F179" i="2"/>
  <c r="E179" i="2"/>
  <c r="D179" i="2"/>
  <c r="C179" i="2"/>
  <c r="AX178" i="2"/>
  <c r="AT178" i="2"/>
  <c r="AS178" i="2"/>
  <c r="AU178" i="2" s="1"/>
  <c r="AQ178" i="2"/>
  <c r="AR178" i="2" s="1"/>
  <c r="AP178" i="2"/>
  <c r="AO178" i="2"/>
  <c r="AN178" i="2"/>
  <c r="AM178" i="2"/>
  <c r="AL178" i="2"/>
  <c r="AH178" i="2"/>
  <c r="AG178" i="2"/>
  <c r="AI178" i="2" s="1"/>
  <c r="AF178" i="2"/>
  <c r="Y178" i="2"/>
  <c r="Z178" i="2" s="1"/>
  <c r="X178" i="2"/>
  <c r="V178" i="2"/>
  <c r="U178" i="2"/>
  <c r="W178" i="2" s="1"/>
  <c r="I157" i="2" s="1"/>
  <c r="P178" i="2"/>
  <c r="O178" i="2"/>
  <c r="Q178" i="2" s="1"/>
  <c r="M178" i="2"/>
  <c r="L178" i="2"/>
  <c r="N178" i="2" s="1"/>
  <c r="K178" i="2"/>
  <c r="G178" i="2"/>
  <c r="H178" i="2" s="1"/>
  <c r="F178" i="2"/>
  <c r="E178" i="2"/>
  <c r="C157" i="2" s="1"/>
  <c r="D178" i="2"/>
  <c r="C178" i="2"/>
  <c r="AX177" i="2"/>
  <c r="AT177" i="2"/>
  <c r="AS177" i="2"/>
  <c r="AU177" i="2" s="1"/>
  <c r="AQ177" i="2"/>
  <c r="AR177" i="2" s="1"/>
  <c r="AP177" i="2"/>
  <c r="AO177" i="2"/>
  <c r="AN177" i="2"/>
  <c r="AM177" i="2"/>
  <c r="AI177" i="2"/>
  <c r="AH177" i="2"/>
  <c r="AG177" i="2"/>
  <c r="AF177" i="2"/>
  <c r="Y177" i="2"/>
  <c r="Z177" i="2" s="1"/>
  <c r="X177" i="2"/>
  <c r="W177" i="2"/>
  <c r="V177" i="2"/>
  <c r="U177" i="2"/>
  <c r="S177" i="2"/>
  <c r="P177" i="2"/>
  <c r="O177" i="2"/>
  <c r="Q177" i="2" s="1"/>
  <c r="M177" i="2"/>
  <c r="L177" i="2"/>
  <c r="N177" i="2" s="1"/>
  <c r="J177" i="2"/>
  <c r="I177" i="2"/>
  <c r="K177" i="2" s="1"/>
  <c r="G177" i="2"/>
  <c r="F177" i="2"/>
  <c r="D177" i="2"/>
  <c r="C177" i="2"/>
  <c r="E177" i="2" s="1"/>
  <c r="AX176" i="2"/>
  <c r="AT176" i="2"/>
  <c r="AP176" i="2"/>
  <c r="AO176" i="2"/>
  <c r="AN176" i="2"/>
  <c r="AM176" i="2"/>
  <c r="AH176" i="2"/>
  <c r="AE176" i="2"/>
  <c r="AF176" i="2" s="1"/>
  <c r="AD176" i="2"/>
  <c r="Y176" i="2"/>
  <c r="Z176" i="2" s="1"/>
  <c r="X176" i="2"/>
  <c r="W176" i="2"/>
  <c r="I155" i="2" s="1"/>
  <c r="V176" i="2"/>
  <c r="U176" i="2"/>
  <c r="O176" i="2"/>
  <c r="M176" i="2"/>
  <c r="L176" i="2"/>
  <c r="J176" i="2"/>
  <c r="I176" i="2"/>
  <c r="K176" i="2" s="1"/>
  <c r="E155" i="2" s="1"/>
  <c r="D176" i="2"/>
  <c r="AX175" i="2"/>
  <c r="AU175" i="2"/>
  <c r="AT175" i="2"/>
  <c r="AT184" i="2" s="1"/>
  <c r="AS175" i="2"/>
  <c r="AS184" i="2" s="1"/>
  <c r="AU184" i="2" s="1"/>
  <c r="T163" i="2" s="1"/>
  <c r="AQ175" i="2"/>
  <c r="AQ184" i="2" s="1"/>
  <c r="AP175" i="2"/>
  <c r="AR175" i="2" s="1"/>
  <c r="S154" i="2" s="1"/>
  <c r="AO175" i="2"/>
  <c r="AN175" i="2"/>
  <c r="AM175" i="2"/>
  <c r="AI175" i="2"/>
  <c r="AH175" i="2"/>
  <c r="AG175" i="2"/>
  <c r="AF175" i="2"/>
  <c r="Y175" i="2"/>
  <c r="X175" i="2"/>
  <c r="Z175" i="2" s="1"/>
  <c r="V175" i="2"/>
  <c r="U175" i="2"/>
  <c r="W175" i="2" s="1"/>
  <c r="Q175" i="2"/>
  <c r="P175" i="2"/>
  <c r="O175" i="2"/>
  <c r="M175" i="2"/>
  <c r="N175" i="2" s="1"/>
  <c r="L175" i="2"/>
  <c r="J175" i="2"/>
  <c r="I175" i="2"/>
  <c r="I184" i="2" s="1"/>
  <c r="K184" i="2" s="1"/>
  <c r="E163" i="2" s="1"/>
  <c r="G175" i="2"/>
  <c r="F175" i="2"/>
  <c r="E175" i="2"/>
  <c r="D175" i="2"/>
  <c r="C175" i="2"/>
  <c r="AX174" i="2"/>
  <c r="AT174" i="2"/>
  <c r="AQ174" i="2"/>
  <c r="AR174" i="2" s="1"/>
  <c r="S153" i="2" s="1"/>
  <c r="AP174" i="2"/>
  <c r="AO174" i="2"/>
  <c r="AN174" i="2"/>
  <c r="AM174" i="2"/>
  <c r="AH174" i="2"/>
  <c r="AE174" i="2"/>
  <c r="AD174" i="2"/>
  <c r="Y174" i="2"/>
  <c r="Z174" i="2" s="1"/>
  <c r="J153" i="2" s="1"/>
  <c r="X174" i="2"/>
  <c r="V174" i="2"/>
  <c r="P174" i="2"/>
  <c r="M174" i="2"/>
  <c r="L174" i="2"/>
  <c r="N174" i="2" s="1"/>
  <c r="K174" i="2"/>
  <c r="E153" i="2" s="1"/>
  <c r="J174" i="2"/>
  <c r="I174" i="2"/>
  <c r="D174" i="2"/>
  <c r="C174" i="2"/>
  <c r="E174" i="2" s="1"/>
  <c r="AX173" i="2"/>
  <c r="AU173" i="2"/>
  <c r="AT173" i="2"/>
  <c r="AS173" i="2"/>
  <c r="AR173" i="2"/>
  <c r="AQ173" i="2"/>
  <c r="AP173" i="2"/>
  <c r="AO173" i="2"/>
  <c r="AN173" i="2"/>
  <c r="AM173" i="2"/>
  <c r="AI173" i="2"/>
  <c r="AF173" i="2"/>
  <c r="M152" i="2" s="1"/>
  <c r="AE173" i="2"/>
  <c r="AD173" i="2"/>
  <c r="AC173" i="2"/>
  <c r="AB173" i="2"/>
  <c r="AA173" i="2"/>
  <c r="Y173" i="2"/>
  <c r="X173" i="2"/>
  <c r="Z173" i="2" s="1"/>
  <c r="J152" i="2" s="1"/>
  <c r="V173" i="2"/>
  <c r="U173" i="2"/>
  <c r="W173" i="2" s="1"/>
  <c r="I152" i="2" s="1"/>
  <c r="R173" i="2"/>
  <c r="P173" i="2"/>
  <c r="O173" i="2"/>
  <c r="Q173" i="2" s="1"/>
  <c r="N173" i="2"/>
  <c r="M173" i="2"/>
  <c r="L173" i="2"/>
  <c r="G173" i="2"/>
  <c r="F173" i="2"/>
  <c r="H173" i="2" s="1"/>
  <c r="D152" i="2" s="1"/>
  <c r="E173" i="2"/>
  <c r="C152" i="2" s="1"/>
  <c r="D173" i="2"/>
  <c r="C173" i="2"/>
  <c r="R167" i="2"/>
  <c r="Q167" i="2"/>
  <c r="P167" i="2"/>
  <c r="M167" i="2"/>
  <c r="H167" i="2"/>
  <c r="G167" i="2"/>
  <c r="F167" i="2"/>
  <c r="C167" i="2"/>
  <c r="S166" i="2"/>
  <c r="R166" i="2"/>
  <c r="Q166" i="2"/>
  <c r="P166" i="2"/>
  <c r="M166" i="2"/>
  <c r="J166" i="2"/>
  <c r="H166" i="2"/>
  <c r="F166" i="2"/>
  <c r="C166" i="2"/>
  <c r="U165" i="2"/>
  <c r="T165" i="2"/>
  <c r="R165" i="2"/>
  <c r="Q165" i="2"/>
  <c r="P165" i="2"/>
  <c r="O165" i="2"/>
  <c r="M165" i="2"/>
  <c r="J165" i="2"/>
  <c r="G165" i="2"/>
  <c r="F165" i="2"/>
  <c r="E165" i="2"/>
  <c r="U164" i="2"/>
  <c r="R164" i="2"/>
  <c r="Q164" i="2"/>
  <c r="P164" i="2"/>
  <c r="N164" i="2"/>
  <c r="M164" i="2"/>
  <c r="G164" i="2"/>
  <c r="E164" i="2"/>
  <c r="D164" i="2"/>
  <c r="R163" i="2"/>
  <c r="Q163" i="2"/>
  <c r="P163" i="2"/>
  <c r="M163" i="2"/>
  <c r="H163" i="2"/>
  <c r="G163" i="2"/>
  <c r="F163" i="2"/>
  <c r="C163" i="2"/>
  <c r="T162" i="2"/>
  <c r="S162" i="2"/>
  <c r="R162" i="2"/>
  <c r="Q162" i="2"/>
  <c r="P162" i="2"/>
  <c r="N162" i="2"/>
  <c r="M162" i="2"/>
  <c r="J162" i="2"/>
  <c r="H162" i="2"/>
  <c r="G162" i="2"/>
  <c r="F162" i="2"/>
  <c r="C162" i="2"/>
  <c r="U161" i="2"/>
  <c r="T161" i="2"/>
  <c r="S161" i="2"/>
  <c r="R161" i="2"/>
  <c r="Q161" i="2"/>
  <c r="P161" i="2"/>
  <c r="O161" i="2"/>
  <c r="M161" i="2"/>
  <c r="J161" i="2"/>
  <c r="I161" i="2"/>
  <c r="F161" i="2"/>
  <c r="E161" i="2"/>
  <c r="C161" i="2"/>
  <c r="U160" i="2"/>
  <c r="S160" i="2"/>
  <c r="R160" i="2"/>
  <c r="Q160" i="2"/>
  <c r="P160" i="2"/>
  <c r="M160" i="2"/>
  <c r="J160" i="2"/>
  <c r="E160" i="2"/>
  <c r="U159" i="2"/>
  <c r="T159" i="2"/>
  <c r="S159" i="2"/>
  <c r="R159" i="2"/>
  <c r="Q159" i="2"/>
  <c r="P159" i="2"/>
  <c r="N159" i="2"/>
  <c r="M159" i="2"/>
  <c r="J159" i="2"/>
  <c r="I159" i="2"/>
  <c r="E159" i="2"/>
  <c r="D159" i="2"/>
  <c r="C159" i="2"/>
  <c r="U158" i="2"/>
  <c r="S158" i="2"/>
  <c r="R158" i="2"/>
  <c r="Q158" i="2"/>
  <c r="P158" i="2"/>
  <c r="N158" i="2"/>
  <c r="M158" i="2"/>
  <c r="J158" i="2"/>
  <c r="I158" i="2"/>
  <c r="G158" i="2"/>
  <c r="D158" i="2"/>
  <c r="C158" i="2"/>
  <c r="U157" i="2"/>
  <c r="T157" i="2"/>
  <c r="S157" i="2"/>
  <c r="R157" i="2"/>
  <c r="Q157" i="2"/>
  <c r="P157" i="2"/>
  <c r="O157" i="2"/>
  <c r="N157" i="2"/>
  <c r="V157" i="2" s="1"/>
  <c r="M157" i="2"/>
  <c r="J157" i="2"/>
  <c r="E157" i="2"/>
  <c r="D157" i="2"/>
  <c r="U156" i="2"/>
  <c r="T156" i="2"/>
  <c r="S156" i="2"/>
  <c r="R156" i="2"/>
  <c r="Q156" i="2"/>
  <c r="P156" i="2"/>
  <c r="N156" i="2"/>
  <c r="M156" i="2"/>
  <c r="J156" i="2"/>
  <c r="I156" i="2"/>
  <c r="G156" i="2"/>
  <c r="E156" i="2"/>
  <c r="C156" i="2"/>
  <c r="U155" i="2"/>
  <c r="R155" i="2"/>
  <c r="Q155" i="2"/>
  <c r="P155" i="2"/>
  <c r="N155" i="2"/>
  <c r="M155" i="2"/>
  <c r="J155" i="2"/>
  <c r="F155" i="2"/>
  <c r="U154" i="2"/>
  <c r="T154" i="2"/>
  <c r="R154" i="2"/>
  <c r="Q154" i="2"/>
  <c r="P154" i="2"/>
  <c r="N154" i="2"/>
  <c r="M154" i="2"/>
  <c r="J154" i="2"/>
  <c r="I154" i="2"/>
  <c r="C154" i="2"/>
  <c r="U153" i="2"/>
  <c r="R153" i="2"/>
  <c r="Q153" i="2"/>
  <c r="P153" i="2"/>
  <c r="C153" i="2"/>
  <c r="R152" i="2"/>
  <c r="Q152" i="2"/>
  <c r="P152" i="2"/>
  <c r="K152" i="2"/>
  <c r="G152" i="2"/>
  <c r="F152" i="2"/>
  <c r="AX145" i="2"/>
  <c r="AU145" i="2"/>
  <c r="AR145" i="2"/>
  <c r="AO145" i="2"/>
  <c r="AN145" i="2"/>
  <c r="AM145" i="2"/>
  <c r="AL145" i="2"/>
  <c r="AI145" i="2"/>
  <c r="AF145" i="2"/>
  <c r="AB145" i="2"/>
  <c r="AB183" i="2" s="1"/>
  <c r="AA145" i="2"/>
  <c r="AA183" i="2" s="1"/>
  <c r="Z145" i="2"/>
  <c r="Z183" i="2" s="1"/>
  <c r="W145" i="2"/>
  <c r="W183" i="2" s="1"/>
  <c r="I162" i="2" s="1"/>
  <c r="S145" i="2"/>
  <c r="R145" i="2"/>
  <c r="T145" i="2" s="1"/>
  <c r="P145" i="2"/>
  <c r="O145" i="2"/>
  <c r="Q145" i="2" s="1"/>
  <c r="N145" i="2"/>
  <c r="M145" i="2"/>
  <c r="L145" i="2"/>
  <c r="K145" i="2"/>
  <c r="K183" i="2" s="1"/>
  <c r="E162" i="2" s="1"/>
  <c r="H145" i="2"/>
  <c r="H183" i="2" s="1"/>
  <c r="D162" i="2" s="1"/>
  <c r="E145" i="2"/>
  <c r="AX144" i="2"/>
  <c r="AU144" i="2"/>
  <c r="AR144" i="2"/>
  <c r="AO144" i="2"/>
  <c r="AN144" i="2"/>
  <c r="AM144" i="2"/>
  <c r="AL144" i="2"/>
  <c r="O79" i="2" s="1"/>
  <c r="AI144" i="2"/>
  <c r="AF144" i="2"/>
  <c r="AB144" i="2"/>
  <c r="AB187" i="2" s="1"/>
  <c r="AA144" i="2"/>
  <c r="AA187" i="2" s="1"/>
  <c r="Z144" i="2"/>
  <c r="Z187" i="2" s="1"/>
  <c r="W144" i="2"/>
  <c r="W187" i="2" s="1"/>
  <c r="I166" i="2" s="1"/>
  <c r="T144" i="2"/>
  <c r="S144" i="2"/>
  <c r="R144" i="2"/>
  <c r="P144" i="2"/>
  <c r="Q144" i="2" s="1"/>
  <c r="O144" i="2"/>
  <c r="M144" i="2"/>
  <c r="L144" i="2"/>
  <c r="N144" i="2" s="1"/>
  <c r="K144" i="2"/>
  <c r="K187" i="2" s="1"/>
  <c r="E166" i="2" s="1"/>
  <c r="H144" i="2"/>
  <c r="H187" i="2" s="1"/>
  <c r="D166" i="2" s="1"/>
  <c r="E144" i="2"/>
  <c r="AX143" i="2"/>
  <c r="AU143" i="2"/>
  <c r="AR143" i="2"/>
  <c r="AO143" i="2"/>
  <c r="AN143" i="2"/>
  <c r="AM143" i="2"/>
  <c r="AL143" i="2"/>
  <c r="AI143" i="2"/>
  <c r="AF143" i="2"/>
  <c r="AB143" i="2"/>
  <c r="AA143" i="2"/>
  <c r="AC143" i="2" s="1"/>
  <c r="K78" i="2" s="1"/>
  <c r="Z143" i="2"/>
  <c r="J78" i="2" s="1"/>
  <c r="W143" i="2"/>
  <c r="S143" i="2"/>
  <c r="R143" i="2"/>
  <c r="T143" i="2" s="1"/>
  <c r="P143" i="2"/>
  <c r="O143" i="2"/>
  <c r="Q143" i="2" s="1"/>
  <c r="N143" i="2"/>
  <c r="M143" i="2"/>
  <c r="L143" i="2"/>
  <c r="K143" i="2"/>
  <c r="H143" i="2"/>
  <c r="G143" i="2"/>
  <c r="F143" i="2"/>
  <c r="E143" i="2"/>
  <c r="AX142" i="2"/>
  <c r="AU142" i="2"/>
  <c r="AR142" i="2"/>
  <c r="AO142" i="2"/>
  <c r="AN142" i="2"/>
  <c r="AM142" i="2"/>
  <c r="AL142" i="2"/>
  <c r="AI142" i="2"/>
  <c r="AF142" i="2"/>
  <c r="AB142" i="2"/>
  <c r="AB186" i="2" s="1"/>
  <c r="AA142" i="2"/>
  <c r="AA186" i="2" s="1"/>
  <c r="Z142" i="2"/>
  <c r="W142" i="2"/>
  <c r="S142" i="2"/>
  <c r="S186" i="2" s="1"/>
  <c r="R142" i="2"/>
  <c r="R186" i="2" s="1"/>
  <c r="T186" i="2" s="1"/>
  <c r="P142" i="2"/>
  <c r="P186" i="2" s="1"/>
  <c r="O142" i="2"/>
  <c r="Q142" i="2" s="1"/>
  <c r="N142" i="2"/>
  <c r="M142" i="2"/>
  <c r="M186" i="2" s="1"/>
  <c r="L142" i="2"/>
  <c r="L186" i="2" s="1"/>
  <c r="N186" i="2" s="1"/>
  <c r="K142" i="2"/>
  <c r="H142" i="2"/>
  <c r="D77" i="2" s="1"/>
  <c r="G142" i="2"/>
  <c r="G186" i="2" s="1"/>
  <c r="G176" i="2" s="1"/>
  <c r="F142" i="2"/>
  <c r="F186" i="2" s="1"/>
  <c r="E142" i="2"/>
  <c r="AX141" i="2"/>
  <c r="AU141" i="2"/>
  <c r="AR141" i="2"/>
  <c r="AO141" i="2"/>
  <c r="AN141" i="2"/>
  <c r="AM141" i="2"/>
  <c r="AL141" i="2"/>
  <c r="AI141" i="2"/>
  <c r="AF141" i="2"/>
  <c r="AB141" i="2"/>
  <c r="AB182" i="2" s="1"/>
  <c r="AA141" i="2"/>
  <c r="AA182" i="2" s="1"/>
  <c r="AC182" i="2" s="1"/>
  <c r="K161" i="2" s="1"/>
  <c r="Z141" i="2"/>
  <c r="J76" i="2" s="1"/>
  <c r="W141" i="2"/>
  <c r="S141" i="2"/>
  <c r="S182" i="2" s="1"/>
  <c r="R141" i="2"/>
  <c r="R182" i="2" s="1"/>
  <c r="T182" i="2" s="1"/>
  <c r="P141" i="2"/>
  <c r="P182" i="2" s="1"/>
  <c r="O141" i="2"/>
  <c r="Q141" i="2" s="1"/>
  <c r="N141" i="2"/>
  <c r="M141" i="2"/>
  <c r="M182" i="2" s="1"/>
  <c r="L141" i="2"/>
  <c r="L182" i="2" s="1"/>
  <c r="N182" i="2" s="1"/>
  <c r="K141" i="2"/>
  <c r="H141" i="2"/>
  <c r="G141" i="2"/>
  <c r="G182" i="2" s="1"/>
  <c r="F141" i="2"/>
  <c r="F182" i="2" s="1"/>
  <c r="E141" i="2"/>
  <c r="AX140" i="2"/>
  <c r="AT140" i="2"/>
  <c r="AS140" i="2"/>
  <c r="AU140" i="2" s="1"/>
  <c r="T75" i="2" s="1"/>
  <c r="AR140" i="2"/>
  <c r="AQ140" i="2"/>
  <c r="AP140" i="2"/>
  <c r="AO140" i="2"/>
  <c r="AN140" i="2"/>
  <c r="AM140" i="2"/>
  <c r="AJ140" i="2"/>
  <c r="AH140" i="2"/>
  <c r="AG140" i="2"/>
  <c r="AI140" i="2" s="1"/>
  <c r="N75" i="2" s="1"/>
  <c r="AF140" i="2"/>
  <c r="AE140" i="2"/>
  <c r="AD140" i="2"/>
  <c r="Y140" i="2"/>
  <c r="X140" i="2"/>
  <c r="Z140" i="2" s="1"/>
  <c r="J75" i="2" s="1"/>
  <c r="V140" i="2"/>
  <c r="U140" i="2"/>
  <c r="W140" i="2" s="1"/>
  <c r="P140" i="2"/>
  <c r="Q140" i="2" s="1"/>
  <c r="O140" i="2"/>
  <c r="M140" i="2"/>
  <c r="L140" i="2"/>
  <c r="N140" i="2" s="1"/>
  <c r="J140" i="2"/>
  <c r="I140" i="2"/>
  <c r="K140" i="2" s="1"/>
  <c r="E75" i="2" s="1"/>
  <c r="H140" i="2"/>
  <c r="D75" i="2" s="1"/>
  <c r="G140" i="2"/>
  <c r="F140" i="2"/>
  <c r="D140" i="2"/>
  <c r="E140" i="2" s="1"/>
  <c r="C75" i="2" s="1"/>
  <c r="C140" i="2"/>
  <c r="AX139" i="2"/>
  <c r="AT139" i="2"/>
  <c r="AU139" i="2" s="1"/>
  <c r="T74" i="2" s="1"/>
  <c r="AS139" i="2"/>
  <c r="AQ139" i="2"/>
  <c r="AP139" i="2"/>
  <c r="AR139" i="2" s="1"/>
  <c r="S74" i="2" s="1"/>
  <c r="AO139" i="2"/>
  <c r="AN139" i="2"/>
  <c r="AM139" i="2"/>
  <c r="AH139" i="2"/>
  <c r="AI139" i="2" s="1"/>
  <c r="N74" i="2" s="1"/>
  <c r="AG139" i="2"/>
  <c r="AE139" i="2"/>
  <c r="AD139" i="2"/>
  <c r="AF139" i="2" s="1"/>
  <c r="Z139" i="2"/>
  <c r="Y139" i="2"/>
  <c r="X139" i="2"/>
  <c r="V139" i="2"/>
  <c r="W139" i="2" s="1"/>
  <c r="I74" i="2" s="1"/>
  <c r="U139" i="2"/>
  <c r="P139" i="2"/>
  <c r="O139" i="2"/>
  <c r="Q139" i="2" s="1"/>
  <c r="N139" i="2"/>
  <c r="M139" i="2"/>
  <c r="L139" i="2"/>
  <c r="J139" i="2"/>
  <c r="K139" i="2" s="1"/>
  <c r="I139" i="2"/>
  <c r="G139" i="2"/>
  <c r="F139" i="2"/>
  <c r="H139" i="2" s="1"/>
  <c r="D74" i="2" s="1"/>
  <c r="D139" i="2"/>
  <c r="C139" i="2"/>
  <c r="E139" i="2" s="1"/>
  <c r="C74" i="2" s="1"/>
  <c r="AX138" i="2"/>
  <c r="AT138" i="2"/>
  <c r="AS138" i="2"/>
  <c r="AU138" i="2" s="1"/>
  <c r="T73" i="2" s="1"/>
  <c r="AR138" i="2"/>
  <c r="S73" i="2" s="1"/>
  <c r="AQ138" i="2"/>
  <c r="AP138" i="2"/>
  <c r="AO138" i="2"/>
  <c r="AN138" i="2"/>
  <c r="AM138" i="2"/>
  <c r="AJ138" i="2"/>
  <c r="AH138" i="2"/>
  <c r="AG138" i="2"/>
  <c r="AI138" i="2" s="1"/>
  <c r="N73" i="2" s="1"/>
  <c r="AF138" i="2"/>
  <c r="AE138" i="2"/>
  <c r="AD138" i="2"/>
  <c r="AB138" i="2"/>
  <c r="Y138" i="2"/>
  <c r="X138" i="2"/>
  <c r="Z138" i="2" s="1"/>
  <c r="J73" i="2" s="1"/>
  <c r="V138" i="2"/>
  <c r="U138" i="2"/>
  <c r="W138" i="2" s="1"/>
  <c r="S138" i="2"/>
  <c r="P138" i="2"/>
  <c r="Q138" i="2" s="1"/>
  <c r="O138" i="2"/>
  <c r="M138" i="2"/>
  <c r="L138" i="2"/>
  <c r="N138" i="2" s="1"/>
  <c r="J138" i="2"/>
  <c r="I138" i="2"/>
  <c r="K138" i="2" s="1"/>
  <c r="E73" i="2" s="1"/>
  <c r="H138" i="2"/>
  <c r="G138" i="2"/>
  <c r="F138" i="2"/>
  <c r="D138" i="2"/>
  <c r="E138" i="2" s="1"/>
  <c r="C73" i="2" s="1"/>
  <c r="C138" i="2"/>
  <c r="AX137" i="2"/>
  <c r="AT137" i="2"/>
  <c r="AU137" i="2" s="1"/>
  <c r="T72" i="2" s="1"/>
  <c r="AS137" i="2"/>
  <c r="AQ137" i="2"/>
  <c r="AP137" i="2"/>
  <c r="AR137" i="2" s="1"/>
  <c r="S72" i="2" s="1"/>
  <c r="AO137" i="2"/>
  <c r="AN137" i="2"/>
  <c r="AM137" i="2"/>
  <c r="AH137" i="2"/>
  <c r="AI137" i="2" s="1"/>
  <c r="N72" i="2" s="1"/>
  <c r="AG137" i="2"/>
  <c r="AE137" i="2"/>
  <c r="AD137" i="2"/>
  <c r="AF137" i="2" s="1"/>
  <c r="Z137" i="2"/>
  <c r="J72" i="2" s="1"/>
  <c r="Y137" i="2"/>
  <c r="X137" i="2"/>
  <c r="V137" i="2"/>
  <c r="W137" i="2" s="1"/>
  <c r="I72" i="2" s="1"/>
  <c r="U137" i="2"/>
  <c r="S137" i="2"/>
  <c r="P137" i="2"/>
  <c r="O137" i="2"/>
  <c r="Q137" i="2" s="1"/>
  <c r="N137" i="2"/>
  <c r="M137" i="2"/>
  <c r="L137" i="2"/>
  <c r="J137" i="2"/>
  <c r="K137" i="2" s="1"/>
  <c r="I137" i="2"/>
  <c r="G137" i="2"/>
  <c r="F137" i="2"/>
  <c r="H137" i="2" s="1"/>
  <c r="D72" i="2" s="1"/>
  <c r="D137" i="2"/>
  <c r="C137" i="2"/>
  <c r="E137" i="2" s="1"/>
  <c r="C72" i="2" s="1"/>
  <c r="AX136" i="2"/>
  <c r="AW136" i="2"/>
  <c r="AV136" i="2"/>
  <c r="AT136" i="2"/>
  <c r="AU136" i="2" s="1"/>
  <c r="AS136" i="2"/>
  <c r="AQ136" i="2"/>
  <c r="AP136" i="2"/>
  <c r="AR136" i="2" s="1"/>
  <c r="AO136" i="2"/>
  <c r="AN136" i="2"/>
  <c r="AM136" i="2"/>
  <c r="AH136" i="2"/>
  <c r="AI136" i="2" s="1"/>
  <c r="AG136" i="2"/>
  <c r="AE136" i="2"/>
  <c r="AD136" i="2"/>
  <c r="AF136" i="2" s="1"/>
  <c r="AA136" i="2"/>
  <c r="AC136" i="2" s="1"/>
  <c r="K71" i="2" s="1"/>
  <c r="Z136" i="2"/>
  <c r="J71" i="2" s="1"/>
  <c r="Y136" i="2"/>
  <c r="X136" i="2"/>
  <c r="V136" i="2"/>
  <c r="W136" i="2" s="1"/>
  <c r="I71" i="2" s="1"/>
  <c r="U136" i="2"/>
  <c r="R136" i="2"/>
  <c r="P136" i="2"/>
  <c r="O136" i="2"/>
  <c r="Q136" i="2" s="1"/>
  <c r="N136" i="2"/>
  <c r="M136" i="2"/>
  <c r="L136" i="2"/>
  <c r="J136" i="2"/>
  <c r="K136" i="2" s="1"/>
  <c r="E71" i="2" s="1"/>
  <c r="I136" i="2"/>
  <c r="D136" i="2"/>
  <c r="C136" i="2"/>
  <c r="E136" i="2" s="1"/>
  <c r="C71" i="2" s="1"/>
  <c r="AX135" i="2"/>
  <c r="U70" i="2" s="1"/>
  <c r="V70" i="2" s="1"/>
  <c r="AT135" i="2"/>
  <c r="AS135" i="2"/>
  <c r="AU135" i="2" s="1"/>
  <c r="T70" i="2" s="1"/>
  <c r="AR135" i="2"/>
  <c r="AQ135" i="2"/>
  <c r="AP135" i="2"/>
  <c r="AO135" i="2"/>
  <c r="AN135" i="2"/>
  <c r="AM135" i="2"/>
  <c r="AK135" i="2"/>
  <c r="AJ135" i="2"/>
  <c r="AL135" i="2" s="1"/>
  <c r="O70" i="2" s="1"/>
  <c r="AH135" i="2"/>
  <c r="AG135" i="2"/>
  <c r="AI135" i="2" s="1"/>
  <c r="N70" i="2" s="1"/>
  <c r="AF135" i="2"/>
  <c r="M70" i="2" s="1"/>
  <c r="AE135" i="2"/>
  <c r="AD135" i="2"/>
  <c r="AB135" i="2"/>
  <c r="Y135" i="2"/>
  <c r="X135" i="2"/>
  <c r="Z135" i="2" s="1"/>
  <c r="J70" i="2" s="1"/>
  <c r="V135" i="2"/>
  <c r="U135" i="2"/>
  <c r="W135" i="2" s="1"/>
  <c r="I70" i="2" s="1"/>
  <c r="S135" i="2"/>
  <c r="P135" i="2"/>
  <c r="Q135" i="2" s="1"/>
  <c r="O135" i="2"/>
  <c r="M135" i="2"/>
  <c r="L135" i="2"/>
  <c r="N135" i="2" s="1"/>
  <c r="J135" i="2"/>
  <c r="I135" i="2"/>
  <c r="K135" i="2" s="1"/>
  <c r="E70" i="2" s="1"/>
  <c r="H135" i="2"/>
  <c r="D70" i="2" s="1"/>
  <c r="G135" i="2"/>
  <c r="F135" i="2"/>
  <c r="D135" i="2"/>
  <c r="E135" i="2" s="1"/>
  <c r="C135" i="2"/>
  <c r="AX134" i="2"/>
  <c r="AT134" i="2"/>
  <c r="AU134" i="2" s="1"/>
  <c r="T69" i="2" s="1"/>
  <c r="AS134" i="2"/>
  <c r="AQ134" i="2"/>
  <c r="AP134" i="2"/>
  <c r="AR134" i="2" s="1"/>
  <c r="S69" i="2" s="1"/>
  <c r="AO134" i="2"/>
  <c r="AN134" i="2"/>
  <c r="AM134" i="2"/>
  <c r="AH134" i="2"/>
  <c r="AI134" i="2" s="1"/>
  <c r="N69" i="2" s="1"/>
  <c r="AG134" i="2"/>
  <c r="AE134" i="2"/>
  <c r="AD134" i="2"/>
  <c r="AF134" i="2" s="1"/>
  <c r="M69" i="2" s="1"/>
  <c r="Z134" i="2"/>
  <c r="Y134" i="2"/>
  <c r="X134" i="2"/>
  <c r="V134" i="2"/>
  <c r="W134" i="2" s="1"/>
  <c r="I69" i="2" s="1"/>
  <c r="U134" i="2"/>
  <c r="S134" i="2"/>
  <c r="P134" i="2"/>
  <c r="O134" i="2"/>
  <c r="Q134" i="2" s="1"/>
  <c r="N134" i="2"/>
  <c r="M134" i="2"/>
  <c r="L134" i="2"/>
  <c r="J134" i="2"/>
  <c r="K134" i="2" s="1"/>
  <c r="E69" i="2" s="1"/>
  <c r="I134" i="2"/>
  <c r="G134" i="2"/>
  <c r="F134" i="2"/>
  <c r="H134" i="2" s="1"/>
  <c r="D69" i="2" s="1"/>
  <c r="D134" i="2"/>
  <c r="C134" i="2"/>
  <c r="E134" i="2" s="1"/>
  <c r="C69" i="2" s="1"/>
  <c r="AX133" i="2"/>
  <c r="AT133" i="2"/>
  <c r="AS133" i="2"/>
  <c r="AU133" i="2" s="1"/>
  <c r="T68" i="2" s="1"/>
  <c r="AR133" i="2"/>
  <c r="AQ133" i="2"/>
  <c r="AP133" i="2"/>
  <c r="AO133" i="2"/>
  <c r="AN133" i="2"/>
  <c r="AM133" i="2"/>
  <c r="AK133" i="2"/>
  <c r="AJ133" i="2"/>
  <c r="AL133" i="2" s="1"/>
  <c r="O68" i="2" s="1"/>
  <c r="AH133" i="2"/>
  <c r="AG133" i="2"/>
  <c r="AI133" i="2" s="1"/>
  <c r="N68" i="2" s="1"/>
  <c r="AF133" i="2"/>
  <c r="AE133" i="2"/>
  <c r="AD133" i="2"/>
  <c r="AB133" i="2"/>
  <c r="Y133" i="2"/>
  <c r="X133" i="2"/>
  <c r="Z133" i="2" s="1"/>
  <c r="J68" i="2" s="1"/>
  <c r="V133" i="2"/>
  <c r="U133" i="2"/>
  <c r="W133" i="2" s="1"/>
  <c r="I68" i="2" s="1"/>
  <c r="S133" i="2"/>
  <c r="P133" i="2"/>
  <c r="Q133" i="2" s="1"/>
  <c r="O133" i="2"/>
  <c r="M133" i="2"/>
  <c r="L133" i="2"/>
  <c r="N133" i="2" s="1"/>
  <c r="J133" i="2"/>
  <c r="I133" i="2"/>
  <c r="K133" i="2" s="1"/>
  <c r="E68" i="2" s="1"/>
  <c r="H133" i="2"/>
  <c r="G133" i="2"/>
  <c r="F133" i="2"/>
  <c r="D133" i="2"/>
  <c r="E133" i="2" s="1"/>
  <c r="C133" i="2"/>
  <c r="AX132" i="2"/>
  <c r="AU132" i="2"/>
  <c r="AR132" i="2"/>
  <c r="AO132" i="2"/>
  <c r="AN132" i="2"/>
  <c r="AM132" i="2"/>
  <c r="AL132" i="2"/>
  <c r="AK132" i="2"/>
  <c r="AJ132" i="2"/>
  <c r="AI132" i="2"/>
  <c r="AF132" i="2"/>
  <c r="AB132" i="2"/>
  <c r="AA132" i="2"/>
  <c r="AC132" i="2" s="1"/>
  <c r="K67" i="2" s="1"/>
  <c r="Z132" i="2"/>
  <c r="J67" i="2" s="1"/>
  <c r="W132" i="2"/>
  <c r="S132" i="2"/>
  <c r="R132" i="2"/>
  <c r="T132" i="2" s="1"/>
  <c r="P132" i="2"/>
  <c r="O132" i="2"/>
  <c r="Q132" i="2" s="1"/>
  <c r="N132" i="2"/>
  <c r="M132" i="2"/>
  <c r="L132" i="2"/>
  <c r="K132" i="2"/>
  <c r="H132" i="2"/>
  <c r="E132" i="2"/>
  <c r="AX131" i="2"/>
  <c r="AU131" i="2"/>
  <c r="AR131" i="2"/>
  <c r="AO131" i="2"/>
  <c r="AN131" i="2"/>
  <c r="AM131" i="2"/>
  <c r="AL131" i="2"/>
  <c r="AK131" i="2"/>
  <c r="AJ131" i="2"/>
  <c r="AJ179" i="2" s="1"/>
  <c r="AI131" i="2"/>
  <c r="AF131" i="2"/>
  <c r="M66" i="2" s="1"/>
  <c r="AB131" i="2"/>
  <c r="AB179" i="2" s="1"/>
  <c r="AA131" i="2"/>
  <c r="AA179" i="2" s="1"/>
  <c r="AC179" i="2" s="1"/>
  <c r="K158" i="2" s="1"/>
  <c r="Z131" i="2"/>
  <c r="W131" i="2"/>
  <c r="S131" i="2"/>
  <c r="R131" i="2"/>
  <c r="T131" i="2" s="1"/>
  <c r="P131" i="2"/>
  <c r="O131" i="2"/>
  <c r="Q131" i="2" s="1"/>
  <c r="N131" i="2"/>
  <c r="M131" i="2"/>
  <c r="L131" i="2"/>
  <c r="K131" i="2"/>
  <c r="H131" i="2"/>
  <c r="E131" i="2"/>
  <c r="AX130" i="2"/>
  <c r="AU130" i="2"/>
  <c r="AR130" i="2"/>
  <c r="AO130" i="2"/>
  <c r="AN130" i="2"/>
  <c r="AM130" i="2"/>
  <c r="AL130" i="2"/>
  <c r="AI130" i="2"/>
  <c r="AF130" i="2"/>
  <c r="AB130" i="2"/>
  <c r="AC130" i="2" s="1"/>
  <c r="K65" i="2" s="1"/>
  <c r="AA130" i="2"/>
  <c r="Z130" i="2"/>
  <c r="W130" i="2"/>
  <c r="T130" i="2"/>
  <c r="S130" i="2"/>
  <c r="R130" i="2"/>
  <c r="P130" i="2"/>
  <c r="Q130" i="2" s="1"/>
  <c r="O130" i="2"/>
  <c r="M130" i="2"/>
  <c r="L130" i="2"/>
  <c r="N130" i="2" s="1"/>
  <c r="K130" i="2"/>
  <c r="H130" i="2"/>
  <c r="E130" i="2"/>
  <c r="AX129" i="2"/>
  <c r="AU129" i="2"/>
  <c r="AR129" i="2"/>
  <c r="AO129" i="2"/>
  <c r="AN129" i="2"/>
  <c r="AM129" i="2"/>
  <c r="AK129" i="2"/>
  <c r="AK136" i="2" s="1"/>
  <c r="AJ129" i="2"/>
  <c r="AJ136" i="2" s="1"/>
  <c r="AI129" i="2"/>
  <c r="AF129" i="2"/>
  <c r="AB129" i="2"/>
  <c r="AB136" i="2" s="1"/>
  <c r="AA129" i="2"/>
  <c r="Z129" i="2"/>
  <c r="W129" i="2"/>
  <c r="T129" i="2"/>
  <c r="S129" i="2"/>
  <c r="R129" i="2"/>
  <c r="P129" i="2"/>
  <c r="Q129" i="2" s="1"/>
  <c r="O129" i="2"/>
  <c r="M129" i="2"/>
  <c r="L129" i="2"/>
  <c r="N129" i="2" s="1"/>
  <c r="K129" i="2"/>
  <c r="G129" i="2"/>
  <c r="G136" i="2" s="1"/>
  <c r="F129" i="2"/>
  <c r="F181" i="2" s="1"/>
  <c r="E129" i="2"/>
  <c r="AX128" i="2"/>
  <c r="AU128" i="2"/>
  <c r="AR128" i="2"/>
  <c r="AO128" i="2"/>
  <c r="AN128" i="2"/>
  <c r="AM128" i="2"/>
  <c r="AL128" i="2"/>
  <c r="AJ128" i="2"/>
  <c r="AI128" i="2"/>
  <c r="AF128" i="2"/>
  <c r="AC128" i="2"/>
  <c r="AB128" i="2"/>
  <c r="AA128" i="2"/>
  <c r="Z128" i="2"/>
  <c r="W128" i="2"/>
  <c r="I63" i="2" s="1"/>
  <c r="S128" i="2"/>
  <c r="R128" i="2"/>
  <c r="T128" i="2" s="1"/>
  <c r="Q128" i="2"/>
  <c r="P128" i="2"/>
  <c r="O128" i="2"/>
  <c r="M128" i="2"/>
  <c r="N128" i="2" s="1"/>
  <c r="L128" i="2"/>
  <c r="K128" i="2"/>
  <c r="H128" i="2"/>
  <c r="E128" i="2"/>
  <c r="AX127" i="2"/>
  <c r="AU127" i="2"/>
  <c r="AR127" i="2"/>
  <c r="AO127" i="2"/>
  <c r="AN127" i="2"/>
  <c r="AM127" i="2"/>
  <c r="AK127" i="2"/>
  <c r="AL127" i="2" s="1"/>
  <c r="O62" i="2" s="1"/>
  <c r="AJ127" i="2"/>
  <c r="AI127" i="2"/>
  <c r="AF127" i="2"/>
  <c r="AC127" i="2"/>
  <c r="AB127" i="2"/>
  <c r="AB178" i="2" s="1"/>
  <c r="AA127" i="2"/>
  <c r="AA178" i="2" s="1"/>
  <c r="AC178" i="2" s="1"/>
  <c r="K157" i="2" s="1"/>
  <c r="Z127" i="2"/>
  <c r="W127" i="2"/>
  <c r="R127" i="2"/>
  <c r="Q127" i="2"/>
  <c r="P127" i="2"/>
  <c r="O127" i="2"/>
  <c r="M127" i="2"/>
  <c r="N127" i="2" s="1"/>
  <c r="L127" i="2"/>
  <c r="K127" i="2"/>
  <c r="H127" i="2"/>
  <c r="E127" i="2"/>
  <c r="AX126" i="2"/>
  <c r="AU126" i="2"/>
  <c r="AR126" i="2"/>
  <c r="AO126" i="2"/>
  <c r="AN126" i="2"/>
  <c r="AM126" i="2"/>
  <c r="AL126" i="2"/>
  <c r="AI126" i="2"/>
  <c r="N61" i="2" s="1"/>
  <c r="AF126" i="2"/>
  <c r="AB126" i="2"/>
  <c r="AA126" i="2"/>
  <c r="AC126" i="2" s="1"/>
  <c r="K61" i="2" s="1"/>
  <c r="Z126" i="2"/>
  <c r="W126" i="2"/>
  <c r="S126" i="2"/>
  <c r="T126" i="2" s="1"/>
  <c r="R126" i="2"/>
  <c r="P126" i="2"/>
  <c r="O126" i="2"/>
  <c r="Q126" i="2" s="1"/>
  <c r="M126" i="2"/>
  <c r="L126" i="2"/>
  <c r="N126" i="2" s="1"/>
  <c r="K126" i="2"/>
  <c r="E61" i="2" s="1"/>
  <c r="H126" i="2"/>
  <c r="E126" i="2"/>
  <c r="AX125" i="2"/>
  <c r="AU125" i="2"/>
  <c r="AR125" i="2"/>
  <c r="AO125" i="2"/>
  <c r="AN125" i="2"/>
  <c r="AM125" i="2"/>
  <c r="AK125" i="2"/>
  <c r="AK140" i="2" s="1"/>
  <c r="AJ125" i="2"/>
  <c r="AL125" i="2" s="1"/>
  <c r="O60" i="2" s="1"/>
  <c r="AI125" i="2"/>
  <c r="AF125" i="2"/>
  <c r="AB125" i="2"/>
  <c r="AB140" i="2" s="1"/>
  <c r="AA125" i="2"/>
  <c r="AA140" i="2" s="1"/>
  <c r="Z125" i="2"/>
  <c r="W125" i="2"/>
  <c r="S125" i="2"/>
  <c r="T125" i="2" s="1"/>
  <c r="R125" i="2"/>
  <c r="P125" i="2"/>
  <c r="O125" i="2"/>
  <c r="Q125" i="2" s="1"/>
  <c r="M125" i="2"/>
  <c r="L125" i="2"/>
  <c r="N125" i="2" s="1"/>
  <c r="K125" i="2"/>
  <c r="H125" i="2"/>
  <c r="E125" i="2"/>
  <c r="AX124" i="2"/>
  <c r="AU124" i="2"/>
  <c r="T59" i="2" s="1"/>
  <c r="AR124" i="2"/>
  <c r="AO124" i="2"/>
  <c r="AN124" i="2"/>
  <c r="AM124" i="2"/>
  <c r="AK124" i="2"/>
  <c r="AJ124" i="2"/>
  <c r="AL124" i="2" s="1"/>
  <c r="AI124" i="2"/>
  <c r="N59" i="2" s="1"/>
  <c r="AF124" i="2"/>
  <c r="AB124" i="2"/>
  <c r="AA124" i="2"/>
  <c r="AC124" i="2" s="1"/>
  <c r="K59" i="2" s="1"/>
  <c r="Z124" i="2"/>
  <c r="W124" i="2"/>
  <c r="S124" i="2"/>
  <c r="T124" i="2" s="1"/>
  <c r="R124" i="2"/>
  <c r="P124" i="2"/>
  <c r="O124" i="2"/>
  <c r="Q124" i="2" s="1"/>
  <c r="M124" i="2"/>
  <c r="L124" i="2"/>
  <c r="N124" i="2" s="1"/>
  <c r="K124" i="2"/>
  <c r="E59" i="2" s="1"/>
  <c r="H124" i="2"/>
  <c r="E124" i="2"/>
  <c r="AX123" i="2"/>
  <c r="AU123" i="2"/>
  <c r="AR123" i="2"/>
  <c r="AO123" i="2"/>
  <c r="AN123" i="2"/>
  <c r="AM123" i="2"/>
  <c r="AK123" i="2"/>
  <c r="AK134" i="2" s="1"/>
  <c r="AJ123" i="2"/>
  <c r="AJ185" i="2" s="1"/>
  <c r="AI123" i="2"/>
  <c r="AF123" i="2"/>
  <c r="AB123" i="2"/>
  <c r="AB134" i="2" s="1"/>
  <c r="AA123" i="2"/>
  <c r="AC123" i="2" s="1"/>
  <c r="Z123" i="2"/>
  <c r="W123" i="2"/>
  <c r="S123" i="2"/>
  <c r="T123" i="2" s="1"/>
  <c r="R123" i="2"/>
  <c r="P123" i="2"/>
  <c r="O123" i="2"/>
  <c r="Q123" i="2" s="1"/>
  <c r="M123" i="2"/>
  <c r="L123" i="2"/>
  <c r="N123" i="2" s="1"/>
  <c r="K123" i="2"/>
  <c r="H123" i="2"/>
  <c r="E123" i="2"/>
  <c r="AX122" i="2"/>
  <c r="AU122" i="2"/>
  <c r="T57" i="2" s="1"/>
  <c r="AR122" i="2"/>
  <c r="AO122" i="2"/>
  <c r="AN122" i="2"/>
  <c r="AM122" i="2"/>
  <c r="AL122" i="2"/>
  <c r="AI122" i="2"/>
  <c r="AF122" i="2"/>
  <c r="AC122" i="2"/>
  <c r="K57" i="2" s="1"/>
  <c r="AB122" i="2"/>
  <c r="AA122" i="2"/>
  <c r="Z122" i="2"/>
  <c r="W122" i="2"/>
  <c r="S122" i="2"/>
  <c r="R122" i="2"/>
  <c r="T122" i="2" s="1"/>
  <c r="Q122" i="2"/>
  <c r="P122" i="2"/>
  <c r="O122" i="2"/>
  <c r="M122" i="2"/>
  <c r="N122" i="2" s="1"/>
  <c r="L122" i="2"/>
  <c r="K122" i="2"/>
  <c r="H122" i="2"/>
  <c r="E122" i="2"/>
  <c r="C57" i="2" s="1"/>
  <c r="AX121" i="2"/>
  <c r="AU121" i="2"/>
  <c r="AR121" i="2"/>
  <c r="AO121" i="2"/>
  <c r="AN121" i="2"/>
  <c r="AM121" i="2"/>
  <c r="AL121" i="2"/>
  <c r="AI121" i="2"/>
  <c r="N56" i="2" s="1"/>
  <c r="AF121" i="2"/>
  <c r="AB121" i="2"/>
  <c r="AA121" i="2"/>
  <c r="AA135" i="2" s="1"/>
  <c r="AC135" i="2" s="1"/>
  <c r="K70" i="2" s="1"/>
  <c r="Z121" i="2"/>
  <c r="W121" i="2"/>
  <c r="S121" i="2"/>
  <c r="T121" i="2" s="1"/>
  <c r="R121" i="2"/>
  <c r="P121" i="2"/>
  <c r="O121" i="2"/>
  <c r="Q121" i="2" s="1"/>
  <c r="M121" i="2"/>
  <c r="L121" i="2"/>
  <c r="N121" i="2" s="1"/>
  <c r="K121" i="2"/>
  <c r="E56" i="2" s="1"/>
  <c r="H121" i="2"/>
  <c r="E121" i="2"/>
  <c r="AX120" i="2"/>
  <c r="AU120" i="2"/>
  <c r="AR120" i="2"/>
  <c r="AO120" i="2"/>
  <c r="AN120" i="2"/>
  <c r="AM120" i="2"/>
  <c r="AK120" i="2"/>
  <c r="AJ120" i="2"/>
  <c r="AL120" i="2" s="1"/>
  <c r="AI120" i="2"/>
  <c r="AF120" i="2"/>
  <c r="AB120" i="2"/>
  <c r="AA120" i="2"/>
  <c r="AC120" i="2" s="1"/>
  <c r="K55" i="2" s="1"/>
  <c r="Z120" i="2"/>
  <c r="W120" i="2"/>
  <c r="S120" i="2"/>
  <c r="T120" i="2" s="1"/>
  <c r="R120" i="2"/>
  <c r="P120" i="2"/>
  <c r="O120" i="2"/>
  <c r="Q120" i="2" s="1"/>
  <c r="M120" i="2"/>
  <c r="L120" i="2"/>
  <c r="N120" i="2" s="1"/>
  <c r="K120" i="2"/>
  <c r="H120" i="2"/>
  <c r="E120" i="2"/>
  <c r="AX119" i="2"/>
  <c r="AU119" i="2"/>
  <c r="T54" i="2" s="1"/>
  <c r="AR119" i="2"/>
  <c r="AO119" i="2"/>
  <c r="AN119" i="2"/>
  <c r="AM119" i="2"/>
  <c r="AK119" i="2"/>
  <c r="AJ119" i="2"/>
  <c r="AL119" i="2" s="1"/>
  <c r="O54" i="2" s="1"/>
  <c r="AI119" i="2"/>
  <c r="N54" i="2" s="1"/>
  <c r="AF119" i="2"/>
  <c r="AB119" i="2"/>
  <c r="AA119" i="2"/>
  <c r="AC119" i="2" s="1"/>
  <c r="Z119" i="2"/>
  <c r="W119" i="2"/>
  <c r="S119" i="2"/>
  <c r="T119" i="2" s="1"/>
  <c r="R119" i="2"/>
  <c r="P119" i="2"/>
  <c r="O119" i="2"/>
  <c r="Q119" i="2" s="1"/>
  <c r="M119" i="2"/>
  <c r="L119" i="2"/>
  <c r="N119" i="2" s="1"/>
  <c r="K119" i="2"/>
  <c r="E54" i="2" s="1"/>
  <c r="H119" i="2"/>
  <c r="E119" i="2"/>
  <c r="AX118" i="2"/>
  <c r="AU118" i="2"/>
  <c r="AR118" i="2"/>
  <c r="AO118" i="2"/>
  <c r="AN118" i="2"/>
  <c r="AM118" i="2"/>
  <c r="AK118" i="2"/>
  <c r="AK175" i="2" s="1"/>
  <c r="AK184" i="2" s="1"/>
  <c r="AJ118" i="2"/>
  <c r="AI118" i="2"/>
  <c r="AF118" i="2"/>
  <c r="AB118" i="2"/>
  <c r="AB176" i="2" s="1"/>
  <c r="AA118" i="2"/>
  <c r="Z118" i="2"/>
  <c r="W118" i="2"/>
  <c r="S118" i="2"/>
  <c r="T118" i="2" s="1"/>
  <c r="R118" i="2"/>
  <c r="P118" i="2"/>
  <c r="O118" i="2"/>
  <c r="Q118" i="2" s="1"/>
  <c r="M118" i="2"/>
  <c r="L118" i="2"/>
  <c r="N118" i="2" s="1"/>
  <c r="K118" i="2"/>
  <c r="H118" i="2"/>
  <c r="E118" i="2"/>
  <c r="AX117" i="2"/>
  <c r="AU117" i="2"/>
  <c r="T52" i="2" s="1"/>
  <c r="AR117" i="2"/>
  <c r="AO117" i="2"/>
  <c r="AN117" i="2"/>
  <c r="AM117" i="2"/>
  <c r="AL117" i="2"/>
  <c r="AI117" i="2"/>
  <c r="AF117" i="2"/>
  <c r="AC117" i="2"/>
  <c r="AB117" i="2"/>
  <c r="AB139" i="2" s="1"/>
  <c r="AA117" i="2"/>
  <c r="AA174" i="2" s="1"/>
  <c r="Z117" i="2"/>
  <c r="W117" i="2"/>
  <c r="S117" i="2"/>
  <c r="R117" i="2"/>
  <c r="T117" i="2" s="1"/>
  <c r="Q117" i="2"/>
  <c r="M117" i="2"/>
  <c r="L117" i="2"/>
  <c r="N117" i="2" s="1"/>
  <c r="K117" i="2"/>
  <c r="H117" i="2"/>
  <c r="E117" i="2"/>
  <c r="AX116" i="2"/>
  <c r="AU116" i="2"/>
  <c r="T51" i="2" s="1"/>
  <c r="AR116" i="2"/>
  <c r="AO116" i="2"/>
  <c r="AN116" i="2"/>
  <c r="AM116" i="2"/>
  <c r="AK116" i="2"/>
  <c r="AJ116" i="2"/>
  <c r="AL116" i="2" s="1"/>
  <c r="AI116" i="2"/>
  <c r="N51" i="2" s="1"/>
  <c r="AF116" i="2"/>
  <c r="AB116" i="2"/>
  <c r="AA116" i="2"/>
  <c r="AC116" i="2" s="1"/>
  <c r="K51" i="2" s="1"/>
  <c r="Z116" i="2"/>
  <c r="W116" i="2"/>
  <c r="S116" i="2"/>
  <c r="T116" i="2" s="1"/>
  <c r="R116" i="2"/>
  <c r="P116" i="2"/>
  <c r="O116" i="2"/>
  <c r="Q116" i="2" s="1"/>
  <c r="M116" i="2"/>
  <c r="L116" i="2"/>
  <c r="N116" i="2" s="1"/>
  <c r="K116" i="2"/>
  <c r="E51" i="2" s="1"/>
  <c r="G116" i="2"/>
  <c r="F116" i="2"/>
  <c r="H116" i="2" s="1"/>
  <c r="D51" i="2" s="1"/>
  <c r="E116" i="2"/>
  <c r="AX115" i="2"/>
  <c r="AU115" i="2"/>
  <c r="AR115" i="2"/>
  <c r="AO115" i="2"/>
  <c r="AN115" i="2"/>
  <c r="AM115" i="2"/>
  <c r="AK115" i="2"/>
  <c r="AK177" i="2" s="1"/>
  <c r="AJ115" i="2"/>
  <c r="AJ177" i="2" s="1"/>
  <c r="AI115" i="2"/>
  <c r="AF115" i="2"/>
  <c r="AC115" i="2"/>
  <c r="AB115" i="2"/>
  <c r="AB177" i="2" s="1"/>
  <c r="AA115" i="2"/>
  <c r="AA177" i="2" s="1"/>
  <c r="AC177" i="2" s="1"/>
  <c r="K156" i="2" s="1"/>
  <c r="Z115" i="2"/>
  <c r="W115" i="2"/>
  <c r="S115" i="2"/>
  <c r="R115" i="2"/>
  <c r="T115" i="2" s="1"/>
  <c r="Q115" i="2"/>
  <c r="P115" i="2"/>
  <c r="O115" i="2"/>
  <c r="M115" i="2"/>
  <c r="N115" i="2" s="1"/>
  <c r="L115" i="2"/>
  <c r="K115" i="2"/>
  <c r="H115" i="2"/>
  <c r="E115" i="2"/>
  <c r="AX114" i="2"/>
  <c r="AU114" i="2"/>
  <c r="AR114" i="2"/>
  <c r="AO114" i="2"/>
  <c r="AN114" i="2"/>
  <c r="AM114" i="2"/>
  <c r="AK114" i="2"/>
  <c r="AJ114" i="2"/>
  <c r="AI114" i="2"/>
  <c r="AF114" i="2"/>
  <c r="AC114" i="2"/>
  <c r="AB114" i="2"/>
  <c r="AB137" i="2" s="1"/>
  <c r="AA114" i="2"/>
  <c r="AA137" i="2" s="1"/>
  <c r="Z114" i="2"/>
  <c r="W114" i="2"/>
  <c r="I49" i="2" s="1"/>
  <c r="S114" i="2"/>
  <c r="R114" i="2"/>
  <c r="T114" i="2" s="1"/>
  <c r="Q114" i="2"/>
  <c r="P114" i="2"/>
  <c r="O114" i="2"/>
  <c r="M114" i="2"/>
  <c r="N114" i="2" s="1"/>
  <c r="L114" i="2"/>
  <c r="K114" i="2"/>
  <c r="H114" i="2"/>
  <c r="E114" i="2"/>
  <c r="AX113" i="2"/>
  <c r="AU113" i="2"/>
  <c r="AR113" i="2"/>
  <c r="AO113" i="2"/>
  <c r="AN113" i="2"/>
  <c r="AM113" i="2"/>
  <c r="AK113" i="2"/>
  <c r="AK181" i="2" s="1"/>
  <c r="AK174" i="2" s="1"/>
  <c r="AJ113" i="2"/>
  <c r="AI113" i="2"/>
  <c r="AF113" i="2"/>
  <c r="AC113" i="2"/>
  <c r="AB113" i="2"/>
  <c r="AA113" i="2"/>
  <c r="AA181" i="2" s="1"/>
  <c r="Z113" i="2"/>
  <c r="W113" i="2"/>
  <c r="S113" i="2"/>
  <c r="R113" i="2"/>
  <c r="T113" i="2" s="1"/>
  <c r="Q113" i="2"/>
  <c r="P113" i="2"/>
  <c r="O113" i="2"/>
  <c r="M113" i="2"/>
  <c r="N113" i="2" s="1"/>
  <c r="L113" i="2"/>
  <c r="K113" i="2"/>
  <c r="H113" i="2"/>
  <c r="E113" i="2"/>
  <c r="AX112" i="2"/>
  <c r="AU112" i="2"/>
  <c r="AR112" i="2"/>
  <c r="AI112" i="2"/>
  <c r="AF112" i="2"/>
  <c r="AC112" i="2"/>
  <c r="Z112" i="2"/>
  <c r="W112" i="2"/>
  <c r="T112" i="2"/>
  <c r="Q112" i="2"/>
  <c r="N112" i="2"/>
  <c r="K112" i="2"/>
  <c r="E112" i="2"/>
  <c r="AX111" i="2"/>
  <c r="AU111" i="2"/>
  <c r="AR111" i="2"/>
  <c r="S46" i="2" s="1"/>
  <c r="S152" i="2" s="1"/>
  <c r="AO111" i="2"/>
  <c r="AN111" i="2"/>
  <c r="AM111" i="2"/>
  <c r="AL111" i="2"/>
  <c r="AK111" i="2"/>
  <c r="AK173" i="2" s="1"/>
  <c r="AJ111" i="2"/>
  <c r="AJ173" i="2" s="1"/>
  <c r="AL173" i="2" s="1"/>
  <c r="O152" i="2" s="1"/>
  <c r="AI111" i="2"/>
  <c r="AF111" i="2"/>
  <c r="M46" i="2" s="1"/>
  <c r="AC111" i="2"/>
  <c r="Z111" i="2"/>
  <c r="W111" i="2"/>
  <c r="T111" i="2"/>
  <c r="S111" i="2"/>
  <c r="R111" i="2"/>
  <c r="P111" i="2"/>
  <c r="Q111" i="2" s="1"/>
  <c r="O111" i="2"/>
  <c r="M111" i="2"/>
  <c r="L111" i="2"/>
  <c r="N111" i="2" s="1"/>
  <c r="J111" i="2"/>
  <c r="J173" i="2" s="1"/>
  <c r="I111" i="2"/>
  <c r="I173" i="2" s="1"/>
  <c r="K173" i="2" s="1"/>
  <c r="E152" i="2" s="1"/>
  <c r="H111" i="2"/>
  <c r="D46" i="2" s="1"/>
  <c r="E111" i="2"/>
  <c r="AX110" i="2"/>
  <c r="AU110" i="2"/>
  <c r="AR110" i="2"/>
  <c r="AI110" i="2"/>
  <c r="AF110" i="2"/>
  <c r="Z110" i="2"/>
  <c r="W110" i="2"/>
  <c r="T110" i="2"/>
  <c r="Q110" i="2"/>
  <c r="N110" i="2"/>
  <c r="K110" i="2"/>
  <c r="E110" i="2"/>
  <c r="AX109" i="2"/>
  <c r="AU109" i="2"/>
  <c r="AR109" i="2"/>
  <c r="S44" i="2" s="1"/>
  <c r="AK109" i="2"/>
  <c r="AJ109" i="2"/>
  <c r="AL109" i="2" s="1"/>
  <c r="O44" i="2" s="1"/>
  <c r="V44" i="2" s="1"/>
  <c r="AI109" i="2"/>
  <c r="AF109" i="2"/>
  <c r="AC109" i="2"/>
  <c r="Z109" i="2"/>
  <c r="W109" i="2"/>
  <c r="I44" i="2" s="1"/>
  <c r="T109" i="2"/>
  <c r="Q109" i="2"/>
  <c r="N109" i="2"/>
  <c r="K109" i="2"/>
  <c r="J109" i="2"/>
  <c r="I109" i="2"/>
  <c r="H109" i="2"/>
  <c r="E109" i="2"/>
  <c r="C44" i="2" s="1"/>
  <c r="AX108" i="2"/>
  <c r="AU108" i="2"/>
  <c r="AR108" i="2"/>
  <c r="AL108" i="2"/>
  <c r="AI108" i="2"/>
  <c r="AF108" i="2"/>
  <c r="W108" i="2"/>
  <c r="T108" i="2"/>
  <c r="Q108" i="2"/>
  <c r="N108" i="2"/>
  <c r="K108" i="2"/>
  <c r="H108" i="2"/>
  <c r="E108" i="2"/>
  <c r="AX107" i="2"/>
  <c r="AU107" i="2"/>
  <c r="AR107" i="2"/>
  <c r="AL107" i="2"/>
  <c r="AI107" i="2"/>
  <c r="N42" i="2" s="1"/>
  <c r="AH107" i="2"/>
  <c r="AG107" i="2"/>
  <c r="AF107" i="2"/>
  <c r="AC107" i="2"/>
  <c r="Z107" i="2"/>
  <c r="W107" i="2"/>
  <c r="T107" i="2"/>
  <c r="Q107" i="2"/>
  <c r="N107" i="2"/>
  <c r="K107" i="2"/>
  <c r="G107" i="2"/>
  <c r="E107" i="2"/>
  <c r="AX106" i="2"/>
  <c r="AU106" i="2"/>
  <c r="T41" i="2" s="1"/>
  <c r="AR106" i="2"/>
  <c r="AL106" i="2"/>
  <c r="AI106" i="2"/>
  <c r="AF106" i="2"/>
  <c r="AC106" i="2"/>
  <c r="Z106" i="2"/>
  <c r="W106" i="2"/>
  <c r="T106" i="2"/>
  <c r="Q106" i="2"/>
  <c r="N106" i="2"/>
  <c r="K106" i="2"/>
  <c r="E106" i="2"/>
  <c r="AX105" i="2"/>
  <c r="AU105" i="2"/>
  <c r="AR105" i="2"/>
  <c r="AL105" i="2"/>
  <c r="AI105" i="2"/>
  <c r="AF105" i="2"/>
  <c r="AC105" i="2"/>
  <c r="Z105" i="2"/>
  <c r="W105" i="2"/>
  <c r="T105" i="2"/>
  <c r="Q105" i="2"/>
  <c r="N105" i="2"/>
  <c r="J105" i="2"/>
  <c r="K105" i="2" s="1"/>
  <c r="I105" i="2"/>
  <c r="E105" i="2"/>
  <c r="AX104" i="2"/>
  <c r="AU104" i="2"/>
  <c r="AR104" i="2"/>
  <c r="AL104" i="2"/>
  <c r="AK104" i="2"/>
  <c r="AJ104" i="2"/>
  <c r="AI104" i="2"/>
  <c r="AF104" i="2"/>
  <c r="AC104" i="2"/>
  <c r="W104" i="2"/>
  <c r="T104" i="2"/>
  <c r="Q104" i="2"/>
  <c r="N104" i="2"/>
  <c r="K104" i="2"/>
  <c r="H104" i="2"/>
  <c r="E104" i="2"/>
  <c r="AX103" i="2"/>
  <c r="U38" i="2" s="1"/>
  <c r="AU103" i="2"/>
  <c r="AR103" i="2"/>
  <c r="AK103" i="2"/>
  <c r="AL103" i="2" s="1"/>
  <c r="O38" i="2" s="1"/>
  <c r="AJ103" i="2"/>
  <c r="AI103" i="2"/>
  <c r="AF103" i="2"/>
  <c r="AC103" i="2"/>
  <c r="K38" i="2" s="1"/>
  <c r="Z103" i="2"/>
  <c r="W103" i="2"/>
  <c r="T103" i="2"/>
  <c r="Q103" i="2"/>
  <c r="N103" i="2"/>
  <c r="J103" i="2"/>
  <c r="I103" i="2"/>
  <c r="K103" i="2" s="1"/>
  <c r="E38" i="2" s="1"/>
  <c r="L38" i="2" s="1"/>
  <c r="H103" i="2"/>
  <c r="E103" i="2"/>
  <c r="AX102" i="2"/>
  <c r="AU102" i="2"/>
  <c r="AR102" i="2"/>
  <c r="AL102" i="2"/>
  <c r="AI102" i="2"/>
  <c r="AF102" i="2"/>
  <c r="M37" i="2" s="1"/>
  <c r="Z102" i="2"/>
  <c r="W102" i="2"/>
  <c r="T102" i="2"/>
  <c r="Q102" i="2"/>
  <c r="N102" i="2"/>
  <c r="J102" i="2"/>
  <c r="I102" i="2"/>
  <c r="K102" i="2" s="1"/>
  <c r="E102" i="2"/>
  <c r="AX101" i="2"/>
  <c r="AU101" i="2"/>
  <c r="AR101" i="2"/>
  <c r="AK101" i="2"/>
  <c r="AJ101" i="2"/>
  <c r="AL101" i="2" s="1"/>
  <c r="O36" i="2" s="1"/>
  <c r="AI101" i="2"/>
  <c r="N36" i="2" s="1"/>
  <c r="AH101" i="2"/>
  <c r="AG101" i="2"/>
  <c r="AF101" i="2"/>
  <c r="AC101" i="2"/>
  <c r="Z101" i="2"/>
  <c r="W101" i="2"/>
  <c r="T101" i="2"/>
  <c r="Q101" i="2"/>
  <c r="N101" i="2"/>
  <c r="K101" i="2"/>
  <c r="G101" i="2"/>
  <c r="E101" i="2"/>
  <c r="AX100" i="2"/>
  <c r="AU100" i="2"/>
  <c r="AR100" i="2"/>
  <c r="AL100" i="2"/>
  <c r="AH100" i="2"/>
  <c r="AI100" i="2" s="1"/>
  <c r="N35" i="2" s="1"/>
  <c r="AG100" i="2"/>
  <c r="AF100" i="2"/>
  <c r="AC100" i="2"/>
  <c r="Z100" i="2"/>
  <c r="W100" i="2"/>
  <c r="T100" i="2"/>
  <c r="Q100" i="2"/>
  <c r="N100" i="2"/>
  <c r="K100" i="2"/>
  <c r="F100" i="2"/>
  <c r="E100" i="2"/>
  <c r="AX99" i="2"/>
  <c r="AU99" i="2"/>
  <c r="AR99" i="2"/>
  <c r="AH99" i="2"/>
  <c r="AG99" i="2"/>
  <c r="AI99" i="2" s="1"/>
  <c r="N34" i="2" s="1"/>
  <c r="AF99" i="2"/>
  <c r="M34" i="2" s="1"/>
  <c r="AC99" i="2"/>
  <c r="Z99" i="2"/>
  <c r="W99" i="2"/>
  <c r="T99" i="2"/>
  <c r="Q99" i="2"/>
  <c r="N99" i="2"/>
  <c r="K99" i="2"/>
  <c r="E99" i="2"/>
  <c r="AX98" i="2"/>
  <c r="AU98" i="2"/>
  <c r="AR98" i="2"/>
  <c r="AL98" i="2"/>
  <c r="AI98" i="2"/>
  <c r="N33" i="2" s="1"/>
  <c r="V33" i="2" s="1"/>
  <c r="AF98" i="2"/>
  <c r="AC98" i="2"/>
  <c r="Z98" i="2"/>
  <c r="W98" i="2"/>
  <c r="T98" i="2"/>
  <c r="Q98" i="2"/>
  <c r="N98" i="2"/>
  <c r="K98" i="2"/>
  <c r="E33" i="2" s="1"/>
  <c r="E98" i="2"/>
  <c r="AX97" i="2"/>
  <c r="AU97" i="2"/>
  <c r="AR97" i="2"/>
  <c r="AL97" i="2"/>
  <c r="O32" i="2" s="1"/>
  <c r="AK97" i="2"/>
  <c r="AJ97" i="2"/>
  <c r="AH97" i="2"/>
  <c r="AI97" i="2" s="1"/>
  <c r="N32" i="2" s="1"/>
  <c r="AG97" i="2"/>
  <c r="AF97" i="2"/>
  <c r="AC97" i="2"/>
  <c r="Z97" i="2"/>
  <c r="W97" i="2"/>
  <c r="T97" i="2"/>
  <c r="Q97" i="2"/>
  <c r="N97" i="2"/>
  <c r="K97" i="2"/>
  <c r="E97" i="2"/>
  <c r="AX96" i="2"/>
  <c r="AU96" i="2"/>
  <c r="AR96" i="2"/>
  <c r="AK96" i="2"/>
  <c r="AJ96" i="2"/>
  <c r="AL96" i="2" s="1"/>
  <c r="O31" i="2" s="1"/>
  <c r="AI96" i="2"/>
  <c r="N31" i="2" s="1"/>
  <c r="AF96" i="2"/>
  <c r="T96" i="2"/>
  <c r="Q96" i="2"/>
  <c r="N96" i="2"/>
  <c r="K96" i="2"/>
  <c r="H96" i="2"/>
  <c r="E96" i="2"/>
  <c r="C31" i="2" s="1"/>
  <c r="AX95" i="2"/>
  <c r="AT95" i="2"/>
  <c r="AS95" i="2"/>
  <c r="AU95" i="2" s="1"/>
  <c r="T30" i="2" s="1"/>
  <c r="AQ95" i="2"/>
  <c r="AP95" i="2"/>
  <c r="AR95" i="2" s="1"/>
  <c r="S30" i="2" s="1"/>
  <c r="AL95" i="2"/>
  <c r="AK95" i="2"/>
  <c r="AJ95" i="2"/>
  <c r="AH95" i="2"/>
  <c r="AI95" i="2" s="1"/>
  <c r="AG95" i="2"/>
  <c r="AE95" i="2"/>
  <c r="AD95" i="2"/>
  <c r="AF95" i="2" s="1"/>
  <c r="M30" i="2" s="1"/>
  <c r="AC95" i="2"/>
  <c r="Z95" i="2"/>
  <c r="W95" i="2"/>
  <c r="T95" i="2"/>
  <c r="Q95" i="2"/>
  <c r="N95" i="2"/>
  <c r="J95" i="2"/>
  <c r="K95" i="2" s="1"/>
  <c r="E30" i="2" s="1"/>
  <c r="I95" i="2"/>
  <c r="D95" i="2"/>
  <c r="C95" i="2"/>
  <c r="E95" i="2" s="1"/>
  <c r="AX94" i="2"/>
  <c r="U29" i="2" s="1"/>
  <c r="V29" i="2" s="1"/>
  <c r="AT94" i="2"/>
  <c r="AU94" i="2" s="1"/>
  <c r="T29" i="2" s="1"/>
  <c r="AS94" i="2"/>
  <c r="AR94" i="2"/>
  <c r="AQ94" i="2"/>
  <c r="AP94" i="2"/>
  <c r="AK94" i="2"/>
  <c r="AL94" i="2" s="1"/>
  <c r="O29" i="2" s="1"/>
  <c r="AJ94" i="2"/>
  <c r="AH94" i="2"/>
  <c r="AG94" i="2"/>
  <c r="AI94" i="2" s="1"/>
  <c r="N29" i="2" s="1"/>
  <c r="AE94" i="2"/>
  <c r="AD94" i="2"/>
  <c r="AF94" i="2" s="1"/>
  <c r="U94" i="2"/>
  <c r="T94" i="2"/>
  <c r="Q94" i="2"/>
  <c r="N94" i="2"/>
  <c r="K94" i="2"/>
  <c r="J94" i="2"/>
  <c r="I94" i="2"/>
  <c r="G94" i="2"/>
  <c r="D94" i="2"/>
  <c r="C94" i="2"/>
  <c r="E94" i="2" s="1"/>
  <c r="C29" i="2" s="1"/>
  <c r="AX93" i="2"/>
  <c r="AT93" i="2"/>
  <c r="AS93" i="2"/>
  <c r="AU93" i="2" s="1"/>
  <c r="T28" i="2" s="1"/>
  <c r="AQ93" i="2"/>
  <c r="AR93" i="2" s="1"/>
  <c r="S28" i="2" s="1"/>
  <c r="AP93" i="2"/>
  <c r="AN93" i="2"/>
  <c r="AK93" i="2"/>
  <c r="AJ93" i="2"/>
  <c r="AL93" i="2" s="1"/>
  <c r="O28" i="2" s="1"/>
  <c r="AI93" i="2"/>
  <c r="AH93" i="2"/>
  <c r="AG93" i="2"/>
  <c r="AE93" i="2"/>
  <c r="AF93" i="2" s="1"/>
  <c r="M28" i="2" s="1"/>
  <c r="AD93" i="2"/>
  <c r="S93" i="2"/>
  <c r="O93" i="2"/>
  <c r="L93" i="2"/>
  <c r="K93" i="2"/>
  <c r="J93" i="2"/>
  <c r="I93" i="2"/>
  <c r="H93" i="2"/>
  <c r="E93" i="2"/>
  <c r="D93" i="2"/>
  <c r="C93" i="2"/>
  <c r="AX92" i="2"/>
  <c r="AU92" i="2"/>
  <c r="T27" i="2" s="1"/>
  <c r="AT92" i="2"/>
  <c r="AS92" i="2"/>
  <c r="AQ92" i="2"/>
  <c r="AR92" i="2" s="1"/>
  <c r="S27" i="2" s="1"/>
  <c r="AP92" i="2"/>
  <c r="AN92" i="2"/>
  <c r="AM92" i="2"/>
  <c r="AI92" i="2"/>
  <c r="AH92" i="2"/>
  <c r="AG92" i="2"/>
  <c r="AE92" i="2"/>
  <c r="AF92" i="2" s="1"/>
  <c r="AD92" i="2"/>
  <c r="X92" i="2"/>
  <c r="S92" i="2"/>
  <c r="P92" i="2"/>
  <c r="O92" i="2"/>
  <c r="Q92" i="2" s="1"/>
  <c r="G92" i="2"/>
  <c r="C92" i="2"/>
  <c r="E92" i="2" s="1"/>
  <c r="C27" i="2" s="1"/>
  <c r="AX91" i="2"/>
  <c r="AU91" i="2"/>
  <c r="AR91" i="2"/>
  <c r="AO91" i="2"/>
  <c r="AN91" i="2"/>
  <c r="AM91" i="2"/>
  <c r="AL91" i="2"/>
  <c r="AI91" i="2"/>
  <c r="AF91" i="2"/>
  <c r="AB91" i="2"/>
  <c r="AA91" i="2"/>
  <c r="AC91" i="2" s="1"/>
  <c r="K26" i="2" s="1"/>
  <c r="Y91" i="2"/>
  <c r="X91" i="2"/>
  <c r="Z91" i="2" s="1"/>
  <c r="W91" i="2"/>
  <c r="V91" i="2"/>
  <c r="U91" i="2"/>
  <c r="R91" i="2"/>
  <c r="P91" i="2"/>
  <c r="O91" i="2"/>
  <c r="Q91" i="2" s="1"/>
  <c r="M91" i="2"/>
  <c r="L91" i="2"/>
  <c r="N91" i="2" s="1"/>
  <c r="K91" i="2"/>
  <c r="E26" i="2" s="1"/>
  <c r="J91" i="2"/>
  <c r="I91" i="2"/>
  <c r="G91" i="2"/>
  <c r="G87" i="2" s="1"/>
  <c r="F91" i="2"/>
  <c r="E91" i="2"/>
  <c r="AX90" i="2"/>
  <c r="AU90" i="2"/>
  <c r="T25" i="2" s="1"/>
  <c r="AR90" i="2"/>
  <c r="AO90" i="2"/>
  <c r="AN90" i="2"/>
  <c r="AM90" i="2"/>
  <c r="AL90" i="2"/>
  <c r="AI90" i="2"/>
  <c r="AF90" i="2"/>
  <c r="Y90" i="2"/>
  <c r="Z90" i="2" s="1"/>
  <c r="J25" i="2" s="1"/>
  <c r="X90" i="2"/>
  <c r="V90" i="2"/>
  <c r="AB90" i="2" s="1"/>
  <c r="U90" i="2"/>
  <c r="Q90" i="2"/>
  <c r="P90" i="2"/>
  <c r="O90" i="2"/>
  <c r="M90" i="2"/>
  <c r="N90" i="2" s="1"/>
  <c r="L90" i="2"/>
  <c r="J90" i="2"/>
  <c r="I90" i="2"/>
  <c r="K90" i="2" s="1"/>
  <c r="G90" i="2"/>
  <c r="G100" i="2" s="1"/>
  <c r="F90" i="2"/>
  <c r="H90" i="2" s="1"/>
  <c r="D25" i="2" s="1"/>
  <c r="E90" i="2"/>
  <c r="C25" i="2" s="1"/>
  <c r="AX89" i="2"/>
  <c r="AU89" i="2"/>
  <c r="AR89" i="2"/>
  <c r="AO89" i="2"/>
  <c r="AO92" i="2" s="1"/>
  <c r="AN89" i="2"/>
  <c r="AM89" i="2"/>
  <c r="AK89" i="2"/>
  <c r="AJ89" i="2"/>
  <c r="AJ92" i="2" s="1"/>
  <c r="AI89" i="2"/>
  <c r="AF89" i="2"/>
  <c r="Y89" i="2"/>
  <c r="X89" i="2"/>
  <c r="X108" i="2" s="1"/>
  <c r="V89" i="2"/>
  <c r="V93" i="2" s="1"/>
  <c r="U89" i="2"/>
  <c r="U93" i="2" s="1"/>
  <c r="W93" i="2" s="1"/>
  <c r="I28" i="2" s="1"/>
  <c r="S89" i="2"/>
  <c r="Q89" i="2"/>
  <c r="P89" i="2"/>
  <c r="P93" i="2" s="1"/>
  <c r="O89" i="2"/>
  <c r="M89" i="2"/>
  <c r="M93" i="2" s="1"/>
  <c r="L89" i="2"/>
  <c r="L92" i="2" s="1"/>
  <c r="J89" i="2"/>
  <c r="J92" i="2" s="1"/>
  <c r="G89" i="2"/>
  <c r="G97" i="2" s="1"/>
  <c r="E89" i="2"/>
  <c r="D89" i="2"/>
  <c r="D92" i="2" s="1"/>
  <c r="C89" i="2"/>
  <c r="AX88" i="2"/>
  <c r="AU88" i="2"/>
  <c r="T23" i="2" s="1"/>
  <c r="AT88" i="2"/>
  <c r="AS88" i="2"/>
  <c r="AQ88" i="2"/>
  <c r="AR88" i="2" s="1"/>
  <c r="S23" i="2" s="1"/>
  <c r="AP88" i="2"/>
  <c r="AO88" i="2"/>
  <c r="AN88" i="2"/>
  <c r="AM88" i="2"/>
  <c r="AJ88" i="2"/>
  <c r="AI88" i="2"/>
  <c r="AH88" i="2"/>
  <c r="AG88" i="2"/>
  <c r="AF88" i="2"/>
  <c r="V88" i="2"/>
  <c r="U88" i="2"/>
  <c r="S88" i="2"/>
  <c r="Q88" i="2"/>
  <c r="P88" i="2"/>
  <c r="O88" i="2"/>
  <c r="M88" i="2"/>
  <c r="G88" i="2"/>
  <c r="E88" i="2"/>
  <c r="C23" i="2" s="1"/>
  <c r="D88" i="2"/>
  <c r="C88" i="2"/>
  <c r="AX87" i="2"/>
  <c r="AU87" i="2"/>
  <c r="AT87" i="2"/>
  <c r="AS87" i="2"/>
  <c r="AQ87" i="2"/>
  <c r="AR87" i="2" s="1"/>
  <c r="AP87" i="2"/>
  <c r="AO87" i="2"/>
  <c r="AN87" i="2"/>
  <c r="AM87" i="2"/>
  <c r="AJ87" i="2"/>
  <c r="AI87" i="2"/>
  <c r="AH87" i="2"/>
  <c r="AG87" i="2"/>
  <c r="AF87" i="2"/>
  <c r="Y87" i="2"/>
  <c r="Z87" i="2" s="1"/>
  <c r="J22" i="2" s="1"/>
  <c r="X87" i="2"/>
  <c r="V87" i="2"/>
  <c r="O87" i="2"/>
  <c r="M87" i="2"/>
  <c r="J87" i="2"/>
  <c r="E87" i="2"/>
  <c r="D87" i="2"/>
  <c r="C87" i="2"/>
  <c r="U80" i="2"/>
  <c r="V80" i="2" s="1"/>
  <c r="T80" i="2"/>
  <c r="S80" i="2"/>
  <c r="R80" i="2"/>
  <c r="Q80" i="2"/>
  <c r="P80" i="2"/>
  <c r="O80" i="2"/>
  <c r="N80" i="2"/>
  <c r="M80" i="2"/>
  <c r="J80" i="2"/>
  <c r="I80" i="2"/>
  <c r="H80" i="2"/>
  <c r="G80" i="2"/>
  <c r="F80" i="2"/>
  <c r="E80" i="2"/>
  <c r="C80" i="2"/>
  <c r="U79" i="2"/>
  <c r="V79" i="2" s="1"/>
  <c r="T79" i="2"/>
  <c r="S79" i="2"/>
  <c r="R79" i="2"/>
  <c r="Q79" i="2"/>
  <c r="P79" i="2"/>
  <c r="N79" i="2"/>
  <c r="M79" i="2"/>
  <c r="J79" i="2"/>
  <c r="I79" i="2"/>
  <c r="H79" i="2"/>
  <c r="G79" i="2"/>
  <c r="F79" i="2"/>
  <c r="E79" i="2"/>
  <c r="D79" i="2"/>
  <c r="C79" i="2"/>
  <c r="U78" i="2"/>
  <c r="V78" i="2" s="1"/>
  <c r="T78" i="2"/>
  <c r="S78" i="2"/>
  <c r="R78" i="2"/>
  <c r="Q78" i="2"/>
  <c r="P78" i="2"/>
  <c r="O78" i="2"/>
  <c r="N78" i="2"/>
  <c r="M78" i="2"/>
  <c r="I78" i="2"/>
  <c r="H78" i="2"/>
  <c r="G78" i="2"/>
  <c r="F78" i="2"/>
  <c r="E78" i="2"/>
  <c r="D78" i="2"/>
  <c r="C78" i="2"/>
  <c r="U77" i="2"/>
  <c r="V77" i="2" s="1"/>
  <c r="T77" i="2"/>
  <c r="S77" i="2"/>
  <c r="R77" i="2"/>
  <c r="Q77" i="2"/>
  <c r="P77" i="2"/>
  <c r="O77" i="2"/>
  <c r="N77" i="2"/>
  <c r="M77" i="2"/>
  <c r="J77" i="2"/>
  <c r="I77" i="2"/>
  <c r="H77" i="2"/>
  <c r="G77" i="2"/>
  <c r="F77" i="2"/>
  <c r="E77" i="2"/>
  <c r="C77" i="2"/>
  <c r="U76" i="2"/>
  <c r="V76" i="2" s="1"/>
  <c r="T76" i="2"/>
  <c r="S76" i="2"/>
  <c r="R76" i="2"/>
  <c r="Q76" i="2"/>
  <c r="P76" i="2"/>
  <c r="O76" i="2"/>
  <c r="N76" i="2"/>
  <c r="M76" i="2"/>
  <c r="I76" i="2"/>
  <c r="H76" i="2"/>
  <c r="G76" i="2"/>
  <c r="F76" i="2"/>
  <c r="E76" i="2"/>
  <c r="D76" i="2"/>
  <c r="C76" i="2"/>
  <c r="U75" i="2"/>
  <c r="S75" i="2"/>
  <c r="R75" i="2"/>
  <c r="Q75" i="2"/>
  <c r="P75" i="2"/>
  <c r="M75" i="2"/>
  <c r="I75" i="2"/>
  <c r="G75" i="2"/>
  <c r="F75" i="2"/>
  <c r="U74" i="2"/>
  <c r="R74" i="2"/>
  <c r="Q74" i="2"/>
  <c r="P74" i="2"/>
  <c r="M74" i="2"/>
  <c r="J74" i="2"/>
  <c r="G74" i="2"/>
  <c r="F74" i="2"/>
  <c r="E74" i="2"/>
  <c r="U73" i="2"/>
  <c r="R73" i="2"/>
  <c r="Q73" i="2"/>
  <c r="P73" i="2"/>
  <c r="M73" i="2"/>
  <c r="I73" i="2"/>
  <c r="G73" i="2"/>
  <c r="F73" i="2"/>
  <c r="D73" i="2"/>
  <c r="U72" i="2"/>
  <c r="R72" i="2"/>
  <c r="Q72" i="2"/>
  <c r="P72" i="2"/>
  <c r="M72" i="2"/>
  <c r="G72" i="2"/>
  <c r="F72" i="2"/>
  <c r="E72" i="2"/>
  <c r="G71" i="2"/>
  <c r="F71" i="2"/>
  <c r="S70" i="2"/>
  <c r="R70" i="2"/>
  <c r="Q70" i="2"/>
  <c r="P70" i="2"/>
  <c r="G70" i="2"/>
  <c r="F70" i="2"/>
  <c r="C70" i="2"/>
  <c r="U69" i="2"/>
  <c r="R69" i="2"/>
  <c r="Q69" i="2"/>
  <c r="P69" i="2"/>
  <c r="J69" i="2"/>
  <c r="G69" i="2"/>
  <c r="F69" i="2"/>
  <c r="U68" i="2"/>
  <c r="V68" i="2" s="1"/>
  <c r="S68" i="2"/>
  <c r="R68" i="2"/>
  <c r="Q68" i="2"/>
  <c r="P68" i="2"/>
  <c r="M68" i="2"/>
  <c r="G68" i="2"/>
  <c r="F68" i="2"/>
  <c r="D68" i="2"/>
  <c r="C68" i="2"/>
  <c r="U67" i="2"/>
  <c r="T67" i="2"/>
  <c r="S67" i="2"/>
  <c r="R67" i="2"/>
  <c r="Q67" i="2"/>
  <c r="P67" i="2"/>
  <c r="O67" i="2"/>
  <c r="V67" i="2" s="1"/>
  <c r="N67" i="2"/>
  <c r="M67" i="2"/>
  <c r="I67" i="2"/>
  <c r="H67" i="2"/>
  <c r="G67" i="2"/>
  <c r="F67" i="2"/>
  <c r="E67" i="2"/>
  <c r="D67" i="2"/>
  <c r="L67" i="2" s="1"/>
  <c r="C67" i="2"/>
  <c r="U66" i="2"/>
  <c r="V66" i="2" s="1"/>
  <c r="T66" i="2"/>
  <c r="S66" i="2"/>
  <c r="R66" i="2"/>
  <c r="Q66" i="2"/>
  <c r="P66" i="2"/>
  <c r="O66" i="2"/>
  <c r="N66" i="2"/>
  <c r="J66" i="2"/>
  <c r="I66" i="2"/>
  <c r="H66" i="2"/>
  <c r="G66" i="2"/>
  <c r="F66" i="2"/>
  <c r="E66" i="2"/>
  <c r="D66" i="2"/>
  <c r="C66" i="2"/>
  <c r="U65" i="2"/>
  <c r="T65" i="2"/>
  <c r="S65" i="2"/>
  <c r="R65" i="2"/>
  <c r="Q65" i="2"/>
  <c r="P65" i="2"/>
  <c r="O65" i="2"/>
  <c r="V65" i="2" s="1"/>
  <c r="N65" i="2"/>
  <c r="M65" i="2"/>
  <c r="J65" i="2"/>
  <c r="I65" i="2"/>
  <c r="H65" i="2"/>
  <c r="G65" i="2"/>
  <c r="F65" i="2"/>
  <c r="E65" i="2"/>
  <c r="D65" i="2"/>
  <c r="L65" i="2" s="1"/>
  <c r="C65" i="2"/>
  <c r="U64" i="2"/>
  <c r="T64" i="2"/>
  <c r="S64" i="2"/>
  <c r="R64" i="2"/>
  <c r="Q64" i="2"/>
  <c r="P64" i="2"/>
  <c r="N64" i="2"/>
  <c r="M64" i="2"/>
  <c r="J64" i="2"/>
  <c r="I64" i="2"/>
  <c r="H64" i="2"/>
  <c r="G64" i="2"/>
  <c r="F64" i="2"/>
  <c r="E64" i="2"/>
  <c r="C64" i="2"/>
  <c r="U63" i="2"/>
  <c r="T63" i="2"/>
  <c r="S63" i="2"/>
  <c r="R63" i="2"/>
  <c r="Q63" i="2"/>
  <c r="P63" i="2"/>
  <c r="O63" i="2"/>
  <c r="V63" i="2" s="1"/>
  <c r="N63" i="2"/>
  <c r="M63" i="2"/>
  <c r="K63" i="2"/>
  <c r="J63" i="2"/>
  <c r="G63" i="2"/>
  <c r="F63" i="2"/>
  <c r="E63" i="2"/>
  <c r="D63" i="2"/>
  <c r="C63" i="2"/>
  <c r="U62" i="2"/>
  <c r="V62" i="2" s="1"/>
  <c r="T62" i="2"/>
  <c r="S62" i="2"/>
  <c r="R62" i="2"/>
  <c r="Q62" i="2"/>
  <c r="P62" i="2"/>
  <c r="N62" i="2"/>
  <c r="M62" i="2"/>
  <c r="K62" i="2"/>
  <c r="J62" i="2"/>
  <c r="I62" i="2"/>
  <c r="G62" i="2"/>
  <c r="F62" i="2"/>
  <c r="E62" i="2"/>
  <c r="D62" i="2"/>
  <c r="C62" i="2"/>
  <c r="U61" i="2"/>
  <c r="T61" i="2"/>
  <c r="S61" i="2"/>
  <c r="R61" i="2"/>
  <c r="Q61" i="2"/>
  <c r="P61" i="2"/>
  <c r="O61" i="2"/>
  <c r="V61" i="2" s="1"/>
  <c r="M61" i="2"/>
  <c r="J61" i="2"/>
  <c r="I61" i="2"/>
  <c r="G61" i="2"/>
  <c r="F61" i="2"/>
  <c r="D61" i="2"/>
  <c r="C61" i="2"/>
  <c r="U60" i="2"/>
  <c r="V60" i="2" s="1"/>
  <c r="T60" i="2"/>
  <c r="S60" i="2"/>
  <c r="R60" i="2"/>
  <c r="Q60" i="2"/>
  <c r="P60" i="2"/>
  <c r="N60" i="2"/>
  <c r="M60" i="2"/>
  <c r="J60" i="2"/>
  <c r="I60" i="2"/>
  <c r="G60" i="2"/>
  <c r="F60" i="2"/>
  <c r="E60" i="2"/>
  <c r="D60" i="2"/>
  <c r="C60" i="2"/>
  <c r="U59" i="2"/>
  <c r="S59" i="2"/>
  <c r="R59" i="2"/>
  <c r="Q59" i="2"/>
  <c r="P59" i="2"/>
  <c r="O59" i="2"/>
  <c r="V59" i="2" s="1"/>
  <c r="M59" i="2"/>
  <c r="J59" i="2"/>
  <c r="I59" i="2"/>
  <c r="G59" i="2"/>
  <c r="F59" i="2"/>
  <c r="D59" i="2"/>
  <c r="C59" i="2"/>
  <c r="U58" i="2"/>
  <c r="T58" i="2"/>
  <c r="S58" i="2"/>
  <c r="R58" i="2"/>
  <c r="Q58" i="2"/>
  <c r="P58" i="2"/>
  <c r="N58" i="2"/>
  <c r="M58" i="2"/>
  <c r="K58" i="2"/>
  <c r="J58" i="2"/>
  <c r="I58" i="2"/>
  <c r="G58" i="2"/>
  <c r="F58" i="2"/>
  <c r="E58" i="2"/>
  <c r="D58" i="2"/>
  <c r="C58" i="2"/>
  <c r="U57" i="2"/>
  <c r="S57" i="2"/>
  <c r="R57" i="2"/>
  <c r="Q57" i="2"/>
  <c r="P57" i="2"/>
  <c r="O57" i="2"/>
  <c r="V57" i="2" s="1"/>
  <c r="N57" i="2"/>
  <c r="M57" i="2"/>
  <c r="J57" i="2"/>
  <c r="I57" i="2"/>
  <c r="G57" i="2"/>
  <c r="F57" i="2"/>
  <c r="E57" i="2"/>
  <c r="D57" i="2"/>
  <c r="U56" i="2"/>
  <c r="V56" i="2" s="1"/>
  <c r="T56" i="2"/>
  <c r="S56" i="2"/>
  <c r="R56" i="2"/>
  <c r="Q56" i="2"/>
  <c r="P56" i="2"/>
  <c r="O56" i="2"/>
  <c r="M56" i="2"/>
  <c r="J56" i="2"/>
  <c r="I56" i="2"/>
  <c r="H56" i="2"/>
  <c r="G56" i="2"/>
  <c r="F56" i="2"/>
  <c r="D56" i="2"/>
  <c r="C56" i="2"/>
  <c r="U55" i="2"/>
  <c r="T55" i="2"/>
  <c r="S55" i="2"/>
  <c r="R55" i="2"/>
  <c r="Q55" i="2"/>
  <c r="P55" i="2"/>
  <c r="O55" i="2"/>
  <c r="V55" i="2" s="1"/>
  <c r="N55" i="2"/>
  <c r="M55" i="2"/>
  <c r="J55" i="2"/>
  <c r="I55" i="2"/>
  <c r="G55" i="2"/>
  <c r="F55" i="2"/>
  <c r="E55" i="2"/>
  <c r="D55" i="2"/>
  <c r="C55" i="2"/>
  <c r="U54" i="2"/>
  <c r="V54" i="2" s="1"/>
  <c r="S54" i="2"/>
  <c r="R54" i="2"/>
  <c r="Q54" i="2"/>
  <c r="P54" i="2"/>
  <c r="M54" i="2"/>
  <c r="K54" i="2"/>
  <c r="J54" i="2"/>
  <c r="I54" i="2"/>
  <c r="G54" i="2"/>
  <c r="F54" i="2"/>
  <c r="D54" i="2"/>
  <c r="C54" i="2"/>
  <c r="U53" i="2"/>
  <c r="T53" i="2"/>
  <c r="S53" i="2"/>
  <c r="R53" i="2"/>
  <c r="Q53" i="2"/>
  <c r="P53" i="2"/>
  <c r="N53" i="2"/>
  <c r="M53" i="2"/>
  <c r="J53" i="2"/>
  <c r="I53" i="2"/>
  <c r="G53" i="2"/>
  <c r="F53" i="2"/>
  <c r="E53" i="2"/>
  <c r="D53" i="2"/>
  <c r="C53" i="2"/>
  <c r="U52" i="2"/>
  <c r="V52" i="2" s="1"/>
  <c r="S52" i="2"/>
  <c r="R52" i="2"/>
  <c r="Q52" i="2"/>
  <c r="P52" i="2"/>
  <c r="O52" i="2"/>
  <c r="N52" i="2"/>
  <c r="M52" i="2"/>
  <c r="K52" i="2"/>
  <c r="J52" i="2"/>
  <c r="I52" i="2"/>
  <c r="G52" i="2"/>
  <c r="F52" i="2"/>
  <c r="E52" i="2"/>
  <c r="D52" i="2"/>
  <c r="C52" i="2"/>
  <c r="U51" i="2"/>
  <c r="S51" i="2"/>
  <c r="R51" i="2"/>
  <c r="Q51" i="2"/>
  <c r="P51" i="2"/>
  <c r="O51" i="2"/>
  <c r="V51" i="2" s="1"/>
  <c r="M51" i="2"/>
  <c r="J51" i="2"/>
  <c r="I51" i="2"/>
  <c r="H51" i="2"/>
  <c r="G51" i="2"/>
  <c r="F51" i="2"/>
  <c r="C51" i="2"/>
  <c r="U50" i="2"/>
  <c r="T50" i="2"/>
  <c r="S50" i="2"/>
  <c r="R50" i="2"/>
  <c r="Q50" i="2"/>
  <c r="P50" i="2"/>
  <c r="N50" i="2"/>
  <c r="M50" i="2"/>
  <c r="K50" i="2"/>
  <c r="J50" i="2"/>
  <c r="I50" i="2"/>
  <c r="G50" i="2"/>
  <c r="F50" i="2"/>
  <c r="E50" i="2"/>
  <c r="D50" i="2"/>
  <c r="C50" i="2"/>
  <c r="U49" i="2"/>
  <c r="T49" i="2"/>
  <c r="S49" i="2"/>
  <c r="R49" i="2"/>
  <c r="Q49" i="2"/>
  <c r="P49" i="2"/>
  <c r="N49" i="2"/>
  <c r="M49" i="2"/>
  <c r="K49" i="2"/>
  <c r="J49" i="2"/>
  <c r="G49" i="2"/>
  <c r="F49" i="2"/>
  <c r="E49" i="2"/>
  <c r="D49" i="2"/>
  <c r="C49" i="2"/>
  <c r="U48" i="2"/>
  <c r="T48" i="2"/>
  <c r="S48" i="2"/>
  <c r="R48" i="2"/>
  <c r="Q48" i="2"/>
  <c r="P48" i="2"/>
  <c r="N48" i="2"/>
  <c r="M48" i="2"/>
  <c r="K48" i="2"/>
  <c r="J48" i="2"/>
  <c r="I48" i="2"/>
  <c r="G48" i="2"/>
  <c r="F48" i="2"/>
  <c r="E48" i="2"/>
  <c r="D48" i="2"/>
  <c r="C48" i="2"/>
  <c r="U47" i="2"/>
  <c r="T47" i="2"/>
  <c r="S47" i="2"/>
  <c r="R47" i="2"/>
  <c r="O47" i="2"/>
  <c r="N47" i="2"/>
  <c r="V47" i="2" s="1"/>
  <c r="M47" i="2"/>
  <c r="L47" i="2"/>
  <c r="C47" i="2"/>
  <c r="U46" i="2"/>
  <c r="U152" i="2" s="1"/>
  <c r="T46" i="2"/>
  <c r="T152" i="2" s="1"/>
  <c r="R46" i="2"/>
  <c r="Q46" i="2"/>
  <c r="P46" i="2"/>
  <c r="O46" i="2"/>
  <c r="N46" i="2"/>
  <c r="N152" i="2" s="1"/>
  <c r="K46" i="2"/>
  <c r="J46" i="2"/>
  <c r="I46" i="2"/>
  <c r="H46" i="2"/>
  <c r="G46" i="2"/>
  <c r="F46" i="2"/>
  <c r="C46" i="2"/>
  <c r="V45" i="2"/>
  <c r="U45" i="2"/>
  <c r="T45" i="2"/>
  <c r="S45" i="2"/>
  <c r="O45" i="2"/>
  <c r="N45" i="2"/>
  <c r="M45" i="2"/>
  <c r="L45" i="2"/>
  <c r="C45" i="2"/>
  <c r="U44" i="2"/>
  <c r="T44" i="2"/>
  <c r="N44" i="2"/>
  <c r="M44" i="2"/>
  <c r="L44" i="2"/>
  <c r="K44" i="2"/>
  <c r="J44" i="2"/>
  <c r="E44" i="2"/>
  <c r="D44" i="2"/>
  <c r="U43" i="2"/>
  <c r="V43" i="2" s="1"/>
  <c r="T43" i="2"/>
  <c r="S43" i="2"/>
  <c r="O43" i="2"/>
  <c r="N43" i="2"/>
  <c r="M43" i="2"/>
  <c r="I43" i="2"/>
  <c r="E43" i="2"/>
  <c r="D43" i="2"/>
  <c r="C43" i="2"/>
  <c r="U42" i="2"/>
  <c r="T42" i="2"/>
  <c r="S42" i="2"/>
  <c r="O42" i="2"/>
  <c r="M42" i="2"/>
  <c r="K42" i="2"/>
  <c r="J42" i="2"/>
  <c r="I42" i="2"/>
  <c r="E42" i="2"/>
  <c r="C42" i="2"/>
  <c r="U41" i="2"/>
  <c r="S41" i="2"/>
  <c r="O41" i="2"/>
  <c r="N41" i="2"/>
  <c r="V41" i="2" s="1"/>
  <c r="M41" i="2"/>
  <c r="L41" i="2"/>
  <c r="C41" i="2"/>
  <c r="U40" i="2"/>
  <c r="V40" i="2" s="1"/>
  <c r="T40" i="2"/>
  <c r="S40" i="2"/>
  <c r="O40" i="2"/>
  <c r="N40" i="2"/>
  <c r="M40" i="2"/>
  <c r="L40" i="2"/>
  <c r="C40" i="2"/>
  <c r="U39" i="2"/>
  <c r="T39" i="2"/>
  <c r="S39" i="2"/>
  <c r="O39" i="2"/>
  <c r="V39" i="2" s="1"/>
  <c r="N39" i="2"/>
  <c r="M39" i="2"/>
  <c r="K39" i="2"/>
  <c r="I39" i="2"/>
  <c r="E39" i="2"/>
  <c r="D39" i="2"/>
  <c r="C39" i="2"/>
  <c r="T38" i="2"/>
  <c r="S38" i="2"/>
  <c r="N38" i="2"/>
  <c r="M38" i="2"/>
  <c r="J38" i="2"/>
  <c r="I38" i="2"/>
  <c r="D38" i="2"/>
  <c r="C38" i="2"/>
  <c r="Z37" i="2"/>
  <c r="Y37" i="2"/>
  <c r="X37" i="2"/>
  <c r="AA37" i="2" s="1"/>
  <c r="AB37" i="2" s="1"/>
  <c r="U37" i="2"/>
  <c r="V37" i="2" s="1"/>
  <c r="T37" i="2"/>
  <c r="S37" i="2"/>
  <c r="O37" i="2"/>
  <c r="N37" i="2"/>
  <c r="L37" i="2"/>
  <c r="C37" i="2"/>
  <c r="X36" i="2"/>
  <c r="U36" i="2"/>
  <c r="V36" i="2" s="1"/>
  <c r="T36" i="2"/>
  <c r="S36" i="2"/>
  <c r="M36" i="2"/>
  <c r="K36" i="2"/>
  <c r="J36" i="2"/>
  <c r="I36" i="2"/>
  <c r="E36" i="2"/>
  <c r="C36" i="2"/>
  <c r="U35" i="2"/>
  <c r="T35" i="2"/>
  <c r="S35" i="2"/>
  <c r="R35" i="2"/>
  <c r="O35" i="2"/>
  <c r="M35" i="2"/>
  <c r="L35" i="2"/>
  <c r="C35" i="2"/>
  <c r="U34" i="2"/>
  <c r="V34" i="2" s="1"/>
  <c r="T34" i="2"/>
  <c r="S34" i="2"/>
  <c r="R34" i="2"/>
  <c r="O34" i="2"/>
  <c r="L34" i="2"/>
  <c r="C34" i="2"/>
  <c r="U33" i="2"/>
  <c r="T33" i="2"/>
  <c r="S33" i="2"/>
  <c r="O33" i="2"/>
  <c r="M33" i="2"/>
  <c r="K33" i="2"/>
  <c r="J33" i="2"/>
  <c r="I33" i="2"/>
  <c r="C33" i="2"/>
  <c r="U32" i="2"/>
  <c r="V32" i="2" s="1"/>
  <c r="T32" i="2"/>
  <c r="S32" i="2"/>
  <c r="M32" i="2"/>
  <c r="K32" i="2"/>
  <c r="J32" i="2"/>
  <c r="I32" i="2"/>
  <c r="E32" i="2"/>
  <c r="C32" i="2"/>
  <c r="U31" i="2"/>
  <c r="T31" i="2"/>
  <c r="S31" i="2"/>
  <c r="M31" i="2"/>
  <c r="E31" i="2"/>
  <c r="D31" i="2"/>
  <c r="U30" i="2"/>
  <c r="O30" i="2"/>
  <c r="N30" i="2"/>
  <c r="K30" i="2"/>
  <c r="J30" i="2"/>
  <c r="I30" i="2"/>
  <c r="C30" i="2"/>
  <c r="S29" i="2"/>
  <c r="M29" i="2"/>
  <c r="E29" i="2"/>
  <c r="U28" i="2"/>
  <c r="Q28" i="2"/>
  <c r="N28" i="2"/>
  <c r="E28" i="2"/>
  <c r="D28" i="2"/>
  <c r="C28" i="2"/>
  <c r="Z27" i="2"/>
  <c r="Y27" i="2"/>
  <c r="U27" i="2"/>
  <c r="Q27" i="2"/>
  <c r="N27" i="2"/>
  <c r="M27" i="2"/>
  <c r="U26" i="2"/>
  <c r="V26" i="2" s="1"/>
  <c r="T26" i="2"/>
  <c r="S26" i="2"/>
  <c r="R26" i="2"/>
  <c r="Q26" i="2"/>
  <c r="P26" i="2"/>
  <c r="O26" i="2"/>
  <c r="N26" i="2"/>
  <c r="M26" i="2"/>
  <c r="J26" i="2"/>
  <c r="I26" i="2"/>
  <c r="F26" i="2"/>
  <c r="C26" i="2"/>
  <c r="U25" i="2"/>
  <c r="V25" i="2" s="1"/>
  <c r="S25" i="2"/>
  <c r="R25" i="2"/>
  <c r="Q25" i="2"/>
  <c r="P25" i="2"/>
  <c r="O25" i="2"/>
  <c r="N25" i="2"/>
  <c r="M25" i="2"/>
  <c r="G25" i="2"/>
  <c r="F25" i="2"/>
  <c r="E25" i="2"/>
  <c r="X24" i="2"/>
  <c r="X27" i="2" s="1"/>
  <c r="AA27" i="2" s="1"/>
  <c r="U24" i="2"/>
  <c r="T24" i="2"/>
  <c r="S24" i="2"/>
  <c r="R24" i="2"/>
  <c r="Q24" i="2"/>
  <c r="P24" i="2"/>
  <c r="P28" i="2" s="1"/>
  <c r="N24" i="2"/>
  <c r="M24" i="2"/>
  <c r="G24" i="2"/>
  <c r="G28" i="2" s="1"/>
  <c r="C24" i="2"/>
  <c r="U23" i="2"/>
  <c r="R23" i="2"/>
  <c r="Q23" i="2"/>
  <c r="P23" i="2"/>
  <c r="N23" i="2"/>
  <c r="M23" i="2"/>
  <c r="G23" i="2"/>
  <c r="U22" i="2"/>
  <c r="T22" i="2"/>
  <c r="S22" i="2"/>
  <c r="R22" i="2"/>
  <c r="Q22" i="2"/>
  <c r="P22" i="2"/>
  <c r="N22" i="2"/>
  <c r="M22" i="2"/>
  <c r="C22" i="2"/>
  <c r="O14" i="2"/>
  <c r="L14" i="2"/>
  <c r="O13" i="2"/>
  <c r="L13" i="2"/>
  <c r="Y11" i="2"/>
  <c r="D5" i="1"/>
  <c r="D4" i="1"/>
  <c r="D3" i="1"/>
  <c r="D2" i="1"/>
  <c r="D22" i="5" l="1"/>
  <c r="Y22" i="5" s="1"/>
  <c r="AA22" i="5" s="1"/>
  <c r="D48" i="5"/>
  <c r="D18" i="5"/>
  <c r="F18" i="5"/>
  <c r="Y20" i="5"/>
  <c r="AA20" i="5" s="1"/>
  <c r="F11" i="5"/>
  <c r="E11" i="5"/>
  <c r="Y16" i="5"/>
  <c r="AA16" i="5" s="1"/>
  <c r="Y51" i="5"/>
  <c r="AA51" i="5" s="1"/>
  <c r="Y45" i="5"/>
  <c r="AA45" i="5" s="1"/>
  <c r="Y17" i="5"/>
  <c r="AA17" i="5" s="1"/>
  <c r="Y44" i="5"/>
  <c r="AA44" i="5" s="1"/>
  <c r="D11" i="5"/>
  <c r="Y50" i="5"/>
  <c r="AA50" i="5" s="1"/>
  <c r="Y38" i="5"/>
  <c r="AA38" i="5" s="1"/>
  <c r="I10" i="5"/>
  <c r="I6" i="5" s="1"/>
  <c r="I7" i="5" s="1"/>
  <c r="D10" i="5"/>
  <c r="J10" i="5"/>
  <c r="J6" i="5" s="1"/>
  <c r="K6" i="5"/>
  <c r="K5" i="5" s="1"/>
  <c r="L78" i="2"/>
  <c r="R28" i="2"/>
  <c r="V28" i="2" s="1"/>
  <c r="R27" i="2"/>
  <c r="V27" i="2" s="1"/>
  <c r="W88" i="2"/>
  <c r="I23" i="2" s="1"/>
  <c r="Y94" i="2"/>
  <c r="Y88" i="2"/>
  <c r="AB88" i="2" s="1"/>
  <c r="Y96" i="2"/>
  <c r="Y104" i="2" s="1"/>
  <c r="Y92" i="2"/>
  <c r="Z89" i="2"/>
  <c r="J24" i="2" s="1"/>
  <c r="Y93" i="2"/>
  <c r="Y108" i="2"/>
  <c r="Z108" i="2" s="1"/>
  <c r="J43" i="2" s="1"/>
  <c r="AL136" i="2"/>
  <c r="V31" i="2"/>
  <c r="N93" i="2"/>
  <c r="AK180" i="2"/>
  <c r="AK137" i="2"/>
  <c r="AL114" i="2"/>
  <c r="O49" i="2" s="1"/>
  <c r="V49" i="2" s="1"/>
  <c r="V30" i="2"/>
  <c r="L57" i="2"/>
  <c r="AL92" i="2"/>
  <c r="O27" i="2" s="1"/>
  <c r="Q93" i="2"/>
  <c r="L51" i="2"/>
  <c r="AA176" i="2"/>
  <c r="AC176" i="2" s="1"/>
  <c r="K155" i="2" s="1"/>
  <c r="AC118" i="2"/>
  <c r="K53" i="2" s="1"/>
  <c r="AL140" i="2"/>
  <c r="O75" i="2" s="1"/>
  <c r="AK87" i="2"/>
  <c r="AL87" i="2" s="1"/>
  <c r="O22" i="2" s="1"/>
  <c r="V22" i="2" s="1"/>
  <c r="AL89" i="2"/>
  <c r="O24" i="2" s="1"/>
  <c r="V24" i="2" s="1"/>
  <c r="AK92" i="2"/>
  <c r="AK88" i="2"/>
  <c r="AL88" i="2" s="1"/>
  <c r="O23" i="2" s="1"/>
  <c r="V23" i="2" s="1"/>
  <c r="AC137" i="2"/>
  <c r="K72" i="2" s="1"/>
  <c r="AC174" i="2"/>
  <c r="K153" i="2" s="1"/>
  <c r="AC140" i="2"/>
  <c r="K75" i="2" s="1"/>
  <c r="E241" i="2"/>
  <c r="C196" i="2" s="1"/>
  <c r="I241" i="2"/>
  <c r="L196" i="2"/>
  <c r="F23" i="2" s="1"/>
  <c r="L88" i="2"/>
  <c r="N88" i="2" s="1"/>
  <c r="L63" i="2"/>
  <c r="V75" i="2"/>
  <c r="I89" i="2"/>
  <c r="U87" i="2"/>
  <c r="W90" i="2"/>
  <c r="I25" i="2" s="1"/>
  <c r="AA90" i="2"/>
  <c r="AC90" i="2" s="1"/>
  <c r="K25" i="2" s="1"/>
  <c r="Z92" i="2"/>
  <c r="J27" i="2" s="1"/>
  <c r="V38" i="2"/>
  <c r="V152" i="2"/>
  <c r="V35" i="2"/>
  <c r="L39" i="2"/>
  <c r="V42" i="2"/>
  <c r="AB87" i="2"/>
  <c r="H100" i="2"/>
  <c r="V46" i="2"/>
  <c r="J88" i="2"/>
  <c r="F89" i="2"/>
  <c r="N89" i="2"/>
  <c r="H91" i="2"/>
  <c r="D26" i="2" s="1"/>
  <c r="X93" i="2"/>
  <c r="Z93" i="2" s="1"/>
  <c r="J28" i="2" s="1"/>
  <c r="G95" i="2"/>
  <c r="F98" i="2"/>
  <c r="AL113" i="2"/>
  <c r="O48" i="2" s="1"/>
  <c r="V48" i="2" s="1"/>
  <c r="AL115" i="2"/>
  <c r="O50" i="2" s="1"/>
  <c r="V50" i="2" s="1"/>
  <c r="AJ175" i="2"/>
  <c r="AJ188" i="2"/>
  <c r="AJ176" i="2"/>
  <c r="AA134" i="2"/>
  <c r="AC134" i="2" s="1"/>
  <c r="K69" i="2" s="1"/>
  <c r="AA139" i="2"/>
  <c r="AC139" i="2" s="1"/>
  <c r="K74" i="2" s="1"/>
  <c r="AC186" i="2"/>
  <c r="K165" i="2" s="1"/>
  <c r="AC144" i="2"/>
  <c r="AG174" i="2"/>
  <c r="AI174" i="2" s="1"/>
  <c r="N153" i="2" s="1"/>
  <c r="AS176" i="2"/>
  <c r="AU176" i="2" s="1"/>
  <c r="T155" i="2" s="1"/>
  <c r="W185" i="2"/>
  <c r="I164" i="2" s="1"/>
  <c r="U188" i="2"/>
  <c r="W188" i="2" s="1"/>
  <c r="I167" i="2" s="1"/>
  <c r="O186" i="2"/>
  <c r="Q186" i="2" s="1"/>
  <c r="C240" i="2"/>
  <c r="T242" i="2"/>
  <c r="H197" i="2" s="1"/>
  <c r="K244" i="2"/>
  <c r="E199" i="2" s="1"/>
  <c r="AI244" i="2"/>
  <c r="P199" i="2" s="1"/>
  <c r="AG240" i="2"/>
  <c r="AI240" i="2" s="1"/>
  <c r="P195" i="2" s="1"/>
  <c r="T247" i="2"/>
  <c r="H202" i="2" s="1"/>
  <c r="N202" i="2"/>
  <c r="H49" i="2" s="1"/>
  <c r="L49" i="2" s="1"/>
  <c r="W89" i="2"/>
  <c r="I24" i="2" s="1"/>
  <c r="M92" i="2"/>
  <c r="N92" i="2" s="1"/>
  <c r="U92" i="2"/>
  <c r="W92" i="2" s="1"/>
  <c r="I27" i="2" s="1"/>
  <c r="U96" i="2"/>
  <c r="G98" i="2"/>
  <c r="F99" i="2"/>
  <c r="AC121" i="2"/>
  <c r="K56" i="2" s="1"/>
  <c r="L56" i="2" s="1"/>
  <c r="AL129" i="2"/>
  <c r="O64" i="2" s="1"/>
  <c r="V64" i="2" s="1"/>
  <c r="AJ134" i="2"/>
  <c r="AL134" i="2" s="1"/>
  <c r="O69" i="2" s="1"/>
  <c r="V69" i="2" s="1"/>
  <c r="AJ139" i="2"/>
  <c r="AL139" i="2" s="1"/>
  <c r="O74" i="2" s="1"/>
  <c r="V74" i="2" s="1"/>
  <c r="T141" i="2"/>
  <c r="H186" i="2"/>
  <c r="D165" i="2" s="1"/>
  <c r="F176" i="2"/>
  <c r="H176" i="2" s="1"/>
  <c r="D155" i="2" s="1"/>
  <c r="F184" i="2"/>
  <c r="H175" i="2"/>
  <c r="D154" i="2" s="1"/>
  <c r="AA175" i="2"/>
  <c r="U184" i="2"/>
  <c r="W184" i="2" s="1"/>
  <c r="I163" i="2" s="1"/>
  <c r="AK185" i="2"/>
  <c r="AL185" i="2" s="1"/>
  <c r="AU185" i="2"/>
  <c r="T164" i="2" s="1"/>
  <c r="AR186" i="2"/>
  <c r="S165" i="2" s="1"/>
  <c r="AQ176" i="2"/>
  <c r="K306" i="2"/>
  <c r="E285" i="2" s="1"/>
  <c r="T253" i="2"/>
  <c r="H208" i="2" s="1"/>
  <c r="N208" i="2"/>
  <c r="H55" i="2" s="1"/>
  <c r="L55" i="2" s="1"/>
  <c r="T257" i="2"/>
  <c r="H212" i="2" s="1"/>
  <c r="N212" i="2"/>
  <c r="H59" i="2" s="1"/>
  <c r="L59" i="2" s="1"/>
  <c r="D80" i="2"/>
  <c r="V92" i="2"/>
  <c r="V96" i="2"/>
  <c r="G99" i="2"/>
  <c r="AB181" i="2"/>
  <c r="AC181" i="2" s="1"/>
  <c r="K160" i="2" s="1"/>
  <c r="AJ180" i="2"/>
  <c r="AL180" i="2" s="1"/>
  <c r="O159" i="2" s="1"/>
  <c r="V159" i="2" s="1"/>
  <c r="AB175" i="2"/>
  <c r="AB184" i="2" s="1"/>
  <c r="AL118" i="2"/>
  <c r="O53" i="2" s="1"/>
  <c r="V53" i="2" s="1"/>
  <c r="AL123" i="2"/>
  <c r="O58" i="2" s="1"/>
  <c r="V58" i="2" s="1"/>
  <c r="AC131" i="2"/>
  <c r="K66" i="2" s="1"/>
  <c r="L66" i="2" s="1"/>
  <c r="AA133" i="2"/>
  <c r="AC133" i="2" s="1"/>
  <c r="K68" i="2" s="1"/>
  <c r="AA138" i="2"/>
  <c r="AC138" i="2" s="1"/>
  <c r="K73" i="2" s="1"/>
  <c r="AK139" i="2"/>
  <c r="AC142" i="2"/>
  <c r="K77" i="2" s="1"/>
  <c r="L77" i="2" s="1"/>
  <c r="AC145" i="2"/>
  <c r="G184" i="2"/>
  <c r="AL183" i="2"/>
  <c r="O162" i="2" s="1"/>
  <c r="Z188" i="2"/>
  <c r="J167" i="2" s="1"/>
  <c r="AI186" i="2"/>
  <c r="N165" i="2" s="1"/>
  <c r="V165" i="2" s="1"/>
  <c r="M195" i="2"/>
  <c r="G22" i="2" s="1"/>
  <c r="AC242" i="2"/>
  <c r="K197" i="2" s="1"/>
  <c r="K270" i="2"/>
  <c r="E225" i="2" s="1"/>
  <c r="F174" i="2"/>
  <c r="AX183" i="2"/>
  <c r="U162" i="2" s="1"/>
  <c r="V162" i="2" s="1"/>
  <c r="AW184" i="2"/>
  <c r="AX184" i="2" s="1"/>
  <c r="U163" i="2" s="1"/>
  <c r="E242" i="2"/>
  <c r="C197" i="2" s="1"/>
  <c r="L197" i="2"/>
  <c r="F24" i="2" s="1"/>
  <c r="I242" i="2"/>
  <c r="AF243" i="2"/>
  <c r="O198" i="2" s="1"/>
  <c r="AE241" i="2"/>
  <c r="AE240" i="2"/>
  <c r="T246" i="2"/>
  <c r="H201" i="2" s="1"/>
  <c r="N201" i="2"/>
  <c r="H48" i="2" s="1"/>
  <c r="L48" i="2" s="1"/>
  <c r="T252" i="2"/>
  <c r="H207" i="2" s="1"/>
  <c r="N207" i="2"/>
  <c r="H54" i="2" s="1"/>
  <c r="L54" i="2" s="1"/>
  <c r="T260" i="2"/>
  <c r="H215" i="2" s="1"/>
  <c r="N215" i="2"/>
  <c r="H62" i="2" s="1"/>
  <c r="L62" i="2" s="1"/>
  <c r="R176" i="2"/>
  <c r="V94" i="2"/>
  <c r="W94" i="2" s="1"/>
  <c r="I29" i="2" s="1"/>
  <c r="X96" i="2"/>
  <c r="AB185" i="2"/>
  <c r="AB188" i="2" s="1"/>
  <c r="G181" i="2"/>
  <c r="G174" i="2" s="1"/>
  <c r="AC129" i="2"/>
  <c r="K64" i="2" s="1"/>
  <c r="AK138" i="2"/>
  <c r="AL138" i="2" s="1"/>
  <c r="O73" i="2" s="1"/>
  <c r="V73" i="2" s="1"/>
  <c r="W181" i="2"/>
  <c r="I160" i="2" s="1"/>
  <c r="U174" i="2"/>
  <c r="W174" i="2" s="1"/>
  <c r="I153" i="2" s="1"/>
  <c r="O182" i="2"/>
  <c r="Q182" i="2" s="1"/>
  <c r="AA185" i="2"/>
  <c r="N211" i="2"/>
  <c r="H58" i="2" s="1"/>
  <c r="L58" i="2" s="1"/>
  <c r="AF240" i="2"/>
  <c r="O195" i="2" s="1"/>
  <c r="E243" i="2"/>
  <c r="C198" i="2" s="1"/>
  <c r="I243" i="2"/>
  <c r="AB244" i="2"/>
  <c r="S91" i="2" s="1"/>
  <c r="T91" i="2" s="1"/>
  <c r="Z244" i="2"/>
  <c r="J199" i="2" s="1"/>
  <c r="Y240" i="2"/>
  <c r="P87" i="2" s="1"/>
  <c r="Q87" i="2" s="1"/>
  <c r="K269" i="2"/>
  <c r="E224" i="2" s="1"/>
  <c r="K272" i="2"/>
  <c r="E227" i="2" s="1"/>
  <c r="G27" i="2"/>
  <c r="AA89" i="2"/>
  <c r="AA180" i="2"/>
  <c r="AC125" i="2"/>
  <c r="K60" i="2" s="1"/>
  <c r="S127" i="2"/>
  <c r="T127" i="2" s="1"/>
  <c r="H129" i="2"/>
  <c r="D64" i="2" s="1"/>
  <c r="L64" i="2" s="1"/>
  <c r="AL179" i="2"/>
  <c r="O158" i="2" s="1"/>
  <c r="V158" i="2" s="1"/>
  <c r="AJ137" i="2"/>
  <c r="H182" i="2"/>
  <c r="D161" i="2" s="1"/>
  <c r="T142" i="2"/>
  <c r="AB174" i="2"/>
  <c r="K175" i="2"/>
  <c r="E154" i="2" s="1"/>
  <c r="AU181" i="2"/>
  <c r="T160" i="2" s="1"/>
  <c r="E185" i="2"/>
  <c r="C164" i="2" s="1"/>
  <c r="AR188" i="2"/>
  <c r="S167" i="2" s="1"/>
  <c r="R240" i="2"/>
  <c r="T240" i="2" s="1"/>
  <c r="H195" i="2" s="1"/>
  <c r="AC244" i="2"/>
  <c r="K199" i="2" s="1"/>
  <c r="T248" i="2"/>
  <c r="H203" i="2" s="1"/>
  <c r="N203" i="2"/>
  <c r="H50" i="2" s="1"/>
  <c r="L50" i="2" s="1"/>
  <c r="T251" i="2"/>
  <c r="H206" i="2" s="1"/>
  <c r="N206" i="2"/>
  <c r="H53" i="2" s="1"/>
  <c r="L53" i="2" s="1"/>
  <c r="N210" i="2"/>
  <c r="H57" i="2" s="1"/>
  <c r="T255" i="2"/>
  <c r="H210" i="2" s="1"/>
  <c r="T259" i="2"/>
  <c r="H214" i="2" s="1"/>
  <c r="N214" i="2"/>
  <c r="H61" i="2" s="1"/>
  <c r="L61" i="2" s="1"/>
  <c r="AC270" i="2"/>
  <c r="K225" i="2" s="1"/>
  <c r="K273" i="2"/>
  <c r="E228" i="2" s="1"/>
  <c r="P27" i="2"/>
  <c r="X88" i="2"/>
  <c r="AB89" i="2"/>
  <c r="X94" i="2"/>
  <c r="Z94" i="2" s="1"/>
  <c r="J29" i="2" s="1"/>
  <c r="K111" i="2"/>
  <c r="E46" i="2" s="1"/>
  <c r="L46" i="2" s="1"/>
  <c r="AJ181" i="2"/>
  <c r="AB180" i="2"/>
  <c r="AL177" i="2"/>
  <c r="O156" i="2" s="1"/>
  <c r="V156" i="2" s="1"/>
  <c r="AC141" i="2"/>
  <c r="K76" i="2" s="1"/>
  <c r="L76" i="2" s="1"/>
  <c r="AF174" i="2"/>
  <c r="M153" i="2" s="1"/>
  <c r="N176" i="2"/>
  <c r="H177" i="2"/>
  <c r="D156" i="2" s="1"/>
  <c r="F188" i="2"/>
  <c r="AL187" i="2"/>
  <c r="O166" i="2" s="1"/>
  <c r="AA241" i="2"/>
  <c r="AC241" i="2" s="1"/>
  <c r="K196" i="2" s="1"/>
  <c r="AC269" i="2"/>
  <c r="K224" i="2" s="1"/>
  <c r="F136" i="2"/>
  <c r="H136" i="2" s="1"/>
  <c r="D71" i="2" s="1"/>
  <c r="AR176" i="2"/>
  <c r="S155" i="2" s="1"/>
  <c r="AX187" i="2"/>
  <c r="U166" i="2" s="1"/>
  <c r="V166" i="2" s="1"/>
  <c r="AW188" i="2"/>
  <c r="AX188" i="2" s="1"/>
  <c r="U167" i="2" s="1"/>
  <c r="AF241" i="2"/>
  <c r="O196" i="2" s="1"/>
  <c r="AR244" i="2"/>
  <c r="S199" i="2" s="1"/>
  <c r="AQ240" i="2"/>
  <c r="AR240" i="2" s="1"/>
  <c r="S195" i="2" s="1"/>
  <c r="N205" i="2"/>
  <c r="H52" i="2" s="1"/>
  <c r="L52" i="2" s="1"/>
  <c r="T250" i="2"/>
  <c r="H205" i="2" s="1"/>
  <c r="N213" i="2"/>
  <c r="H60" i="2" s="1"/>
  <c r="L60" i="2" s="1"/>
  <c r="T258" i="2"/>
  <c r="H213" i="2" s="1"/>
  <c r="G188" i="2"/>
  <c r="M199" i="2"/>
  <c r="G26" i="2" s="1"/>
  <c r="AY240" i="2"/>
  <c r="BA240" i="2" s="1"/>
  <c r="V195" i="2" s="1"/>
  <c r="AY241" i="2"/>
  <c r="BA241" i="2" s="1"/>
  <c r="V196" i="2" s="1"/>
  <c r="AA243" i="2"/>
  <c r="AC243" i="2" s="1"/>
  <c r="K198" i="2" s="1"/>
  <c r="K262" i="2"/>
  <c r="E217" i="2" s="1"/>
  <c r="R272" i="2"/>
  <c r="AB272" i="2"/>
  <c r="AB273" i="2"/>
  <c r="L286" i="2"/>
  <c r="F153" i="2" s="1"/>
  <c r="N306" i="2"/>
  <c r="F285" i="2" s="1"/>
  <c r="AF309" i="2"/>
  <c r="O288" i="2" s="1"/>
  <c r="AR309" i="2"/>
  <c r="S288" i="2" s="1"/>
  <c r="R311" i="2"/>
  <c r="I313" i="2"/>
  <c r="L292" i="2"/>
  <c r="F159" i="2" s="1"/>
  <c r="M292" i="2"/>
  <c r="G159" i="2" s="1"/>
  <c r="Q313" i="2"/>
  <c r="G292" i="2" s="1"/>
  <c r="R314" i="2"/>
  <c r="R315" i="2"/>
  <c r="N316" i="2"/>
  <c r="AL317" i="2"/>
  <c r="Q296" i="2" s="1"/>
  <c r="AU316" i="2"/>
  <c r="T295" i="2" s="1"/>
  <c r="AM317" i="2"/>
  <c r="AO317" i="2" s="1"/>
  <c r="R296" i="2" s="1"/>
  <c r="AR318" i="2"/>
  <c r="S297" i="2" s="1"/>
  <c r="S320" i="2"/>
  <c r="S321" i="2" s="1"/>
  <c r="AY321" i="2"/>
  <c r="BA321" i="2" s="1"/>
  <c r="V300" i="2" s="1"/>
  <c r="Y343" i="2"/>
  <c r="X344" i="2"/>
  <c r="Y405" i="2"/>
  <c r="Y414" i="2"/>
  <c r="X529" i="2"/>
  <c r="AP184" i="2"/>
  <c r="AR184" i="2" s="1"/>
  <c r="S163" i="2" s="1"/>
  <c r="Z185" i="2"/>
  <c r="J164" i="2" s="1"/>
  <c r="AR185" i="2"/>
  <c r="S164" i="2" s="1"/>
  <c r="AB243" i="2"/>
  <c r="S90" i="2" s="1"/>
  <c r="N244" i="2"/>
  <c r="F199" i="2" s="1"/>
  <c r="AA271" i="2"/>
  <c r="J272" i="2"/>
  <c r="S139" i="2" s="1"/>
  <c r="Z273" i="2"/>
  <c r="J228" i="2" s="1"/>
  <c r="I316" i="2"/>
  <c r="K278" i="2"/>
  <c r="M293" i="2"/>
  <c r="G160" i="2" s="1"/>
  <c r="AL306" i="2"/>
  <c r="Q285" i="2" s="1"/>
  <c r="O307" i="2"/>
  <c r="AA307" i="2"/>
  <c r="AC307" i="2" s="1"/>
  <c r="K286" i="2" s="1"/>
  <c r="AF310" i="2"/>
  <c r="O289" i="2" s="1"/>
  <c r="J313" i="2"/>
  <c r="S180" i="2" s="1"/>
  <c r="AG321" i="2"/>
  <c r="AI321" i="2" s="1"/>
  <c r="P300" i="2" s="1"/>
  <c r="AG309" i="2"/>
  <c r="AI309" i="2" s="1"/>
  <c r="P288" i="2" s="1"/>
  <c r="AQ309" i="2"/>
  <c r="I320" i="2"/>
  <c r="I321" i="2" s="1"/>
  <c r="W321" i="2"/>
  <c r="I300" i="2" s="1"/>
  <c r="X334" i="2"/>
  <c r="Y361" i="2"/>
  <c r="X364" i="2"/>
  <c r="Y440" i="2"/>
  <c r="X479" i="2"/>
  <c r="AX317" i="2"/>
  <c r="U296" i="2" s="1"/>
  <c r="Q311" i="2"/>
  <c r="G290" i="2" s="1"/>
  <c r="M290" i="2"/>
  <c r="G157" i="2" s="1"/>
  <c r="Q315" i="2"/>
  <c r="G294" i="2" s="1"/>
  <c r="M294" i="2"/>
  <c r="G161" i="2" s="1"/>
  <c r="Q316" i="2"/>
  <c r="M295" i="2"/>
  <c r="O317" i="2"/>
  <c r="Q317" i="2" s="1"/>
  <c r="G296" i="2" s="1"/>
  <c r="AA321" i="2"/>
  <c r="R266" i="2"/>
  <c r="R267" i="2"/>
  <c r="R268" i="2"/>
  <c r="R270" i="2"/>
  <c r="AA273" i="2"/>
  <c r="E306" i="2"/>
  <c r="C285" i="2" s="1"/>
  <c r="E307" i="2"/>
  <c r="C286" i="2" s="1"/>
  <c r="S307" i="2"/>
  <c r="S174" i="2" s="1"/>
  <c r="AF307" i="2"/>
  <c r="O286" i="2" s="1"/>
  <c r="M317" i="2"/>
  <c r="N317" i="2" s="1"/>
  <c r="F296" i="2" s="1"/>
  <c r="N308" i="2"/>
  <c r="F287" i="2" s="1"/>
  <c r="J311" i="2"/>
  <c r="S178" i="2" s="1"/>
  <c r="R312" i="2"/>
  <c r="T312" i="2" s="1"/>
  <c r="H291" i="2" s="1"/>
  <c r="AX312" i="2"/>
  <c r="U291" i="2" s="1"/>
  <c r="H313" i="2"/>
  <c r="D292" i="2" s="1"/>
  <c r="K314" i="2"/>
  <c r="E293" i="2" s="1"/>
  <c r="N293" i="2"/>
  <c r="H160" i="2" s="1"/>
  <c r="K315" i="2"/>
  <c r="E294" i="2" s="1"/>
  <c r="L295" i="2"/>
  <c r="AI318" i="2"/>
  <c r="P297" i="2" s="1"/>
  <c r="Y340" i="2"/>
  <c r="X339" i="2" s="1"/>
  <c r="Y369" i="2"/>
  <c r="Y410" i="2"/>
  <c r="X484" i="2"/>
  <c r="X509" i="2"/>
  <c r="X539" i="2"/>
  <c r="X554" i="2"/>
  <c r="X579" i="2"/>
  <c r="S269" i="2"/>
  <c r="S136" i="2" s="1"/>
  <c r="T136" i="2" s="1"/>
  <c r="AA272" i="2"/>
  <c r="AC272" i="2" s="1"/>
  <c r="K227" i="2" s="1"/>
  <c r="L290" i="2"/>
  <c r="F157" i="2" s="1"/>
  <c r="C317" i="2"/>
  <c r="I308" i="2"/>
  <c r="L287" i="2"/>
  <c r="F154" i="2" s="1"/>
  <c r="Q308" i="2"/>
  <c r="G287" i="2" s="1"/>
  <c r="M287" i="2"/>
  <c r="G154" i="2" s="1"/>
  <c r="AY317" i="2"/>
  <c r="BA317" i="2" s="1"/>
  <c r="V296" i="2" s="1"/>
  <c r="BA308" i="2"/>
  <c r="V287" i="2" s="1"/>
  <c r="W309" i="2"/>
  <c r="I288" i="2" s="1"/>
  <c r="W310" i="2"/>
  <c r="I289" i="2" s="1"/>
  <c r="E311" i="2"/>
  <c r="C290" i="2" s="1"/>
  <c r="X404" i="2"/>
  <c r="X439" i="2"/>
  <c r="X599" i="2"/>
  <c r="N216" i="2"/>
  <c r="H63" i="2" s="1"/>
  <c r="T306" i="2"/>
  <c r="H285" i="2" s="1"/>
  <c r="S306" i="2"/>
  <c r="S173" i="2" s="1"/>
  <c r="T173" i="2" s="1"/>
  <c r="Z309" i="2"/>
  <c r="J288" i="2" s="1"/>
  <c r="I312" i="2"/>
  <c r="L291" i="2"/>
  <c r="F158" i="2" s="1"/>
  <c r="L297" i="2"/>
  <c r="F164" i="2" s="1"/>
  <c r="E318" i="2"/>
  <c r="C297" i="2" s="1"/>
  <c r="Y321" i="2"/>
  <c r="Z321" i="2" s="1"/>
  <c r="J300" i="2" s="1"/>
  <c r="Y309" i="2"/>
  <c r="P176" i="2" s="1"/>
  <c r="Q176" i="2" s="1"/>
  <c r="E320" i="2"/>
  <c r="C299" i="2" s="1"/>
  <c r="L299" i="2"/>
  <c r="E321" i="2"/>
  <c r="C300" i="2" s="1"/>
  <c r="X384" i="2"/>
  <c r="Y418" i="2"/>
  <c r="Y427" i="2"/>
  <c r="X424" i="2" s="1"/>
  <c r="X434" i="2"/>
  <c r="X544" i="2"/>
  <c r="X584" i="2"/>
  <c r="U240" i="2"/>
  <c r="N271" i="2"/>
  <c r="F226" i="2" s="1"/>
  <c r="AR271" i="2"/>
  <c r="S226" i="2" s="1"/>
  <c r="H273" i="2"/>
  <c r="D228" i="2" s="1"/>
  <c r="S273" i="2"/>
  <c r="S140" i="2" s="1"/>
  <c r="AR273" i="2"/>
  <c r="S228" i="2" s="1"/>
  <c r="S316" i="2"/>
  <c r="T316" i="2" s="1"/>
  <c r="T278" i="2"/>
  <c r="E308" i="2"/>
  <c r="C287" i="2" s="1"/>
  <c r="S317" i="2"/>
  <c r="AF308" i="2"/>
  <c r="O287" i="2" s="1"/>
  <c r="J312" i="2"/>
  <c r="S179" i="2" s="1"/>
  <c r="R313" i="2"/>
  <c r="T313" i="2" s="1"/>
  <c r="H292" i="2" s="1"/>
  <c r="AX313" i="2"/>
  <c r="U292" i="2" s="1"/>
  <c r="H314" i="2"/>
  <c r="D293" i="2" s="1"/>
  <c r="W314" i="2"/>
  <c r="I293" i="2" s="1"/>
  <c r="AX314" i="2"/>
  <c r="U293" i="2" s="1"/>
  <c r="W315" i="2"/>
  <c r="I294" i="2" s="1"/>
  <c r="BD317" i="2"/>
  <c r="W296" i="2" s="1"/>
  <c r="K319" i="2"/>
  <c r="E298" i="2" s="1"/>
  <c r="AC320" i="2"/>
  <c r="K299" i="2" s="1"/>
  <c r="AQ321" i="2"/>
  <c r="X409" i="2"/>
  <c r="X444" i="2"/>
  <c r="X469" i="2"/>
  <c r="X494" i="2"/>
  <c r="X519" i="2"/>
  <c r="X549" i="2"/>
  <c r="T320" i="2"/>
  <c r="H299" i="2" s="1"/>
  <c r="R307" i="2"/>
  <c r="U317" i="2"/>
  <c r="W317" i="2" s="1"/>
  <c r="I296" i="2" s="1"/>
  <c r="Q309" i="2"/>
  <c r="G288" i="2" s="1"/>
  <c r="M288" i="2"/>
  <c r="G155" i="2" s="1"/>
  <c r="L289" i="2"/>
  <c r="F156" i="2" s="1"/>
  <c r="I310" i="2"/>
  <c r="K311" i="2"/>
  <c r="E290" i="2" s="1"/>
  <c r="E312" i="2"/>
  <c r="C291" i="2" s="1"/>
  <c r="AF312" i="2"/>
  <c r="O291" i="2" s="1"/>
  <c r="AI317" i="2"/>
  <c r="P296" i="2" s="1"/>
  <c r="H321" i="2"/>
  <c r="D300" i="2" s="1"/>
  <c r="M300" i="2"/>
  <c r="AF321" i="2"/>
  <c r="O300" i="2" s="1"/>
  <c r="AU321" i="2"/>
  <c r="T300" i="2" s="1"/>
  <c r="Y330" i="2"/>
  <c r="X329" i="2" s="1"/>
  <c r="Y332" i="2"/>
  <c r="X359" i="2"/>
  <c r="Y373" i="2"/>
  <c r="Y382" i="2"/>
  <c r="X379" i="2" s="1"/>
  <c r="Y391" i="2"/>
  <c r="X389" i="2" s="1"/>
  <c r="Y400" i="2"/>
  <c r="X399" i="2" s="1"/>
  <c r="Y423" i="2"/>
  <c r="X419" i="2" s="1"/>
  <c r="Y432" i="2"/>
  <c r="X429" i="2" s="1"/>
  <c r="X449" i="2"/>
  <c r="X464" i="2"/>
  <c r="X499" i="2"/>
  <c r="X514" i="2"/>
  <c r="X564" i="2"/>
  <c r="X569" i="2"/>
  <c r="X589" i="2"/>
  <c r="AB308" i="2"/>
  <c r="AB317" i="2" s="1"/>
  <c r="AC317" i="2" s="1"/>
  <c r="K296" i="2" s="1"/>
  <c r="F317" i="2"/>
  <c r="AD317" i="2"/>
  <c r="AF317" i="2" s="1"/>
  <c r="O296" i="2" s="1"/>
  <c r="H318" i="2"/>
  <c r="D297" i="2" s="1"/>
  <c r="AF318" i="2"/>
  <c r="O297" i="2" s="1"/>
  <c r="BD320" i="2"/>
  <c r="W299" i="2" s="1"/>
  <c r="AP321" i="2"/>
  <c r="AR321" i="2" s="1"/>
  <c r="S300" i="2" s="1"/>
  <c r="G788" i="2"/>
  <c r="H788" i="2" s="1"/>
  <c r="E800" i="2"/>
  <c r="E801" i="2"/>
  <c r="E809" i="2"/>
  <c r="H858" i="2"/>
  <c r="Z27" i="3"/>
  <c r="O28" i="3"/>
  <c r="K56" i="3"/>
  <c r="K64" i="3"/>
  <c r="AG90" i="3"/>
  <c r="AG87" i="3"/>
  <c r="U71" i="3"/>
  <c r="Y87" i="3"/>
  <c r="I24" i="3" s="1"/>
  <c r="L293" i="2"/>
  <c r="F160" i="2" s="1"/>
  <c r="AX308" i="2"/>
  <c r="U287" i="2" s="1"/>
  <c r="N310" i="2"/>
  <c r="F289" i="2" s="1"/>
  <c r="N311" i="2"/>
  <c r="F290" i="2" s="1"/>
  <c r="N312" i="2"/>
  <c r="F291" i="2" s="1"/>
  <c r="N313" i="2"/>
  <c r="F292" i="2" s="1"/>
  <c r="N314" i="2"/>
  <c r="F293" i="2" s="1"/>
  <c r="N315" i="2"/>
  <c r="F294" i="2" s="1"/>
  <c r="AL316" i="2"/>
  <c r="Q295" i="2" s="1"/>
  <c r="X317" i="2"/>
  <c r="Z317" i="2" s="1"/>
  <c r="J296" i="2" s="1"/>
  <c r="J318" i="2"/>
  <c r="K318" i="2" s="1"/>
  <c r="E297" i="2" s="1"/>
  <c r="R318" i="2"/>
  <c r="R185" i="2" s="1"/>
  <c r="Z318" i="2"/>
  <c r="J297" i="2" s="1"/>
  <c r="R319" i="2"/>
  <c r="T319" i="2" s="1"/>
  <c r="H298" i="2" s="1"/>
  <c r="L321" i="2"/>
  <c r="N321" i="2" s="1"/>
  <c r="F300" i="2" s="1"/>
  <c r="AJ321" i="2"/>
  <c r="AL321" i="2" s="1"/>
  <c r="Q300" i="2" s="1"/>
  <c r="E811" i="2"/>
  <c r="E812" i="2"/>
  <c r="E863" i="2"/>
  <c r="H866" i="2"/>
  <c r="F869" i="2"/>
  <c r="U40" i="3"/>
  <c r="P90" i="3"/>
  <c r="D814" i="2"/>
  <c r="E814" i="2" s="1"/>
  <c r="D810" i="2"/>
  <c r="T148" i="3"/>
  <c r="U148" i="3" s="1"/>
  <c r="U45" i="3"/>
  <c r="E95" i="3"/>
  <c r="G89" i="3"/>
  <c r="C26" i="3" s="1"/>
  <c r="E87" i="3"/>
  <c r="G87" i="3" s="1"/>
  <c r="C24" i="3" s="1"/>
  <c r="E104" i="3"/>
  <c r="E88" i="3"/>
  <c r="E93" i="3"/>
  <c r="G93" i="3" s="1"/>
  <c r="C30" i="3" s="1"/>
  <c r="K30" i="3" s="1"/>
  <c r="AP317" i="2"/>
  <c r="AR317" i="2" s="1"/>
  <c r="S296" i="2" s="1"/>
  <c r="AB318" i="2"/>
  <c r="AB321" i="2" s="1"/>
  <c r="E796" i="2"/>
  <c r="F814" i="2"/>
  <c r="H814" i="2" s="1"/>
  <c r="F810" i="2"/>
  <c r="H810" i="2" s="1"/>
  <c r="H838" i="2"/>
  <c r="D865" i="2"/>
  <c r="E865" i="2" s="1"/>
  <c r="U28" i="3"/>
  <c r="K38" i="3"/>
  <c r="K50" i="3"/>
  <c r="K54" i="3"/>
  <c r="K58" i="3"/>
  <c r="U59" i="3"/>
  <c r="K62" i="3"/>
  <c r="Z86" i="3"/>
  <c r="AB86" i="3" s="1"/>
  <c r="J23" i="3" s="1"/>
  <c r="Y86" i="3"/>
  <c r="I23" i="3" s="1"/>
  <c r="H795" i="2"/>
  <c r="K801" i="2"/>
  <c r="C810" i="2"/>
  <c r="E810" i="2" s="1"/>
  <c r="U39" i="3"/>
  <c r="K74" i="3"/>
  <c r="D87" i="3"/>
  <c r="B24" i="3" s="1"/>
  <c r="Y88" i="3"/>
  <c r="I25" i="3" s="1"/>
  <c r="J90" i="3"/>
  <c r="D27" i="3" s="1"/>
  <c r="V90" i="3"/>
  <c r="H27" i="3" s="1"/>
  <c r="E90" i="3"/>
  <c r="E92" i="3"/>
  <c r="J308" i="2"/>
  <c r="R308" i="2"/>
  <c r="AX318" i="2"/>
  <c r="U297" i="2" s="1"/>
  <c r="E855" i="2"/>
  <c r="H856" i="2"/>
  <c r="Z87" i="3"/>
  <c r="U94" i="3"/>
  <c r="V94" i="3" s="1"/>
  <c r="H31" i="3" s="1"/>
  <c r="U92" i="3"/>
  <c r="V92" i="3" s="1"/>
  <c r="H29" i="3" s="1"/>
  <c r="U87" i="3"/>
  <c r="V87" i="3" s="1"/>
  <c r="H24" i="3" s="1"/>
  <c r="V89" i="3"/>
  <c r="H26" i="3" s="1"/>
  <c r="AA89" i="3"/>
  <c r="U88" i="3"/>
  <c r="U91" i="3"/>
  <c r="V91" i="3" s="1"/>
  <c r="H28" i="3" s="1"/>
  <c r="AM90" i="3"/>
  <c r="AM91" i="3"/>
  <c r="J91" i="3"/>
  <c r="D28" i="3" s="1"/>
  <c r="U32" i="3"/>
  <c r="K55" i="3"/>
  <c r="AH95" i="3"/>
  <c r="M32" i="3" s="1"/>
  <c r="AF89" i="3"/>
  <c r="AF93" i="3"/>
  <c r="G855" i="2"/>
  <c r="H855" i="2" s="1"/>
  <c r="G85" i="3"/>
  <c r="C22" i="3" s="1"/>
  <c r="Y89" i="3"/>
  <c r="I26" i="3" s="1"/>
  <c r="W92" i="3"/>
  <c r="Y92" i="3" s="1"/>
  <c r="I29" i="3" s="1"/>
  <c r="W94" i="3"/>
  <c r="F95" i="3"/>
  <c r="AA166" i="3"/>
  <c r="AA175" i="3"/>
  <c r="AA167" i="3"/>
  <c r="AA135" i="3"/>
  <c r="S124" i="3"/>
  <c r="S129" i="3"/>
  <c r="AT134" i="3"/>
  <c r="S71" i="3" s="1"/>
  <c r="J136" i="3"/>
  <c r="D73" i="3" s="1"/>
  <c r="D86" i="3"/>
  <c r="B23" i="3" s="1"/>
  <c r="H87" i="3"/>
  <c r="J87" i="3" s="1"/>
  <c r="D24" i="3" s="1"/>
  <c r="X87" i="3"/>
  <c r="T88" i="3"/>
  <c r="J89" i="3"/>
  <c r="D26" i="3" s="1"/>
  <c r="Z90" i="3"/>
  <c r="N91" i="3"/>
  <c r="P91" i="3" s="1"/>
  <c r="X92" i="3"/>
  <c r="AF92" i="3"/>
  <c r="AH92" i="3" s="1"/>
  <c r="M29" i="3" s="1"/>
  <c r="U29" i="3" s="1"/>
  <c r="AG93" i="3"/>
  <c r="J94" i="3"/>
  <c r="D31" i="3" s="1"/>
  <c r="X94" i="3"/>
  <c r="X101" i="3" s="1"/>
  <c r="W105" i="3"/>
  <c r="Y105" i="3" s="1"/>
  <c r="I42" i="3" s="1"/>
  <c r="AB110" i="3"/>
  <c r="J47" i="3" s="1"/>
  <c r="K47" i="3" s="1"/>
  <c r="Z172" i="3"/>
  <c r="Z133" i="3"/>
  <c r="AB114" i="3"/>
  <c r="J51" i="3" s="1"/>
  <c r="K51" i="3" s="1"/>
  <c r="AB176" i="3"/>
  <c r="J159" i="3" s="1"/>
  <c r="AB118" i="3"/>
  <c r="J55" i="3" s="1"/>
  <c r="U157" i="3"/>
  <c r="G175" i="3"/>
  <c r="C158" i="3" s="1"/>
  <c r="G176" i="3"/>
  <c r="C159" i="3" s="1"/>
  <c r="AN229" i="3"/>
  <c r="Q185" i="3" s="1"/>
  <c r="C857" i="2"/>
  <c r="E857" i="2" s="1"/>
  <c r="G869" i="2"/>
  <c r="E27" i="3"/>
  <c r="I87" i="3"/>
  <c r="AK89" i="3"/>
  <c r="N26" i="3" s="1"/>
  <c r="K90" i="3"/>
  <c r="M90" i="3" s="1"/>
  <c r="F93" i="3"/>
  <c r="X105" i="3"/>
  <c r="AA172" i="3"/>
  <c r="AA176" i="3"/>
  <c r="Z168" i="3"/>
  <c r="AB168" i="3" s="1"/>
  <c r="J151" i="3" s="1"/>
  <c r="AB120" i="3"/>
  <c r="J57" i="3" s="1"/>
  <c r="K57" i="3" s="1"/>
  <c r="Z131" i="3"/>
  <c r="J132" i="3"/>
  <c r="D69" i="3" s="1"/>
  <c r="K69" i="3" s="1"/>
  <c r="AA133" i="3"/>
  <c r="V165" i="3"/>
  <c r="H148" i="3" s="1"/>
  <c r="AH175" i="3"/>
  <c r="M158" i="3" s="1"/>
  <c r="AQ175" i="3"/>
  <c r="R158" i="3" s="1"/>
  <c r="AH176" i="3"/>
  <c r="M159" i="3" s="1"/>
  <c r="AQ176" i="3"/>
  <c r="R159" i="3" s="1"/>
  <c r="J170" i="3"/>
  <c r="D153" i="3" s="1"/>
  <c r="E866" i="2"/>
  <c r="Z85" i="3"/>
  <c r="AB85" i="3" s="1"/>
  <c r="J22" i="3" s="1"/>
  <c r="F88" i="3"/>
  <c r="AB89" i="3"/>
  <c r="J26" i="3" s="1"/>
  <c r="X91" i="3"/>
  <c r="Y91" i="3" s="1"/>
  <c r="I28" i="3" s="1"/>
  <c r="Z92" i="3"/>
  <c r="F104" i="3"/>
  <c r="AB111" i="3"/>
  <c r="J48" i="3" s="1"/>
  <c r="K48" i="3" s="1"/>
  <c r="Z169" i="3"/>
  <c r="Z134" i="3"/>
  <c r="AB115" i="3"/>
  <c r="J52" i="3" s="1"/>
  <c r="K52" i="3" s="1"/>
  <c r="P120" i="3"/>
  <c r="AA131" i="3"/>
  <c r="AA168" i="3"/>
  <c r="Q173" i="3"/>
  <c r="S173" i="3" s="1"/>
  <c r="S137" i="3"/>
  <c r="J166" i="3"/>
  <c r="D149" i="3" s="1"/>
  <c r="J176" i="3"/>
  <c r="D159" i="3" s="1"/>
  <c r="J165" i="3"/>
  <c r="D148" i="3" s="1"/>
  <c r="AA169" i="3"/>
  <c r="AA134" i="3"/>
  <c r="H88" i="3"/>
  <c r="J88" i="3" s="1"/>
  <c r="D25" i="3" s="1"/>
  <c r="X88" i="3"/>
  <c r="F90" i="3"/>
  <c r="F92" i="3"/>
  <c r="F96" i="3"/>
  <c r="G96" i="3" s="1"/>
  <c r="F97" i="3"/>
  <c r="G97" i="3" s="1"/>
  <c r="AB112" i="3"/>
  <c r="J49" i="3" s="1"/>
  <c r="K49" i="3" s="1"/>
  <c r="Z136" i="3"/>
  <c r="AB136" i="3" s="1"/>
  <c r="J73" i="3" s="1"/>
  <c r="AA130" i="3"/>
  <c r="AB130" i="3" s="1"/>
  <c r="J67" i="3" s="1"/>
  <c r="K67" i="3" s="1"/>
  <c r="AB129" i="3"/>
  <c r="J66" i="3" s="1"/>
  <c r="K66" i="3" s="1"/>
  <c r="AI175" i="3"/>
  <c r="AK175" i="3" s="1"/>
  <c r="N158" i="3" s="1"/>
  <c r="U158" i="3" s="1"/>
  <c r="AK166" i="3"/>
  <c r="N149" i="3" s="1"/>
  <c r="U149" i="3" s="1"/>
  <c r="AI176" i="3"/>
  <c r="AK176" i="3" s="1"/>
  <c r="N159" i="3" s="1"/>
  <c r="AK168" i="3"/>
  <c r="N151" i="3" s="1"/>
  <c r="U151" i="3" s="1"/>
  <c r="U152" i="3"/>
  <c r="Q27" i="3"/>
  <c r="J108" i="3"/>
  <c r="D45" i="3" s="1"/>
  <c r="K45" i="3" s="1"/>
  <c r="P123" i="3"/>
  <c r="P124" i="3"/>
  <c r="M127" i="3"/>
  <c r="V130" i="3"/>
  <c r="H67" i="3" s="1"/>
  <c r="P131" i="3"/>
  <c r="U155" i="3"/>
  <c r="U150" i="3"/>
  <c r="Y176" i="3"/>
  <c r="I159" i="3" s="1"/>
  <c r="AB166" i="3"/>
  <c r="J149" i="3" s="1"/>
  <c r="Z175" i="3"/>
  <c r="AB175" i="3" s="1"/>
  <c r="J158" i="3" s="1"/>
  <c r="Z167" i="3"/>
  <c r="AB167" i="3" s="1"/>
  <c r="J150" i="3" s="1"/>
  <c r="Z135" i="3"/>
  <c r="AB135" i="3" s="1"/>
  <c r="J72" i="3" s="1"/>
  <c r="AB132" i="3"/>
  <c r="J69" i="3" s="1"/>
  <c r="U159" i="3"/>
  <c r="S231" i="3"/>
  <c r="G187" i="3" s="1"/>
  <c r="W175" i="3"/>
  <c r="Y175" i="3" s="1"/>
  <c r="I158" i="3" s="1"/>
  <c r="AH227" i="3"/>
  <c r="O183" i="3" s="1"/>
  <c r="Z228" i="3"/>
  <c r="V228" i="3"/>
  <c r="H184" i="3" s="1"/>
  <c r="AG229" i="3"/>
  <c r="G230" i="3"/>
  <c r="C186" i="3" s="1"/>
  <c r="AN230" i="3"/>
  <c r="Q186" i="3" s="1"/>
  <c r="M231" i="3"/>
  <c r="E187" i="3" s="1"/>
  <c r="S253" i="3"/>
  <c r="G209" i="3" s="1"/>
  <c r="P255" i="3"/>
  <c r="F211" i="3" s="1"/>
  <c r="L211" i="3"/>
  <c r="F69" i="3" s="1"/>
  <c r="AE255" i="3"/>
  <c r="N211" i="3" s="1"/>
  <c r="J257" i="3"/>
  <c r="D213" i="3" s="1"/>
  <c r="G259" i="3"/>
  <c r="C215" i="3" s="1"/>
  <c r="D166" i="3"/>
  <c r="B149" i="3" s="1"/>
  <c r="AT166" i="3"/>
  <c r="S149" i="3" s="1"/>
  <c r="D168" i="3"/>
  <c r="B151" i="3" s="1"/>
  <c r="AT168" i="3"/>
  <c r="S151" i="3" s="1"/>
  <c r="L174" i="3"/>
  <c r="M174" i="3" s="1"/>
  <c r="H175" i="3"/>
  <c r="J175" i="3" s="1"/>
  <c r="D158" i="3" s="1"/>
  <c r="D229" i="3"/>
  <c r="B185" i="3" s="1"/>
  <c r="Z229" i="3"/>
  <c r="V229" i="3"/>
  <c r="H185" i="3" s="1"/>
  <c r="X230" i="3"/>
  <c r="Y230" i="3" s="1"/>
  <c r="I186" i="3" s="1"/>
  <c r="X229" i="3"/>
  <c r="O87" i="3" s="1"/>
  <c r="J256" i="3"/>
  <c r="D212" i="3" s="1"/>
  <c r="M137" i="3"/>
  <c r="S138" i="3"/>
  <c r="AH228" i="3"/>
  <c r="O184" i="3" s="1"/>
  <c r="E229" i="3"/>
  <c r="H229" i="3" s="1"/>
  <c r="U229" i="3"/>
  <c r="AA229" i="3" s="1"/>
  <c r="R230" i="3"/>
  <c r="Y231" i="3"/>
  <c r="I187" i="3" s="1"/>
  <c r="AE253" i="3"/>
  <c r="N209" i="3" s="1"/>
  <c r="J255" i="3"/>
  <c r="D211" i="3" s="1"/>
  <c r="I256" i="3"/>
  <c r="G257" i="3"/>
  <c r="C213" i="3" s="1"/>
  <c r="Q259" i="3"/>
  <c r="V166" i="3"/>
  <c r="H149" i="3" s="1"/>
  <c r="V168" i="3"/>
  <c r="H151" i="3" s="1"/>
  <c r="Z171" i="3"/>
  <c r="AB171" i="3" s="1"/>
  <c r="J154" i="3" s="1"/>
  <c r="Z173" i="3"/>
  <c r="AB173" i="3" s="1"/>
  <c r="J156" i="3" s="1"/>
  <c r="N174" i="3"/>
  <c r="P174" i="3" s="1"/>
  <c r="P229" i="3"/>
  <c r="F185" i="3" s="1"/>
  <c r="AA231" i="3"/>
  <c r="R89" i="3" s="1"/>
  <c r="J254" i="3"/>
  <c r="D210" i="3" s="1"/>
  <c r="G166" i="3"/>
  <c r="C149" i="3" s="1"/>
  <c r="G168" i="3"/>
  <c r="C151" i="3" s="1"/>
  <c r="AC230" i="3"/>
  <c r="AE230" i="3" s="1"/>
  <c r="N186" i="3" s="1"/>
  <c r="J231" i="3"/>
  <c r="D187" i="3" s="1"/>
  <c r="M271" i="3"/>
  <c r="G148" i="3" s="1"/>
  <c r="K148" i="3" s="1"/>
  <c r="J253" i="3"/>
  <c r="D209" i="3" s="1"/>
  <c r="I254" i="3"/>
  <c r="R131" i="3" s="1"/>
  <c r="G255" i="3"/>
  <c r="C211" i="3" s="1"/>
  <c r="Q257" i="3"/>
  <c r="L215" i="3"/>
  <c r="F73" i="3" s="1"/>
  <c r="P259" i="3"/>
  <c r="F215" i="3" s="1"/>
  <c r="AE259" i="3"/>
  <c r="N215" i="3" s="1"/>
  <c r="P137" i="3"/>
  <c r="AN228" i="3"/>
  <c r="Q184" i="3" s="1"/>
  <c r="L229" i="3"/>
  <c r="I288" i="3"/>
  <c r="R165" i="3" s="1"/>
  <c r="J232" i="3"/>
  <c r="D188" i="3" s="1"/>
  <c r="AB232" i="3"/>
  <c r="J188" i="3" s="1"/>
  <c r="G254" i="3"/>
  <c r="C210" i="3" s="1"/>
  <c r="S256" i="3"/>
  <c r="G212" i="3" s="1"/>
  <c r="AE258" i="3"/>
  <c r="N214" i="3" s="1"/>
  <c r="J230" i="3"/>
  <c r="D186" i="3" s="1"/>
  <c r="K230" i="3"/>
  <c r="K229" i="3"/>
  <c r="AF230" i="3"/>
  <c r="AH230" i="3" s="1"/>
  <c r="O186" i="3" s="1"/>
  <c r="AF229" i="3"/>
  <c r="AH229" i="3" s="1"/>
  <c r="O185" i="3" s="1"/>
  <c r="AH231" i="3"/>
  <c r="O187" i="3" s="1"/>
  <c r="J259" i="3"/>
  <c r="D215" i="3" s="1"/>
  <c r="AB124" i="3"/>
  <c r="J61" i="3" s="1"/>
  <c r="K61" i="3" s="1"/>
  <c r="AB138" i="3"/>
  <c r="J75" i="3" s="1"/>
  <c r="K75" i="3" s="1"/>
  <c r="J168" i="3"/>
  <c r="D151" i="3" s="1"/>
  <c r="Z230" i="3"/>
  <c r="V230" i="3"/>
  <c r="H186" i="3" s="1"/>
  <c r="AZ231" i="3"/>
  <c r="U187" i="3" s="1"/>
  <c r="M202" i="3"/>
  <c r="G60" i="3" s="1"/>
  <c r="K60" i="3" s="1"/>
  <c r="AB246" i="3"/>
  <c r="J202" i="3" s="1"/>
  <c r="Q254" i="3"/>
  <c r="M210" i="3" s="1"/>
  <c r="G68" i="3" s="1"/>
  <c r="AE256" i="3"/>
  <c r="N212" i="3" s="1"/>
  <c r="J258" i="3"/>
  <c r="D214" i="3" s="1"/>
  <c r="M214" i="3"/>
  <c r="G72" i="3" s="1"/>
  <c r="K72" i="3" s="1"/>
  <c r="I259" i="3"/>
  <c r="R136" i="3" s="1"/>
  <c r="M218" i="3"/>
  <c r="G76" i="3" s="1"/>
  <c r="K76" i="3" s="1"/>
  <c r="AB262" i="3"/>
  <c r="J218" i="3" s="1"/>
  <c r="R298" i="3"/>
  <c r="J293" i="3"/>
  <c r="D276" i="3" s="1"/>
  <c r="P293" i="3"/>
  <c r="F276" i="3" s="1"/>
  <c r="P297" i="3"/>
  <c r="F280" i="3" s="1"/>
  <c r="AO298" i="3"/>
  <c r="AQ298" i="3" s="1"/>
  <c r="R281" i="3" s="1"/>
  <c r="X318" i="3"/>
  <c r="W367" i="3"/>
  <c r="X398" i="3"/>
  <c r="AQ231" i="3"/>
  <c r="R187" i="3" s="1"/>
  <c r="D253" i="3"/>
  <c r="B209" i="3" s="1"/>
  <c r="D254" i="3"/>
  <c r="B210" i="3" s="1"/>
  <c r="D255" i="3"/>
  <c r="B211" i="3" s="1"/>
  <c r="D256" i="3"/>
  <c r="B212" i="3" s="1"/>
  <c r="D257" i="3"/>
  <c r="B213" i="3" s="1"/>
  <c r="D258" i="3"/>
  <c r="B214" i="3" s="1"/>
  <c r="D259" i="3"/>
  <c r="B215" i="3" s="1"/>
  <c r="AZ298" i="3"/>
  <c r="U281" i="3" s="1"/>
  <c r="AH299" i="3"/>
  <c r="O282" i="3" s="1"/>
  <c r="Z295" i="3"/>
  <c r="AB295" i="3" s="1"/>
  <c r="J278" i="3" s="1"/>
  <c r="Y295" i="3"/>
  <c r="I278" i="3" s="1"/>
  <c r="K299" i="3"/>
  <c r="AD229" i="3"/>
  <c r="AE229" i="3" s="1"/>
  <c r="N185" i="3" s="1"/>
  <c r="AX229" i="3"/>
  <c r="AZ229" i="3" s="1"/>
  <c r="U185" i="3" s="1"/>
  <c r="AX230" i="3"/>
  <c r="AZ230" i="3" s="1"/>
  <c r="U186" i="3" s="1"/>
  <c r="Z231" i="3"/>
  <c r="M187" i="3" s="1"/>
  <c r="G26" i="3" s="1"/>
  <c r="M253" i="3"/>
  <c r="E209" i="3" s="1"/>
  <c r="M254" i="3"/>
  <c r="E210" i="3" s="1"/>
  <c r="M255" i="3"/>
  <c r="E211" i="3" s="1"/>
  <c r="M256" i="3"/>
  <c r="E212" i="3" s="1"/>
  <c r="M257" i="3"/>
  <c r="E213" i="3" s="1"/>
  <c r="M258" i="3"/>
  <c r="E214" i="3" s="1"/>
  <c r="M259" i="3"/>
  <c r="E215" i="3" s="1"/>
  <c r="K280" i="3"/>
  <c r="E157" i="3" s="1"/>
  <c r="Z288" i="3"/>
  <c r="B298" i="3"/>
  <c r="D289" i="3"/>
  <c r="B272" i="3" s="1"/>
  <c r="H289" i="3"/>
  <c r="AN290" i="3"/>
  <c r="Q273" i="3" s="1"/>
  <c r="L276" i="3"/>
  <c r="F153" i="3" s="1"/>
  <c r="J294" i="3"/>
  <c r="D277" i="3" s="1"/>
  <c r="P294" i="3"/>
  <c r="F277" i="3" s="1"/>
  <c r="L280" i="3"/>
  <c r="F157" i="3" s="1"/>
  <c r="C298" i="3"/>
  <c r="W298" i="3"/>
  <c r="AU298" i="3"/>
  <c r="AW298" i="3" s="1"/>
  <c r="T281" i="3" s="1"/>
  <c r="W362" i="3"/>
  <c r="X378" i="3"/>
  <c r="X411" i="3"/>
  <c r="Q289" i="3"/>
  <c r="S289" i="3" s="1"/>
  <c r="G272" i="3" s="1"/>
  <c r="Z291" i="3"/>
  <c r="Y291" i="3"/>
  <c r="I274" i="3" s="1"/>
  <c r="AW291" i="3"/>
  <c r="T274" i="3" s="1"/>
  <c r="M295" i="3"/>
  <c r="E278" i="3" s="1"/>
  <c r="Z296" i="3"/>
  <c r="AB296" i="3" s="1"/>
  <c r="J279" i="3" s="1"/>
  <c r="Y296" i="3"/>
  <c r="I279" i="3" s="1"/>
  <c r="O299" i="3"/>
  <c r="O176" i="3" s="1"/>
  <c r="AM299" i="3"/>
  <c r="AN299" i="3" s="1"/>
  <c r="Q282" i="3" s="1"/>
  <c r="AP229" i="3"/>
  <c r="AQ229" i="3" s="1"/>
  <c r="R185" i="3" s="1"/>
  <c r="K275" i="3"/>
  <c r="E152" i="3" s="1"/>
  <c r="AZ291" i="3"/>
  <c r="U274" i="3" s="1"/>
  <c r="Z292" i="3"/>
  <c r="Y292" i="3"/>
  <c r="I275" i="3" s="1"/>
  <c r="G293" i="3"/>
  <c r="C276" i="3" s="1"/>
  <c r="H295" i="3"/>
  <c r="P295" i="3"/>
  <c r="F278" i="3" s="1"/>
  <c r="G297" i="3"/>
  <c r="C280" i="3" s="1"/>
  <c r="AO299" i="3"/>
  <c r="AQ299" i="3" s="1"/>
  <c r="R282" i="3" s="1"/>
  <c r="X326" i="3"/>
  <c r="W322" i="3" s="1"/>
  <c r="W342" i="3"/>
  <c r="X358" i="3"/>
  <c r="W357" i="3" s="1"/>
  <c r="X406" i="3"/>
  <c r="K552" i="3"/>
  <c r="Z298" i="3"/>
  <c r="AB298" i="3" s="1"/>
  <c r="J281" i="3" s="1"/>
  <c r="V298" i="3"/>
  <c r="H281" i="3" s="1"/>
  <c r="H290" i="3"/>
  <c r="G290" i="3"/>
  <c r="C273" i="3" s="1"/>
  <c r="M291" i="3"/>
  <c r="E274" i="3" s="1"/>
  <c r="Z293" i="3"/>
  <c r="Y293" i="3"/>
  <c r="I276" i="3" s="1"/>
  <c r="M296" i="3"/>
  <c r="E279" i="3" s="1"/>
  <c r="Z297" i="3"/>
  <c r="AB297" i="3" s="1"/>
  <c r="J280" i="3" s="1"/>
  <c r="Y297" i="3"/>
  <c r="I280" i="3" s="1"/>
  <c r="K298" i="3"/>
  <c r="U299" i="3"/>
  <c r="AA299" i="3" s="1"/>
  <c r="W332" i="3"/>
  <c r="X369" i="3"/>
  <c r="W397" i="3"/>
  <c r="L272" i="3"/>
  <c r="F149" i="3" s="1"/>
  <c r="L279" i="3"/>
  <c r="F156" i="3" s="1"/>
  <c r="P291" i="3"/>
  <c r="F274" i="3" s="1"/>
  <c r="AA292" i="3"/>
  <c r="R169" i="3" s="1"/>
  <c r="L278" i="3"/>
  <c r="F155" i="3" s="1"/>
  <c r="H296" i="3"/>
  <c r="P296" i="3"/>
  <c r="F279" i="3" s="1"/>
  <c r="C299" i="3"/>
  <c r="D299" i="3" s="1"/>
  <c r="B282" i="3" s="1"/>
  <c r="W299" i="3"/>
  <c r="Y299" i="3" s="1"/>
  <c r="I282" i="3" s="1"/>
  <c r="X330" i="3"/>
  <c r="W327" i="3" s="1"/>
  <c r="X338" i="3"/>
  <c r="W337" i="3" s="1"/>
  <c r="X386" i="3"/>
  <c r="W382" i="3" s="1"/>
  <c r="W387" i="3"/>
  <c r="W402" i="3"/>
  <c r="S288" i="3"/>
  <c r="G271" i="3" s="1"/>
  <c r="M288" i="3"/>
  <c r="E271" i="3" s="1"/>
  <c r="AG298" i="3"/>
  <c r="AH298" i="3" s="1"/>
  <c r="O281" i="3" s="1"/>
  <c r="AH289" i="3"/>
  <c r="O272" i="3" s="1"/>
  <c r="H292" i="3"/>
  <c r="Q294" i="3"/>
  <c r="K277" i="3"/>
  <c r="E154" i="3" s="1"/>
  <c r="Z294" i="3"/>
  <c r="AB294" i="3" s="1"/>
  <c r="J277" i="3" s="1"/>
  <c r="Y294" i="3"/>
  <c r="I277" i="3" s="1"/>
  <c r="O298" i="3"/>
  <c r="O175" i="3" s="1"/>
  <c r="E299" i="3"/>
  <c r="W311" i="3"/>
  <c r="V307" i="3" s="1"/>
  <c r="W317" i="3"/>
  <c r="X349" i="3"/>
  <c r="W347" i="3" s="1"/>
  <c r="W377" i="3"/>
  <c r="P289" i="3"/>
  <c r="F272" i="3" s="1"/>
  <c r="AZ289" i="3"/>
  <c r="U272" i="3" s="1"/>
  <c r="Z290" i="3"/>
  <c r="AB290" i="3" s="1"/>
  <c r="J273" i="3" s="1"/>
  <c r="D292" i="3"/>
  <c r="B275" i="3" s="1"/>
  <c r="D293" i="3"/>
  <c r="B276" i="3" s="1"/>
  <c r="D294" i="3"/>
  <c r="B277" i="3" s="1"/>
  <c r="D295" i="3"/>
  <c r="B278" i="3" s="1"/>
  <c r="D296" i="3"/>
  <c r="B279" i="3" s="1"/>
  <c r="D297" i="3"/>
  <c r="B280" i="3" s="1"/>
  <c r="X455" i="3"/>
  <c r="X464" i="3"/>
  <c r="W462" i="3" s="1"/>
  <c r="X466" i="3"/>
  <c r="K555" i="3"/>
  <c r="U563" i="3"/>
  <c r="M591" i="3"/>
  <c r="M655" i="3"/>
  <c r="X409" i="3"/>
  <c r="W407" i="3" s="1"/>
  <c r="AB610" i="3"/>
  <c r="J571" i="3" s="1"/>
  <c r="Z611" i="3"/>
  <c r="AB611" i="3" s="1"/>
  <c r="J572" i="3" s="1"/>
  <c r="K572" i="3" s="1"/>
  <c r="L655" i="3"/>
  <c r="M619" i="3"/>
  <c r="N299" i="3"/>
  <c r="P299" i="3" s="1"/>
  <c r="F282" i="3" s="1"/>
  <c r="AX299" i="3"/>
  <c r="AZ299" i="3" s="1"/>
  <c r="U282" i="3" s="1"/>
  <c r="X427" i="3"/>
  <c r="X452" i="3"/>
  <c r="W452" i="3" s="1"/>
  <c r="K565" i="3"/>
  <c r="K581" i="3"/>
  <c r="K583" i="3"/>
  <c r="U552" i="3"/>
  <c r="S592" i="3"/>
  <c r="Z612" i="3"/>
  <c r="AB612" i="3" s="1"/>
  <c r="J573" i="3" s="1"/>
  <c r="Z649" i="3"/>
  <c r="AB601" i="3"/>
  <c r="J562" i="3" s="1"/>
  <c r="K562" i="3" s="1"/>
  <c r="Z654" i="3"/>
  <c r="AB618" i="3"/>
  <c r="J579" i="3" s="1"/>
  <c r="K579" i="3" s="1"/>
  <c r="AB596" i="3"/>
  <c r="J557" i="3" s="1"/>
  <c r="K557" i="3" s="1"/>
  <c r="AA657" i="3"/>
  <c r="AB613" i="3"/>
  <c r="J574" i="3" s="1"/>
  <c r="K574" i="3" s="1"/>
  <c r="U564" i="3"/>
  <c r="Z652" i="3"/>
  <c r="AB652" i="3" s="1"/>
  <c r="J635" i="3" s="1"/>
  <c r="AB609" i="3"/>
  <c r="J570" i="3" s="1"/>
  <c r="K570" i="3" s="1"/>
  <c r="H297" i="3"/>
  <c r="X449" i="3"/>
  <c r="W447" i="3" s="1"/>
  <c r="U553" i="3"/>
  <c r="M595" i="3"/>
  <c r="U562" i="3"/>
  <c r="AB617" i="3"/>
  <c r="J578" i="3" s="1"/>
  <c r="K578" i="3" s="1"/>
  <c r="N654" i="3"/>
  <c r="P654" i="3" s="1"/>
  <c r="P618" i="3"/>
  <c r="AG299" i="3"/>
  <c r="X424" i="3"/>
  <c r="W422" i="3" s="1"/>
  <c r="X438" i="3"/>
  <c r="W437" i="3" s="1"/>
  <c r="X467" i="3"/>
  <c r="W467" i="3" s="1"/>
  <c r="K567" i="3"/>
  <c r="U570" i="3"/>
  <c r="X458" i="3"/>
  <c r="W457" i="3" s="1"/>
  <c r="U568" i="3"/>
  <c r="K569" i="3"/>
  <c r="K571" i="3"/>
  <c r="U556" i="3"/>
  <c r="S596" i="3"/>
  <c r="X412" i="3"/>
  <c r="W412" i="3" s="1"/>
  <c r="X430" i="3"/>
  <c r="X444" i="3"/>
  <c r="W442" i="3" s="1"/>
  <c r="AA653" i="3"/>
  <c r="AA614" i="3"/>
  <c r="AB614" i="3" s="1"/>
  <c r="J575" i="3" s="1"/>
  <c r="K575" i="3" s="1"/>
  <c r="AB592" i="3"/>
  <c r="J553" i="3" s="1"/>
  <c r="K553" i="3" s="1"/>
  <c r="AA616" i="3"/>
  <c r="P619" i="3"/>
  <c r="AB619" i="3"/>
  <c r="J580" i="3" s="1"/>
  <c r="K580" i="3" s="1"/>
  <c r="V647" i="3"/>
  <c r="H630" i="3" s="1"/>
  <c r="T656" i="3"/>
  <c r="V656" i="3" s="1"/>
  <c r="H639" i="3" s="1"/>
  <c r="AK649" i="3"/>
  <c r="N632" i="3" s="1"/>
  <c r="U632" i="3" s="1"/>
  <c r="AI657" i="3"/>
  <c r="AK657" i="3" s="1"/>
  <c r="N640" i="3" s="1"/>
  <c r="AT649" i="3"/>
  <c r="S632" i="3" s="1"/>
  <c r="AR657" i="3"/>
  <c r="AT657" i="3" s="1"/>
  <c r="S640" i="3" s="1"/>
  <c r="AF656" i="3"/>
  <c r="AH656" i="3" s="1"/>
  <c r="M639" i="3" s="1"/>
  <c r="Y13" i="5"/>
  <c r="AA13" i="5" s="1"/>
  <c r="Z647" i="3"/>
  <c r="Z616" i="3"/>
  <c r="Z656" i="3"/>
  <c r="AB656" i="3" s="1"/>
  <c r="J639" i="3" s="1"/>
  <c r="Z648" i="3"/>
  <c r="S618" i="3"/>
  <c r="W657" i="3"/>
  <c r="Y657" i="3" s="1"/>
  <c r="I640" i="3" s="1"/>
  <c r="H656" i="3"/>
  <c r="J656" i="3" s="1"/>
  <c r="D639" i="3" s="1"/>
  <c r="J654" i="3"/>
  <c r="D637" i="3" s="1"/>
  <c r="L9" i="5"/>
  <c r="L7" i="5"/>
  <c r="L5" i="5"/>
  <c r="T9" i="5"/>
  <c r="T7" i="5"/>
  <c r="T8" i="5"/>
  <c r="AA647" i="3"/>
  <c r="AB605" i="3"/>
  <c r="J566" i="3" s="1"/>
  <c r="K566" i="3" s="1"/>
  <c r="L654" i="3"/>
  <c r="M654" i="3" s="1"/>
  <c r="AB591" i="3"/>
  <c r="J552" i="3" s="1"/>
  <c r="Z653" i="3"/>
  <c r="AB653" i="3" s="1"/>
  <c r="J636" i="3" s="1"/>
  <c r="AB595" i="3"/>
  <c r="J556" i="3" s="1"/>
  <c r="K556" i="3" s="1"/>
  <c r="Z657" i="3"/>
  <c r="M602" i="3"/>
  <c r="M610" i="3"/>
  <c r="D613" i="3"/>
  <c r="B574" i="3" s="1"/>
  <c r="D617" i="3"/>
  <c r="B578" i="3" s="1"/>
  <c r="M618" i="3"/>
  <c r="S619" i="3"/>
  <c r="K635" i="3"/>
  <c r="Y649" i="3"/>
  <c r="I632" i="3" s="1"/>
  <c r="V651" i="3"/>
  <c r="H634" i="3" s="1"/>
  <c r="G656" i="3"/>
  <c r="C639" i="3" s="1"/>
  <c r="AQ647" i="3"/>
  <c r="R630" i="3" s="1"/>
  <c r="AO656" i="3"/>
  <c r="AQ656" i="3" s="1"/>
  <c r="R639" i="3" s="1"/>
  <c r="J649" i="3"/>
  <c r="D632" i="3" s="1"/>
  <c r="H657" i="3"/>
  <c r="J657" i="3" s="1"/>
  <c r="D640" i="3" s="1"/>
  <c r="N9" i="5"/>
  <c r="N8" i="5"/>
  <c r="N7" i="5"/>
  <c r="N5" i="5"/>
  <c r="AB650" i="3"/>
  <c r="J633" i="3" s="1"/>
  <c r="P602" i="3"/>
  <c r="P610" i="3"/>
  <c r="G612" i="3"/>
  <c r="C573" i="3" s="1"/>
  <c r="K573" i="3" s="1"/>
  <c r="S614" i="3"/>
  <c r="Z615" i="3"/>
  <c r="AB615" i="3" s="1"/>
  <c r="J576" i="3" s="1"/>
  <c r="K576" i="3" s="1"/>
  <c r="G616" i="3"/>
  <c r="C577" i="3" s="1"/>
  <c r="AA654" i="3"/>
  <c r="M620" i="3"/>
  <c r="AA648" i="3"/>
  <c r="D652" i="3"/>
  <c r="B635" i="3" s="1"/>
  <c r="K638" i="3"/>
  <c r="O7" i="5"/>
  <c r="O5" i="5"/>
  <c r="O8" i="5"/>
  <c r="O9" i="5"/>
  <c r="G5" i="5"/>
  <c r="G8" i="5"/>
  <c r="G7" i="5"/>
  <c r="P6" i="5"/>
  <c r="AK611" i="3"/>
  <c r="N572" i="3" s="1"/>
  <c r="U572" i="3" s="1"/>
  <c r="AA615" i="3"/>
  <c r="AK615" i="3"/>
  <c r="N576" i="3" s="1"/>
  <c r="U576" i="3" s="1"/>
  <c r="AB620" i="3"/>
  <c r="J581" i="3" s="1"/>
  <c r="U631" i="3"/>
  <c r="K636" i="3"/>
  <c r="W7" i="5"/>
  <c r="W5" i="5"/>
  <c r="W9" i="5"/>
  <c r="Q8" i="5"/>
  <c r="Q7" i="5"/>
  <c r="Q5" i="5"/>
  <c r="X7" i="5"/>
  <c r="X5" i="5"/>
  <c r="X8" i="5"/>
  <c r="X9" i="5"/>
  <c r="R8" i="5"/>
  <c r="R9" i="5"/>
  <c r="R5" i="5"/>
  <c r="S6" i="5"/>
  <c r="V9" i="5"/>
  <c r="V8" i="5"/>
  <c r="V7" i="5"/>
  <c r="V5" i="5"/>
  <c r="AG657" i="3"/>
  <c r="AH657" i="3" s="1"/>
  <c r="M640" i="3" s="1"/>
  <c r="U640" i="3" s="1"/>
  <c r="S651" i="3"/>
  <c r="AS656" i="3"/>
  <c r="AT656" i="3" s="1"/>
  <c r="S639" i="3" s="1"/>
  <c r="AE646" i="3"/>
  <c r="L629" i="3" s="1"/>
  <c r="J647" i="3"/>
  <c r="D630" i="3" s="1"/>
  <c r="G650" i="3"/>
  <c r="C633" i="3" s="1"/>
  <c r="K633" i="3" s="1"/>
  <c r="G654" i="3"/>
  <c r="C637" i="3" s="1"/>
  <c r="AE656" i="3"/>
  <c r="L639" i="3" s="1"/>
  <c r="H10" i="5"/>
  <c r="D46" i="5"/>
  <c r="Y46" i="5" s="1"/>
  <c r="AA46" i="5" s="1"/>
  <c r="Y29" i="5"/>
  <c r="AA29" i="5" s="1"/>
  <c r="N97" i="5"/>
  <c r="N127" i="5"/>
  <c r="N98" i="5"/>
  <c r="N102" i="5"/>
  <c r="AA649" i="3"/>
  <c r="AA651" i="3"/>
  <c r="AB651" i="3" s="1"/>
  <c r="J634" i="3" s="1"/>
  <c r="K634" i="3" s="1"/>
  <c r="S649" i="3"/>
  <c r="S653" i="3"/>
  <c r="AK655" i="3"/>
  <c r="N638" i="3" s="1"/>
  <c r="U638" i="3" s="1"/>
  <c r="F656" i="3"/>
  <c r="N99" i="5"/>
  <c r="N103" i="5"/>
  <c r="AK647" i="3"/>
  <c r="N630" i="3" s="1"/>
  <c r="U630" i="3" s="1"/>
  <c r="AK651" i="3"/>
  <c r="N634" i="3" s="1"/>
  <c r="U634" i="3" s="1"/>
  <c r="AI656" i="3"/>
  <c r="AK656" i="3" s="1"/>
  <c r="N639" i="3" s="1"/>
  <c r="U639" i="3" s="1"/>
  <c r="M6" i="5"/>
  <c r="U6" i="5"/>
  <c r="Y647" i="3"/>
  <c r="I630" i="3" s="1"/>
  <c r="AO657" i="3"/>
  <c r="AQ657" i="3" s="1"/>
  <c r="R640" i="3" s="1"/>
  <c r="N100" i="5"/>
  <c r="N104" i="5"/>
  <c r="N130" i="5"/>
  <c r="N110" i="5"/>
  <c r="N112" i="5"/>
  <c r="N117" i="5"/>
  <c r="N124" i="5"/>
  <c r="N126" i="5"/>
  <c r="F285" i="5"/>
  <c r="F262" i="5"/>
  <c r="F308" i="5" s="1"/>
  <c r="F223" i="5"/>
  <c r="F269" i="5" s="1"/>
  <c r="F222" i="5"/>
  <c r="F268" i="5" s="1"/>
  <c r="F226" i="5"/>
  <c r="F221" i="5"/>
  <c r="F267" i="5" s="1"/>
  <c r="F224" i="5"/>
  <c r="F270" i="5" s="1"/>
  <c r="D270" i="5"/>
  <c r="N270" i="5" s="1"/>
  <c r="N101" i="5"/>
  <c r="N119" i="5"/>
  <c r="N118" i="5"/>
  <c r="N120" i="5"/>
  <c r="E270" i="5"/>
  <c r="N106" i="5"/>
  <c r="N108" i="5"/>
  <c r="G270" i="5"/>
  <c r="N128" i="5"/>
  <c r="N115" i="5"/>
  <c r="N122" i="5"/>
  <c r="N180" i="5"/>
  <c r="N107" i="5"/>
  <c r="N114" i="5"/>
  <c r="N116" i="5"/>
  <c r="I270" i="5"/>
  <c r="J272" i="5"/>
  <c r="J227" i="5"/>
  <c r="J273" i="5" s="1"/>
  <c r="H274" i="5"/>
  <c r="N129" i="5"/>
  <c r="N109" i="5"/>
  <c r="J270" i="5"/>
  <c r="D221" i="5"/>
  <c r="D267" i="5" s="1"/>
  <c r="N267" i="5" s="1"/>
  <c r="L221" i="5"/>
  <c r="L267" i="5" s="1"/>
  <c r="L225" i="5"/>
  <c r="L271" i="5" s="1"/>
  <c r="K226" i="5"/>
  <c r="G272" i="5"/>
  <c r="I274" i="5"/>
  <c r="D281" i="5"/>
  <c r="N281" i="5" s="1"/>
  <c r="L289" i="5"/>
  <c r="K222" i="5"/>
  <c r="K268" i="5" s="1"/>
  <c r="D226" i="5"/>
  <c r="L259" i="5"/>
  <c r="L305" i="5" s="1"/>
  <c r="I262" i="5"/>
  <c r="I308" i="5" s="1"/>
  <c r="J274" i="5"/>
  <c r="E289" i="5"/>
  <c r="D222" i="5"/>
  <c r="D268" i="5" s="1"/>
  <c r="N268" i="5" s="1"/>
  <c r="L222" i="5"/>
  <c r="L268" i="5" s="1"/>
  <c r="L227" i="5"/>
  <c r="L273" i="5" s="1"/>
  <c r="J262" i="5"/>
  <c r="J308" i="5" s="1"/>
  <c r="D274" i="5"/>
  <c r="N274" i="5" s="1"/>
  <c r="L274" i="5"/>
  <c r="E274" i="5"/>
  <c r="F6" i="5" l="1"/>
  <c r="F7" i="5" s="1"/>
  <c r="I9" i="5"/>
  <c r="I8" i="5"/>
  <c r="D49" i="5"/>
  <c r="Y49" i="5" s="1"/>
  <c r="AA49" i="5" s="1"/>
  <c r="D15" i="5"/>
  <c r="Y15" i="5" s="1"/>
  <c r="AA15" i="5" s="1"/>
  <c r="Y11" i="5"/>
  <c r="AA11" i="5" s="1"/>
  <c r="Y21" i="5"/>
  <c r="AA21" i="5" s="1"/>
  <c r="E18" i="5"/>
  <c r="Y18" i="5" s="1"/>
  <c r="AA18" i="5" s="1"/>
  <c r="E48" i="5"/>
  <c r="Y48" i="5" s="1"/>
  <c r="AA48" i="5" s="1"/>
  <c r="F9" i="5"/>
  <c r="F5" i="5"/>
  <c r="F8" i="5"/>
  <c r="I5" i="5"/>
  <c r="K8" i="5"/>
  <c r="K7" i="5"/>
  <c r="K9" i="5"/>
  <c r="K73" i="3"/>
  <c r="K640" i="3"/>
  <c r="J229" i="3"/>
  <c r="D185" i="3" s="1"/>
  <c r="Q87" i="3"/>
  <c r="K68" i="3"/>
  <c r="K630" i="3"/>
  <c r="U26" i="3"/>
  <c r="G28" i="3"/>
  <c r="G27" i="3"/>
  <c r="U27" i="3"/>
  <c r="AL188" i="2"/>
  <c r="O167" i="2" s="1"/>
  <c r="V167" i="2" s="1"/>
  <c r="O164" i="2"/>
  <c r="V164" i="2" s="1"/>
  <c r="J9" i="5"/>
  <c r="J8" i="5"/>
  <c r="J5" i="5"/>
  <c r="J7" i="5"/>
  <c r="E317" i="2"/>
  <c r="C296" i="2" s="1"/>
  <c r="L296" i="2"/>
  <c r="S9" i="5"/>
  <c r="S8" i="5"/>
  <c r="S5" i="5"/>
  <c r="S7" i="5"/>
  <c r="AB616" i="3"/>
  <c r="J577" i="3" s="1"/>
  <c r="K577" i="3" s="1"/>
  <c r="S294" i="3"/>
  <c r="G277" i="3" s="1"/>
  <c r="M277" i="3"/>
  <c r="G154" i="3" s="1"/>
  <c r="K154" i="3" s="1"/>
  <c r="Q171" i="3"/>
  <c r="S171" i="3" s="1"/>
  <c r="J296" i="3"/>
  <c r="D279" i="3" s="1"/>
  <c r="M279" i="3"/>
  <c r="G156" i="3" s="1"/>
  <c r="K156" i="3" s="1"/>
  <c r="V299" i="3"/>
  <c r="H282" i="3" s="1"/>
  <c r="J288" i="3"/>
  <c r="D271" i="3" s="1"/>
  <c r="AB229" i="3"/>
  <c r="J185" i="3" s="1"/>
  <c r="AB92" i="3"/>
  <c r="J29" i="3" s="1"/>
  <c r="AB131" i="3"/>
  <c r="J68" i="3" s="1"/>
  <c r="Z88" i="3"/>
  <c r="V88" i="3"/>
  <c r="H25" i="3" s="1"/>
  <c r="G88" i="3"/>
  <c r="C25" i="3" s="1"/>
  <c r="H317" i="2"/>
  <c r="D296" i="2" s="1"/>
  <c r="M296" i="2"/>
  <c r="H295" i="2"/>
  <c r="H233" i="2"/>
  <c r="N291" i="2"/>
  <c r="H158" i="2" s="1"/>
  <c r="L158" i="2" s="1"/>
  <c r="K312" i="2"/>
  <c r="E291" i="2" s="1"/>
  <c r="R179" i="2"/>
  <c r="T179" i="2" s="1"/>
  <c r="N221" i="2"/>
  <c r="H68" i="2" s="1"/>
  <c r="L68" i="2" s="1"/>
  <c r="T266" i="2"/>
  <c r="H221" i="2" s="1"/>
  <c r="R133" i="2"/>
  <c r="T133" i="2" s="1"/>
  <c r="K316" i="2"/>
  <c r="N295" i="2"/>
  <c r="T315" i="2"/>
  <c r="H294" i="2" s="1"/>
  <c r="N294" i="2"/>
  <c r="H161" i="2" s="1"/>
  <c r="N224" i="2"/>
  <c r="H71" i="2" s="1"/>
  <c r="AB93" i="2"/>
  <c r="AB94" i="2"/>
  <c r="AB96" i="2"/>
  <c r="AB92" i="2"/>
  <c r="AB108" i="2"/>
  <c r="AA188" i="2"/>
  <c r="AC188" i="2" s="1"/>
  <c r="K167" i="2" s="1"/>
  <c r="AC185" i="2"/>
  <c r="K164" i="2" s="1"/>
  <c r="Z96" i="2"/>
  <c r="J31" i="2" s="1"/>
  <c r="X104" i="2"/>
  <c r="Z104" i="2" s="1"/>
  <c r="J39" i="2" s="1"/>
  <c r="AC183" i="2"/>
  <c r="K162" i="2" s="1"/>
  <c r="L162" i="2" s="1"/>
  <c r="K80" i="2"/>
  <c r="AC175" i="2"/>
  <c r="K154" i="2" s="1"/>
  <c r="E240" i="2"/>
  <c r="C195" i="2" s="1"/>
  <c r="L195" i="2"/>
  <c r="F22" i="2" s="1"/>
  <c r="I240" i="2"/>
  <c r="L87" i="2"/>
  <c r="N87" i="2" s="1"/>
  <c r="H98" i="2"/>
  <c r="D33" i="2" s="1"/>
  <c r="L33" i="2" s="1"/>
  <c r="M5" i="5"/>
  <c r="M7" i="5"/>
  <c r="M9" i="5"/>
  <c r="M8" i="5"/>
  <c r="F28" i="2"/>
  <c r="F27" i="2"/>
  <c r="AB647" i="3"/>
  <c r="J630" i="3" s="1"/>
  <c r="J297" i="3"/>
  <c r="D280" i="3" s="1"/>
  <c r="M280" i="3"/>
  <c r="G157" i="3" s="1"/>
  <c r="K157" i="3" s="1"/>
  <c r="J292" i="3"/>
  <c r="D275" i="3" s="1"/>
  <c r="M275" i="3"/>
  <c r="G152" i="3" s="1"/>
  <c r="Q169" i="3"/>
  <c r="S169" i="3" s="1"/>
  <c r="R299" i="3"/>
  <c r="Z299" i="3"/>
  <c r="AB299" i="3" s="1"/>
  <c r="J282" i="3" s="1"/>
  <c r="R133" i="3"/>
  <c r="S133" i="3" s="1"/>
  <c r="M212" i="3"/>
  <c r="G70" i="3" s="1"/>
  <c r="K70" i="3" s="1"/>
  <c r="AA230" i="3"/>
  <c r="R88" i="3" s="1"/>
  <c r="Y229" i="3"/>
  <c r="I185" i="3" s="1"/>
  <c r="K31" i="3"/>
  <c r="K22" i="3"/>
  <c r="AA88" i="3"/>
  <c r="R317" i="2"/>
  <c r="T317" i="2" s="1"/>
  <c r="H296" i="2" s="1"/>
  <c r="T308" i="2"/>
  <c r="H287" i="2" s="1"/>
  <c r="G104" i="3"/>
  <c r="C41" i="3" s="1"/>
  <c r="K41" i="3" s="1"/>
  <c r="H869" i="2"/>
  <c r="T307" i="2"/>
  <c r="H286" i="2" s="1"/>
  <c r="R174" i="2"/>
  <c r="T174" i="2" s="1"/>
  <c r="N286" i="2"/>
  <c r="H153" i="2" s="1"/>
  <c r="X369" i="2"/>
  <c r="T314" i="2"/>
  <c r="H293" i="2" s="1"/>
  <c r="R181" i="2"/>
  <c r="T181" i="2" s="1"/>
  <c r="T269" i="2"/>
  <c r="H224" i="2" s="1"/>
  <c r="Z88" i="2"/>
  <c r="J23" i="2" s="1"/>
  <c r="Z240" i="2"/>
  <c r="J195" i="2" s="1"/>
  <c r="N285" i="2"/>
  <c r="H152" i="2" s="1"/>
  <c r="L152" i="2" s="1"/>
  <c r="AA88" i="2"/>
  <c r="AC88" i="2" s="1"/>
  <c r="K23" i="2" s="1"/>
  <c r="P5" i="5"/>
  <c r="P8" i="5"/>
  <c r="P7" i="5"/>
  <c r="P9" i="5"/>
  <c r="S259" i="3"/>
  <c r="G215" i="3" s="1"/>
  <c r="M215" i="3"/>
  <c r="G73" i="3" s="1"/>
  <c r="Q136" i="3"/>
  <c r="S136" i="3" s="1"/>
  <c r="K639" i="3"/>
  <c r="J289" i="3"/>
  <c r="D272" i="3" s="1"/>
  <c r="M272" i="3"/>
  <c r="G149" i="3" s="1"/>
  <c r="Q166" i="3"/>
  <c r="S166" i="3" s="1"/>
  <c r="AA91" i="3"/>
  <c r="AB91" i="3" s="1"/>
  <c r="J28" i="3" s="1"/>
  <c r="K28" i="3" s="1"/>
  <c r="AA105" i="3"/>
  <c r="AB105" i="3" s="1"/>
  <c r="J42" i="3" s="1"/>
  <c r="K42" i="3" s="1"/>
  <c r="AA90" i="3"/>
  <c r="AA94" i="3"/>
  <c r="AB94" i="3" s="1"/>
  <c r="J31" i="3" s="1"/>
  <c r="AA92" i="3"/>
  <c r="J317" i="2"/>
  <c r="S175" i="2"/>
  <c r="T318" i="2"/>
  <c r="H297" i="2" s="1"/>
  <c r="R321" i="2"/>
  <c r="T321" i="2" s="1"/>
  <c r="H300" i="2" s="1"/>
  <c r="N298" i="2"/>
  <c r="H165" i="2" s="1"/>
  <c r="AC308" i="2"/>
  <c r="K287" i="2" s="1"/>
  <c r="T273" i="2"/>
  <c r="H228" i="2" s="1"/>
  <c r="N297" i="2"/>
  <c r="H164" i="2" s="1"/>
  <c r="L164" i="2" s="1"/>
  <c r="AB240" i="2"/>
  <c r="S87" i="2" s="1"/>
  <c r="H184" i="2"/>
  <c r="D163" i="2" s="1"/>
  <c r="L163" i="2" s="1"/>
  <c r="K241" i="2"/>
  <c r="E196" i="2" s="1"/>
  <c r="N196" i="2"/>
  <c r="H23" i="2" s="1"/>
  <c r="R88" i="2"/>
  <c r="T88" i="2" s="1"/>
  <c r="AA184" i="2"/>
  <c r="AC184" i="2" s="1"/>
  <c r="K163" i="2" s="1"/>
  <c r="G229" i="3"/>
  <c r="C185" i="3" s="1"/>
  <c r="L185" i="3"/>
  <c r="F24" i="3" s="1"/>
  <c r="N87" i="3"/>
  <c r="P87" i="3" s="1"/>
  <c r="W240" i="2"/>
  <c r="I195" i="2" s="1"/>
  <c r="AA240" i="2"/>
  <c r="AC240" i="2" s="1"/>
  <c r="K195" i="2" s="1"/>
  <c r="AB654" i="3"/>
  <c r="J637" i="3" s="1"/>
  <c r="L282" i="3"/>
  <c r="F159" i="3" s="1"/>
  <c r="G299" i="3"/>
  <c r="C282" i="3" s="1"/>
  <c r="N176" i="3"/>
  <c r="P176" i="3" s="1"/>
  <c r="AB293" i="3"/>
  <c r="J276" i="3" s="1"/>
  <c r="M276" i="3"/>
  <c r="G153" i="3" s="1"/>
  <c r="K153" i="3" s="1"/>
  <c r="Q170" i="3"/>
  <c r="S170" i="3" s="1"/>
  <c r="J295" i="3"/>
  <c r="D278" i="3" s="1"/>
  <c r="M278" i="3"/>
  <c r="G155" i="3" s="1"/>
  <c r="Q172" i="3"/>
  <c r="S172" i="3" s="1"/>
  <c r="Y298" i="3"/>
  <c r="I281" i="3" s="1"/>
  <c r="N175" i="3"/>
  <c r="P175" i="3" s="1"/>
  <c r="P298" i="3"/>
  <c r="F281" i="3" s="1"/>
  <c r="AB230" i="3"/>
  <c r="J186" i="3" s="1"/>
  <c r="M229" i="3"/>
  <c r="E185" i="3" s="1"/>
  <c r="K185" i="3"/>
  <c r="E24" i="3" s="1"/>
  <c r="Q229" i="3"/>
  <c r="K87" i="3"/>
  <c r="S257" i="3"/>
  <c r="G213" i="3" s="1"/>
  <c r="M213" i="3"/>
  <c r="G71" i="3" s="1"/>
  <c r="Q134" i="3"/>
  <c r="S134" i="3" s="1"/>
  <c r="K151" i="3"/>
  <c r="AH93" i="3"/>
  <c r="M30" i="3" s="1"/>
  <c r="U30" i="3" s="1"/>
  <c r="G92" i="3"/>
  <c r="C29" i="3" s="1"/>
  <c r="K26" i="3"/>
  <c r="J321" i="2"/>
  <c r="K321" i="2" s="1"/>
  <c r="E300" i="2" s="1"/>
  <c r="S185" i="2"/>
  <c r="T185" i="2" s="1"/>
  <c r="L300" i="2"/>
  <c r="H174" i="2"/>
  <c r="D153" i="2" s="1"/>
  <c r="L153" i="2" s="1"/>
  <c r="H99" i="2"/>
  <c r="L26" i="2"/>
  <c r="AA87" i="2"/>
  <c r="AC87" i="2" s="1"/>
  <c r="K22" i="2" s="1"/>
  <c r="W87" i="2"/>
  <c r="I22" i="2" s="1"/>
  <c r="F227" i="5"/>
  <c r="F273" i="5" s="1"/>
  <c r="F272" i="5"/>
  <c r="R91" i="3"/>
  <c r="R90" i="3"/>
  <c r="T267" i="2"/>
  <c r="H222" i="2" s="1"/>
  <c r="N222" i="2"/>
  <c r="H69" i="2" s="1"/>
  <c r="L69" i="2" s="1"/>
  <c r="R134" i="2"/>
  <c r="T134" i="2" s="1"/>
  <c r="E295" i="2"/>
  <c r="E233" i="2"/>
  <c r="K272" i="5"/>
  <c r="K227" i="5"/>
  <c r="K273" i="5" s="1"/>
  <c r="D272" i="5"/>
  <c r="N272" i="5" s="1"/>
  <c r="D227" i="5"/>
  <c r="D273" i="5" s="1"/>
  <c r="N273" i="5" s="1"/>
  <c r="K637" i="3"/>
  <c r="AB291" i="3"/>
  <c r="J274" i="3" s="1"/>
  <c r="M274" i="3"/>
  <c r="G151" i="3" s="1"/>
  <c r="Q168" i="3"/>
  <c r="S168" i="3" s="1"/>
  <c r="I298" i="3"/>
  <c r="R175" i="3" s="1"/>
  <c r="L175" i="3"/>
  <c r="H298" i="3"/>
  <c r="K281" i="3"/>
  <c r="E158" i="3" s="1"/>
  <c r="D298" i="3"/>
  <c r="B281" i="3" s="1"/>
  <c r="K175" i="3"/>
  <c r="Q299" i="3"/>
  <c r="S299" i="3" s="1"/>
  <c r="G282" i="3" s="1"/>
  <c r="M299" i="3"/>
  <c r="E282" i="3" s="1"/>
  <c r="K282" i="3"/>
  <c r="E159" i="3" s="1"/>
  <c r="K176" i="3"/>
  <c r="H299" i="3"/>
  <c r="K186" i="3"/>
  <c r="E25" i="3" s="1"/>
  <c r="Q230" i="3"/>
  <c r="M230" i="3"/>
  <c r="E186" i="3" s="1"/>
  <c r="K88" i="3"/>
  <c r="M88" i="3" s="1"/>
  <c r="K149" i="3"/>
  <c r="AB134" i="3"/>
  <c r="J71" i="3" s="1"/>
  <c r="AB133" i="3"/>
  <c r="J70" i="3" s="1"/>
  <c r="AF90" i="3"/>
  <c r="AH90" i="3" s="1"/>
  <c r="M27" i="3" s="1"/>
  <c r="AH89" i="3"/>
  <c r="M26" i="3" s="1"/>
  <c r="AF87" i="3"/>
  <c r="AH87" i="3" s="1"/>
  <c r="M24" i="3" s="1"/>
  <c r="U24" i="3" s="1"/>
  <c r="AF88" i="3"/>
  <c r="AH88" i="3" s="1"/>
  <c r="M25" i="3" s="1"/>
  <c r="U25" i="3" s="1"/>
  <c r="AA87" i="3"/>
  <c r="AB87" i="3" s="1"/>
  <c r="J24" i="3" s="1"/>
  <c r="G90" i="3"/>
  <c r="C27" i="3" s="1"/>
  <c r="K27" i="3" s="1"/>
  <c r="G95" i="3"/>
  <c r="C32" i="3" s="1"/>
  <c r="K32" i="3" s="1"/>
  <c r="N289" i="2"/>
  <c r="H156" i="2" s="1"/>
  <c r="L156" i="2" s="1"/>
  <c r="R177" i="2"/>
  <c r="T177" i="2" s="1"/>
  <c r="K310" i="2"/>
  <c r="E289" i="2" s="1"/>
  <c r="AC318" i="2"/>
  <c r="K297" i="2" s="1"/>
  <c r="AB309" i="2"/>
  <c r="AC273" i="2"/>
  <c r="K228" i="2" s="1"/>
  <c r="R140" i="2"/>
  <c r="T140" i="2" s="1"/>
  <c r="AC321" i="2"/>
  <c r="K300" i="2" s="1"/>
  <c r="N290" i="2"/>
  <c r="H157" i="2" s="1"/>
  <c r="L157" i="2" s="1"/>
  <c r="Q307" i="2"/>
  <c r="G286" i="2" s="1"/>
  <c r="M286" i="2"/>
  <c r="G153" i="2" s="1"/>
  <c r="O174" i="2"/>
  <c r="Q174" i="2" s="1"/>
  <c r="N226" i="2"/>
  <c r="H73" i="2" s="1"/>
  <c r="L73" i="2" s="1"/>
  <c r="AC271" i="2"/>
  <c r="K226" i="2" s="1"/>
  <c r="R138" i="2"/>
  <c r="T138" i="2" s="1"/>
  <c r="N228" i="2"/>
  <c r="H75" i="2" s="1"/>
  <c r="L75" i="2" s="1"/>
  <c r="AC180" i="2"/>
  <c r="K159" i="2" s="1"/>
  <c r="N198" i="2"/>
  <c r="H25" i="2" s="1"/>
  <c r="L25" i="2" s="1"/>
  <c r="K243" i="2"/>
  <c r="E198" i="2" s="1"/>
  <c r="R90" i="2"/>
  <c r="T90" i="2" s="1"/>
  <c r="H181" i="2"/>
  <c r="D160" i="2" s="1"/>
  <c r="L160" i="2" s="1"/>
  <c r="I88" i="2"/>
  <c r="K88" i="2" s="1"/>
  <c r="E23" i="2" s="1"/>
  <c r="I92" i="2"/>
  <c r="K92" i="2" s="1"/>
  <c r="E27" i="2" s="1"/>
  <c r="K89" i="2"/>
  <c r="E24" i="2" s="1"/>
  <c r="I87" i="2"/>
  <c r="K87" i="2" s="1"/>
  <c r="E22" i="2" s="1"/>
  <c r="AL137" i="2"/>
  <c r="O72" i="2" s="1"/>
  <c r="V72" i="2" s="1"/>
  <c r="AB657" i="3"/>
  <c r="J640" i="3" s="1"/>
  <c r="AB649" i="3"/>
  <c r="J632" i="3" s="1"/>
  <c r="K632" i="3" s="1"/>
  <c r="W427" i="3"/>
  <c r="L281" i="3"/>
  <c r="F158" i="3" s="1"/>
  <c r="AB288" i="3"/>
  <c r="J271" i="3" s="1"/>
  <c r="Q165" i="3"/>
  <c r="S165" i="3" s="1"/>
  <c r="R229" i="3"/>
  <c r="R87" i="3" s="1"/>
  <c r="L87" i="3"/>
  <c r="M184" i="3"/>
  <c r="G23" i="3" s="1"/>
  <c r="K23" i="3" s="1"/>
  <c r="AB228" i="3"/>
  <c r="J184" i="3" s="1"/>
  <c r="Q86" i="3"/>
  <c r="S86" i="3" s="1"/>
  <c r="AB169" i="3"/>
  <c r="J152" i="3" s="1"/>
  <c r="AB172" i="3"/>
  <c r="J155" i="3" s="1"/>
  <c r="T270" i="2"/>
  <c r="H225" i="2" s="1"/>
  <c r="N225" i="2"/>
  <c r="H72" i="2" s="1"/>
  <c r="L72" i="2" s="1"/>
  <c r="R137" i="2"/>
  <c r="T137" i="2" s="1"/>
  <c r="N299" i="2"/>
  <c r="K320" i="2"/>
  <c r="E299" i="2" s="1"/>
  <c r="X414" i="2"/>
  <c r="N292" i="2"/>
  <c r="H159" i="2" s="1"/>
  <c r="K313" i="2"/>
  <c r="E292" i="2" s="1"/>
  <c r="R180" i="2"/>
  <c r="T180" i="2" s="1"/>
  <c r="T272" i="2"/>
  <c r="H227" i="2" s="1"/>
  <c r="R139" i="2"/>
  <c r="T139" i="2" s="1"/>
  <c r="N227" i="2"/>
  <c r="H74" i="2" s="1"/>
  <c r="L74" i="2" s="1"/>
  <c r="H188" i="2"/>
  <c r="D167" i="2" s="1"/>
  <c r="L167" i="2" s="1"/>
  <c r="AL181" i="2"/>
  <c r="O160" i="2" s="1"/>
  <c r="V160" i="2" s="1"/>
  <c r="AJ174" i="2"/>
  <c r="AL174" i="2" s="1"/>
  <c r="O153" i="2" s="1"/>
  <c r="V153" i="2" s="1"/>
  <c r="AA96" i="2"/>
  <c r="AA92" i="2"/>
  <c r="AC89" i="2"/>
  <c r="K24" i="2" s="1"/>
  <c r="AA108" i="2"/>
  <c r="AA94" i="2"/>
  <c r="AC94" i="2" s="1"/>
  <c r="K29" i="2" s="1"/>
  <c r="AA93" i="2"/>
  <c r="AC93" i="2" s="1"/>
  <c r="K28" i="2" s="1"/>
  <c r="L165" i="2"/>
  <c r="W96" i="2"/>
  <c r="I31" i="2" s="1"/>
  <c r="N199" i="2"/>
  <c r="H26" i="2" s="1"/>
  <c r="AJ184" i="2"/>
  <c r="AL184" i="2" s="1"/>
  <c r="O163" i="2" s="1"/>
  <c r="V163" i="2" s="1"/>
  <c r="AL175" i="2"/>
  <c r="O154" i="2" s="1"/>
  <c r="V154" i="2" s="1"/>
  <c r="F95" i="2"/>
  <c r="H95" i="2" s="1"/>
  <c r="D30" i="2" s="1"/>
  <c r="L30" i="2" s="1"/>
  <c r="F107" i="2"/>
  <c r="H107" i="2" s="1"/>
  <c r="D42" i="2" s="1"/>
  <c r="L42" i="2" s="1"/>
  <c r="F101" i="2"/>
  <c r="H101" i="2" s="1"/>
  <c r="D36" i="2" s="1"/>
  <c r="L36" i="2" s="1"/>
  <c r="F88" i="2"/>
  <c r="H88" i="2" s="1"/>
  <c r="D23" i="2" s="1"/>
  <c r="L23" i="2" s="1"/>
  <c r="F94" i="2"/>
  <c r="H94" i="2" s="1"/>
  <c r="D29" i="2" s="1"/>
  <c r="F92" i="2"/>
  <c r="H92" i="2" s="1"/>
  <c r="D27" i="2" s="1"/>
  <c r="H89" i="2"/>
  <c r="D24" i="2" s="1"/>
  <c r="F87" i="2"/>
  <c r="H87" i="2" s="1"/>
  <c r="D22" i="2" s="1"/>
  <c r="F97" i="2"/>
  <c r="H97" i="2" s="1"/>
  <c r="D32" i="2" s="1"/>
  <c r="L32" i="2" s="1"/>
  <c r="H6" i="5"/>
  <c r="Y10" i="5"/>
  <c r="AA10" i="5" s="1"/>
  <c r="U5" i="5"/>
  <c r="U9" i="5"/>
  <c r="U7" i="5"/>
  <c r="U8" i="5"/>
  <c r="AB648" i="3"/>
  <c r="J631" i="3" s="1"/>
  <c r="K631" i="3" s="1"/>
  <c r="I299" i="3"/>
  <c r="R176" i="3" s="1"/>
  <c r="L176" i="3"/>
  <c r="Q298" i="3"/>
  <c r="S298" i="3" s="1"/>
  <c r="G281" i="3" s="1"/>
  <c r="M298" i="3"/>
  <c r="E281" i="3" s="1"/>
  <c r="J290" i="3"/>
  <c r="D273" i="3" s="1"/>
  <c r="M273" i="3"/>
  <c r="G150" i="3" s="1"/>
  <c r="K150" i="3" s="1"/>
  <c r="Q167" i="3"/>
  <c r="S167" i="3" s="1"/>
  <c r="AB292" i="3"/>
  <c r="J275" i="3" s="1"/>
  <c r="AB231" i="3"/>
  <c r="J187" i="3" s="1"/>
  <c r="Q89" i="3"/>
  <c r="S254" i="3"/>
  <c r="G210" i="3" s="1"/>
  <c r="Q131" i="3"/>
  <c r="S131" i="3" s="1"/>
  <c r="L186" i="3"/>
  <c r="F25" i="3" s="1"/>
  <c r="O88" i="3"/>
  <c r="P88" i="3" s="1"/>
  <c r="AB90" i="3"/>
  <c r="J27" i="3" s="1"/>
  <c r="W101" i="3"/>
  <c r="Y101" i="3" s="1"/>
  <c r="I38" i="3" s="1"/>
  <c r="Y94" i="3"/>
  <c r="I31" i="3" s="1"/>
  <c r="N287" i="2"/>
  <c r="H154" i="2" s="1"/>
  <c r="L154" i="2" s="1"/>
  <c r="R175" i="2"/>
  <c r="T175" i="2" s="1"/>
  <c r="I317" i="2"/>
  <c r="K308" i="2"/>
  <c r="E287" i="2" s="1"/>
  <c r="T268" i="2"/>
  <c r="H223" i="2" s="1"/>
  <c r="N223" i="2"/>
  <c r="H70" i="2" s="1"/>
  <c r="L70" i="2" s="1"/>
  <c r="R135" i="2"/>
  <c r="T135" i="2" s="1"/>
  <c r="T311" i="2"/>
  <c r="H290" i="2" s="1"/>
  <c r="R178" i="2"/>
  <c r="T178" i="2" s="1"/>
  <c r="L71" i="2"/>
  <c r="L161" i="2"/>
  <c r="N197" i="2"/>
  <c r="H24" i="2" s="1"/>
  <c r="K242" i="2"/>
  <c r="E197" i="2" s="1"/>
  <c r="R89" i="2"/>
  <c r="L80" i="2"/>
  <c r="AK188" i="2"/>
  <c r="AK176" i="2"/>
  <c r="AL176" i="2" s="1"/>
  <c r="O155" i="2" s="1"/>
  <c r="V155" i="2" s="1"/>
  <c r="K79" i="2"/>
  <c r="L79" i="2" s="1"/>
  <c r="AC187" i="2"/>
  <c r="K166" i="2" s="1"/>
  <c r="L166" i="2" s="1"/>
  <c r="D6" i="5" l="1"/>
  <c r="D8" i="5" s="1"/>
  <c r="E6" i="5"/>
  <c r="S89" i="3"/>
  <c r="Q90" i="3"/>
  <c r="S90" i="3" s="1"/>
  <c r="Q91" i="3"/>
  <c r="S91" i="3" s="1"/>
  <c r="H8" i="5"/>
  <c r="H7" i="5"/>
  <c r="H5" i="5"/>
  <c r="H9" i="5"/>
  <c r="R92" i="2"/>
  <c r="T92" i="2" s="1"/>
  <c r="T89" i="2"/>
  <c r="R93" i="2"/>
  <c r="T93" i="2" s="1"/>
  <c r="AC108" i="2"/>
  <c r="K43" i="2" s="1"/>
  <c r="L43" i="2" s="1"/>
  <c r="K71" i="3"/>
  <c r="S176" i="2"/>
  <c r="T176" i="2" s="1"/>
  <c r="AC309" i="2"/>
  <c r="K288" i="2" s="1"/>
  <c r="N288" i="2"/>
  <c r="H155" i="2" s="1"/>
  <c r="L155" i="2" s="1"/>
  <c r="M175" i="3"/>
  <c r="H28" i="2"/>
  <c r="L28" i="2" s="1"/>
  <c r="H27" i="2"/>
  <c r="L27" i="2" s="1"/>
  <c r="L24" i="2"/>
  <c r="AC92" i="2"/>
  <c r="K27" i="2" s="1"/>
  <c r="S230" i="3"/>
  <c r="G186" i="3" s="1"/>
  <c r="M186" i="3"/>
  <c r="G25" i="3" s="1"/>
  <c r="Q88" i="3"/>
  <c r="S88" i="3" s="1"/>
  <c r="M87" i="3"/>
  <c r="AC96" i="2"/>
  <c r="K31" i="2" s="1"/>
  <c r="L31" i="2" s="1"/>
  <c r="S229" i="3"/>
  <c r="G185" i="3" s="1"/>
  <c r="K155" i="3"/>
  <c r="N195" i="2"/>
  <c r="H22" i="2" s="1"/>
  <c r="K240" i="2"/>
  <c r="E195" i="2" s="1"/>
  <c r="R87" i="2"/>
  <c r="T87" i="2" s="1"/>
  <c r="AB88" i="3"/>
  <c r="J25" i="3" s="1"/>
  <c r="K25" i="3" s="1"/>
  <c r="N300" i="2"/>
  <c r="L22" i="2"/>
  <c r="K317" i="2"/>
  <c r="E296" i="2" s="1"/>
  <c r="N296" i="2"/>
  <c r="L29" i="2"/>
  <c r="L159" i="2"/>
  <c r="J299" i="3"/>
  <c r="D282" i="3" s="1"/>
  <c r="M282" i="3"/>
  <c r="G159" i="3" s="1"/>
  <c r="K159" i="3" s="1"/>
  <c r="Q176" i="3"/>
  <c r="S176" i="3" s="1"/>
  <c r="J298" i="3"/>
  <c r="D281" i="3" s="1"/>
  <c r="M281" i="3"/>
  <c r="G158" i="3" s="1"/>
  <c r="K158" i="3" s="1"/>
  <c r="Q175" i="3"/>
  <c r="S175" i="3" s="1"/>
  <c r="K29" i="3"/>
  <c r="K152" i="3"/>
  <c r="S87" i="3"/>
  <c r="M176" i="3"/>
  <c r="M185" i="3"/>
  <c r="G24" i="3" s="1"/>
  <c r="K24" i="3" s="1"/>
  <c r="D7" i="5" l="1"/>
  <c r="D5" i="5"/>
  <c r="Y6" i="5"/>
  <c r="AA6" i="5" s="1"/>
  <c r="AA5" i="5" s="1"/>
  <c r="D9" i="5"/>
  <c r="E7" i="5"/>
  <c r="Y7" i="5" s="1"/>
  <c r="AA7" i="5" s="1"/>
  <c r="E5" i="5"/>
  <c r="Y5" i="5" s="1"/>
  <c r="E8" i="5"/>
  <c r="Y8" i="5" s="1"/>
  <c r="AA8" i="5" s="1"/>
  <c r="E9" i="5"/>
  <c r="Y9" i="5" s="1"/>
  <c r="AA9" i="5" s="1"/>
</calcChain>
</file>

<file path=xl/sharedStrings.xml><?xml version="1.0" encoding="utf-8"?>
<sst xmlns="http://schemas.openxmlformats.org/spreadsheetml/2006/main" count="23095" uniqueCount="2284">
  <si>
    <t>Nasional</t>
  </si>
  <si>
    <t>Internasional</t>
  </si>
  <si>
    <t>Publikasi dan Sitasi</t>
  </si>
  <si>
    <t>HKI &amp; revenue generating</t>
  </si>
  <si>
    <t>riset</t>
  </si>
  <si>
    <t>abdimas</t>
  </si>
  <si>
    <t>kelembagaan</t>
  </si>
  <si>
    <t>SDM</t>
  </si>
  <si>
    <t>ALL</t>
  </si>
  <si>
    <t>Survey</t>
  </si>
  <si>
    <t>Sub</t>
  </si>
  <si>
    <t>2023/2024</t>
  </si>
  <si>
    <t>Responden</t>
  </si>
  <si>
    <t>Populasi</t>
  </si>
  <si>
    <t>Response Rate</t>
  </si>
  <si>
    <t>Skor  ≥4</t>
  </si>
  <si>
    <t>Total Jawaban</t>
  </si>
  <si>
    <t>CSI</t>
  </si>
  <si>
    <t>New Student Survey</t>
  </si>
  <si>
    <t>-</t>
  </si>
  <si>
    <t>Service Survey</t>
  </si>
  <si>
    <t>Courses Survey</t>
  </si>
  <si>
    <t>Generic Courses (Non Internship/Non Final Project)</t>
  </si>
  <si>
    <t>Internship</t>
  </si>
  <si>
    <t>Final Project/Thesis</t>
  </si>
  <si>
    <t>Exit Survey</t>
  </si>
  <si>
    <t>Lama</t>
  </si>
  <si>
    <t>Tracer Study</t>
  </si>
  <si>
    <t>Baru</t>
  </si>
  <si>
    <t>User Survey</t>
  </si>
  <si>
    <t>Growth</t>
  </si>
  <si>
    <t>Partner Survey</t>
  </si>
  <si>
    <t>Employee Survey</t>
  </si>
  <si>
    <t>Employee Service Survey</t>
  </si>
  <si>
    <t>Vision &amp; Mission Survey</t>
  </si>
  <si>
    <t>SURVEY QA</t>
  </si>
  <si>
    <t>RESPONSE RATE</t>
  </si>
  <si>
    <t>Prodi</t>
  </si>
  <si>
    <t>Vision &amp; Mision Survey</t>
  </si>
  <si>
    <t>All Survey</t>
  </si>
  <si>
    <t>Student</t>
  </si>
  <si>
    <t>User</t>
  </si>
  <si>
    <t>Partner</t>
  </si>
  <si>
    <t>UC+UCM</t>
  </si>
  <si>
    <t>UC</t>
  </si>
  <si>
    <t>UCS</t>
  </si>
  <si>
    <t>UCO</t>
  </si>
  <si>
    <t>UC-MKS</t>
  </si>
  <si>
    <t>REC</t>
  </si>
  <si>
    <t>ACA</t>
  </si>
  <si>
    <t>OPR</t>
  </si>
  <si>
    <t>S&amp;D</t>
  </si>
  <si>
    <t>BAA</t>
  </si>
  <si>
    <t>SA</t>
  </si>
  <si>
    <t>CAD</t>
  </si>
  <si>
    <t>DLMP</t>
  </si>
  <si>
    <t>DLO</t>
  </si>
  <si>
    <t>FA</t>
  </si>
  <si>
    <t>HCM</t>
  </si>
  <si>
    <t>ICT</t>
  </si>
  <si>
    <t>LIB</t>
  </si>
  <si>
    <t>LPPM</t>
  </si>
  <si>
    <t>LSP</t>
  </si>
  <si>
    <t>MNA</t>
  </si>
  <si>
    <t>NNP</t>
  </si>
  <si>
    <t>PM</t>
  </si>
  <si>
    <t>QA</t>
  </si>
  <si>
    <t>SEH</t>
  </si>
  <si>
    <t>TLiC</t>
  </si>
  <si>
    <t>ACC</t>
  </si>
  <si>
    <t>CBZ</t>
  </si>
  <si>
    <t>COM</t>
  </si>
  <si>
    <t>DME</t>
  </si>
  <si>
    <t>FDB</t>
  </si>
  <si>
    <t>FPD</t>
  </si>
  <si>
    <t>FTP</t>
  </si>
  <si>
    <t>HTB</t>
  </si>
  <si>
    <t>IBM-IC</t>
  </si>
  <si>
    <t>IBM-RC</t>
  </si>
  <si>
    <t>IMT</t>
  </si>
  <si>
    <t>ARS</t>
  </si>
  <si>
    <t>ISB</t>
  </si>
  <si>
    <t>MCM</t>
  </si>
  <si>
    <t>MDP</t>
  </si>
  <si>
    <t>MED</t>
  </si>
  <si>
    <t>MEM</t>
  </si>
  <si>
    <t>MIS</t>
  </si>
  <si>
    <t>PSY</t>
  </si>
  <si>
    <t>VCD</t>
  </si>
  <si>
    <t>DKV</t>
  </si>
  <si>
    <t>IFT</t>
  </si>
  <si>
    <t>MAN</t>
  </si>
  <si>
    <t>MM</t>
  </si>
  <si>
    <t>PAR</t>
  </si>
  <si>
    <t>COM+MCM</t>
  </si>
  <si>
    <t>FPD+FDB</t>
  </si>
  <si>
    <t>ISB+MIS</t>
  </si>
  <si>
    <t>IBM-UCO</t>
  </si>
  <si>
    <t>IMT-UCO</t>
  </si>
  <si>
    <t>MEM-UCO</t>
  </si>
  <si>
    <t>IMT-MKS</t>
  </si>
  <si>
    <t>VCD-MKS</t>
  </si>
  <si>
    <t>DETAIL RESPONSE RATE VISION &amp; MISSION SURVEY</t>
  </si>
  <si>
    <t>DETAIL RESPONSE RATE NEW STUDENT SURVEY</t>
  </si>
  <si>
    <t>DETAIL RESPONSE RATE SERVICE SURVEY</t>
  </si>
  <si>
    <t>DETAIL RESPONSE RATE COURSES SURVEY</t>
  </si>
  <si>
    <t>DETAIL RESPONSE RATE EXIT SURVEY</t>
  </si>
  <si>
    <t>DETAIL Pemahaman VISION &amp; MISION SURVEY</t>
  </si>
  <si>
    <t>DETAIL CSI NEW STUDENT SURVEY</t>
  </si>
  <si>
    <t>DETAIL CSI  SERVICE SURVEY</t>
  </si>
  <si>
    <t>DETAIL CSI COURSES SURVEY</t>
  </si>
  <si>
    <t>DETAIL CSI EXIT SURVEY</t>
  </si>
  <si>
    <t>Fakultas</t>
  </si>
  <si>
    <t>Respondent</t>
  </si>
  <si>
    <t>Survey Target</t>
  </si>
  <si>
    <t>Paham</t>
  </si>
  <si>
    <t>∑ Responden</t>
  </si>
  <si>
    <r>
      <rPr>
        <b/>
        <sz val="11"/>
        <color indexed="11"/>
        <rFont val="Arial"/>
      </rPr>
      <t>≥</t>
    </r>
    <r>
      <rPr>
        <b/>
        <sz val="9"/>
        <color indexed="11"/>
        <rFont val="Calibri"/>
      </rPr>
      <t>4</t>
    </r>
  </si>
  <si>
    <t>∑ Jawaban</t>
  </si>
  <si>
    <t>SBM</t>
  </si>
  <si>
    <t>SCI</t>
  </si>
  <si>
    <t>SIFT</t>
  </si>
  <si>
    <t>SoC</t>
  </si>
  <si>
    <t>SoM</t>
  </si>
  <si>
    <t>SoP</t>
  </si>
  <si>
    <t>SoT</t>
  </si>
  <si>
    <t>SBM-UC</t>
  </si>
  <si>
    <t>SBM-UCO</t>
  </si>
  <si>
    <t>SCI-MKS</t>
  </si>
  <si>
    <t>SCI+SCI-MKS</t>
  </si>
  <si>
    <t>SIFT-UC</t>
  </si>
  <si>
    <t>SIFT-UCO</t>
  </si>
  <si>
    <t>SIFT-MKS</t>
  </si>
  <si>
    <t>SIFT+SIFT-MKS</t>
  </si>
  <si>
    <t>COURSES SURVEY</t>
  </si>
  <si>
    <t>Generic</t>
  </si>
  <si>
    <t>Final Project</t>
  </si>
  <si>
    <t>Generic (80%)</t>
  </si>
  <si>
    <t>Internship (10%)</t>
  </si>
  <si>
    <t>Final Project (10%)</t>
  </si>
  <si>
    <t>DETAIL RESPONSE RATE GENERIC COURSES SURVEY</t>
  </si>
  <si>
    <t>DETAIL RESPONSE RATE INTERNSHIP COURSES SURVEY</t>
  </si>
  <si>
    <t>DETAIL RESPONSE RATE FINAL PROJECT/THESIS COURSES SURVEY</t>
  </si>
  <si>
    <t>DETAIL CSI GENERIC COURSES SURVEY</t>
  </si>
  <si>
    <t>DETAIL CSI INTERNSHIP COURSES SURVEY</t>
  </si>
  <si>
    <t>DETAIL CSI FINAL PROJECT/THESIS COURSES SURVEY</t>
  </si>
  <si>
    <t>RESPONSE RATE GENERIC COURSES SURVEY</t>
  </si>
  <si>
    <t>RESPONSE RATE INTERNSHIP COURSES SURVEY</t>
  </si>
  <si>
    <t>RESPONSE RATE FINAL PROJECT/THESIS COURSES SURVEY</t>
  </si>
  <si>
    <t>ASPECT</t>
  </si>
  <si>
    <t>CSI UC</t>
  </si>
  <si>
    <t>Project</t>
  </si>
  <si>
    <t>Aspek</t>
  </si>
  <si>
    <t>Skor Akreditasi</t>
  </si>
  <si>
    <t>Input QS IKU/IKT</t>
  </si>
  <si>
    <t>Input IQAS Accreditation Data Provider</t>
  </si>
  <si>
    <r>
      <rPr>
        <b/>
        <sz val="11"/>
        <color indexed="11"/>
        <rFont val="Calibri"/>
      </rPr>
      <t>&lt;4 &amp; ≥3</t>
    </r>
  </si>
  <si>
    <r>
      <rPr>
        <b/>
        <sz val="11"/>
        <color indexed="11"/>
        <rFont val="Calibri"/>
      </rPr>
      <t>&lt;3 &amp; ≥2</t>
    </r>
  </si>
  <si>
    <t>&lt;2</t>
  </si>
  <si>
    <r>
      <rPr>
        <b/>
        <sz val="11"/>
        <color indexed="11"/>
        <rFont val="Calibri"/>
      </rPr>
      <t>≥</t>
    </r>
    <r>
      <rPr>
        <b/>
        <sz val="9"/>
        <color indexed="11"/>
        <rFont val="Calibri"/>
      </rPr>
      <t>4</t>
    </r>
  </si>
  <si>
    <t>Reliability</t>
  </si>
  <si>
    <t>UC#000%</t>
  </si>
  <si>
    <t>000</t>
  </si>
  <si>
    <t>Responsiveness</t>
  </si>
  <si>
    <t>Assurance</t>
  </si>
  <si>
    <t>Emphaty</t>
  </si>
  <si>
    <t>Tangible</t>
  </si>
  <si>
    <t>CSI Prodi</t>
  </si>
  <si>
    <t>ACC#000%</t>
  </si>
  <si>
    <t>#000%</t>
  </si>
  <si>
    <t>CBZ#000%</t>
  </si>
  <si>
    <t>COM#000%</t>
  </si>
  <si>
    <t>DME#000%</t>
  </si>
  <si>
    <t>FDB#000%</t>
  </si>
  <si>
    <t>FPD#000%</t>
  </si>
  <si>
    <t>FTP#000%</t>
  </si>
  <si>
    <t>HTB#000%</t>
  </si>
  <si>
    <t>IBM-IC#000%</t>
  </si>
  <si>
    <t>IBM-RC#000%</t>
  </si>
  <si>
    <t>IBM-UCO#000%</t>
  </si>
  <si>
    <t>IMT#000%</t>
  </si>
  <si>
    <t>IMT-UCO#000%</t>
  </si>
  <si>
    <t>ARS#000%</t>
  </si>
  <si>
    <t>ISB#000%</t>
  </si>
  <si>
    <t>MCM#000%</t>
  </si>
  <si>
    <t>MDP#000%</t>
  </si>
  <si>
    <t>MED#000%</t>
  </si>
  <si>
    <t>MEM#000%</t>
  </si>
  <si>
    <t>MEM-UCO#000%</t>
  </si>
  <si>
    <t>MIS#000%</t>
  </si>
  <si>
    <t>PSY#000%</t>
  </si>
  <si>
    <t>VCD#000%</t>
  </si>
  <si>
    <t>DKV#000%</t>
  </si>
  <si>
    <t>IFT#000%</t>
  </si>
  <si>
    <t>MAN#000%</t>
  </si>
  <si>
    <t>MM#000%</t>
  </si>
  <si>
    <t>PAR#000%</t>
  </si>
  <si>
    <t>COM+MCM#000%</t>
  </si>
  <si>
    <t>FPD+FDB#000%</t>
  </si>
  <si>
    <t>ISB+MIS#000%</t>
  </si>
  <si>
    <t>IMT-MKS#000%</t>
  </si>
  <si>
    <t>VCD-MKS#000%</t>
  </si>
  <si>
    <t>CSI Fakultas</t>
  </si>
  <si>
    <t>SBM#000%</t>
  </si>
  <si>
    <t>SBM#94.59%</t>
  </si>
  <si>
    <t>SCI#94.25%</t>
  </si>
  <si>
    <t>SIFT#92.13%</t>
  </si>
  <si>
    <t>SoC#94.73%</t>
  </si>
  <si>
    <t>SCI#000%</t>
  </si>
  <si>
    <t>SoM#96.34%</t>
  </si>
  <si>
    <t>SoP#95.77%</t>
  </si>
  <si>
    <t>SoT#93.47%</t>
  </si>
  <si>
    <t>SIFT#000%</t>
  </si>
  <si>
    <t>SoC#000%</t>
  </si>
  <si>
    <t>SoM#000%</t>
  </si>
  <si>
    <t>SoP#000%</t>
  </si>
  <si>
    <t>SoT#000%</t>
  </si>
  <si>
    <t>SBM-UC#000%</t>
  </si>
  <si>
    <t>SBM-UCO#000%</t>
  </si>
  <si>
    <t>SCI-MKS#000%</t>
  </si>
  <si>
    <t>SCI+SCI-MKS#000%</t>
  </si>
  <si>
    <t>SIFT-UC#000%</t>
  </si>
  <si>
    <t>SIFT-UCO#000%</t>
  </si>
  <si>
    <t>SIFT-MKS#000%</t>
  </si>
  <si>
    <t>SIFT+SIFT-MKS#000%</t>
  </si>
  <si>
    <t>TINGKAT PEMAHAMAN VISI MISI</t>
  </si>
  <si>
    <t>Threshold 70%</t>
  </si>
  <si>
    <t>Threshold 40%</t>
  </si>
  <si>
    <t>Visi Misi</t>
  </si>
  <si>
    <t>IPE</t>
  </si>
  <si>
    <t>Total</t>
  </si>
  <si>
    <t>Mahasiswa</t>
  </si>
  <si>
    <t>Dosen</t>
  </si>
  <si>
    <t>Tendik</t>
  </si>
  <si>
    <t>All</t>
  </si>
  <si>
    <t>NILAI KEPUASAN SELURUH DEPT (ALL CRITERIA)</t>
  </si>
  <si>
    <t>STUDENT WORKLOAD</t>
  </si>
  <si>
    <t>Dept</t>
  </si>
  <si>
    <t>2022-1</t>
  </si>
  <si>
    <t>2022-2</t>
  </si>
  <si>
    <t>2022/2023</t>
  </si>
  <si>
    <t>UC Online</t>
  </si>
  <si>
    <t>UC+UC Online+PSDKU</t>
  </si>
  <si>
    <t>UC+UC Online</t>
  </si>
  <si>
    <t>SBM Online</t>
  </si>
  <si>
    <t>SIFT Online</t>
  </si>
  <si>
    <t>SBM + SBM Online</t>
  </si>
  <si>
    <t>SIFT + SIFT Online</t>
  </si>
  <si>
    <t>PAR (CBZ+HTB)</t>
  </si>
  <si>
    <t>PAR (CBZ+HTB)#000%</t>
  </si>
  <si>
    <t>NILAI KEPUASAN SELURUH DEPT</t>
  </si>
  <si>
    <t>NIS</t>
  </si>
  <si>
    <t>Name</t>
  </si>
  <si>
    <t>Major</t>
  </si>
  <si>
    <t>Student Year</t>
  </si>
  <si>
    <t>Activity</t>
  </si>
  <si>
    <t>Start Date</t>
  </si>
  <si>
    <t>End Date</t>
  </si>
  <si>
    <t>Period</t>
  </si>
  <si>
    <t>Description</t>
  </si>
  <si>
    <t>Category</t>
  </si>
  <si>
    <t>Status</t>
  </si>
  <si>
    <t>Level</t>
  </si>
  <si>
    <t>Participant As</t>
  </si>
  <si>
    <t>Total Participant</t>
  </si>
  <si>
    <t>Point</t>
  </si>
  <si>
    <t>Website</t>
  </si>
  <si>
    <t>Certificate</t>
  </si>
  <si>
    <t>Assignment Letter</t>
  </si>
  <si>
    <t>Report</t>
  </si>
  <si>
    <t>Documentation</t>
  </si>
  <si>
    <t>Organizer</t>
  </si>
  <si>
    <t>0106011910122</t>
  </si>
  <si>
    <t>Celine Miyuki Gunawan</t>
  </si>
  <si>
    <t>Management - Reguler Class</t>
  </si>
  <si>
    <t>National Management Seminar (SENIMA)</t>
  </si>
  <si>
    <t>2022-10-05</t>
  </si>
  <si>
    <t>National Seminar Speaker and won the Best Paper Category at the 2021 National Management Seminar (SENIMA) &amp; Call for Papers 2021 by Universitas Negeri Surabaya : "The Effect of Social Influence and Peer Influence on Intention to Purchase on E-Commerce in Indonesia".</t>
  </si>
  <si>
    <t>Rumpun Keterampilan Penunjang</t>
  </si>
  <si>
    <t>Narasumber / Pemateri Acara Seminar / Workshop / Pemakalah</t>
  </si>
  <si>
    <t>External National</t>
  </si>
  <si>
    <t>Team</t>
  </si>
  <si>
    <r>
      <rPr>
        <sz val="10"/>
        <color indexed="8"/>
        <rFont val="Calibri"/>
      </rPr>
      <t>https://senima.conference.unesa.ac.id</t>
    </r>
  </si>
  <si>
    <r>
      <rPr>
        <sz val="10"/>
        <color indexed="8"/>
        <rFont val="Calibri"/>
      </rPr>
      <t>https://employee.uc.ac.id/index.php/file/get/sis/t_cp/e3d619b7-9728-11ed-b71c-000d3ac6bafe.pdf</t>
    </r>
  </si>
  <si>
    <r>
      <rPr>
        <sz val="10"/>
        <color indexed="8"/>
        <rFont val="Calibri"/>
      </rPr>
      <t>https://employee.uc.ac.id/index.php/file/get/sis/t_cp/e3d619b7-9728-11ed-b71c-000d3ac6bafe_assignmentletter.pdf</t>
    </r>
  </si>
  <si>
    <t>Universitas Negeri Surabaya (UNESA)</t>
  </si>
  <si>
    <t>0106011910147</t>
  </si>
  <si>
    <t>Falito Efrem Fausto</t>
  </si>
  <si>
    <t>Sharing Session UC Fambus 11th &amp; 12th</t>
  </si>
  <si>
    <t>2023-06-15</t>
  </si>
  <si>
    <t>Sharing pengalaman didalam berbisnis pada hari jumat 14 April 2023</t>
  </si>
  <si>
    <t>Internal Sekolah / Universitas</t>
  </si>
  <si>
    <t>Individual</t>
  </si>
  <si>
    <r>
      <rPr>
        <sz val="10"/>
        <color indexed="8"/>
        <rFont val="Calibri"/>
      </rPr>
      <t>https://employee.uc.ac.id/index.php/file/get/sis/t_cp/a2c5ec47-0b1b-11ee-80dd-000d3ac6bafe.jpg</t>
    </r>
  </si>
  <si>
    <t>UC Family Business Community</t>
  </si>
  <si>
    <t>0106011910151</t>
  </si>
  <si>
    <t>Filemon Hermawan Sulistyo</t>
  </si>
  <si>
    <t>speaker at sharing season</t>
  </si>
  <si>
    <t>2023-04-14</t>
  </si>
  <si>
    <t>Speaker at Sharing Session: Marketing &amp; Selling Practices in UC Fambus 11th &amp; 12th</t>
  </si>
  <si>
    <r>
      <rPr>
        <sz val="10"/>
        <color indexed="8"/>
        <rFont val="Calibri"/>
      </rPr>
      <t>https://employee.uc.ac.id/index.php/file/get/sis/t_cp/02c6cca4-0451-11ee-ba25-000d3ac6bafe.jpg</t>
    </r>
  </si>
  <si>
    <t>family business</t>
  </si>
  <si>
    <t>0106011910231</t>
  </si>
  <si>
    <t>Tirsha Jane Pattiselanno</t>
  </si>
  <si>
    <t>Pelatihan Channels Blok Business Model Canvas bagi Komunitas BMC - Hongkong dan China</t>
  </si>
  <si>
    <t>2023-01-28</t>
  </si>
  <si>
    <t xml:space="preserve">Menjadi Narasumbel pada  program Abdimas Program PMI HONGKONG &amp; CHINA membawa topik mengenai kreatifitas dalam menjual produk 
</t>
  </si>
  <si>
    <t>External International</t>
  </si>
  <si>
    <r>
      <rPr>
        <sz val="10"/>
        <color indexed="8"/>
        <rFont val="Calibri"/>
      </rPr>
      <t>https://employee.uc.ac.id/index.php/file/get/sis/t_cp/18a78d9a-9ee8-11ed-b9cf-000d3ac6bafe.jpg</t>
    </r>
  </si>
  <si>
    <t>UC Family Business Community Indonesia</t>
  </si>
  <si>
    <t>0106011910296</t>
  </si>
  <si>
    <t>Ellisa Noelia Laurent</t>
  </si>
  <si>
    <t>National Entrepreneurship Camp</t>
  </si>
  <si>
    <t>2022-03-28</t>
  </si>
  <si>
    <t>2022-03-30</t>
  </si>
  <si>
    <t>Sharing menjalankan bisnis dan materi mengenai five thinking hats</t>
  </si>
  <si>
    <r>
      <rPr>
        <sz val="10"/>
        <color indexed="8"/>
        <rFont val="Calibri"/>
      </rPr>
      <t>https://employee.uc.ac.id/index.php/file/get/sis/t_cp/e5d917f3-b39c-11ed-ae8d-000d3ac6bafe.jpg</t>
    </r>
  </si>
  <si>
    <r>
      <rPr>
        <sz val="10"/>
        <color indexed="8"/>
        <rFont val="Calibri"/>
      </rPr>
      <t>https://employee.uc.ac.id/index.php/file/get/sis/t_cp/33fc8288-b39d-11ed-ae8d-000d3ac6bafe_assignmentletter.pdf</t>
    </r>
  </si>
  <si>
    <t xml:space="preserve">Sekolah Citra Kasih &amp; Sekolah Citra Berkat </t>
  </si>
  <si>
    <t>0106011910347</t>
  </si>
  <si>
    <t>Yonathan Budiono</t>
  </si>
  <si>
    <t>Pelatihan Channels Blok Business Model Canvas bagi Komunitas BMC-Hongkong, China</t>
  </si>
  <si>
    <t>2022-03-12</t>
  </si>
  <si>
    <t>Menjadi Narasumber di pelatihan Channels Blok Business Model Canvas bagi Komunitas BMC-Hongkong, dimana kami mengajarkan marketing kepada TKW di Hong Kong.</t>
  </si>
  <si>
    <r>
      <rPr>
        <sz val="10"/>
        <color indexed="8"/>
        <rFont val="Calibri"/>
      </rPr>
      <t>https://employee.uc.ac.id/index.php/file/get/sis/t_cp/efcfc3d4-9c68-11ed-90bc-000d3ac6bafe.jpeg</t>
    </r>
  </si>
  <si>
    <t>BMC Hong Kong</t>
  </si>
  <si>
    <t>0106012010045</t>
  </si>
  <si>
    <t>Made Nibbana Ganesha Putra Artha</t>
  </si>
  <si>
    <t>SIFT Dean's Cup 2022</t>
  </si>
  <si>
    <t>2022-10-14</t>
  </si>
  <si>
    <t>2022-10-20</t>
  </si>
  <si>
    <t>Juri Dean's Cup 2022 yang diselenggarakan oleh SIFT</t>
  </si>
  <si>
    <t>Juri</t>
  </si>
  <si>
    <r>
      <rPr>
        <sz val="10"/>
        <color indexed="8"/>
        <rFont val="Calibri"/>
      </rPr>
      <t>https://employee.uc.ac.id/index.php/file/get/sis/t_cp/multi/e9f29743-d848-11ed-a359-000d3ac6bafe.png</t>
    </r>
  </si>
  <si>
    <r>
      <rPr>
        <sz val="10"/>
        <color indexed="8"/>
        <rFont val="Calibri"/>
      </rPr>
      <t>https://employee.uc.ac.id/index.php/file/get/sis/t_cp/multi/e9f29743-d848-11ed-a359-000d3ac6bafe_assignmentletter.png</t>
    </r>
  </si>
  <si>
    <t>SU IMT &amp; SU ISB</t>
  </si>
  <si>
    <t>0106012010058</t>
  </si>
  <si>
    <t>Linda Laurensia Soetandio</t>
  </si>
  <si>
    <t>Pemakalah jurnal program pelatihan peningkatan keterampilan komunikasi untuk siswa SMA Tri Karya</t>
  </si>
  <si>
    <t>2022-11-24</t>
  </si>
  <si>
    <t>Pemakalah jurnal program pelatihan peningkatan keterampilan komunikasi untuk siswa SMA Tri Karya Surabaya</t>
  </si>
  <si>
    <r>
      <rPr>
        <sz val="10"/>
        <color indexed="8"/>
        <rFont val="Calibri"/>
      </rPr>
      <t>https://employee.uc.ac.id/index.php/file/get/sis/t_cp/7a9befb4-97e1-11ed-af4b-000d3ac6bafe.jpg</t>
    </r>
  </si>
  <si>
    <r>
      <rPr>
        <sz val="10"/>
        <color indexed="8"/>
        <rFont val="Calibri"/>
      </rPr>
      <t>https://employee.uc.ac.id/index.php/file/get/sis/t_cp/7a9befb4-97e1-11ed-af4b-000d3ac6bafe_assignmentletter.jpg</t>
    </r>
  </si>
  <si>
    <t>umum</t>
  </si>
  <si>
    <t>Menulis buku Manajemen Bisnis : Konsep dan Strateginya</t>
  </si>
  <si>
    <t>2023-07-01</t>
  </si>
  <si>
    <t>2023-08-31</t>
  </si>
  <si>
    <t>URL Penerbit : https://store.medsan.co.id/detail/978-623-195-428-2-manajemen-bisnis-konsep-dan-strateginya
Google Scholar : https://scholar.google.co.id/citations?user=ka0E86IAAAAJ</t>
  </si>
  <si>
    <t>Publikasi Buku ISBN / Penulis Utama</t>
  </si>
  <si>
    <r>
      <rPr>
        <sz val="10"/>
        <color indexed="8"/>
        <rFont val="Calibri"/>
      </rPr>
      <t>https://scholar.google.co.id/citations?user=ka0E86</t>
    </r>
  </si>
  <si>
    <r>
      <rPr>
        <sz val="10"/>
        <color indexed="8"/>
        <rFont val="Calibri"/>
      </rPr>
      <t>https://employee.uc.ac.id/index.php/file/get/sis/t_cp/2f373225-4e1c-11ee-b77c-000d3ac6bafe_report.jpg</t>
    </r>
  </si>
  <si>
    <t>Umum</t>
  </si>
  <si>
    <t xml:space="preserve">Menulis jurnal Program Pelatihan Personal Branding </t>
  </si>
  <si>
    <t>2023-11-15</t>
  </si>
  <si>
    <t>Menulis jurnal Program Pelatihan Personal Branding 
Link : https://doi.org/10.
37715/consortium.v3i2.4268.</t>
  </si>
  <si>
    <t>Jurnal Bereputasi Internasional</t>
  </si>
  <si>
    <r>
      <rPr>
        <sz val="10"/>
        <color indexed="8"/>
        <rFont val="Calibri"/>
      </rPr>
      <t>https://doi.org/10.37715/consortium.v3i2.4268.</t>
    </r>
  </si>
  <si>
    <r>
      <rPr>
        <sz val="10"/>
        <color indexed="8"/>
        <rFont val="Calibri"/>
      </rPr>
      <t>https://employee.uc.ac.id/index.php/file/get/sis/t_cp/7de2d332-8353-11ee-9c7d-000d3ac6bafe.pdf</t>
    </r>
  </si>
  <si>
    <t>Universitas</t>
  </si>
  <si>
    <t>0106012010066</t>
  </si>
  <si>
    <t>Abdul Fitro Al Akbar</t>
  </si>
  <si>
    <t>The 10th International Conference on Entrepreneurship 2023 (ICOEN)</t>
  </si>
  <si>
    <t>2023-10-26</t>
  </si>
  <si>
    <t>2023-10-27</t>
  </si>
  <si>
    <t>The 10th International Conference on Entrepreneurship 2023 (ICOEN) "Facing Economic Uncertainty through Digital Entrepreneurship"</t>
  </si>
  <si>
    <r>
      <rPr>
        <sz val="10"/>
        <color indexed="8"/>
        <rFont val="Calibri"/>
      </rPr>
      <t>https://icoen.org/</t>
    </r>
  </si>
  <si>
    <r>
      <rPr>
        <sz val="10"/>
        <color indexed="8"/>
        <rFont val="Calibri"/>
      </rPr>
      <t>https://employee.uc.ac.id/index.php/file/get/sis/t_cp/multi/44388237-9417-11ee-bd04-000d3ac6bafe.png</t>
    </r>
  </si>
  <si>
    <r>
      <rPr>
        <sz val="10"/>
        <color indexed="8"/>
        <rFont val="Calibri"/>
      </rPr>
      <t>https://employee.uc.ac.id/index.php/file/get/sis/t_cp/multi/44388237-9417-11ee-bd04-000d3ac6bafe_assignmentletter.png</t>
    </r>
  </si>
  <si>
    <t>ICOEN</t>
  </si>
  <si>
    <t>0106012010092</t>
  </si>
  <si>
    <t>Christian Jordan Kurniadi</t>
  </si>
  <si>
    <t>SENIMA 6</t>
  </si>
  <si>
    <t>2022-04-30</t>
  </si>
  <si>
    <t>Terpublish nya jurnal penelitian SINTA 2 pada tanggal 30 April 2022 dengan judul "The role of technology acceptance model factors on purchase intention in e-commerce"</t>
  </si>
  <si>
    <t>Jurnal Terindeks Sinta 1-2</t>
  </si>
  <si>
    <r>
      <rPr>
        <sz val="10"/>
        <color indexed="8"/>
        <rFont val="Calibri"/>
      </rPr>
      <t>https://journal.unesa.ac.id/index.php/bisma/articl</t>
    </r>
  </si>
  <si>
    <r>
      <rPr>
        <sz val="10"/>
        <color indexed="8"/>
        <rFont val="Calibri"/>
      </rPr>
      <t>https://employee.uc.ac.id/index.php/file/get/sis/t_cp/b284c4f1-8d80-11ed-811b-000d3ac6bafe_report.png</t>
    </r>
  </si>
  <si>
    <t>Universitas Negeri Surabaya</t>
  </si>
  <si>
    <t>0106012010149</t>
  </si>
  <si>
    <t>Wongkojoyo, Kevin</t>
  </si>
  <si>
    <t>0106012010150</t>
  </si>
  <si>
    <t>Amanda Renata Susilo</t>
  </si>
  <si>
    <t xml:space="preserve">Ruang Publik Etika dan Semangat Kartini </t>
  </si>
  <si>
    <t>2023-04-10</t>
  </si>
  <si>
    <t>Narasumber TVRI IBF "Ruang Publok Etika dan Semangat Kartini"</t>
  </si>
  <si>
    <r>
      <rPr>
        <sz val="10"/>
        <color indexed="8"/>
        <rFont val="Calibri"/>
      </rPr>
      <t>https://employee.uc.ac.id/index.php/file/get/sis/t_cp/ed0ed558-d81d-11ed-a359-000d3ac6bafe.jpeg</t>
    </r>
  </si>
  <si>
    <r>
      <rPr>
        <sz val="10"/>
        <color indexed="8"/>
        <rFont val="Calibri"/>
      </rPr>
      <t>https://employee.uc.ac.id/index.php/file/get/sis/t_cp/ed0ed558-d81d-11ed-a359-000d3ac6bafe_assignmentletter.pdf</t>
    </r>
  </si>
  <si>
    <t xml:space="preserve">TVRI Jawa Timur </t>
  </si>
  <si>
    <r>
      <rPr>
        <sz val="10"/>
        <color indexed="8"/>
        <rFont val="Calibri"/>
      </rPr>
      <t>https://employee.uc.ac.id/index.php/file/get/sis/t_cp/multi/c77a0b11-9336-11ee-859c-000d3ac6bafe.png</t>
    </r>
  </si>
  <si>
    <r>
      <rPr>
        <sz val="10"/>
        <color indexed="8"/>
        <rFont val="Calibri"/>
      </rPr>
      <t>https://employee.uc.ac.id/index.php/file/get/sis/t_cp/multi/c77a0b11-9336-11ee-859c-000d3ac6bafe_assignmentletter.png</t>
    </r>
  </si>
  <si>
    <t>0106012010162</t>
  </si>
  <si>
    <t>Rio Maxinata</t>
  </si>
  <si>
    <t>0106012010164</t>
  </si>
  <si>
    <t>Tifania Angga</t>
  </si>
  <si>
    <t>0106012010208</t>
  </si>
  <si>
    <t>Stiven Bryan Mintaraga</t>
  </si>
  <si>
    <t>0106012010240</t>
  </si>
  <si>
    <t>Samuel Fredolin Pakpahan</t>
  </si>
  <si>
    <t>0106012010328</t>
  </si>
  <si>
    <t>Johannes Krysosthomus Thedens Dominggu</t>
  </si>
  <si>
    <t>0106012010349</t>
  </si>
  <si>
    <t>Celine Soegiardjo</t>
  </si>
  <si>
    <t>Podcast SC Talk’s , topik : Ke Boston Gak Keluar Uang tapi Susah Bertahan Hidup IISMA</t>
  </si>
  <si>
    <t>2023-03-01</t>
  </si>
  <si>
    <t>2023-03-10</t>
  </si>
  <si>
    <t>Narasumber Podcast SC Talk’s , topik : Ke Boston Gak Keluar Uang tapi Susah Bertahan Hidup IISMA</t>
  </si>
  <si>
    <r>
      <rPr>
        <sz val="10"/>
        <color indexed="8"/>
        <rFont val="Calibri"/>
      </rPr>
      <t>https://employee.uc.ac.id/index.php/file/get/sis/t_cp/multi/36efe3c6-76cb-11ee-858c-000d3ac6bafe.png</t>
    </r>
  </si>
  <si>
    <r>
      <rPr>
        <sz val="10"/>
        <color indexed="8"/>
        <rFont val="Calibri"/>
      </rPr>
      <t>https://employee.uc.ac.id/index.php/file/get/sis/t_cp/multi/36efe3c6-76cb-11ee-858c-000d3ac6bafe_assignmentletter.png</t>
    </r>
  </si>
  <si>
    <t>SC 22/23</t>
  </si>
  <si>
    <t>Narasumber Podcast SC Talk’s</t>
  </si>
  <si>
    <t>2023-03-29</t>
  </si>
  <si>
    <t>2023-05-11</t>
  </si>
  <si>
    <r>
      <rPr>
        <sz val="10"/>
        <color indexed="8"/>
        <rFont val="Calibri"/>
      </rPr>
      <t>https://employee.uc.ac.id/index.php/file/get/sis/t_cp/multi/e7681b35-0411-11ee-ba25-000d3ac6bafe.png</t>
    </r>
  </si>
  <si>
    <r>
      <rPr>
        <sz val="10"/>
        <color indexed="8"/>
        <rFont val="Calibri"/>
      </rPr>
      <t>https://employee.uc.ac.id/index.php/file/get/sis/t_cp/multi/e7681b35-0411-11ee-ba25-000d3ac6bafe_assignmentletter.png</t>
    </r>
  </si>
  <si>
    <t>0106012010364</t>
  </si>
  <si>
    <t>William Jordan Satriagani</t>
  </si>
  <si>
    <t>0106012010407</t>
  </si>
  <si>
    <t>Enrico Effendi</t>
  </si>
  <si>
    <t>Exposure</t>
  </si>
  <si>
    <t>2023-09-26</t>
  </si>
  <si>
    <t>Fasilitator</t>
  </si>
  <si>
    <r>
      <rPr>
        <sz val="10"/>
        <color indexed="8"/>
        <rFont val="Calibri"/>
      </rPr>
      <t>https://employee.uc.ac.id/index.php/file/get/sis/t_cp/multi/1e7be259-882b-11ee-ae4d-000d3ac6bafe.png</t>
    </r>
  </si>
  <si>
    <r>
      <rPr>
        <sz val="10"/>
        <color indexed="8"/>
        <rFont val="Calibri"/>
      </rPr>
      <t>https://employee.uc.ac.id/index.php/file/get/sis/t_cp/multi/1e7be259-882b-11ee-ae4d-000d3ac6bafe_assignmentletter.png</t>
    </r>
  </si>
  <si>
    <t>Student Council</t>
  </si>
  <si>
    <t>0106012110059</t>
  </si>
  <si>
    <t>Jesselyne Aurielle Widianto</t>
  </si>
  <si>
    <t>0106012110065</t>
  </si>
  <si>
    <t>Bryan Van Zeda Salim</t>
  </si>
  <si>
    <t>creating sustainable business in green economy era</t>
  </si>
  <si>
    <t>2023-01-06</t>
  </si>
  <si>
    <r>
      <rPr>
        <sz val="10"/>
        <color indexed="8"/>
        <rFont val="Calibri"/>
      </rPr>
      <t>https://employee.uc.ac.id/index.php/file/get/sis/t_cp/145956ce-8dc2-11ed-811b-000d3ac6bafe.jpg</t>
    </r>
  </si>
  <si>
    <r>
      <rPr>
        <sz val="10"/>
        <color indexed="8"/>
        <rFont val="Calibri"/>
      </rPr>
      <t>https://employee.uc.ac.id/index.php/file/get/sis/t_cp/2391b445-8dc2-11ed-811b-000d3ac6bafe_assignmentletter.jpg</t>
    </r>
  </si>
  <si>
    <t>universitas ciputra</t>
  </si>
  <si>
    <t>0106012110066</t>
  </si>
  <si>
    <t>Aurelia Sugita Tjandra</t>
  </si>
  <si>
    <t>Pemakalah Pembelajaran Entrepreneurship Guna Menumbuhkan Intensi Berwirausaha pada Siswa-Siswi SMA T</t>
  </si>
  <si>
    <t>2022-07-23</t>
  </si>
  <si>
    <t>Pemakalah Pembelajaran Entrepreneurship Guna Menumbuhkan Intensi Berwirausaha pada Siswa-Siswi SMA Trikarya Surabaya membutuhkan waktu untuk terjun langsung kelapangan hingga berakhirnya acara pada tanggal 24 November 2022.</t>
  </si>
  <si>
    <t>External Regional</t>
  </si>
  <si>
    <r>
      <rPr>
        <sz val="10"/>
        <color indexed="8"/>
        <rFont val="Calibri"/>
      </rPr>
      <t>https://employee.uc.ac.id/index.php/file/get/sis/t_cp/7a74415d-b675-11ed-aa92-000d3ac6bafe.pdf</t>
    </r>
  </si>
  <si>
    <t>Universitas Ciputra Surabaya</t>
  </si>
  <si>
    <t>0106012110067</t>
  </si>
  <si>
    <t>Michelle Aurelia Gunawan</t>
  </si>
  <si>
    <t>0106012110070</t>
  </si>
  <si>
    <t>Evelin Sutrisno</t>
  </si>
  <si>
    <t>0106012110084</t>
  </si>
  <si>
    <t>Marsa Azahra Nur Rahma</t>
  </si>
  <si>
    <t>0106012110100</t>
  </si>
  <si>
    <t>Frances Tuesday Whyte</t>
  </si>
  <si>
    <t>0106012110102</t>
  </si>
  <si>
    <t>Nathanael Kevin Santoso</t>
  </si>
  <si>
    <t>0106012110108</t>
  </si>
  <si>
    <t>Angelina Leony Sonbay</t>
  </si>
  <si>
    <t>0106012110112</t>
  </si>
  <si>
    <t>Vincent Herin</t>
  </si>
  <si>
    <t>0106012110130</t>
  </si>
  <si>
    <t>Fauzan Abian</t>
  </si>
  <si>
    <t>Seminar Nasional Pengabdian Masyarakat (SNPM) IV</t>
  </si>
  <si>
    <t>2022-11-23</t>
  </si>
  <si>
    <t>Participate as Team in Pemakalah Pengembangan mindset wirausaha dan pengembangan ideasi pada siswa SMA Tri Karya Surabaya</t>
  </si>
  <si>
    <r>
      <rPr>
        <sz val="10"/>
        <color indexed="8"/>
        <rFont val="Calibri"/>
      </rPr>
      <t>https://employee.uc.ac.id/index.php/file/get/sis/t_cp/c622e22d-b664-11ed-aa92-000d3ac6bafe.jpg</t>
    </r>
  </si>
  <si>
    <t>0106012110149</t>
  </si>
  <si>
    <t>Rafly Baihaqi Murtadlo</t>
  </si>
  <si>
    <t>0106012110151</t>
  </si>
  <si>
    <t>Valentino Limbang Jaya</t>
  </si>
  <si>
    <t>0106012110181</t>
  </si>
  <si>
    <t>Stefanie Jesselyn Setiajie</t>
  </si>
  <si>
    <t>Pemakalah Pembelajaran Entrepreneurship Guna Menumbuhkan Intensi Berwirausaha pada Siswa-Siswi SMA Trikarya Surabaya</t>
  </si>
  <si>
    <r>
      <rPr>
        <sz val="10"/>
        <color indexed="8"/>
        <rFont val="Calibri"/>
      </rPr>
      <t>https://employee.uc.ac.id/index.php/file/get/sis/t_cp/2f0b4a74-97f8-11ed-af4b-000d3ac6bafe.jpg</t>
    </r>
  </si>
  <si>
    <t>Universitas Ciputra</t>
  </si>
  <si>
    <t>0106012110212</t>
  </si>
  <si>
    <t>Marvelia Zefanya Sonjaya</t>
  </si>
  <si>
    <t>0106012110227</t>
  </si>
  <si>
    <t>Tamara Septania</t>
  </si>
  <si>
    <t>IBM Goes to School</t>
  </si>
  <si>
    <t>2023-02-15</t>
  </si>
  <si>
    <t>Menjadi pemateri di acara IBM Goes to School yang diadakan di SMA Tri Karya Surabaya</t>
  </si>
  <si>
    <t>instagram.com/ibmunion</t>
  </si>
  <si>
    <r>
      <rPr>
        <sz val="10"/>
        <color indexed="8"/>
        <rFont val="Calibri"/>
      </rPr>
      <t>https://employee.uc.ac.id/index.php/file/get/sis/t_cp/881f0abc-ac9b-11ed-ae71-000d3ac6bafe.jpg</t>
    </r>
  </si>
  <si>
    <r>
      <rPr>
        <sz val="10"/>
        <color indexed="8"/>
        <rFont val="Calibri"/>
      </rPr>
      <t>https://employee.uc.ac.id/index.php/file/get/sis/t_cp/aae61e4a-ac9b-11ed-ae71-000d3ac6bafe_assignmentletter.png</t>
    </r>
  </si>
  <si>
    <t>SU IBM</t>
  </si>
  <si>
    <t>0106012110242</t>
  </si>
  <si>
    <t>Gwen Felicia Christine Soeharto</t>
  </si>
  <si>
    <t>Pemakalah Program Pelatihan Personal Branding untuk Siswa-Siswi SMAK Frateran Surabaya</t>
  </si>
  <si>
    <r>
      <rPr>
        <sz val="10"/>
        <color indexed="8"/>
        <rFont val="Calibri"/>
      </rPr>
      <t>https://employee.uc.ac.id/index.php/file/get/sis/t_cp/cea351eb-b3eb-11ed-9a6a-000d3ac6bafe.jpg</t>
    </r>
  </si>
  <si>
    <t>0106012110244</t>
  </si>
  <si>
    <t>Veronika Juliana Purwandanu</t>
  </si>
  <si>
    <t>Pemakalah Pengembangan mindset wirausaha dan pengembangan ideasi pada siswa SMA Tri Karya Surabaya</t>
  </si>
  <si>
    <r>
      <rPr>
        <sz val="10"/>
        <color indexed="8"/>
        <rFont val="Calibri"/>
      </rPr>
      <t>https://employee.uc.ac.id/index.php/file/get/sis/t_cp/2238ff23-97df-11ed-af4b-000d3ac6bafe.pdf</t>
    </r>
  </si>
  <si>
    <r>
      <rPr>
        <sz val="10"/>
        <color indexed="8"/>
        <rFont val="Calibri"/>
      </rPr>
      <t>https://employee.uc.ac.id/index.php/file/get/sis/t_cp/2238ff23-97df-11ed-af4b-000d3ac6bafe_assignmentletter.pdf</t>
    </r>
  </si>
  <si>
    <t>umun</t>
  </si>
  <si>
    <t>0106012110257</t>
  </si>
  <si>
    <t>Moch. Ricky Abdul Aziz</t>
  </si>
  <si>
    <t xml:space="preserve">Pengembangan Mindset Wirausaha dan Pengembangan Ideasi pada Siswa SMA Tri Karya Surabaya </t>
  </si>
  <si>
    <t xml:space="preserve">Pemakalah Program Pelatihan Personal Branding Untuk Siswa - Siswi SMAK Frateran Surabaya </t>
  </si>
  <si>
    <r>
      <rPr>
        <sz val="10"/>
        <color indexed="8"/>
        <rFont val="Calibri"/>
      </rPr>
      <t>https://employee.uc.ac.id/index.php/file/get/sis/t_cp/3233d227-a489-11ed-b2de-000d3ac6bafe.pdf</t>
    </r>
  </si>
  <si>
    <r>
      <rPr>
        <sz val="10"/>
        <color indexed="8"/>
        <rFont val="Calibri"/>
      </rPr>
      <t>https://employee.uc.ac.id/index.php/file/get/sis/t_cp/3233d227-a489-11ed-b2de-000d3ac6bafe_assignmentletter.pdf</t>
    </r>
  </si>
  <si>
    <t>0106012110285</t>
  </si>
  <si>
    <t>Ammar Fayyadh Herdiaman</t>
  </si>
  <si>
    <t>0106012110303</t>
  </si>
  <si>
    <t>Ahmad Naufal Alehart</t>
  </si>
  <si>
    <t>0106012110309</t>
  </si>
  <si>
    <t>Francine Angelika Natanael</t>
  </si>
  <si>
    <t>0106012110311</t>
  </si>
  <si>
    <t>Priskila Praysi Meiny Pangaila</t>
  </si>
  <si>
    <t>UC Day 2023</t>
  </si>
  <si>
    <t>2023-09-15</t>
  </si>
  <si>
    <r>
      <rPr>
        <sz val="10"/>
        <color indexed="8"/>
        <rFont val="Calibri"/>
      </rPr>
      <t>https://employee.uc.ac.id/index.php/file/get/sis/t_cp/multi/c15ab80d-7c81-11ee-aca7-000d3ac6bafe.png</t>
    </r>
  </si>
  <si>
    <r>
      <rPr>
        <sz val="10"/>
        <color indexed="8"/>
        <rFont val="Calibri"/>
      </rPr>
      <t>https://employee.uc.ac.id/index.php/file/get/sis/t_cp/multi/c15ab80d-7c81-11ee-aca7-000d3ac6bafe_assignmentletter.png</t>
    </r>
  </si>
  <si>
    <t>0106012110312</t>
  </si>
  <si>
    <t>Bridget Beatrix Claire</t>
  </si>
  <si>
    <t>Pembicara Figma Webinar Digital Wave</t>
  </si>
  <si>
    <t>i was invited to serve as the Figma Webinar Instructor, introducing the basics of landing page design for digital marketing to the talented students of UKM ITC MIPA Unsoed and Universitas Jenderal Soedirman</t>
  </si>
  <si>
    <r>
      <rPr>
        <sz val="10"/>
        <color indexed="8"/>
        <rFont val="Calibri"/>
      </rPr>
      <t>https://www.instagram.com/p/CwPUGNyvIf8/?igshid=MW</t>
    </r>
  </si>
  <si>
    <r>
      <rPr>
        <sz val="10"/>
        <color indexed="8"/>
        <rFont val="Calibri"/>
      </rPr>
      <t>https://employee.uc.ac.id/index.php/file/get/sis/t_cp/81730dff-5c2f-11ee-aac5-000d3ac6bafe.jpg</t>
    </r>
  </si>
  <si>
    <t>UKM ITC Mipa Unsoed</t>
  </si>
  <si>
    <t>0106012110313</t>
  </si>
  <si>
    <t>Putri Ayu Kasuma</t>
  </si>
  <si>
    <t>0106012110325</t>
  </si>
  <si>
    <t>Achmad Rafly Ramadhani</t>
  </si>
  <si>
    <t>0106012110335</t>
  </si>
  <si>
    <t>Regina Rara Sarira</t>
  </si>
  <si>
    <t>0106012110343</t>
  </si>
  <si>
    <t>Syakira Kayla Putri Dafi</t>
  </si>
  <si>
    <t>0106012110361</t>
  </si>
  <si>
    <t>Florencia Gunawan</t>
  </si>
  <si>
    <t>0106012110368</t>
  </si>
  <si>
    <t>Rossella Lianna Himawan</t>
  </si>
  <si>
    <t>Pemakalah Program Pembelajaran Entrepreneurship Menumbuhkan Intensi Berwirausaha Siswa SMA Trikarya</t>
  </si>
  <si>
    <t>2023-02-03</t>
  </si>
  <si>
    <t>Kami melakukan luaran jurnal dari program IBM Goes To School. Makalah kami berjudul Pembelajaran Entrepreneurship Gun Menumbuhkan Intensi Berwirausaha pad Siswa-Siswi
SMA Trikarya Surabaya. Saya adalah salah satu pemakalah bersama dengan 3 teman dan 1 dosen pendamping</t>
  </si>
  <si>
    <r>
      <rPr>
        <sz val="10"/>
        <color indexed="8"/>
        <rFont val="Calibri"/>
      </rPr>
      <t>https://employee.uc.ac.id/index.php/file/get/sis/t_cp/861dd44d-a37c-11ed-85df-000d3ac6bafe.jpg</t>
    </r>
  </si>
  <si>
    <r>
      <rPr>
        <sz val="10"/>
        <color indexed="8"/>
        <rFont val="Calibri"/>
      </rPr>
      <t>https://employee.uc.ac.id/index.php/file/get/sis/t_cp/842a5a62-a37c-11ed-85df-000d3ac6bafe_assignmentletter.jpg</t>
    </r>
  </si>
  <si>
    <t>0106012210014</t>
  </si>
  <si>
    <t>Michael Davis Guyanto</t>
  </si>
  <si>
    <t>0106012210015</t>
  </si>
  <si>
    <t>Dian Natalia Halim</t>
  </si>
  <si>
    <t>0106012210021</t>
  </si>
  <si>
    <t>Sebastian Brendon Huisaini</t>
  </si>
  <si>
    <t>0106012210022</t>
  </si>
  <si>
    <t>Febiola</t>
  </si>
  <si>
    <t>Share With Us di SMA Katolik Santa Agnes Surabaya</t>
  </si>
  <si>
    <t>2023-07-17</t>
  </si>
  <si>
    <t>Sharing kepada seluruh murid baru di SMA Katolik Santa Agnes tentang materi berorganisasi selama SMA dan Kuliah</t>
  </si>
  <si>
    <r>
      <rPr>
        <sz val="10"/>
        <color indexed="8"/>
        <rFont val="Calibri"/>
      </rPr>
      <t>https://employee.uc.ac.id/index.php/file/get/sis/t_cp/41901f15-27c5-11ee-84e6-000d3ac6bafe.pdf</t>
    </r>
  </si>
  <si>
    <t>SMA Katolik Santa Agnes Surabaya</t>
  </si>
  <si>
    <t>0106012210023</t>
  </si>
  <si>
    <t>Michelle Angel</t>
  </si>
  <si>
    <t>0106012210026</t>
  </si>
  <si>
    <t>I Wayan Harleyco Nila Putra</t>
  </si>
  <si>
    <t xml:space="preserve">Asian Youth International Mode United Nations </t>
  </si>
  <si>
    <t>2023-08-11</t>
  </si>
  <si>
    <t>2023-08-15</t>
  </si>
  <si>
    <t>Asian Youth International Model United Nations adalah ajak konferensi terbesar di Asia bersama PBB, UNICEF, UNESCO, WHO, IMF, dan INTERPOL</t>
  </si>
  <si>
    <r>
      <rPr>
        <sz val="10"/>
        <color indexed="8"/>
        <rFont val="Calibri"/>
      </rPr>
      <t>https://modelunitednation.org/offline</t>
    </r>
  </si>
  <si>
    <r>
      <rPr>
        <sz val="10"/>
        <color indexed="8"/>
        <rFont val="Calibri"/>
      </rPr>
      <t>https://employee.uc.ac.id/index.php/file/get/sis/t_cp/736e4d76-4226-11ee-b836-000d3ac6bafe.jpeg</t>
    </r>
  </si>
  <si>
    <t xml:space="preserve">International Global Network </t>
  </si>
  <si>
    <t>UC 17 Day</t>
  </si>
  <si>
    <t>Juri UC GOT TALENT</t>
  </si>
  <si>
    <r>
      <rPr>
        <sz val="10"/>
        <color indexed="8"/>
        <rFont val="Calibri"/>
      </rPr>
      <t>https://employee.uc.ac.id/index.php/file/get/sis/t_cp/69fa4a78-6c24-11ee-a25e-000d3ac6bafe.png</t>
    </r>
  </si>
  <si>
    <t>Uc</t>
  </si>
  <si>
    <t>0106012210028</t>
  </si>
  <si>
    <t>Aventino Jonathan Farrell</t>
  </si>
  <si>
    <t>0106012210031</t>
  </si>
  <si>
    <t>Gabriel Antonieth Christinsen Hariyono</t>
  </si>
  <si>
    <t>0106012210033</t>
  </si>
  <si>
    <t>Verrel Aurelius Gonaldy</t>
  </si>
  <si>
    <t>0106012210034</t>
  </si>
  <si>
    <t>Calvin Chandoko</t>
  </si>
  <si>
    <t xml:space="preserve">Penulis Buku </t>
  </si>
  <si>
    <t>2023-11-01</t>
  </si>
  <si>
    <t>2023-12-08</t>
  </si>
  <si>
    <t>Menulis Buku ini berdasarkan kisah nyata kita dalam lomba IYIS di Malaysia, Mulai dari awal persiapan hingga Hari H acara dan selesai dengan baik, Buku ini merupakan Kisah inspiratif dari seluruh Peserta dan panitia. Untuk total peserta dari Penulis buku ini adalah 40 orang yang semuanya adalah Angg</t>
  </si>
  <si>
    <r>
      <rPr>
        <sz val="10"/>
        <color indexed="8"/>
        <rFont val="Calibri"/>
      </rPr>
      <t>https://employee.uc.ac.id/index.php/file/get/sis/t_cp/af441088-9998-11ee-ad3c-000d3ac6bafe_report.jpeg</t>
    </r>
  </si>
  <si>
    <t>Global Youthprenuer Nusantara</t>
  </si>
  <si>
    <t>0106012210041</t>
  </si>
  <si>
    <t>Allen Abraham Handoko</t>
  </si>
  <si>
    <t>0106012210042</t>
  </si>
  <si>
    <t>Nikita Bella Angelina</t>
  </si>
  <si>
    <t>0106012210043</t>
  </si>
  <si>
    <t>Shareen Widjaja</t>
  </si>
  <si>
    <t>0106012210044</t>
  </si>
  <si>
    <t>Jocelyne Natasha Halim</t>
  </si>
  <si>
    <t>0106012210048</t>
  </si>
  <si>
    <t>Valentino Wu</t>
  </si>
  <si>
    <t>0106012210049</t>
  </si>
  <si>
    <t>Angeline Soegianto</t>
  </si>
  <si>
    <t>0106012210055</t>
  </si>
  <si>
    <t>Raffaela Jovanka Wijaya</t>
  </si>
  <si>
    <t>0106012210059</t>
  </si>
  <si>
    <t>Jessica Natasya Singgih</t>
  </si>
  <si>
    <t>0106012210060</t>
  </si>
  <si>
    <t>Nabila Nur Faiza Fadly</t>
  </si>
  <si>
    <t>0106012210071</t>
  </si>
  <si>
    <t>Natasya</t>
  </si>
  <si>
    <t>0106012210074</t>
  </si>
  <si>
    <t>Dio Alexander Halim</t>
  </si>
  <si>
    <t>0106012210077</t>
  </si>
  <si>
    <t>Anita Lucrecia</t>
  </si>
  <si>
    <t>0106012210081</t>
  </si>
  <si>
    <t>Michelle Jovana Soedarto</t>
  </si>
  <si>
    <t>0106012210083</t>
  </si>
  <si>
    <t>Evelyne Audrey Tanoehardjo</t>
  </si>
  <si>
    <t>0106012210084</t>
  </si>
  <si>
    <t>Viona Joycelyn</t>
  </si>
  <si>
    <t>0106012210086</t>
  </si>
  <si>
    <t>Tantowi Tan</t>
  </si>
  <si>
    <t>0106012210087</t>
  </si>
  <si>
    <t>Lydia Mulyani</t>
  </si>
  <si>
    <t>0106012210092</t>
  </si>
  <si>
    <t>Felix Hartono Arifin</t>
  </si>
  <si>
    <t>0106012210094</t>
  </si>
  <si>
    <t>Michael Sean Kevin</t>
  </si>
  <si>
    <t>0106012210095</t>
  </si>
  <si>
    <t>Jennifer Tjahyadi</t>
  </si>
  <si>
    <t>0106012210099</t>
  </si>
  <si>
    <t>Gilang Ricky Giovardy</t>
  </si>
  <si>
    <t>0106012210101</t>
  </si>
  <si>
    <t>Wendia Nelsa</t>
  </si>
  <si>
    <t>0106012210105</t>
  </si>
  <si>
    <t>Jocelline Aarona Putricia</t>
  </si>
  <si>
    <t>0106012210106</t>
  </si>
  <si>
    <t>Andrew Wibisono</t>
  </si>
  <si>
    <t>0106012210109</t>
  </si>
  <si>
    <t>Michelle Angie Wangi Soputra</t>
  </si>
  <si>
    <t>0106012210113</t>
  </si>
  <si>
    <t>AldiI Reyden Valencio</t>
  </si>
  <si>
    <t>0106012210115</t>
  </si>
  <si>
    <t>Matthew Brandon</t>
  </si>
  <si>
    <t>0106012210118</t>
  </si>
  <si>
    <t>Gerrent Matthew Wijaya</t>
  </si>
  <si>
    <t>0106012210119</t>
  </si>
  <si>
    <t>Marcell Gallardo Handoko</t>
  </si>
  <si>
    <t>0106012210125</t>
  </si>
  <si>
    <t>Eldrick Justin Muliadi</t>
  </si>
  <si>
    <t>0106012210127</t>
  </si>
  <si>
    <t>Christian Tamin</t>
  </si>
  <si>
    <t>0106012210128</t>
  </si>
  <si>
    <t>Gabriela Valencia Geonawan</t>
  </si>
  <si>
    <t>0106012210129</t>
  </si>
  <si>
    <t>Raymond Setiyawan</t>
  </si>
  <si>
    <t>0106012210133</t>
  </si>
  <si>
    <t>Nicholas Marcell Wibisono</t>
  </si>
  <si>
    <t>0106012210151</t>
  </si>
  <si>
    <t>Cabrina Irmadela Setiawan</t>
  </si>
  <si>
    <t>0106012210154</t>
  </si>
  <si>
    <t>Jasmine Nadine Amanda Hartanto</t>
  </si>
  <si>
    <t>0106012210159</t>
  </si>
  <si>
    <t>Sharon Gloria Chandra</t>
  </si>
  <si>
    <t>0106012210162</t>
  </si>
  <si>
    <t>Marcel Christofer</t>
  </si>
  <si>
    <t>0106012210164</t>
  </si>
  <si>
    <t>Dave Christian</t>
  </si>
  <si>
    <t>0106012210170</t>
  </si>
  <si>
    <t>Marcell Owen WIjoyo</t>
  </si>
  <si>
    <t>0106012210183</t>
  </si>
  <si>
    <t>Ryan Etenia Gadman</t>
  </si>
  <si>
    <t>0106012210190</t>
  </si>
  <si>
    <t>Jonathan Adrian Sutanto</t>
  </si>
  <si>
    <t>0106012210198</t>
  </si>
  <si>
    <t>Qur Roti A`yun</t>
  </si>
  <si>
    <t>0106012210204</t>
  </si>
  <si>
    <t>Chelsea Patricia Suryanto</t>
  </si>
  <si>
    <t>0106012210213</t>
  </si>
  <si>
    <t>Christoper</t>
  </si>
  <si>
    <t>0106012210220</t>
  </si>
  <si>
    <t>Hanny Glorify Nathanael Sengkey</t>
  </si>
  <si>
    <t>0106012210224</t>
  </si>
  <si>
    <t>Jessica Angelina The</t>
  </si>
  <si>
    <t>0106012210234</t>
  </si>
  <si>
    <t>Madeline Margareth Wibisono</t>
  </si>
  <si>
    <t>0106012210238</t>
  </si>
  <si>
    <t>Theodore Hermanto</t>
  </si>
  <si>
    <t>0106012210241</t>
  </si>
  <si>
    <t>Naila Syafadina Ahmad</t>
  </si>
  <si>
    <t>0106012210245</t>
  </si>
  <si>
    <t>Muhammad Iqbal Al Habibi</t>
  </si>
  <si>
    <t>0106012210247</t>
  </si>
  <si>
    <t>Carissa Belluci</t>
  </si>
  <si>
    <t>0106012210249</t>
  </si>
  <si>
    <t>Exel Apriano Wijaya</t>
  </si>
  <si>
    <t>0106012210251</t>
  </si>
  <si>
    <t>Angelin Michelle Tendra</t>
  </si>
  <si>
    <t>0106012210253</t>
  </si>
  <si>
    <t>Riska Listiyani</t>
  </si>
  <si>
    <t>0106012210254</t>
  </si>
  <si>
    <t>Natasya Sharla Kirana</t>
  </si>
  <si>
    <t>0106012210257</t>
  </si>
  <si>
    <t>I Wayan Michael Mahaabhinaya Darmawan</t>
  </si>
  <si>
    <t>0106012210258</t>
  </si>
  <si>
    <t>Dennis Octavius</t>
  </si>
  <si>
    <t>0106012210263</t>
  </si>
  <si>
    <t>Tyaga Adinata Povannes</t>
  </si>
  <si>
    <t>0106012210277</t>
  </si>
  <si>
    <t>Atthariq Alkausar Herdiyanto</t>
  </si>
  <si>
    <t>0106012210279</t>
  </si>
  <si>
    <t>Syaiful Arif</t>
  </si>
  <si>
    <t>0106012210282</t>
  </si>
  <si>
    <t>Benjamin Juan Constantine</t>
  </si>
  <si>
    <t>0106012210284</t>
  </si>
  <si>
    <t>Mizell Jocasta Arie Putra Soebeno</t>
  </si>
  <si>
    <t>0106012210285</t>
  </si>
  <si>
    <t>Angellica Beatrice Widjanarko</t>
  </si>
  <si>
    <t>0106012210288</t>
  </si>
  <si>
    <t>Jose Alessandro Tanumihardja</t>
  </si>
  <si>
    <t>0106012210294</t>
  </si>
  <si>
    <t>Kevin Christiano Adjie Suseno</t>
  </si>
  <si>
    <t>0106012210303</t>
  </si>
  <si>
    <t>Beatrice Michelle Valerie W.</t>
  </si>
  <si>
    <t>0106012210304</t>
  </si>
  <si>
    <t>Bryant Mathew Wicaksono</t>
  </si>
  <si>
    <t>0106012210316</t>
  </si>
  <si>
    <t>Gregorius Sebastian Kristanto</t>
  </si>
  <si>
    <t>0106012210317</t>
  </si>
  <si>
    <t>Dwantara Alexander Christo</t>
  </si>
  <si>
    <t>0106012210318</t>
  </si>
  <si>
    <t>Achmad Edas Athoillah Syah Putra</t>
  </si>
  <si>
    <t>0106012210319</t>
  </si>
  <si>
    <t>Prisillia Novianni Hendra</t>
  </si>
  <si>
    <t>0106012210322</t>
  </si>
  <si>
    <t>Kresna Andrean</t>
  </si>
  <si>
    <t>0106012210323</t>
  </si>
  <si>
    <t>Billy Tanjung</t>
  </si>
  <si>
    <t>0106012210338</t>
  </si>
  <si>
    <t>Audreylia Keisha Poajaya</t>
  </si>
  <si>
    <t>0106012210340</t>
  </si>
  <si>
    <t>Najwa Zahira Shafa</t>
  </si>
  <si>
    <t>0106012210344</t>
  </si>
  <si>
    <t>Bertrand Lovell Parandaya</t>
  </si>
  <si>
    <t>0106012210347</t>
  </si>
  <si>
    <t>Muhammad Rizky Ngainul Yakin</t>
  </si>
  <si>
    <t>0106012210351</t>
  </si>
  <si>
    <t>Vanessa Wynne</t>
  </si>
  <si>
    <t>0106012210361</t>
  </si>
  <si>
    <t>Kennard Abelio Santoso Tjio</t>
  </si>
  <si>
    <t>0106012210362</t>
  </si>
  <si>
    <t>Ivan Indrayana Sugiyanto</t>
  </si>
  <si>
    <t>0106012210363</t>
  </si>
  <si>
    <t>I Gede Rama Naranta Degur</t>
  </si>
  <si>
    <t>0106012210371</t>
  </si>
  <si>
    <t>Ainina Yasmine Mardiana</t>
  </si>
  <si>
    <t>0106012210386</t>
  </si>
  <si>
    <t>Nayla Izzah Maulana</t>
  </si>
  <si>
    <t>0106012210388</t>
  </si>
  <si>
    <t xml:space="preserve">Humaidatul Faiqoh Putri Abdillah </t>
  </si>
  <si>
    <t>0106012210392</t>
  </si>
  <si>
    <t>Wandi Hardiansyah Lubis</t>
  </si>
  <si>
    <t>0106012210394</t>
  </si>
  <si>
    <t>Adam Johan Amar Raay</t>
  </si>
  <si>
    <t>0106012210398</t>
  </si>
  <si>
    <t>Christian Fenton Handoko</t>
  </si>
  <si>
    <t>0106012210404</t>
  </si>
  <si>
    <t>Yohana Cinta Ayu Desylina</t>
  </si>
  <si>
    <t>0106012210406</t>
  </si>
  <si>
    <t>Ananda Mahendra</t>
  </si>
  <si>
    <t>0106012210407</t>
  </si>
  <si>
    <t>Florentcia Aurora</t>
  </si>
  <si>
    <t>0106012210408</t>
  </si>
  <si>
    <t>Julius Kevin Jonathan Pratama</t>
  </si>
  <si>
    <t>Seleksi LDBI NSDC Tingkat Kabupaten Trenggalek</t>
  </si>
  <si>
    <t>2023-05-17</t>
  </si>
  <si>
    <t>Dewan juri seleksi LDBI-NSDC tingkat Kabupaten Trenggalek 2023</t>
  </si>
  <si>
    <r>
      <rPr>
        <sz val="10"/>
        <color indexed="8"/>
        <rFont val="Calibri"/>
      </rPr>
      <t>https://sma.pusatprestasinasional.kemdikbud.go.id/</t>
    </r>
  </si>
  <si>
    <r>
      <rPr>
        <sz val="10"/>
        <color indexed="8"/>
        <rFont val="Calibri"/>
      </rPr>
      <t>https://employee.uc.ac.id/index.php/file/get/sis/t_cp/de3727e4-1dab-11ee-ab97-000d3ac6bafe.pdf</t>
    </r>
  </si>
  <si>
    <t>MGMP Bahasa Indonesia Bahasa Inggris SMA Kabupaten</t>
  </si>
  <si>
    <t>0106012210420</t>
  </si>
  <si>
    <t>Steven Adi Santoso</t>
  </si>
  <si>
    <r>
      <rPr>
        <sz val="10"/>
        <color indexed="8"/>
        <rFont val="Calibri"/>
      </rPr>
      <t>https://employee.uc.ac.id/index.php/file/get/sis/t_cp/e42e6661-f715-11ed-9687-000d3ac6bafe.pdf</t>
    </r>
  </si>
  <si>
    <t>0106012310015</t>
  </si>
  <si>
    <t>Silviana Margaretha</t>
  </si>
  <si>
    <t>0106012310018</t>
  </si>
  <si>
    <t>Dalia Susanto</t>
  </si>
  <si>
    <t>0106012310022</t>
  </si>
  <si>
    <t>Matthew Kevin Halim</t>
  </si>
  <si>
    <t>Seminar mental health dan pergaulan bebas</t>
  </si>
  <si>
    <t>2023-12-12</t>
  </si>
  <si>
    <t>Seminar mental health oleh pembicara psikolog</t>
  </si>
  <si>
    <r>
      <rPr>
        <sz val="10"/>
        <color indexed="8"/>
        <rFont val="Calibri"/>
      </rPr>
      <t>https://employee.uc.ac.id/index.php/file/get/sis/t_cp/1ed06314-9900-11ee-96bc-000d3ac6bafe.jpg</t>
    </r>
  </si>
  <si>
    <t>kelompok Busman</t>
  </si>
  <si>
    <t>0106012310024</t>
  </si>
  <si>
    <t>Richard Savero Setiawan</t>
  </si>
  <si>
    <t>0106012310028</t>
  </si>
  <si>
    <t>Vanessa Adonia</t>
  </si>
  <si>
    <t>0106012310032</t>
  </si>
  <si>
    <t>Radja Aidil Gimnastiar Irawan</t>
  </si>
  <si>
    <t>0106012310033</t>
  </si>
  <si>
    <t>Akaesa Fayyaza Karismawan</t>
  </si>
  <si>
    <t>0106012310035</t>
  </si>
  <si>
    <t>Calvin Arifin Lukman</t>
  </si>
  <si>
    <t>0106012310037</t>
  </si>
  <si>
    <t>Jesslyn Nathania Santoso</t>
  </si>
  <si>
    <t>0106012310039</t>
  </si>
  <si>
    <t>Alexander William Senjaya</t>
  </si>
  <si>
    <t>0106012310043</t>
  </si>
  <si>
    <t>Daven Wijaya</t>
  </si>
  <si>
    <t>0106012310044</t>
  </si>
  <si>
    <t>Nevita Boedyono Subagio</t>
  </si>
  <si>
    <t>0106012310047</t>
  </si>
  <si>
    <t>Arkananta Wijaya</t>
  </si>
  <si>
    <t>0106012310055</t>
  </si>
  <si>
    <t>Leo Halim Wijaya</t>
  </si>
  <si>
    <t>0106012310059</t>
  </si>
  <si>
    <t>Shams Parvez Rabbani</t>
  </si>
  <si>
    <t>0106012310068</t>
  </si>
  <si>
    <t>Calvin Julio Tjandra</t>
  </si>
  <si>
    <t>0106012310077</t>
  </si>
  <si>
    <t>Evelyn Thania Marcheline</t>
  </si>
  <si>
    <t>0106012310085</t>
  </si>
  <si>
    <t>Michael Andrew Limbang</t>
  </si>
  <si>
    <t>0106012310100</t>
  </si>
  <si>
    <t>Ivana Benita Aileen</t>
  </si>
  <si>
    <t>0106012310102</t>
  </si>
  <si>
    <t>Arwindo Dian Wijaya</t>
  </si>
  <si>
    <t>0106012310106</t>
  </si>
  <si>
    <t>Nita Christiana Wang</t>
  </si>
  <si>
    <t>0106012310107</t>
  </si>
  <si>
    <t>Christian Reeva Chandra</t>
  </si>
  <si>
    <t>0106012310114</t>
  </si>
  <si>
    <t>Felix Hadikusuma</t>
  </si>
  <si>
    <t>0106012310115</t>
  </si>
  <si>
    <t>Lavenia Sentoso Gunarto</t>
  </si>
  <si>
    <t>0106012310121</t>
  </si>
  <si>
    <t>Steven Gracio Darmo Suwito</t>
  </si>
  <si>
    <t>0106012310139</t>
  </si>
  <si>
    <t>Nicholas Vincent Susilo</t>
  </si>
  <si>
    <t>0106012310140</t>
  </si>
  <si>
    <t>Leonardo Michael Christanto</t>
  </si>
  <si>
    <t>0106012310141</t>
  </si>
  <si>
    <t>Raymond Wijaya Halim</t>
  </si>
  <si>
    <t>0106012310142</t>
  </si>
  <si>
    <t>Gabriel Carolina Tjoe</t>
  </si>
  <si>
    <t>0106012310143</t>
  </si>
  <si>
    <t>Shannon Eleonora Santosa</t>
  </si>
  <si>
    <t>0106012310144</t>
  </si>
  <si>
    <t>Michael Elliott Tanaka</t>
  </si>
  <si>
    <t>0106012310151</t>
  </si>
  <si>
    <t>Jennifer Calista Chandra</t>
  </si>
  <si>
    <t>0106012310157</t>
  </si>
  <si>
    <t>Benedict Nathaniel Tanoyo</t>
  </si>
  <si>
    <t>0106012310160</t>
  </si>
  <si>
    <t>Axel Timotius Suwignyo</t>
  </si>
  <si>
    <t>0106012310162</t>
  </si>
  <si>
    <t>Stefano Theodore Hawani</t>
  </si>
  <si>
    <t>0106012310163</t>
  </si>
  <si>
    <t>Davinsent Villeareal</t>
  </si>
  <si>
    <t>0106012310165</t>
  </si>
  <si>
    <t>Tjiang William Chandra</t>
  </si>
  <si>
    <t>0106012310166</t>
  </si>
  <si>
    <t>Stefano Bryan Barut</t>
  </si>
  <si>
    <t>0106012310169</t>
  </si>
  <si>
    <t>Arnoldus Putra Adi Santoso</t>
  </si>
  <si>
    <t>0106012310173</t>
  </si>
  <si>
    <t>Davin Nathaniel Junior</t>
  </si>
  <si>
    <t>0106012310176</t>
  </si>
  <si>
    <t>Nata Andhika Ignatius</t>
  </si>
  <si>
    <t>0106012310179</t>
  </si>
  <si>
    <t>Ariel Edmund Umakalada</t>
  </si>
  <si>
    <t>0106012310188</t>
  </si>
  <si>
    <t>Miguel Pedro Arifianto</t>
  </si>
  <si>
    <t>0106012310189</t>
  </si>
  <si>
    <t>Cella Putri Liyadhi</t>
  </si>
  <si>
    <t>0106012310192</t>
  </si>
  <si>
    <t>Vanessa Rosalie Lautan</t>
  </si>
  <si>
    <t>0106012310195</t>
  </si>
  <si>
    <t>Albert James Irawan</t>
  </si>
  <si>
    <t>0106012310204</t>
  </si>
  <si>
    <t>Benedictus Christopher, Ang</t>
  </si>
  <si>
    <t>0106012310210</t>
  </si>
  <si>
    <t>Velda Sugiantoro Putri</t>
  </si>
  <si>
    <t>0106012310212</t>
  </si>
  <si>
    <t>Leslie Natalie Tanesa</t>
  </si>
  <si>
    <t>0106012310218</t>
  </si>
  <si>
    <t>Ongki Putri Ayunisia</t>
  </si>
  <si>
    <t>0106012310226</t>
  </si>
  <si>
    <t>Hansel Aurelius Tirto</t>
  </si>
  <si>
    <t>0106012310236</t>
  </si>
  <si>
    <t>Loretta Sharleen Tyvania Santoso Putri</t>
  </si>
  <si>
    <t>0106012310240</t>
  </si>
  <si>
    <t>Claressa Feliciona</t>
  </si>
  <si>
    <t>0106012310245</t>
  </si>
  <si>
    <t>Amelia Eka Sari</t>
  </si>
  <si>
    <t>0106012310255</t>
  </si>
  <si>
    <t>Peter Shawn Gosaria</t>
  </si>
  <si>
    <t>0106012310259</t>
  </si>
  <si>
    <t>Verlita Amanda Oktaviana</t>
  </si>
  <si>
    <t>0106012310260</t>
  </si>
  <si>
    <t>Jovan Farrel Revalino</t>
  </si>
  <si>
    <t>0106012310264</t>
  </si>
  <si>
    <t>Silvia Valencia</t>
  </si>
  <si>
    <t>0106012310267</t>
  </si>
  <si>
    <t>Jeremy Misael Mulyono</t>
  </si>
  <si>
    <t>0106012310271</t>
  </si>
  <si>
    <t>Starcy Angelica Corissa</t>
  </si>
  <si>
    <t>0106012310275</t>
  </si>
  <si>
    <t>Michael Christian Sulaiman</t>
  </si>
  <si>
    <t>0106012310276</t>
  </si>
  <si>
    <t>Ong Jonathan Nicholas Anthony</t>
  </si>
  <si>
    <t>0106012310278</t>
  </si>
  <si>
    <t>Nur Amira</t>
  </si>
  <si>
    <t>0106012310281</t>
  </si>
  <si>
    <t>Anthony The</t>
  </si>
  <si>
    <t>0106012310282</t>
  </si>
  <si>
    <t>Rheiva Ozura Hamindong</t>
  </si>
  <si>
    <t>0106012310283</t>
  </si>
  <si>
    <t>I Gede Yoga Palguna</t>
  </si>
  <si>
    <t>0106012310289</t>
  </si>
  <si>
    <t>Tulus Ferdynan Siadari</t>
  </si>
  <si>
    <t>0106012310296</t>
  </si>
  <si>
    <t>Vincentius Arianto Christean</t>
  </si>
  <si>
    <t>0106012310300</t>
  </si>
  <si>
    <t>Victoria Safira Kusbianto</t>
  </si>
  <si>
    <t>0106012310310</t>
  </si>
  <si>
    <t>Aulia Raja Nurendra Dharmalaksana Yuliadin</t>
  </si>
  <si>
    <t>0106012310312</t>
  </si>
  <si>
    <t>Muhammad Tirta Adi Buana</t>
  </si>
  <si>
    <t>0106012310325</t>
  </si>
  <si>
    <t>Olda Odelia</t>
  </si>
  <si>
    <t>0106012310326</t>
  </si>
  <si>
    <t>Claresta Inez Gunawan</t>
  </si>
  <si>
    <t>0106012310332</t>
  </si>
  <si>
    <t>Kanyaka Ratna Sucita Maheswari</t>
  </si>
  <si>
    <t>0106012310333</t>
  </si>
  <si>
    <t>Angelizabeth Jocelyn</t>
  </si>
  <si>
    <t>0106012310336</t>
  </si>
  <si>
    <t>Imelda Tina Wahyu Prameswari</t>
  </si>
  <si>
    <t>0106012310339</t>
  </si>
  <si>
    <t>Daniel Austin Susanto</t>
  </si>
  <si>
    <t>0106012310340</t>
  </si>
  <si>
    <t>Westly Theodorus Tjokro</t>
  </si>
  <si>
    <t>0106012310341</t>
  </si>
  <si>
    <t>Justin Stewart Sugiarto</t>
  </si>
  <si>
    <t>0106012310389</t>
  </si>
  <si>
    <t>Roshan Hasan Bafadal</t>
  </si>
  <si>
    <t>0106012310390</t>
  </si>
  <si>
    <t>Havila Cempaka Putri</t>
  </si>
  <si>
    <t>0106012310391</t>
  </si>
  <si>
    <t>Titania Rendy Callista</t>
  </si>
  <si>
    <t>0106012310392</t>
  </si>
  <si>
    <t>Abelia Cahya Oktaviani</t>
  </si>
  <si>
    <t>0106012310393</t>
  </si>
  <si>
    <t>Alya Dwiky Surya Permata</t>
  </si>
  <si>
    <t>0106012310395</t>
  </si>
  <si>
    <t>Sigourney Ajita</t>
  </si>
  <si>
    <t>0106012310401</t>
  </si>
  <si>
    <t>Jovencia Aileen Chiuputra</t>
  </si>
  <si>
    <t>0106012310405</t>
  </si>
  <si>
    <t>Bryan Albert Kurniawan</t>
  </si>
  <si>
    <t>0106012310408</t>
  </si>
  <si>
    <t>Muhammad Zaki Yamani</t>
  </si>
  <si>
    <t>0106012310414</t>
  </si>
  <si>
    <t>Muhammad Yan Saputra</t>
  </si>
  <si>
    <t>0106012310415</t>
  </si>
  <si>
    <t>Jonathan Stanislaus</t>
  </si>
  <si>
    <t>0106012317104</t>
  </si>
  <si>
    <t>NANDANA RIZQI ANDHIKA FATKHURRAHMAN</t>
  </si>
  <si>
    <t>0106022210030</t>
  </si>
  <si>
    <t>Isadora Elgina Pramana</t>
  </si>
  <si>
    <t>Management - International Class</t>
  </si>
  <si>
    <t>Your Future Your Challenge UC visit to Xin Zhong School</t>
  </si>
  <si>
    <t>2023-06-16</t>
  </si>
  <si>
    <t>Menjadi Narasumber yang membicarakan tentang kehidupan mahasiswa di Universitas Ciputra, bagaimana transisi dari murid sma ke mahasiswa, dan apa yang saya dapatkan juga harapkan dari menempuh pendidikan di UC.</t>
  </si>
  <si>
    <r>
      <rPr>
        <sz val="10"/>
        <color indexed="8"/>
        <rFont val="Calibri"/>
      </rPr>
      <t>https://employee.uc.ac.id/index.php/file/get/sis/t_cp/de578adb-0c2d-11ee-825c-000d3ac6bafe.jpg</t>
    </r>
  </si>
  <si>
    <r>
      <rPr>
        <sz val="10"/>
        <color indexed="8"/>
        <rFont val="Calibri"/>
      </rPr>
      <t>https://employee.uc.ac.id/index.php/file/get/sis/t_cp/193eca2e-0c2e-11ee-825c-000d3ac6bafe_assignmentletter.jpg</t>
    </r>
  </si>
  <si>
    <t>UC Marketing</t>
  </si>
  <si>
    <t>0106042010008</t>
  </si>
  <si>
    <t>Reginaldo Edrico</t>
  </si>
  <si>
    <t>Accounting</t>
  </si>
  <si>
    <t>0106042010035</t>
  </si>
  <si>
    <t>Aulia Valencia Djunawan</t>
  </si>
  <si>
    <t>0106042010038</t>
  </si>
  <si>
    <t>Angelina Suryanto</t>
  </si>
  <si>
    <t>Publikasi Novel "Sweetest Fall"</t>
  </si>
  <si>
    <t>2023-01-10</t>
  </si>
  <si>
    <r>
      <rPr>
        <sz val="10"/>
        <color indexed="8"/>
        <rFont val="Calibri"/>
      </rPr>
      <t>https://play.google.com/store/books/details?id=_pG</t>
    </r>
  </si>
  <si>
    <r>
      <rPr>
        <sz val="10"/>
        <color indexed="8"/>
        <rFont val="Calibri"/>
      </rPr>
      <t>https://employee.uc.ac.id/index.php/file/get/sis/t_cp/b032e33b-90b2-11ed-a139-000d3ac6bafe.jpg</t>
    </r>
  </si>
  <si>
    <r>
      <rPr>
        <sz val="10"/>
        <color indexed="8"/>
        <rFont val="Calibri"/>
      </rPr>
      <t>https://employee.uc.ac.id/index.php/file/get/sis/t_cp/d012c403-90b2-11ed-a139-000d3ac6bafe_report.jpg</t>
    </r>
  </si>
  <si>
    <t>Eternity Publishing</t>
  </si>
  <si>
    <t>Jurnal Publikasi Can Fintech Mediates The Relationship Between Financial Socialization and Literacy</t>
  </si>
  <si>
    <t>2023-05-19</t>
  </si>
  <si>
    <t>Jurnal Publikasi di Jurnal Aplikasi Manajemen (JAM) pada Volume 2 No.4 Tahun December 2024 
Dengan akreditasi Sinta 2</t>
  </si>
  <si>
    <r>
      <rPr>
        <sz val="10"/>
        <color indexed="8"/>
        <rFont val="Calibri"/>
      </rPr>
      <t>https://employee.uc.ac.id/index.php/file/get/sis/t_cp/fff8698e-f615-11ed-a8bb-000d3ac6bafe.jpg</t>
    </r>
  </si>
  <si>
    <t>SINTA</t>
  </si>
  <si>
    <t>0106042310044</t>
  </si>
  <si>
    <t>Nasya Cinta Fanindya</t>
  </si>
  <si>
    <t>0108012010013</t>
  </si>
  <si>
    <t>Miftakh Nurhuda Maulana</t>
  </si>
  <si>
    <t>Magister of Management</t>
  </si>
  <si>
    <t>COMMITMENT BUILDING IN FAMILY BUSINESS</t>
  </si>
  <si>
    <t>2022-09-24</t>
  </si>
  <si>
    <t>Narasumber mengisi materi family commitment</t>
  </si>
  <si>
    <r>
      <rPr>
        <sz val="10"/>
        <color indexed="8"/>
        <rFont val="Calibri"/>
      </rPr>
      <t>https://employee.uc.ac.id/index.php/file/get/sis/t_cp/b76c3473-f7e7-11ed-bf96-000d3ac6bafe.png</t>
    </r>
  </si>
  <si>
    <r>
      <rPr>
        <sz val="10"/>
        <color indexed="8"/>
        <rFont val="Calibri"/>
      </rPr>
      <t>https://employee.uc.ac.id/index.php/file/get/sis/t_cp/b76c3473-f7e7-11ed-bf96-000d3ac6bafe_assignmentletter.png</t>
    </r>
  </si>
  <si>
    <t>UNIVERSITAS CIPUTRA</t>
  </si>
  <si>
    <t>FAMILY COMMITMENT</t>
  </si>
  <si>
    <t>2023-03-18</t>
  </si>
  <si>
    <r>
      <rPr>
        <sz val="10"/>
        <color indexed="8"/>
        <rFont val="Calibri"/>
      </rPr>
      <t>https://employee.uc.ac.id/index.php/file/get/sis/t_cp/e35010cc-efff-11ed-8d6d-000d3ac6bafe.png</t>
    </r>
  </si>
  <si>
    <t>0108012020038</t>
  </si>
  <si>
    <t>Benazir Fahim</t>
  </si>
  <si>
    <t>ICOEN 9th Presenter</t>
  </si>
  <si>
    <t>2022-10-27</t>
  </si>
  <si>
    <t>Menjadi presenter perihal publikasi yang dilakukan terhadap survavibility carpet industry di era pandemi covid-19 dengan remodeling business model canvas</t>
  </si>
  <si>
    <r>
      <rPr>
        <sz val="10"/>
        <color indexed="8"/>
        <rFont val="Calibri"/>
      </rPr>
      <t>https://employee.uc.ac.id/index.php/file/get/sis/t_cp/3b0a7413-96ed-11ed-b71c-000d3ac6bafe.jpg</t>
    </r>
  </si>
  <si>
    <t>ICOEN 9th Universitas Ciputra</t>
  </si>
  <si>
    <t>0108012020065</t>
  </si>
  <si>
    <t>Dwi Andhika Panjarwanto</t>
  </si>
  <si>
    <t>TALKSHOW RADIO PERSADA FM: HEALTH TALK</t>
  </si>
  <si>
    <t>2022-11-11</t>
  </si>
  <si>
    <t>Narasumber dari Dialog Interaktif TALKSHOW RADIO: HEALTH TALK, Mengenai BAHAYA OBESITAS DAN CARA PENCEGAHANNYA</t>
  </si>
  <si>
    <r>
      <rPr>
        <sz val="10"/>
        <color indexed="8"/>
        <rFont val="Calibri"/>
      </rPr>
      <t>https://employee.uc.ac.id/index.php/file/get/sis/t_cp/7ebdf27d-97b4-11ed-af4b-000d3ac6bafe.jpeg</t>
    </r>
  </si>
  <si>
    <r>
      <rPr>
        <sz val="10"/>
        <color indexed="8"/>
        <rFont val="Calibri"/>
      </rPr>
      <t>https://employee.uc.ac.id/index.php/file/get/sis/t_cp/7ebdf27d-97b4-11ed-af4b-000d3ac6bafe_assignmentletter.jpeg</t>
    </r>
  </si>
  <si>
    <t>NARASUMBER</t>
  </si>
  <si>
    <t>TALKSHOW RADIO MAYANGKARA FM: HEALTH TALK</t>
  </si>
  <si>
    <t>2023-01-13</t>
  </si>
  <si>
    <t>Narasumber dari Dialog Interaktif TALKSHOW RADIO: HEALTH TALK, Mengenai WASPADA DIABETES PADA REMAJA</t>
  </si>
  <si>
    <r>
      <rPr>
        <sz val="10"/>
        <color indexed="8"/>
        <rFont val="Calibri"/>
      </rPr>
      <t>https://employee.uc.ac.id/index.php/file/get/sis/t_cp/2a2e96d9-97b5-11ed-af4b-000d3ac6bafe.jpeg</t>
    </r>
  </si>
  <si>
    <r>
      <rPr>
        <sz val="10"/>
        <color indexed="8"/>
        <rFont val="Calibri"/>
      </rPr>
      <t>https://employee.uc.ac.id/index.php/file/get/sis/t_cp/2a2e96d9-97b5-11ed-af4b-000d3ac6bafe_assignmentletter.jpeg</t>
    </r>
  </si>
  <si>
    <t>0108012020071</t>
  </si>
  <si>
    <t>Vera Desiyanti Ang</t>
  </si>
  <si>
    <t>Seminar Career Day Ray White Royal Residence</t>
  </si>
  <si>
    <t>2022-04-23</t>
  </si>
  <si>
    <t>2023-01-19</t>
  </si>
  <si>
    <r>
      <rPr>
        <sz val="10"/>
        <color indexed="8"/>
        <rFont val="Calibri"/>
      </rPr>
      <t>https://employee.uc.ac.id/index.php/file/get/sis/t_cp/2f92d11b-97db-11ed-af4b-000d3ac6bafe.jpeg</t>
    </r>
  </si>
  <si>
    <t>Ray White Royal Residence</t>
  </si>
  <si>
    <t>0108012110007</t>
  </si>
  <si>
    <t>Adinda Denisa</t>
  </si>
  <si>
    <t>Published Journal</t>
  </si>
  <si>
    <t>2023-06-21</t>
  </si>
  <si>
    <t>Certified Journal by Sinta 1-1</t>
  </si>
  <si>
    <r>
      <rPr>
        <sz val="10"/>
        <color indexed="8"/>
        <rFont val="Calibri"/>
      </rPr>
      <t>https://employee.uc.ac.id/index.php/file/get/sis/t_cp/0b5997ad-14a4-11ee-bcb1-000d3ac6bafe_assignmentletter.pdf</t>
    </r>
  </si>
  <si>
    <r>
      <rPr>
        <sz val="10"/>
        <color indexed="8"/>
        <rFont val="Calibri"/>
      </rPr>
      <t>https://employee.uc.ac.id/index.php/file/get/sis/t_cp/0b5997ad-14a4-11ee-bcb1-000d3ac6bafe_report.pdf</t>
    </r>
  </si>
  <si>
    <t>Management Department Faculty of Economics and Bus</t>
  </si>
  <si>
    <t>0108012110010</t>
  </si>
  <si>
    <t>Made Hadi Nugraha</t>
  </si>
  <si>
    <t>Mini Project Entrepreneurship</t>
  </si>
  <si>
    <t>2021-01-22</t>
  </si>
  <si>
    <t>Juri kegiatan mini project entrepreneurship (kuliner) didakan oleh BEM Aptasena Alfa Prima Campus</t>
  </si>
  <si>
    <t>www.alfa-prima.com</t>
  </si>
  <si>
    <r>
      <rPr>
        <sz val="10"/>
        <color indexed="8"/>
        <rFont val="Calibri"/>
      </rPr>
      <t>https://employee.uc.ac.id/index.php/file/get/sis/t_cp/500c96de-034c-11ee-9899-000d3ac6bafe.jpg</t>
    </r>
  </si>
  <si>
    <t>BEM Campus</t>
  </si>
  <si>
    <t>Lomba Selling Product</t>
  </si>
  <si>
    <t>2022-01-19</t>
  </si>
  <si>
    <t>2022-01-21</t>
  </si>
  <si>
    <t>Lomba selling product dengan tema United Solidarity in Diversity dengan tema Uniqueness in Creativity</t>
  </si>
  <si>
    <r>
      <rPr>
        <sz val="10"/>
        <color indexed="8"/>
        <rFont val="Calibri"/>
      </rPr>
      <t>https://employee.uc.ac.id/index.php/file/get/sis/t_cp/17182534-034d-11ee-9899-000d3ac6bafe.jpg</t>
    </r>
  </si>
  <si>
    <t>Entrepreneur Days Seminar Kewirausahaan</t>
  </si>
  <si>
    <t>2023-03-17</t>
  </si>
  <si>
    <t>Entrepreneur Days Seminar Kewirausahaan BEM Aptasena dengan tema Explore Business Opportunities</t>
  </si>
  <si>
    <t>www.alfraprima.id</t>
  </si>
  <si>
    <r>
      <rPr>
        <sz val="10"/>
        <color indexed="8"/>
        <rFont val="Calibri"/>
      </rPr>
      <t>https://employee.uc.ac.id/index.php/file/get/sis/t_cp/f51d40c6-037a-11ee-9899-000d3ac6bafe.jpg</t>
    </r>
  </si>
  <si>
    <t>0108012110015</t>
  </si>
  <si>
    <t>Gita Prameswari</t>
  </si>
  <si>
    <t>Seminar Nasional Pengabdian Masyarakat IV</t>
  </si>
  <si>
    <t>Pemakalah yang berjudul Membangun Keunggulan bersaing Griya Kreatif Private melalui Exhibiton dan Digitalisasi</t>
  </si>
  <si>
    <r>
      <rPr>
        <sz val="10"/>
        <color indexed="8"/>
        <rFont val="Calibri"/>
      </rPr>
      <t>https://employee.uc.ac.id/index.php/file/get/sis/t_cp/7bdce055-97d5-11ed-af4b-000d3ac6bafe.jpg</t>
    </r>
  </si>
  <si>
    <t>LPPM Universitas Ciputra</t>
  </si>
  <si>
    <t>0108012110021</t>
  </si>
  <si>
    <t>Qahira Nazila</t>
  </si>
  <si>
    <t>Seminar Nasional Pengabdian Masyarakat (SNPM) IV "Membangun Keberdayaan Masyarakat melalui Sociopren</t>
  </si>
  <si>
    <t>2022-11-25</t>
  </si>
  <si>
    <t>Mengikuti Seminar Nasional Pengabdian Masyarakat (SNPM) IV sebagai pemakalah dengan makalah berjudul "Pendampingan Inovasi Produk dan Kemasan UMKM untuk Memenangkan Persaingan"</t>
  </si>
  <si>
    <r>
      <rPr>
        <sz val="10"/>
        <color indexed="8"/>
        <rFont val="Calibri"/>
      </rPr>
      <t>https://employee.uc.ac.id/index.php/file/get/sis/t_cp/3a119bd8-9b1d-11ed-bfe8-000d3ac6bafe.pdf</t>
    </r>
  </si>
  <si>
    <t>0108012110034</t>
  </si>
  <si>
    <t>Goldina Thejaya</t>
  </si>
  <si>
    <t>Korean Bento Cake Baking Class</t>
  </si>
  <si>
    <r>
      <rPr>
        <sz val="10"/>
        <color indexed="8"/>
        <rFont val="Calibri"/>
      </rPr>
      <t>https://employee.uc.ac.id/index.php/file/get/sis/t_cp/2c3a32ff-188c-11ee-96cf-000d3ac6bafe.jpg</t>
    </r>
  </si>
  <si>
    <t>CBM Universitas Ciputra</t>
  </si>
  <si>
    <t>Korean Bento Cake Baking Class 2</t>
  </si>
  <si>
    <t>2023-03-11</t>
  </si>
  <si>
    <t>Isi workshop berupa baking class hingga mengajarkan dekorasi kue kepada calon mahasiswa</t>
  </si>
  <si>
    <r>
      <rPr>
        <sz val="10"/>
        <color indexed="8"/>
        <rFont val="Calibri"/>
      </rPr>
      <t>https://employee.uc.ac.id/index.php/file/get/sis/t_cp/899236bd-188c-11ee-96cf-000d3ac6bafe.jpg</t>
    </r>
  </si>
  <si>
    <t>Korean Bento Cake Baking Class 3</t>
  </si>
  <si>
    <t>Workshop baking hingga cara dekorasi kue untuk para calon mahasiswa</t>
  </si>
  <si>
    <r>
      <rPr>
        <sz val="10"/>
        <color indexed="8"/>
        <rFont val="Calibri"/>
      </rPr>
      <t>https://employee.uc.ac.id/index.php/file/get/sis/t_cp/657224b7-188d-11ee-96cf-000d3ac6bafe.jpg</t>
    </r>
  </si>
  <si>
    <t>Talkshow: Overcoming Culinary Business' Challenge Among Competitors</t>
  </si>
  <si>
    <t>Seminar membahas sustainibility dalam bisnis kuliner</t>
  </si>
  <si>
    <r>
      <rPr>
        <sz val="10"/>
        <color indexed="8"/>
        <rFont val="Calibri"/>
      </rPr>
      <t>https://employee.uc.ac.id/index.php/file/get/sis/t_cp/15132e10-188d-11ee-96cf-000d3ac6bafe.jpg</t>
    </r>
  </si>
  <si>
    <t>Bincang-bincang dan Sharing Alumni bersama Pak Michael Ricky Sondak</t>
  </si>
  <si>
    <t>2023-06-22</t>
  </si>
  <si>
    <t>Sharing alumni tentang pengalaman magang kepada mahasiswa CBM Universitas Ciputra Makassar</t>
  </si>
  <si>
    <r>
      <rPr>
        <sz val="10"/>
        <color indexed="8"/>
        <rFont val="Calibri"/>
      </rPr>
      <t>https://employee.uc.ac.id/index.php/file/get/sis/t_cp/e5d519dc-188d-11ee-96cf-000d3ac6bafe.pdf</t>
    </r>
  </si>
  <si>
    <t>0108012110038</t>
  </si>
  <si>
    <t>Anthony Anci</t>
  </si>
  <si>
    <t>Kelas Besar MAN1010 - Organizational Behavior UC Makassar</t>
  </si>
  <si>
    <t>2022-11-18</t>
  </si>
  <si>
    <t>Sebagai pembicara alumni pada Kelas Besar MAN1010 - Organizational Behavior UC Makassar</t>
  </si>
  <si>
    <r>
      <rPr>
        <sz val="10"/>
        <color indexed="8"/>
        <rFont val="Calibri"/>
      </rPr>
      <t>https://employee.uc.ac.id/index.php/file/get/sis/t_cp/73831462-be27-11ed-8a3c-000d3ac6bafe.pdf</t>
    </r>
  </si>
  <si>
    <r>
      <rPr>
        <sz val="10"/>
        <color indexed="8"/>
        <rFont val="Calibri"/>
      </rPr>
      <t>https://employee.uc.ac.id/index.php/file/get/sis/t_cp/73831462-be27-11ed-8a3c-000d3ac6bafe_assignmentletter.pdf</t>
    </r>
  </si>
  <si>
    <t>Prodi Manajemen UC Makassar</t>
  </si>
  <si>
    <t>0108012110047</t>
  </si>
  <si>
    <t>Widya Arif Sofyan Kurniawan</t>
  </si>
  <si>
    <t>kedaireka</t>
  </si>
  <si>
    <t>2022-12-23</t>
  </si>
  <si>
    <t>menjadi narasumber membahas tentang perusahaan keluarga dari perspektif generasi kedua pada acara kedaireka MODIS - Modified Design Thinking Periode yang diselenggarakan di tunjungan plaza</t>
  </si>
  <si>
    <r>
      <rPr>
        <sz val="10"/>
        <color indexed="8"/>
        <rFont val="Calibri"/>
      </rPr>
      <t>https://employee.uc.ac.id/index.php/file/get/sis/t_cp/89710f9d-194f-11ee-a5c3-000d3ac6bafe.pdf</t>
    </r>
  </si>
  <si>
    <r>
      <rPr>
        <sz val="10"/>
        <color indexed="8"/>
        <rFont val="Calibri"/>
      </rPr>
      <t>https://employee.uc.ac.id/index.php/file/get/sis/t_cp/89710f9d-194f-11ee-a5c3-000d3ac6bafe_assignmentletter.jpeg</t>
    </r>
  </si>
  <si>
    <t>0108012120055</t>
  </si>
  <si>
    <t>Lisa Monika</t>
  </si>
  <si>
    <t>KPR DAY Bersama BCA</t>
  </si>
  <si>
    <t>2023-01-21</t>
  </si>
  <si>
    <t xml:space="preserve">Memberikan wawasan bersama Bank BCA untuk masyarakat luas dan calon Pembeli property 
langkah langkah yang harus di lakukan
pengetahuan seputar BI checking dan Bunga Bank
kemudahan kemudahan yang di berikan oleh developer </t>
  </si>
  <si>
    <t>dian -istana.com</t>
  </si>
  <si>
    <r>
      <rPr>
        <sz val="10"/>
        <color indexed="8"/>
        <rFont val="Calibri"/>
      </rPr>
      <t>https://employee.uc.ac.id/index.php/file/get/sis/t_cp/d366aaf9-9961-11ed-8629-000d3ac6bafe.jpg</t>
    </r>
  </si>
  <si>
    <t>KPR DAY</t>
  </si>
  <si>
    <t>0108012120060</t>
  </si>
  <si>
    <t>Jeremy Ernesto Sean Wahono</t>
  </si>
  <si>
    <t>Pemakalah yang berjudul "Pendampingan Inovasi Produk dan Kemasan UMKM Untuk Memenangkan Persaingan"</t>
  </si>
  <si>
    <r>
      <rPr>
        <sz val="10"/>
        <color indexed="8"/>
        <rFont val="Calibri"/>
      </rPr>
      <t>https://employee.uc.ac.id/index.php/file/get/sis/t_cp/7e2f4f19-9c68-11ed-90bc-000d3ac6bafe.pdf</t>
    </r>
  </si>
  <si>
    <t>0108012120083</t>
  </si>
  <si>
    <t>Karina Enny Agustina</t>
  </si>
  <si>
    <t>Business Ideation with Business Model Canvas Workshop</t>
  </si>
  <si>
    <t>2022-12-05</t>
  </si>
  <si>
    <t>2022-12-06</t>
  </si>
  <si>
    <t>Menjadi pemateri BMC ideation workshop di SMA Gloria 2</t>
  </si>
  <si>
    <r>
      <rPr>
        <sz val="10"/>
        <color indexed="8"/>
        <rFont val="Calibri"/>
      </rPr>
      <t>https://employee.uc.ac.id/index.php/file/get/sis/t_cp/57aa62ea-be55-11ed-8a3c-000d3ac6bafe.pdf</t>
    </r>
  </si>
  <si>
    <t>Hotel and Tourism Business UC</t>
  </si>
  <si>
    <t>0108012120088</t>
  </si>
  <si>
    <t>Fika Andari</t>
  </si>
  <si>
    <t xml:space="preserve">Entrepreneur talk </t>
  </si>
  <si>
    <t>Sebagai narasumber dalam acara Entrepreneur talk yang diselanggarakan oleh universitas Airlangga Surabaya untuk sharing mengenai bisnis keluarga yang dijalankan saat ini</t>
  </si>
  <si>
    <t>Student Organization</t>
  </si>
  <si>
    <r>
      <rPr>
        <sz val="10"/>
        <color indexed="8"/>
        <rFont val="Calibri"/>
      </rPr>
      <t>https://employee.uc.ac.id/index.php/file/get/sis/t_cp/47a77fda-dcd7-11ed-8a0b-000d3ac6bafe.HEIC</t>
    </r>
  </si>
  <si>
    <r>
      <rPr>
        <sz val="10"/>
        <color indexed="8"/>
        <rFont val="Calibri"/>
      </rPr>
      <t>https://employee.uc.ac.id/index.php/file/get/sis/t_cp/47a77fda-dcd7-11ed-8a0b-000d3ac6bafe_assignmentletter.pdf</t>
    </r>
  </si>
  <si>
    <t xml:space="preserve">Universitas Airlangga Surabaya </t>
  </si>
  <si>
    <t xml:space="preserve">webinar </t>
  </si>
  <si>
    <t>2023-06-04</t>
  </si>
  <si>
    <t xml:space="preserve">Participant in webinar " Spotting the opportunity of new technology for business </t>
  </si>
  <si>
    <r>
      <rPr>
        <sz val="10"/>
        <color indexed="8"/>
        <rFont val="Calibri"/>
      </rPr>
      <t>https://employee.uc.ac.id/index.php/file/get/sis/t_cp/1775fc14-0428-11ee-ba25-000d3ac6bafe.pdf</t>
    </r>
  </si>
  <si>
    <r>
      <rPr>
        <sz val="10"/>
        <color indexed="8"/>
        <rFont val="Calibri"/>
      </rPr>
      <t>https://employee.uc.ac.id/index.php/file/get/sis/t_cp/1775fc14-0428-11ee-ba25-000d3ac6bafe_assignmentletter.jpeg</t>
    </r>
  </si>
  <si>
    <t xml:space="preserve">Universitas Ciputra </t>
  </si>
  <si>
    <t>0108012120098</t>
  </si>
  <si>
    <t>Rif`atus Sholihah</t>
  </si>
  <si>
    <t xml:space="preserve">Penerbit Pondok Pesantren Baron </t>
  </si>
  <si>
    <t>2023-08-19</t>
  </si>
  <si>
    <t>Kunci Bisnis (Dalam proses pengajuan ISBN)</t>
  </si>
  <si>
    <r>
      <rPr>
        <sz val="10"/>
        <color indexed="8"/>
        <rFont val="Calibri"/>
      </rPr>
      <t>https://employee.uc.ac.id/index.php/file/get/sis/t_cp/926b4e63-3e9d-11ee-9179-000d3ac6bafe_report.jpg</t>
    </r>
  </si>
  <si>
    <t>0108012210044</t>
  </si>
  <si>
    <t>Lovely Hilary Limawan</t>
  </si>
  <si>
    <t>Pemateri Kelas Nutrition Knowledge</t>
  </si>
  <si>
    <t>2023-04-03</t>
  </si>
  <si>
    <t>Pemateri kelas tamu mata kuliah Nutrition Knowledge untuk mahasiswa S1 Universitas Ciputra pogram studi Culinary Business pada tanggal 31 Maret 2023
Dosen Pengampu Mata Kuliah NK: Oki Krisbianto dan Devina
Asisten Dosen: Yurika dan Mounindita</t>
  </si>
  <si>
    <r>
      <rPr>
        <sz val="10"/>
        <color indexed="8"/>
        <rFont val="Calibri"/>
      </rPr>
      <t>https://employee.uc.ac.id/index.php/file/get/sis/t_cp/a48e719c-d1f0-11ed-a759-000d3ac6bafe.jpg</t>
    </r>
  </si>
  <si>
    <r>
      <rPr>
        <sz val="10"/>
        <color indexed="8"/>
        <rFont val="Calibri"/>
      </rPr>
      <t>https://employee.uc.ac.id/index.php/file/get/sis/t_cp/a6856538-d1f0-11ed-a759-000d3ac6bafe_assignmentletter.jpg</t>
    </r>
  </si>
  <si>
    <t>Nutrition Knowledge-Culinary Business</t>
  </si>
  <si>
    <t>0108012220061</t>
  </si>
  <si>
    <t>Joseph Richard Hartono</t>
  </si>
  <si>
    <t xml:space="preserve">Workshop </t>
  </si>
  <si>
    <t>2023-11-11</t>
  </si>
  <si>
    <t>Menjadi pembicara pada acara, membahas tentang:
1. Tata krama ketika surat menyurat pada saat aktivitas lamar kerja
2. Proses Interview dan Pembiasaan diri
3. Pertanyaan seputar: dunia kerja IT dan dunia kerja Hukum</t>
  </si>
  <si>
    <r>
      <rPr>
        <sz val="10"/>
        <color indexed="8"/>
        <rFont val="Calibri"/>
      </rPr>
      <t>https://employee.uc.ac.id/index.php/file/get/sis/t_cp/b067652e-8b36-11ee-a0af-000d3ac6bafe.jpg</t>
    </r>
  </si>
  <si>
    <t>Hiro's Private Lesson (PT Sukses Ilmu Indonesia)</t>
  </si>
  <si>
    <t>0108012220070</t>
  </si>
  <si>
    <t>Alexander Hiro Wibisono</t>
  </si>
  <si>
    <t>Kegiatan Bimbingan Teknis Fasilitator Rangkaian Pendidikan dan Pelatihan Dasar Menwa Se-Provinsi Bal</t>
  </si>
  <si>
    <t>2023-09-10</t>
  </si>
  <si>
    <r>
      <rPr>
        <sz val="10"/>
        <color indexed="8"/>
        <rFont val="Calibri"/>
      </rPr>
      <t>https://employee.uc.ac.id/index.php/file/get/sis/t_cp/b23ec435-4fdf-11ee-8859-000d3ac6bafe.jpg</t>
    </r>
  </si>
  <si>
    <t>Korps Menwa Ugracena Bali</t>
  </si>
  <si>
    <t>0108012220084</t>
  </si>
  <si>
    <t>Ismirani Saputri</t>
  </si>
  <si>
    <t>jurnalis class angkatan ke 5</t>
  </si>
  <si>
    <t>2023-05-08</t>
  </si>
  <si>
    <t>2023-05-09</t>
  </si>
  <si>
    <t>kegiatan ini di adakan oleh OJK institute secara rutin setiap tahun bergiliran setiap provinsi, kali ini di adakan di sheraton hotel surabaya dan mengundang 40 wartawan dari Jember, Kediri, Malang dan surabaya.</t>
  </si>
  <si>
    <r>
      <rPr>
        <sz val="10"/>
        <color indexed="8"/>
        <rFont val="Calibri"/>
      </rPr>
      <t>https://employee.uc.ac.id/index.php/file/get/sis/t_cp/2eb32b47-f3b9-11ed-b513-000d3ac6bafe.pdf</t>
    </r>
  </si>
  <si>
    <t>OJK institute</t>
  </si>
  <si>
    <t>mengenal investasi yang aman</t>
  </si>
  <si>
    <t>acara diadakan oleh dharma wanita dinas kelautan danperikanan provinsi jawa timur dan di ikuti oleh 150 orang.
Acara ini tidak terdapat sertifikat dari penyelenggara.</t>
  </si>
  <si>
    <r>
      <rPr>
        <sz val="10"/>
        <color indexed="8"/>
        <rFont val="Calibri"/>
      </rPr>
      <t>https://employee.uc.ac.id/index.php/file/get/sis/t_cp/e5018742-efe2-11ed-8d6d-000d3ac6bafe.pdf</t>
    </r>
  </si>
  <si>
    <t>dharma wanita</t>
  </si>
  <si>
    <t xml:space="preserve"> kegiatan sosialisasi dan edukasi pasar modal kepada para penyandang disabilitas</t>
  </si>
  <si>
    <t>2023-05-16</t>
  </si>
  <si>
    <t>kegiatan ini merupakan undangan dari bursa efek indonesia, kegiatan sosialisasi dan edukasi pasar modal kepada para penyandang disabilitas kepada Disabilitas Netra – YPAB dan Pertuni yang dihadiri oleh 50 orang secara langsung dan 30 orang di zoom. kegiatan ini tidak ada sertifikat dari penyelenggar</t>
  </si>
  <si>
    <r>
      <rPr>
        <sz val="10"/>
        <color indexed="8"/>
        <rFont val="Calibri"/>
      </rPr>
      <t>https://employee.uc.ac.id/index.php/file/get/sis/t_cp/dce2baf4-fa9c-11ed-965d-000d3ac6bafe.pdf</t>
    </r>
  </si>
  <si>
    <t>Bursa Efek Indonesia</t>
  </si>
  <si>
    <t>Sosialisasi Literasi dan Inklusi Keuangan Masyarakat dan Desa</t>
  </si>
  <si>
    <t>2023-06-01</t>
  </si>
  <si>
    <t>menjadi keynote speaker perihal acara Talkshow Desa Literasi Keuangan: Sosialisasi Literasi dan Inklusi Keuangan Masyarakat dan Desa.
acara ini Kampoeng Kreasi di buka oleh Ibu Gubernur Jawa Timur pada tgl 1 Juni s.d 4 Juni 2023, bekerja sama dengan Dinas Pemberdayaan Masyarakat Desa, terdapat seki</t>
  </si>
  <si>
    <r>
      <rPr>
        <sz val="10"/>
        <color indexed="8"/>
        <rFont val="Calibri"/>
      </rPr>
      <t>https://employee.uc.ac.id/index.php/file/get/sis/t_cp/8d3ad991-0441-11ee-ba25-000d3ac6bafe.pdf</t>
    </r>
  </si>
  <si>
    <t>Dinas Pemberdayaan Masyarakat Desa</t>
  </si>
  <si>
    <t>parenting talk Literasi Keuangan dengan tema Perencanaan Keuangan bagi Guru serta Orang Tua TK dan S</t>
  </si>
  <si>
    <t>2023-06-09</t>
  </si>
  <si>
    <t>Literasi Keuangan dengan tema Perencanaan Keuangan bagi Guru dan Orang Tua Anak TK dan SD di royal plaza
dihadiri oleh dinas pendidikan kota surabaya, guru TK dan SD se- surabaya dengan beberapa orang tua dari siswa IC School
sekitar 150 peserta</t>
  </si>
  <si>
    <r>
      <rPr>
        <sz val="10"/>
        <color indexed="8"/>
        <rFont val="Calibri"/>
      </rPr>
      <t>https://employee.uc.ac.id/index.php/file/get/sis/t_cp/a8912cca-0e63-11ee-849f-000d3ac6bafe.docx</t>
    </r>
  </si>
  <si>
    <t>dinas pendidikan kota surabaya dan IC School</t>
  </si>
  <si>
    <t>0108012220094</t>
  </si>
  <si>
    <t>Dhiemas Arya Putra</t>
  </si>
  <si>
    <t>Pelatihan Agribisnis Jawa Timur</t>
  </si>
  <si>
    <t>2023-06-12</t>
  </si>
  <si>
    <t>-Mengisi materi digital marketing and business bersama Dinas pertanian Jawa Timur</t>
  </si>
  <si>
    <r>
      <rPr>
        <sz val="10"/>
        <color indexed="8"/>
        <rFont val="Calibri"/>
      </rPr>
      <t>https://employee.uc.ac.id/index.php/file/get/sis/t_cp/8a6df53c-148b-11ee-bcb1-000d3ac6bafe.pdf</t>
    </r>
  </si>
  <si>
    <t>UPTD Dinas Pertanian Prov Jawa Timur</t>
  </si>
  <si>
    <t>Building Development Services KPP Pratama Wonocolo Surabaya</t>
  </si>
  <si>
    <t>Mengisi materi tentang marketing untuk UMKM di Surabaya bersama Kantor Pajak dan Kanwil Pajak 1 Surabaya</t>
  </si>
  <si>
    <r>
      <rPr>
        <sz val="10"/>
        <color indexed="8"/>
        <rFont val="Calibri"/>
      </rPr>
      <t>https://employee.uc.ac.id/index.php/file/get/sis/t_cp/606f6fdd-14aa-11ee-bcb1-000d3ac6bafe.pdf</t>
    </r>
  </si>
  <si>
    <t>KPP Pratama Wonocolo Surabaya</t>
  </si>
  <si>
    <t>0108012310018</t>
  </si>
  <si>
    <t>Suryadi Kusniawan</t>
  </si>
  <si>
    <t>Dosen Tamu di Magister Industri Kreatif Sekolah Pascasarjana UC</t>
  </si>
  <si>
    <t>2023-09-21</t>
  </si>
  <si>
    <t>Dosen Tamu di Magister Industri Kreatif Sekolah Pascasarjana UC.</t>
  </si>
  <si>
    <r>
      <rPr>
        <sz val="10"/>
        <color indexed="8"/>
        <rFont val="Calibri"/>
      </rPr>
      <t>https://pasca.unair.ac.id</t>
    </r>
  </si>
  <si>
    <r>
      <rPr>
        <sz val="10"/>
        <color indexed="8"/>
        <rFont val="Calibri"/>
      </rPr>
      <t>https://employee.uc.ac.id/index.php/file/get/sis/t_cp/47b6e505-6bf7-11ee-a25e-000d3ac6bafe.pdf</t>
    </r>
  </si>
  <si>
    <r>
      <rPr>
        <sz val="10"/>
        <color indexed="8"/>
        <rFont val="Calibri"/>
      </rPr>
      <t>https://employee.uc.ac.id/index.php/file/get/sis/t_cp/47b6e505-6bf7-11ee-a25e-000d3ac6bafe_assignmentletter.pdf</t>
    </r>
  </si>
  <si>
    <t>Sekolah Pascasarjana Universitas Airlangga</t>
  </si>
  <si>
    <t>Konsultan Kebijakan Ekonomi Kreatif DPRD Kota Surabaya</t>
  </si>
  <si>
    <t>2023-09-23</t>
  </si>
  <si>
    <t>Menjadi konsultan kebijakan pengembangan Ekonomi Kreatif di DPRD Kota Surabaya</t>
  </si>
  <si>
    <r>
      <rPr>
        <sz val="10"/>
        <color indexed="8"/>
        <rFont val="Calibri"/>
      </rPr>
      <t>https://dprd.surabaya.go.id/</t>
    </r>
  </si>
  <si>
    <r>
      <rPr>
        <sz val="10"/>
        <color indexed="8"/>
        <rFont val="Calibri"/>
      </rPr>
      <t>https://employee.uc.ac.id/index.php/file/get/sis/t_cp/1e9785bb-5a06-11ee-8d80-000d3ac6bafe.pdf</t>
    </r>
  </si>
  <si>
    <t>DPRD Kota Surabaya</t>
  </si>
  <si>
    <t>Sarasehan Kota Kreatif, Disbudpar Provinsi Jawa Timur</t>
  </si>
  <si>
    <t>2023-09-27</t>
  </si>
  <si>
    <t>Sebagai nara sumber dalam sarasehan Kota Kreatif Jawa Timur bersama Dinas Pariwisata se Jawa Timur dan para pelaku Ekraf di Jawa Timur.</t>
  </si>
  <si>
    <r>
      <rPr>
        <sz val="10"/>
        <color indexed="8"/>
        <rFont val="Calibri"/>
      </rPr>
      <t>http://disbudpar.jatimprov.go.id/</t>
    </r>
  </si>
  <si>
    <r>
      <rPr>
        <sz val="10"/>
        <color indexed="8"/>
        <rFont val="Calibri"/>
      </rPr>
      <t>https://employee.uc.ac.id/index.php/file/get/sis/t_cp/5134f42a-5d4d-11ee-9708-000d3ac6bafe.pdf</t>
    </r>
  </si>
  <si>
    <t>Disbidpar Provinsi Jawa Timur</t>
  </si>
  <si>
    <t>Rapat Pleno Penetapan KaTa Kreatif Indonesia</t>
  </si>
  <si>
    <t>2023-10-09</t>
  </si>
  <si>
    <t>Sebagai juri dalam penetapan Kabupaten Kota Kreatif Indonesia, Kemenparekraf RI</t>
  </si>
  <si>
    <r>
      <rPr>
        <sz val="10"/>
        <color indexed="8"/>
        <rFont val="Calibri"/>
      </rPr>
      <t>https://kemenparekraf.go.id</t>
    </r>
  </si>
  <si>
    <r>
      <rPr>
        <sz val="10"/>
        <color indexed="8"/>
        <rFont val="Calibri"/>
      </rPr>
      <t>https://employee.uc.ac.id/index.php/file/get/sis/t_cp/24018527-681a-11ee-876c-000d3ac6bafe.pdf</t>
    </r>
  </si>
  <si>
    <r>
      <rPr>
        <sz val="10"/>
        <color indexed="8"/>
        <rFont val="Calibri"/>
      </rPr>
      <t>https://employee.uc.ac.id/index.php/file/get/sis/t_cp/24018527-681a-11ee-876c-000d3ac6bafe_assignmentletter.pdf</t>
    </r>
  </si>
  <si>
    <t>Kemenparekraf/Baparekraf RI</t>
  </si>
  <si>
    <t>0108912310008</t>
  </si>
  <si>
    <t>Elizabeth Maeko Cyrilla Handijaya</t>
  </si>
  <si>
    <t>Magister of Management (BUF)</t>
  </si>
  <si>
    <t>0206031910033</t>
  </si>
  <si>
    <t>Jeremy Tobing</t>
  </si>
  <si>
    <t>Architecture</t>
  </si>
  <si>
    <t>0206032010004</t>
  </si>
  <si>
    <t>Karen Fayola</t>
  </si>
  <si>
    <t>0206032010013</t>
  </si>
  <si>
    <t>Muhamad Rahmat Pamudji</t>
  </si>
  <si>
    <t>0206032010015</t>
  </si>
  <si>
    <t>Stacey Elbita Eliana</t>
  </si>
  <si>
    <t>0206032010016</t>
  </si>
  <si>
    <t>Putri Refinda Yuan Ochtisha</t>
  </si>
  <si>
    <t>0206032010024</t>
  </si>
  <si>
    <t>Andi Pricilia Yunita</t>
  </si>
  <si>
    <t>THE INTERNATIONAL CONFERENCE ON HERITAGE AND CULTURAL CONSERVATION (InHERIT) 2020</t>
  </si>
  <si>
    <t>2021-12-14</t>
  </si>
  <si>
    <t>2021-12-15</t>
  </si>
  <si>
    <t>Publikasi dalam buku International Conference on heritage and cultural conservation yang berjudul Application of Design Principles in Peneleh and Northwest Lake Housing in Surabaya dengan anggota kelompok Stacey Elbita Eliana, Andi Pricilia Yunita, Stefanie Loviraura, Putri Refinda Yuan Ochtisha, Mu</t>
  </si>
  <si>
    <r>
      <rPr>
        <sz val="10"/>
        <color indexed="8"/>
        <rFont val="Calibri"/>
      </rPr>
      <t>https://employee.uc.ac.id/index.php/file/get/sis/t_cp/de55c315-6bfe-11ee-a25e-000d3ac6bafe_report.pdf</t>
    </r>
  </si>
  <si>
    <t xml:space="preserve"> Universitas Tanjungpura with University of Techno</t>
  </si>
  <si>
    <t>TERDEKAT &amp; TERASING Yang Terselip di Belantara Ingatan</t>
  </si>
  <si>
    <t>2023-07-22</t>
  </si>
  <si>
    <t>2023-09-22</t>
  </si>
  <si>
    <t>Karya tulisan dari Mata Kuliah Becoming Indonesia terpilih untuk dipublikasikan menjadi buku dengan penerbit Universtas CIputra.Dipublikasikan dalam bentuk ebook dengan link https://play.google.com/store/books/details?id=eDanEAAAQBAJ&amp;rdid=book-eDanEAAAQBAJ&amp;rdot=1&amp;source=gbs_vpt_read&amp;pcampaignid=book</t>
  </si>
  <si>
    <r>
      <rPr>
        <sz val="10"/>
        <color indexed="8"/>
        <rFont val="Calibri"/>
      </rPr>
      <t>https://employee.uc.ac.id/index.php/file/get/sis/t_cp/64cbb0e7-6fcf-11ee-9434-000d3ac6bafe_report.pdf</t>
    </r>
  </si>
  <si>
    <t>0206032010034</t>
  </si>
  <si>
    <t>Bong, Antonio William Marcelino</t>
  </si>
  <si>
    <t>0206032110005</t>
  </si>
  <si>
    <t>Billy Jovian Irwanto</t>
  </si>
  <si>
    <t>0206032110006</t>
  </si>
  <si>
    <t>Keisha Amabel Saputra Sutikno</t>
  </si>
  <si>
    <t>0206032110007</t>
  </si>
  <si>
    <t>Marsha Indrasakti</t>
  </si>
  <si>
    <t>Sustainable Innovation in Tourism and Hospitality: 2023 Global Student Challenge</t>
  </si>
  <si>
    <t>2023-11-10</t>
  </si>
  <si>
    <t>2023-11-24</t>
  </si>
  <si>
    <t>Preservation of the Kya-Kya Area's Sense of Place (Chinatown Area in Surabaya) as Tourism Heritage Site</t>
  </si>
  <si>
    <r>
      <rPr>
        <sz val="10"/>
        <color indexed="8"/>
        <rFont val="Calibri"/>
      </rPr>
      <t>https://employee.uc.ac.id/index.php/file/get/sis/t_cp/d6b337ad-91ec-11ee-ab5b-000d3ac6bafe.png</t>
    </r>
  </si>
  <si>
    <r>
      <rPr>
        <sz val="10"/>
        <color indexed="8"/>
        <rFont val="Calibri"/>
      </rPr>
      <t>https://employee.uc.ac.id/index.php/file/get/sis/t_cp/d6b337ad-91ec-11ee-ab5b-000d3ac6bafe_assignmentletter.jpg</t>
    </r>
  </si>
  <si>
    <t>IMTH</t>
  </si>
  <si>
    <t>0206032110020</t>
  </si>
  <si>
    <t>Vanessa Eileen Soewitno</t>
  </si>
  <si>
    <t>0206032110023</t>
  </si>
  <si>
    <t>Cindy Natalie</t>
  </si>
  <si>
    <t>0206032110025</t>
  </si>
  <si>
    <t>Michael Udayana</t>
  </si>
  <si>
    <t>0206032110028</t>
  </si>
  <si>
    <t>Angelique Gracia Hartono</t>
  </si>
  <si>
    <t>0206032110029</t>
  </si>
  <si>
    <t>Immanuel Sebastian</t>
  </si>
  <si>
    <t>0206032110048</t>
  </si>
  <si>
    <t>Winston Goeinawan</t>
  </si>
  <si>
    <t>0206032110057</t>
  </si>
  <si>
    <t>Yovita Aryani Harsono</t>
  </si>
  <si>
    <t>0206032110058</t>
  </si>
  <si>
    <t>Ardelia Davina Lena Indrianto</t>
  </si>
  <si>
    <t>0206032110060</t>
  </si>
  <si>
    <t>Rico Mahendra Kurniawan Putra</t>
  </si>
  <si>
    <t>0206032210018</t>
  </si>
  <si>
    <t>Helen Saphira Wibowo</t>
  </si>
  <si>
    <t>International Open Design Colloquium Universiti Teknologi Malaysia and Universitas Ciputra 2022</t>
  </si>
  <si>
    <t>2023-03-05</t>
  </si>
  <si>
    <t xml:space="preserve">Menjadi pembicara untuk event ini, menjelaskan karya saya dalam studio perancangab "Reminders of Bali" di International Open Design Colloquium Universiti Teknologi Malaysia and Universitas Ciputra 2022 </t>
  </si>
  <si>
    <r>
      <rPr>
        <sz val="10"/>
        <color indexed="8"/>
        <rFont val="Calibri"/>
      </rPr>
      <t>https://employee.uc.ac.id/index.php/file/get/sis/t_cp/6dc825e6-baf1-11ed-8264-000d3ac6bafe.jpg</t>
    </r>
  </si>
  <si>
    <r>
      <rPr>
        <sz val="10"/>
        <color indexed="8"/>
        <rFont val="Calibri"/>
      </rPr>
      <t>https://employee.uc.ac.id/index.php/file/get/sis/t_cp/82340ecc-baf1-11ed-8264-000d3ac6bafe_assignmentletter.jpg</t>
    </r>
  </si>
  <si>
    <t>UTM and UC</t>
  </si>
  <si>
    <t>DECORINTEX EXPO TALKSHOW 2023</t>
  </si>
  <si>
    <t>2023-10-22</t>
  </si>
  <si>
    <t>PEMBICARA SHARING SESSION
"PERKEMBANG AN SWK SURABAYA DAN
PENGEMBANGAN DESAIN PAVILION UNTUK
AREA PENUNJANG SWK STUDIO"</t>
  </si>
  <si>
    <r>
      <rPr>
        <sz val="10"/>
        <color indexed="8"/>
        <rFont val="Calibri"/>
      </rPr>
      <t>https://employee.uc.ac.id/index.php/file/get/sis/t_cp/c386679e-70fa-11ee-a572-000d3ac6bafe.jpg</t>
    </r>
  </si>
  <si>
    <r>
      <rPr>
        <sz val="10"/>
        <color indexed="8"/>
        <rFont val="Calibri"/>
      </rPr>
      <t>https://employee.uc.ac.id/index.php/file/get/sis/t_cp/c85aa59c-70fa-11ee-a572-000d3ac6bafe_assignmentletter.jpg</t>
    </r>
  </si>
  <si>
    <t xml:space="preserve">DECORINTEX </t>
  </si>
  <si>
    <t>0206032210036</t>
  </si>
  <si>
    <t>Gabriel Procellia</t>
  </si>
  <si>
    <t>Workshop Membuat Sketsa</t>
  </si>
  <si>
    <t>Melakukan Pengabdian kepada Masyarakat (PkM) sebagai narasumber Workshop "Membuat Sketsa” dengan tema utama “Entrepreneurship dan Skill-Skill Penunjang untuk Siswa-Siswi SMA Kristen Gloria 2 Surabaya”.</t>
  </si>
  <si>
    <r>
      <rPr>
        <sz val="10"/>
        <color indexed="8"/>
        <rFont val="Calibri"/>
      </rPr>
      <t>https://employee.uc.ac.id/index.php/file/get/sis/t_cp/08cc39e1-bb64-11ed-8264-000d3ac6bafe.png</t>
    </r>
  </si>
  <si>
    <t>Fakultas Industri Kreatif Universitas CIputraa</t>
  </si>
  <si>
    <t>0206041910015</t>
  </si>
  <si>
    <t>Tania Lia Chandra</t>
  </si>
  <si>
    <t>Visual Communication Design</t>
  </si>
  <si>
    <t>Live Instagram Series 04 #BelakangLayar Incendio</t>
  </si>
  <si>
    <t>2022-02-11</t>
  </si>
  <si>
    <t>Sebagai tamu narasumber dalam series 04 #BelakangLayar pada live instagram @incendio.id pada 11 Februari 2022 dalam hal ini bertugas untuk Sharing seputar leadership dan pengalaman menjadi president SU VCD 2021-2022</t>
  </si>
  <si>
    <r>
      <rPr>
        <sz val="10"/>
        <color indexed="8"/>
        <rFont val="Calibri"/>
      </rPr>
      <t>https://www.instagram.com/tv/CZ1XugjqLoM/?igshid=Y</t>
    </r>
  </si>
  <si>
    <r>
      <rPr>
        <sz val="10"/>
        <color indexed="8"/>
        <rFont val="Calibri"/>
      </rPr>
      <t>https://employee.uc.ac.id/index.php/file/get/sis/t_cp/f3778db1-8e7c-11ed-acce-000d3ac6bafe.jpg</t>
    </r>
  </si>
  <si>
    <t>Incendio.id</t>
  </si>
  <si>
    <t>0206041910029</t>
  </si>
  <si>
    <t>Tamariska Felicia Levina Adino</t>
  </si>
  <si>
    <t>Penerbitan Buku Kumpulan Cerpen sebagai Penulis Utama berjudul "One Family"</t>
  </si>
  <si>
    <t>2019-12-01</t>
  </si>
  <si>
    <t xml:space="preserve">Publikasi buku ISBN sebagai penulis utama, berjudul "One Family" (telah terdaftar di Perpusnas). </t>
  </si>
  <si>
    <t>Instagram: redaksi.rumahkita</t>
  </si>
  <si>
    <r>
      <rPr>
        <sz val="10"/>
        <color indexed="8"/>
        <rFont val="Calibri"/>
      </rPr>
      <t>https://employee.uc.ac.id/index.php/file/get/sis/t_cp/a522fdc4-8c94-11ed-8644-000d3ac6bafe_report.pdf</t>
    </r>
  </si>
  <si>
    <t>Rumah Kita; Kendal</t>
  </si>
  <si>
    <t>Pembuatan Buku [WORKSHEET BOOK] The Journey of Building The Audience</t>
  </si>
  <si>
    <t>2023-02-20</t>
  </si>
  <si>
    <t>[WORKSHEET BOOK] The Journey of Building The Audience
No. ISBN: 978-623-8136-07-0
Buku worksheet untuk membantu para pelaku startup mempraktikkan materi branding dan digital marketing yang telah diberikan pada buku sharing "The Journey of Building The Audience"</t>
  </si>
  <si>
    <r>
      <rPr>
        <sz val="10"/>
        <color indexed="8"/>
        <rFont val="Calibri"/>
      </rPr>
      <t>https://www.uc.ac.id/puc/</t>
    </r>
  </si>
  <si>
    <r>
      <rPr>
        <sz val="10"/>
        <color indexed="8"/>
        <rFont val="Calibri"/>
      </rPr>
      <t>https://employee.uc.ac.id/index.php/file/get/sis/t_cp/229ca450-b197-11ed-8338-000d3ac6bafe_report.pdf</t>
    </r>
  </si>
  <si>
    <t>Penerbit Universitas Ciputra</t>
  </si>
  <si>
    <t>Publikasi Buku ISBN Nasional - The Journey of Building The Audience</t>
  </si>
  <si>
    <t>2023-02-21</t>
  </si>
  <si>
    <t xml:space="preserve">Publikasi Buku ISBN Nasional - The Journey of Building The Audience
No. ISBN: 978-623-8136-04-9
Buku materi tentang branding dan digital marketing untuk startup </t>
  </si>
  <si>
    <r>
      <rPr>
        <sz val="10"/>
        <color indexed="8"/>
        <rFont val="Calibri"/>
      </rPr>
      <t>https://employee.uc.ac.id/index.php/file/get/sis/t_cp/60db7e5e-b195-11ed-8338-000d3ac6bafe_report.pdf</t>
    </r>
  </si>
  <si>
    <t>i-Talk "The Importance of Storytelling in Branding"</t>
  </si>
  <si>
    <t>2023-03-15</t>
  </si>
  <si>
    <t>Pemateri acara webinar i-Talk "The Importance of Storytelling in Branding", kolaborasi Vizione Studio bersama UC Library.
Peserta dari internal dan eksternal UC, total 43 orang</t>
  </si>
  <si>
    <t>www.vizionestudio.com dan uc.ac.id</t>
  </si>
  <si>
    <r>
      <rPr>
        <sz val="10"/>
        <color indexed="8"/>
        <rFont val="Calibri"/>
      </rPr>
      <t>https://employee.uc.ac.id/index.php/file/get/sis/t_cp/35bb035c-c6fd-11ed-8a70-000d3ac6bafe.jpeg</t>
    </r>
  </si>
  <si>
    <t>UC Library dan Vizione Studio</t>
  </si>
  <si>
    <t>0206041910043</t>
  </si>
  <si>
    <t>Charissa Belle Leticia</t>
  </si>
  <si>
    <t>Penelitian “Perancangan Buku Promotional untuk Museum Kesehatan Jiwa Lawang”</t>
  </si>
  <si>
    <t>2021-06-01</t>
  </si>
  <si>
    <t>2021-09-01</t>
  </si>
  <si>
    <r>
      <rPr>
        <sz val="10"/>
        <color indexed="8"/>
        <rFont val="Calibri"/>
      </rPr>
      <t>https://employee.uc.ac.id/index.php/file/get/sis/t_cp/f9bc4af0-9815-11ed-af4b-000d3ac6bafe.pdf</t>
    </r>
  </si>
  <si>
    <t>Musem kesehtan jiwa lawang, VCD universitas ciputr</t>
  </si>
  <si>
    <t>0206042010005</t>
  </si>
  <si>
    <t>Kimberly Kristy Salim</t>
  </si>
  <si>
    <t>0206042010058</t>
  </si>
  <si>
    <t>Baihaqi Arif Hutomo</t>
  </si>
  <si>
    <t>0206042010066</t>
  </si>
  <si>
    <t>Sandro Juan Kristiawan</t>
  </si>
  <si>
    <t>0206042110050</t>
  </si>
  <si>
    <t>Vinsen Candra</t>
  </si>
  <si>
    <t>0206042110052</t>
  </si>
  <si>
    <t>Buyung Nur Ramadhan</t>
  </si>
  <si>
    <t>0206042110077</t>
  </si>
  <si>
    <t>Jaqlyn Tanlia</t>
  </si>
  <si>
    <t>0206061910017</t>
  </si>
  <si>
    <t>Sophie Adela Josephine Setyono</t>
  </si>
  <si>
    <t>Fashion Design and Business</t>
  </si>
  <si>
    <t>0206061910031</t>
  </si>
  <si>
    <t>Daariin Dhiya` Ulhaq</t>
  </si>
  <si>
    <t>0206061910036</t>
  </si>
  <si>
    <t>Halima Shafa Sabila</t>
  </si>
  <si>
    <t>Workshop SMA Kristen Gloria 2</t>
  </si>
  <si>
    <t>Fasilitator Workshop Basic Fashion Design</t>
  </si>
  <si>
    <r>
      <rPr>
        <sz val="10"/>
        <color indexed="8"/>
        <rFont val="Calibri"/>
      </rPr>
      <t>https://employee.uc.ac.id/index.php/file/get/sis/t_cp/8143bad7-0380-11ee-9899-000d3ac6bafe.pdf</t>
    </r>
  </si>
  <si>
    <t xml:space="preserve">SMA Kristen Gloria 2 </t>
  </si>
  <si>
    <t>0206062010001</t>
  </si>
  <si>
    <t>Aurelia Pamela Tjandra</t>
  </si>
  <si>
    <t>0206062010003</t>
  </si>
  <si>
    <t>Gashiela Regina Andreas</t>
  </si>
  <si>
    <t>0206062010011</t>
  </si>
  <si>
    <t>Tarisha Shefie Ekaputri</t>
  </si>
  <si>
    <t>Webinar Problem in College Life</t>
  </si>
  <si>
    <t>2023-12-14</t>
  </si>
  <si>
    <t>Webinar untuk mahasiswa Universitas Ciputra yang mebahas mengenai permasalahan di dunia perkuliahan.</t>
  </si>
  <si>
    <r>
      <rPr>
        <sz val="10"/>
        <color indexed="8"/>
        <rFont val="Calibri"/>
      </rPr>
      <t>https://employee.uc.ac.id/index.php/file/get/sis/t_cp/9c20db1d-9fe5-11ee-9e96-000d3ac6bafe.pdf</t>
    </r>
  </si>
  <si>
    <r>
      <rPr>
        <sz val="10"/>
        <color indexed="8"/>
        <rFont val="Calibri"/>
      </rPr>
      <t>https://employee.uc.ac.id/index.php/file/get/sis/t_cp/9c20db1d-9fe5-11ee-9e96-000d3ac6bafe_assignmentletter.pdf</t>
    </r>
  </si>
  <si>
    <t>Mahasiswa Universitas Ciputra</t>
  </si>
  <si>
    <t>0206062010012</t>
  </si>
  <si>
    <t>Gwyneth Patricia</t>
  </si>
  <si>
    <t>0206062010014</t>
  </si>
  <si>
    <t>Maria Jocelyn Poillot</t>
  </si>
  <si>
    <t>0206062010027</t>
  </si>
  <si>
    <t>Zafira Salma Salsabil</t>
  </si>
  <si>
    <t>0206062010036</t>
  </si>
  <si>
    <t>Shellen Nataria</t>
  </si>
  <si>
    <t>0206062010038</t>
  </si>
  <si>
    <t>Reski Amelia Saputri</t>
  </si>
  <si>
    <t>0206062010040</t>
  </si>
  <si>
    <t>Beauty Azizu Amira</t>
  </si>
  <si>
    <t>0206062010042</t>
  </si>
  <si>
    <t>Chimberly Feriditya Spanic</t>
  </si>
  <si>
    <t>0206062010044</t>
  </si>
  <si>
    <t>Sinta Nuriya Hariyanto</t>
  </si>
  <si>
    <t>0206062010046</t>
  </si>
  <si>
    <t>Nur Azlina Ali</t>
  </si>
  <si>
    <t>0206062110027</t>
  </si>
  <si>
    <t>Evi Agustin Kusumo</t>
  </si>
  <si>
    <t>Surabaya Great Expo 2023</t>
  </si>
  <si>
    <t>2023-08-16</t>
  </si>
  <si>
    <t>2023-08-20</t>
  </si>
  <si>
    <t xml:space="preserve">Menjadi narasumber mengenai project batik pemkot x UC di acara Surabaya Great Expo 2023, di Grand City mall Surabaya. </t>
  </si>
  <si>
    <r>
      <rPr>
        <sz val="10"/>
        <color indexed="8"/>
        <rFont val="Calibri"/>
      </rPr>
      <t>https://employee.uc.ac.id/index.php/file/get/sis/t_cp/b2337fd2-82b8-11ee-8a78-000d3ac6bafe.pdf</t>
    </r>
  </si>
  <si>
    <t>Pemerintah Kota Surabaya</t>
  </si>
  <si>
    <t>0206062110030</t>
  </si>
  <si>
    <t>Ryvaley Electra Sheyoputri</t>
  </si>
  <si>
    <t>0306011810007</t>
  </si>
  <si>
    <t>Gabriella Meta Winanto</t>
  </si>
  <si>
    <t>Psychology</t>
  </si>
  <si>
    <t>0306011910020</t>
  </si>
  <si>
    <t>Indarta Wira</t>
  </si>
  <si>
    <t>0306012010003</t>
  </si>
  <si>
    <t>Sheren Reggyna Herawan</t>
  </si>
  <si>
    <t>0306012010032</t>
  </si>
  <si>
    <t>Clara Hosana Yessica Jelita Dewi</t>
  </si>
  <si>
    <t xml:space="preserve">Penulis Chapter Buku: TERDEKAT &amp; TERASING Yang Terselip di Belantara Ingatan. </t>
  </si>
  <si>
    <t>2023-02-11</t>
  </si>
  <si>
    <t>Penulis Chapter Buku : TERDEKAT &amp; TERASING Yang Terselip di Belantara Ingatan. Dengan Judul Chapter : Biografi Slamet Prajitno 1941-1966
https://play.google.com/books/reader?id=eDanEAAAQBAJ&amp;hl=en</t>
  </si>
  <si>
    <r>
      <rPr>
        <sz val="10"/>
        <color indexed="8"/>
        <rFont val="Calibri"/>
      </rPr>
      <t>https://employee.uc.ac.id/index.php/file/get/sis/t_cp/8adae2d2-a9f1-11ed-ba27-000d3ac6bafe_report.pdf</t>
    </r>
  </si>
  <si>
    <t xml:space="preserve">Penerbit Universitas Ciputra </t>
  </si>
  <si>
    <t>0306012010058</t>
  </si>
  <si>
    <t>Audrey Vivian Chandra</t>
  </si>
  <si>
    <t>0306012110016</t>
  </si>
  <si>
    <t>Belicia griselda talahaturusun</t>
  </si>
  <si>
    <t xml:space="preserve">Pembicara di Webinar Problem in College Life </t>
  </si>
  <si>
    <t>menjadi pembicara di Webinar Problem in College Life yang merupakan projek EES dari mahasiswa angkatan 23. Saya dan 2 orang lainnya mewakilli counseling buddy menjadi pembicara yang membahas tentang kesehatan mental mahasiswa</t>
  </si>
  <si>
    <r>
      <rPr>
        <sz val="10"/>
        <color indexed="8"/>
        <rFont val="Calibri"/>
      </rPr>
      <t>https://employee.uc.ac.id/index.php/file/get/sis/t_cp/299c8121-9e65-11ee-a2ac-000d3ac6bafe.pdf</t>
    </r>
  </si>
  <si>
    <r>
      <rPr>
        <sz val="10"/>
        <color indexed="8"/>
        <rFont val="Calibri"/>
      </rPr>
      <t>https://employee.uc.ac.id/index.php/file/get/sis/t_cp/299c8121-9e65-11ee-a2ac-000d3ac6bafe_assignmentletter.pdf</t>
    </r>
  </si>
  <si>
    <t>Kelompok EES (ketua kelompok Yosua Pirono)</t>
  </si>
  <si>
    <t>0306012110033</t>
  </si>
  <si>
    <t>Vania Loviena Timothy</t>
  </si>
  <si>
    <t>0306012110035</t>
  </si>
  <si>
    <t>L Angeline A Yermias Pelealu</t>
  </si>
  <si>
    <t>0306012210006</t>
  </si>
  <si>
    <t>Adeline Felicia Cuaca</t>
  </si>
  <si>
    <t>0306012210014</t>
  </si>
  <si>
    <t xml:space="preserve">VELYNIE NOVELITHA MULJONO </t>
  </si>
  <si>
    <t>0306012210033</t>
  </si>
  <si>
    <t>Filia Maharini</t>
  </si>
  <si>
    <t>0306012210041</t>
  </si>
  <si>
    <t>Cheysha Sandrina Putri Rusdiyanto</t>
  </si>
  <si>
    <t>0306012210059</t>
  </si>
  <si>
    <t>Vionita Ariance Hamadi</t>
  </si>
  <si>
    <t>0406011810094</t>
  </si>
  <si>
    <t>Reynaldi Aryaputra</t>
  </si>
  <si>
    <t>Tourism - Hotel and Tourism Business</t>
  </si>
  <si>
    <t xml:space="preserve">WEBINAR DIGITAL &amp; CREATIVE MARKETING </t>
  </si>
  <si>
    <t>2022-03-26</t>
  </si>
  <si>
    <t xml:space="preserve">Saya menjadi narasumber di acara "WEBINAR DIGITAL &amp; CREATIVE MARKETING" yang diadakan oleh Universitas Ciputra Prodi Hotel and Tourism Business.  </t>
  </si>
  <si>
    <r>
      <rPr>
        <sz val="10"/>
        <color indexed="8"/>
        <rFont val="Calibri"/>
      </rPr>
      <t>https://employee.uc.ac.id/index.php/file/get/sis/t_cp/5b8f1e6e-97d2-11ed-af4b-000d3ac6bafe.JPG</t>
    </r>
  </si>
  <si>
    <t>SU HOTEL AND TOURISM BUSINESS UNIVERSITAS CIPUTRA</t>
  </si>
  <si>
    <t xml:space="preserve">Next Tourism With Enterpreneurship Through Technology </t>
  </si>
  <si>
    <t>2022-09-27</t>
  </si>
  <si>
    <t xml:space="preserve">Saya menjadi narasumber di acara tersebut, dikarenakan saya di usia 22 ini sudah memiliki usaha dibidang pariwisata yang sangat berpengaruh bagi tingkat perekonomian masyarakat sekitar </t>
  </si>
  <si>
    <r>
      <rPr>
        <sz val="10"/>
        <color indexed="8"/>
        <rFont val="Calibri"/>
      </rPr>
      <t>https://employee.uc.ac.id/index.php/file/get/sis/t_cp/d2e9fbdf-97c7-11ed-af4b-000d3ac6bafe.pdf</t>
    </r>
  </si>
  <si>
    <t xml:space="preserve">Hotel and Tourism Business </t>
  </si>
  <si>
    <t>0406011910012</t>
  </si>
  <si>
    <t>Natashya Geiska Putri</t>
  </si>
  <si>
    <t>Pelatihan Mentor: Identify Self Identity</t>
  </si>
  <si>
    <t>2022-09-08</t>
  </si>
  <si>
    <t>Di sini saya diajak menjadi pembicara untuk sharing di pelatihan mentol dengan topik Identify Self Identity yang bertujuan guna membantu para mentor agar bisa lebih mengenai diri mereka lebih jauh lagi. Pengenalan terhadap diri masing - masing calon mentor bertujuan agar mereka bisa memperbaiki sifa</t>
  </si>
  <si>
    <r>
      <rPr>
        <sz val="10"/>
        <color indexed="8"/>
        <rFont val="Calibri"/>
      </rPr>
      <t>https://employee.uc.ac.id/index.php/file/get/sis/t_cp/135889e7-fa0c-11ed-84c7-000d3ac6bafe.pdf</t>
    </r>
  </si>
  <si>
    <t>Student Mentor Leadership Team</t>
  </si>
  <si>
    <t>0406011910037</t>
  </si>
  <si>
    <t>Janice Larissa Sangjaya</t>
  </si>
  <si>
    <t>Communicating Virtual Community Service</t>
  </si>
  <si>
    <t>2022-11-26</t>
  </si>
  <si>
    <t>Di Undang untuk menjadi juri dalam acara Communicating Live in yang diselenggarakan oleh SMA Masa Depan Cerah</t>
  </si>
  <si>
    <r>
      <rPr>
        <sz val="10"/>
        <color indexed="8"/>
        <rFont val="Calibri"/>
      </rPr>
      <t>https://employee.uc.ac.id/index.php/file/get/sis/t_cp/967e7cfa-0119-11ee-b6e3-000d3ac6bafe.jpg</t>
    </r>
  </si>
  <si>
    <r>
      <rPr>
        <sz val="10"/>
        <color indexed="8"/>
        <rFont val="Calibri"/>
      </rPr>
      <t>https://employee.uc.ac.id/index.php/file/get/sis/t_cp/967e7cfa-0119-11ee-b6e3-000d3ac6bafe_assignmentletter.jpg</t>
    </r>
  </si>
  <si>
    <t>SMA Masa Depan Cerah</t>
  </si>
  <si>
    <t>0406011910083</t>
  </si>
  <si>
    <t>Kezia Victory Purwadi</t>
  </si>
  <si>
    <t>0406012010012</t>
  </si>
  <si>
    <t>Theresia Rianatika Tulimau</t>
  </si>
  <si>
    <t>0406012010017</t>
  </si>
  <si>
    <t>Owen Jonathan Wang</t>
  </si>
  <si>
    <t>0406012010026</t>
  </si>
  <si>
    <t>Anastasia Clara Vicky Nugraha</t>
  </si>
  <si>
    <t>0406012010064</t>
  </si>
  <si>
    <t>Resa Kharisma Efendi</t>
  </si>
  <si>
    <t>0406012110025</t>
  </si>
  <si>
    <t>Erica Destiani Natalia</t>
  </si>
  <si>
    <t>Nulis Bareng Antero</t>
  </si>
  <si>
    <t>2023-01-03</t>
  </si>
  <si>
    <r>
      <rPr>
        <sz val="10"/>
        <color indexed="8"/>
        <rFont val="Calibri"/>
      </rPr>
      <t>https://employee.uc.ac.id/index.php/file/get/sis/t_cp/4907658c-8b6b-11ed-a20e-000d3ac6bafe.jpg</t>
    </r>
  </si>
  <si>
    <r>
      <rPr>
        <sz val="10"/>
        <color indexed="8"/>
        <rFont val="Calibri"/>
      </rPr>
      <t>https://employee.uc.ac.id/index.php/file/get/sis/t_cp/4bfa7a3c-8b6b-11ed-a20e-000d3ac6bafe_report.jpg</t>
    </r>
  </si>
  <si>
    <t>Antero Publish</t>
  </si>
  <si>
    <t>0406012110053</t>
  </si>
  <si>
    <t>Fernando Arron Susilo</t>
  </si>
  <si>
    <t>0406012210046</t>
  </si>
  <si>
    <t>Felicia Jocelyn</t>
  </si>
  <si>
    <t>Koko Cici Kids Fashion Competition 2023</t>
  </si>
  <si>
    <t>2023-08-09</t>
  </si>
  <si>
    <t>Koko cici Jawa Timur pada tanggal 9 Agustus 2023 Mengadakan program acara koko cici Fashion Kids Competition untuk memperingati hari kemerdekaan Indonesia ke 78. Di ikuti kurang lebih 50 peserta dan ada 3 juri yaitu Felicia Jocelyne dari Koci Jatim 22, Mirachelle JHS dari miss teenager Indonesia 22,</t>
  </si>
  <si>
    <r>
      <rPr>
        <sz val="10"/>
        <color indexed="8"/>
        <rFont val="Calibri"/>
      </rPr>
      <t>https://www.instagram.com/p/CwJvySzB8-C/?igshid=Mz</t>
    </r>
  </si>
  <si>
    <r>
      <rPr>
        <sz val="10"/>
        <color indexed="8"/>
        <rFont val="Calibri"/>
      </rPr>
      <t>https://employee.uc.ac.id/index.php/file/get/sis/t_cp/b3c91462-81d7-11ee-8546-000d3ac6bafe.jpeg</t>
    </r>
  </si>
  <si>
    <t xml:space="preserve">Koko Cici Jawa Timur, Pakuwon Mall Surabaya </t>
  </si>
  <si>
    <t>0406021910069</t>
  </si>
  <si>
    <t>Vania Nanette Santosa</t>
  </si>
  <si>
    <t>Tourism - Culinary Business</t>
  </si>
  <si>
    <t>SMI Got Talent</t>
  </si>
  <si>
    <t>2023-05-25</t>
  </si>
  <si>
    <t>menjadi juri lomba musik SMI Got Talent</t>
  </si>
  <si>
    <r>
      <rPr>
        <sz val="10"/>
        <color indexed="8"/>
        <rFont val="Calibri"/>
      </rPr>
      <t>https://sekolahmusikindonesia.id/</t>
    </r>
  </si>
  <si>
    <r>
      <rPr>
        <sz val="10"/>
        <color indexed="8"/>
        <rFont val="Calibri"/>
      </rPr>
      <t>https://employee.uc.ac.id/index.php/file/get/sis/t_cp/04c81a75-faad-11ed-965d-000d3ac6bafe.jpg</t>
    </r>
  </si>
  <si>
    <t xml:space="preserve">Sekolah Musik Indonesia </t>
  </si>
  <si>
    <t>0406021910085</t>
  </si>
  <si>
    <t>Damara Mardati Prameswari</t>
  </si>
  <si>
    <t>festival menulis tingkat nasional</t>
  </si>
  <si>
    <t>2023-01-12</t>
  </si>
  <si>
    <t>2023-01-20</t>
  </si>
  <si>
    <t>menulis cerpen yang berjudul "my cold girl" dan mendapat penulis terbaik nasional 2023 yang diselenggarakan oleh antero literasi indonesia</t>
  </si>
  <si>
    <t>www.pintarnulis.my.id</t>
  </si>
  <si>
    <r>
      <rPr>
        <sz val="10"/>
        <color indexed="8"/>
        <rFont val="Calibri"/>
      </rPr>
      <t>https://employee.uc.ac.id/index.php/file/get/sis/t_cp/a755ca97-1960-11ee-9863-000d3ac6bafe_report.jpg</t>
    </r>
  </si>
  <si>
    <t>antero literasi indonesia</t>
  </si>
  <si>
    <t>0406022010044</t>
  </si>
  <si>
    <t>Florencia Pruistina Zein</t>
  </si>
  <si>
    <t>Menulis dalam buku Terdekat &amp; Terasing: Yang Terselip di Belantara Ingatan</t>
  </si>
  <si>
    <t>2022-01-13</t>
  </si>
  <si>
    <t>2022-12-12</t>
  </si>
  <si>
    <t>Menjadi salah satu penulis dalam buku “Terdekat &amp; Terasing: Yang Terselip di Belantara Ingatan” yang diterbitkan oleh Universitas Ciputra
Nama Penulis :
Susan Jaya Witama, Ida Ayu Puspita Dyan Maharani, Nasrullah Moonly Koespianto, Ni Putu Amanda Sintya Putri Dewi, Ketut Keisy Agastya Adi Putra,</t>
  </si>
  <si>
    <r>
      <rPr>
        <sz val="10"/>
        <color indexed="8"/>
        <rFont val="Calibri"/>
      </rPr>
      <t>https://employee.uc.ac.id/index.php/file/get/sis/t_cp/8a6cbd2d-73f0-11ee-b010-000d3ac6bafe.jpeg</t>
    </r>
  </si>
  <si>
    <t>0406022010066</t>
  </si>
  <si>
    <t>Nesya Maiyah Marshanda</t>
  </si>
  <si>
    <t>double track SMA PROGRESIF BUMI SHALAWAT TAHUN 2022</t>
  </si>
  <si>
    <t>2023-08-25</t>
  </si>
  <si>
    <t xml:space="preserve">demo cooking membuat donat , melaksanakan kegiatan pengabdian masyarakat </t>
  </si>
  <si>
    <r>
      <rPr>
        <sz val="10"/>
        <color indexed="8"/>
        <rFont val="Calibri"/>
      </rPr>
      <t>https://employee.uc.ac.id/index.php/file/get/sis/t_cp/328a7cd0-42f9-11ee-a2ef-000d3ac6bafe.jpg</t>
    </r>
  </si>
  <si>
    <r>
      <rPr>
        <sz val="10"/>
        <color indexed="8"/>
        <rFont val="Calibri"/>
      </rPr>
      <t>https://employee.uc.ac.id/index.php/file/get/sis/t_cp/588bfc93-42f9-11ee-a2ef-000d3ac6bafe_assignmentletter.jpg</t>
    </r>
  </si>
  <si>
    <t>sma progresif bumi sholawat</t>
  </si>
  <si>
    <t>0406022110057</t>
  </si>
  <si>
    <t>Aurelia Devina Sanjaya</t>
  </si>
  <si>
    <t>2022-11-22</t>
  </si>
  <si>
    <t>Menjadi Narasumber, Pemateri Acara, dan Pemakalah di Seminar Nasional Pengabdian Masyarakat IV dengan makalah yang saya angkat berjudul “Pelatihan Kreasi Membuat Makanan Berbahan Dasar Kepiting untuk Memacu Kreativitas Masyarakat Desa Gisik Cemandi Pasca Covid” pada tanggal 24 November 2022</t>
  </si>
  <si>
    <t>lppm.ciputra.ac.id</t>
  </si>
  <si>
    <r>
      <rPr>
        <sz val="10"/>
        <color indexed="8"/>
        <rFont val="Calibri"/>
      </rPr>
      <t>https://employee.uc.ac.id/index.php/file/get/sis/t_cp/e7b0e200-b843-11ed-b290-000d3ac6bafe.jpg</t>
    </r>
  </si>
  <si>
    <t>0406022210048</t>
  </si>
  <si>
    <t>Catherine Lorena Valentina Franoto</t>
  </si>
  <si>
    <t>0406042110003</t>
  </si>
  <si>
    <t>Birgitta Allison Kesuma</t>
  </si>
  <si>
    <t>Food Technology Program</t>
  </si>
  <si>
    <t>My Plate for My Health - Pengabdian Masyarakat</t>
  </si>
  <si>
    <t>2023-07-24</t>
  </si>
  <si>
    <t>Memberikan penyuluhan atau seminar kepada anak kelas 5 SD di Sekolah Citra Berkat Surabaya mengenai makanan sehat dengan dilengkapi aktivitas membuat bento sehat.</t>
  </si>
  <si>
    <r>
      <rPr>
        <sz val="10"/>
        <color indexed="8"/>
        <rFont val="Calibri"/>
      </rPr>
      <t>https://employee.uc.ac.id/index.php/file/get/sis/t_cp/f4dec291-61a9-11ee-bb53-000d3ac6bafe.pdf</t>
    </r>
  </si>
  <si>
    <t>Sekolah Citra Berkat Surabaya</t>
  </si>
  <si>
    <t>0406042210006</t>
  </si>
  <si>
    <t>Hans Rachman</t>
  </si>
  <si>
    <t>Food Science Student Conference (FOSTER) 2023 : “Food Innovations For a Secure Future”</t>
  </si>
  <si>
    <t>2023-09-20</t>
  </si>
  <si>
    <t>Juara "Best Presenter" pada paper competition pada FOSTER 2023</t>
  </si>
  <si>
    <r>
      <rPr>
        <sz val="10"/>
        <color indexed="8"/>
        <rFont val="Calibri"/>
      </rPr>
      <t>https://www.unika.ac.id/en/fakultas/ftp/food-scien</t>
    </r>
  </si>
  <si>
    <r>
      <rPr>
        <sz val="10"/>
        <color indexed="8"/>
        <rFont val="Calibri"/>
      </rPr>
      <t>https://employee.uc.ac.id/index.php/file/get/sis/t_cp/8e602f94-a07e-11ee-bdb5-000d3ac6bafe.pdf</t>
    </r>
  </si>
  <si>
    <r>
      <rPr>
        <sz val="10"/>
        <color indexed="8"/>
        <rFont val="Calibri"/>
      </rPr>
      <t>https://employee.uc.ac.id/index.php/file/get/sis/t_cp/8e602f94-a07e-11ee-bdb5-000d3ac6bafe_assignmentletter.pdf</t>
    </r>
  </si>
  <si>
    <t>BEM Fakultas Teknologi Pertanian Soegijapranata Ca</t>
  </si>
  <si>
    <t>0406042210007</t>
  </si>
  <si>
    <t>Aurelio</t>
  </si>
  <si>
    <t>0506011910014</t>
  </si>
  <si>
    <t>Anggun Elsa Mayanti</t>
  </si>
  <si>
    <t>Communication Science</t>
  </si>
  <si>
    <t>Creative Digital Tourism</t>
  </si>
  <si>
    <t>2023-01-15</t>
  </si>
  <si>
    <t>Sebagai Narasumber dalam talkshow yang diadakan oleh mahasiswa HTB UC</t>
  </si>
  <si>
    <r>
      <rPr>
        <sz val="10"/>
        <color indexed="8"/>
        <rFont val="Calibri"/>
      </rPr>
      <t>https://employee.uc.ac.id/index.php/file/get/sis/t_cp/86dcce45-f9f6-11ed-84c7-000d3ac6bafe.jpg</t>
    </r>
  </si>
  <si>
    <t>HTB UC</t>
  </si>
  <si>
    <t>Juri Grand Final Pemilihan Putera Puteri Pariwisata dan Ekonomi Kreatif Jawa Timur 2023</t>
  </si>
  <si>
    <t>2023-01-26</t>
  </si>
  <si>
    <t xml:space="preserve">Sebagai Juri dalam Grand Final Pemilihan Putera Puteri Pariwisata dan Ekonomi Kreatif Jawa Timur tahun 2023. </t>
  </si>
  <si>
    <r>
      <rPr>
        <sz val="10"/>
        <color indexed="8"/>
        <rFont val="Calibri"/>
      </rPr>
      <t>https://employee.uc.ac.id/index.php/file/get/sis/t_cp/0f7e76e8-fa9f-11ed-965d-000d3ac6bafe.png</t>
    </r>
  </si>
  <si>
    <t>Putera Puteri Parekraf Indonesia Jawa Timur</t>
  </si>
  <si>
    <t>0506012010009</t>
  </si>
  <si>
    <t>Kezia Angelique Riwong</t>
  </si>
  <si>
    <t>0506012010010</t>
  </si>
  <si>
    <t>Patricia Adeline Valeri Soema</t>
  </si>
  <si>
    <t>0506012010022</t>
  </si>
  <si>
    <t>Kirana Ratu Sekar Kedaton</t>
  </si>
  <si>
    <t>Bio-Power Reproduction By Authority Agents And Apparatuses Of Power In Health Communication: The Ana</t>
  </si>
  <si>
    <t>2022-06-10</t>
  </si>
  <si>
    <t>2023-07-15</t>
  </si>
  <si>
    <t>Penulisan jurnal yang terdaftar di dikti dan didanai oleh kemendikbud ( Journal of Namibian Studies - History Politics Culture (ISSN print 1863-5954; ISSN online 2197-5523)</t>
  </si>
  <si>
    <r>
      <rPr>
        <sz val="10"/>
        <color indexed="8"/>
        <rFont val="Calibri"/>
      </rPr>
      <t>https://namibian-studies.com/index.php/JNS/article</t>
    </r>
  </si>
  <si>
    <r>
      <rPr>
        <sz val="10"/>
        <color indexed="8"/>
        <rFont val="Calibri"/>
      </rPr>
      <t>https://employee.uc.ac.id/index.php/file/get/sis/t_cp/8cf91672-434d-11ee-a2ef-000d3ac6bafe.pdf</t>
    </r>
  </si>
  <si>
    <t>Didanai Kemendikbud dan Ristekdikti</t>
  </si>
  <si>
    <t>0506012010025</t>
  </si>
  <si>
    <t>Azalea Abril Hermanto</t>
  </si>
  <si>
    <t>Penulis Jurnal Penelitian</t>
  </si>
  <si>
    <t>2021-12-01</t>
  </si>
  <si>
    <t>2022-03-31</t>
  </si>
  <si>
    <t>Penulis Jurnal Spektrum berjudul
INTEGRATED MARKETING
COMMUNICATION KEDAI PANTRY
MAGETAN IN THE DIGITALIZATION ERA
4.0</t>
  </si>
  <si>
    <r>
      <rPr>
        <sz val="10"/>
        <color indexed="8"/>
        <rFont val="Calibri"/>
      </rPr>
      <t>https://employee.uc.ac.id/index.php/file/get/sis/t_cp/650986bc-a929-11ed-a95e-000d3ac6bafe.pdf</t>
    </r>
  </si>
  <si>
    <t>0506012010026</t>
  </si>
  <si>
    <t>Susan Jaya Witama</t>
  </si>
  <si>
    <t>Publish Buku Terdekat dan Terasing</t>
  </si>
  <si>
    <t>2021-11-08</t>
  </si>
  <si>
    <t>2022-01-08</t>
  </si>
  <si>
    <t>menulis buku tentang sejarah keluarga yang di publish menjadi buku offline dan buku online
https://play.google.com/store/books/details?id=eDa</t>
  </si>
  <si>
    <r>
      <rPr>
        <sz val="10"/>
        <color indexed="8"/>
        <rFont val="Calibri"/>
      </rPr>
      <t>https://books.google.co.id/books/about/TERDEKAT_TE</t>
    </r>
  </si>
  <si>
    <r>
      <rPr>
        <sz val="10"/>
        <color indexed="8"/>
        <rFont val="Calibri"/>
      </rPr>
      <t>https://employee.uc.ac.id/index.php/file/get/sis/t_cp/1843d263-307a-11ee-b2c1-000d3ac6bafe_report.png</t>
    </r>
  </si>
  <si>
    <t>Penerbit Universitas Ciputra Surabaya</t>
  </si>
  <si>
    <t>0506012010033</t>
  </si>
  <si>
    <t>Felita Purnomo</t>
  </si>
  <si>
    <t>Penelitian Content Marketing Analysis of Body Positivity Campaign on  Instagram: Case Study of Nippl</t>
  </si>
  <si>
    <t>2022-02-09</t>
  </si>
  <si>
    <t>2022-08-12</t>
  </si>
  <si>
    <t>- menjadi penulis ketiga dalam penelitian yang diterbitkan di Channel: Jurnal Komunikasi (dari Universitas Ahmad Dahlan) yang berindeks SINTA 3 dan merupakan jurnal International
- berikut adalah link jurnal terbitannya: http://journal1.uad.ac.id/index.php/channel/article/view/90</t>
  </si>
  <si>
    <r>
      <rPr>
        <sz val="10"/>
        <color indexed="8"/>
        <rFont val="Calibri"/>
      </rPr>
      <t>https://employee.uc.ac.id/index.php/file/get/sis/t_cp/650c210e-ac1c-11ed-ae71-000d3ac6bafe.pdf</t>
    </r>
  </si>
  <si>
    <t>Channel: Jurnal Komunikasi</t>
  </si>
  <si>
    <t>0506012010036</t>
  </si>
  <si>
    <t>Stefani Natania Setiyo Sumantri</t>
  </si>
  <si>
    <t>Narasumber Seminar Keselamatan Berkendara UC 2023</t>
  </si>
  <si>
    <t>2023-11-09</t>
  </si>
  <si>
    <r>
      <rPr>
        <sz val="10"/>
        <color indexed="8"/>
        <rFont val="Calibri"/>
      </rPr>
      <t>https://employee.uc.ac.id/index.php/file/get/sis/t_cp/multi/28ba9854-8e8c-11ee-8544-000d3ac6bafe.jpeg</t>
    </r>
  </si>
  <si>
    <r>
      <rPr>
        <sz val="10"/>
        <color indexed="8"/>
        <rFont val="Calibri"/>
      </rPr>
      <t>https://employee.uc.ac.id/index.php/file/get/sis/t_cp/multi/28ba9854-8e8c-11ee-8544-000d3ac6bafe_assignmentletter.jpeg</t>
    </r>
  </si>
  <si>
    <t>Biro Mahasiswa &amp; Alumni</t>
  </si>
  <si>
    <t>0506012010047</t>
  </si>
  <si>
    <t>Agung Prasetyo</t>
  </si>
  <si>
    <t>Fikomweek 4.0</t>
  </si>
  <si>
    <t>2022-12-01</t>
  </si>
  <si>
    <t>2022-12-20</t>
  </si>
  <si>
    <r>
      <rPr>
        <sz val="10"/>
        <color indexed="8"/>
        <rFont val="Calibri"/>
      </rPr>
      <t>https://employee.uc.ac.id/index.php/file/get/sis/t_cp/multi/252a0c59-2084-11ee-ac37-000d3ac6bafe.png</t>
    </r>
  </si>
  <si>
    <r>
      <rPr>
        <sz val="10"/>
        <color indexed="8"/>
        <rFont val="Calibri"/>
      </rPr>
      <t>https://employee.uc.ac.id/index.php/file/get/sis/t_cp/multi/252a0c59-2084-11ee-ac37-000d3ac6bafe_assignmentletter.png</t>
    </r>
  </si>
  <si>
    <t>SU COM 22/23</t>
  </si>
  <si>
    <t>0506012110004</t>
  </si>
  <si>
    <t>Thalia Nikky Siswono</t>
  </si>
  <si>
    <t>0506012110007</t>
  </si>
  <si>
    <t>Ivana Clairine Sistiawan</t>
  </si>
  <si>
    <r>
      <rPr>
        <sz val="10"/>
        <color indexed="8"/>
        <rFont val="Calibri"/>
      </rPr>
      <t>https://employee.uc.ac.id/index.php/file/get/sis/t_cp/multi/9966d465-8828-11ee-ae4d-000d3ac6bafe.png</t>
    </r>
  </si>
  <si>
    <r>
      <rPr>
        <sz val="10"/>
        <color indexed="8"/>
        <rFont val="Calibri"/>
      </rPr>
      <t>https://employee.uc.ac.id/index.php/file/get/sis/t_cp/multi/9966d465-8828-11ee-ae4d-000d3ac6bafe_assignmentletter.png</t>
    </r>
  </si>
  <si>
    <t>Pembicara Flashclass CV</t>
  </si>
  <si>
    <t>2023-10-15</t>
  </si>
  <si>
    <t>Flashclass CV adalah kelas singkat yang diadakan oleh Student Union Fikom dengan tujuan menjadi wadah untuk memaksimalkan kemampuan dan pemahaman mahasiswa terkhususnya dari FIKOM.</t>
  </si>
  <si>
    <r>
      <rPr>
        <sz val="10"/>
        <color indexed="8"/>
        <rFont val="Calibri"/>
      </rPr>
      <t>https://employee.uc.ac.id/index.php/file/get/sis/t_cp/1248c4a1-7201-11ee-b231-000d3ac6bafe.jpg</t>
    </r>
  </si>
  <si>
    <t>Student Union COM</t>
  </si>
  <si>
    <t>0506012110009</t>
  </si>
  <si>
    <t>Vivia Pauline Harliana</t>
  </si>
  <si>
    <t>0506012110036</t>
  </si>
  <si>
    <t>Aang Arif Amrullah</t>
  </si>
  <si>
    <t>LKMM &amp; CRISTA XI UNISMA</t>
  </si>
  <si>
    <t>pemateri personal branding lkmm &amp; crista XI universitas islam malang</t>
  </si>
  <si>
    <r>
      <rPr>
        <sz val="10"/>
        <color indexed="8"/>
        <rFont val="Calibri"/>
      </rPr>
      <t>https://instagram.com/lkmmcrista11?igshid=YmMyMTA2</t>
    </r>
  </si>
  <si>
    <r>
      <rPr>
        <sz val="10"/>
        <color indexed="8"/>
        <rFont val="Calibri"/>
      </rPr>
      <t>https://employee.uc.ac.id/index.php/file/get/sis/t_cp/9e27b819-ad0c-11ed-87f5-000d3ac6bafe.jpg</t>
    </r>
  </si>
  <si>
    <t>BEM FK UNISMA MALANG</t>
  </si>
  <si>
    <t>Talkshow Hardiknas</t>
  </si>
  <si>
    <t>2023-06-28</t>
  </si>
  <si>
    <t>Pembicara Talkshow di event Hardiknas Universitas Ciputra Surabaya sebagai Duta  Pendidikan Perguruan Tinggi Jawa Timur tanggal 3 Mei 2023</t>
  </si>
  <si>
    <r>
      <rPr>
        <sz val="10"/>
        <color indexed="8"/>
        <rFont val="Calibri"/>
      </rPr>
      <t>https://www.instagram.com/p/CrmvDj4r9j0/?igshid=Y2</t>
    </r>
  </si>
  <si>
    <r>
      <rPr>
        <sz val="10"/>
        <color indexed="8"/>
        <rFont val="Calibri"/>
      </rPr>
      <t>https://employee.uc.ac.id/index.php/file/get/sis/t_cp/481197d4-1590-11ee-9279-000d3ac6bafe.jpg</t>
    </r>
  </si>
  <si>
    <r>
      <rPr>
        <sz val="10"/>
        <color indexed="8"/>
        <rFont val="Calibri"/>
      </rPr>
      <t>https://employee.uc.ac.id/index.php/file/get/sis/t_cp/4e8dccb7-1590-11ee-9279-000d3ac6bafe_assignmentletter.jpg</t>
    </r>
  </si>
  <si>
    <t>0506012110041</t>
  </si>
  <si>
    <t>Wilson David Mulya Huang</t>
  </si>
  <si>
    <t>0506012110049</t>
  </si>
  <si>
    <t>Debora Tri Gunawan</t>
  </si>
  <si>
    <t>0506012110077</t>
  </si>
  <si>
    <t>Citta Catherine Gozali</t>
  </si>
  <si>
    <t>Flash Class CV</t>
  </si>
  <si>
    <t>Membawakan materi mengenai pembuatan CV</t>
  </si>
  <si>
    <r>
      <rPr>
        <sz val="10"/>
        <color indexed="8"/>
        <rFont val="Calibri"/>
      </rPr>
      <t>https://employee.uc.ac.id/index.php/file/get/sis/t_cp/3b29a2fa-55da-11ee-8778-000d3ac6bafe.jpg</t>
    </r>
  </si>
  <si>
    <t>Student Union Fakultas Ilmu Komunikasi</t>
  </si>
  <si>
    <t>0506012210015</t>
  </si>
  <si>
    <t>Talitha Aurellia Awanda</t>
  </si>
  <si>
    <t>SHARING SESSION E-LITE VOICE, UNIVERSITAS BRAWIJAYA</t>
  </si>
  <si>
    <t>2023-08-13</t>
  </si>
  <si>
    <t>E-Lite Voice merupakan salah satu organisasi mahasiswa FIB Universitas Brawijaya. E-Lite Voice mengadakan pra-Acara salah satu program kerja mereka, yaitu E-Lite Voice Concert 2023. Kegiatan pra-acara tersebut adalah sesi sharing session dengan tema “Membangun Relasi dan Kerja Sama Organisasi dengan</t>
  </si>
  <si>
    <r>
      <rPr>
        <sz val="10"/>
        <color indexed="8"/>
        <rFont val="Calibri"/>
      </rPr>
      <t>https://employee.uc.ac.id/index.php/file/get/sis/t_cp/8718597b-402b-11ee-a77b-000d3ac6bafe.pdf</t>
    </r>
  </si>
  <si>
    <t>E-Lite Voice, Universitas Brawijaya</t>
  </si>
  <si>
    <t>0506012210023</t>
  </si>
  <si>
    <t>Tiffanny Odelia Hutasoit</t>
  </si>
  <si>
    <t>FISTAORA-ART 2022</t>
  </si>
  <si>
    <t>2022-08-01</t>
  </si>
  <si>
    <t>2022-08-20</t>
  </si>
  <si>
    <t>Perlombaan seni dan olahraga antar mahasiswa Fakultas Ilmu Sosial dan Ilmu Politik Universitas Padjajaran</t>
  </si>
  <si>
    <r>
      <rPr>
        <sz val="10"/>
        <color indexed="8"/>
        <rFont val="Calibri"/>
      </rPr>
      <t>https://instagram.com/fistaora.art?igshid=YmMyMTA2</t>
    </r>
  </si>
  <si>
    <r>
      <rPr>
        <sz val="10"/>
        <color indexed="8"/>
        <rFont val="Calibri"/>
      </rPr>
      <t>https://employee.uc.ac.id/index.php/file/get/sis/t_cp/eba986b2-8b32-11ed-a20e-000d3ac6bafe.pdf</t>
    </r>
  </si>
  <si>
    <t>Badan Eksekutif Mahasiswa Fakultas Ilmu Sosial dan</t>
  </si>
  <si>
    <t>0506012310030</t>
  </si>
  <si>
    <t>Arkana Asido Parsaoran Sihaloho</t>
  </si>
  <si>
    <t>"Pemuda Bijak &amp; Kreatif Visual: Photography &amp; Video Editing" for Communication Ethics Class</t>
  </si>
  <si>
    <t>2023-11-25</t>
  </si>
  <si>
    <t>2023-12-02</t>
  </si>
  <si>
    <t>"Pemuda Bijak &amp; Kreatif Visual: Photography &amp; Video Editing" adalah acara yang diselenggarakan oleh Kelompok 9 Ethics Class Prodi Ilmu Komunikasi Universitas Ciputra Surabaya 2022 yang berisikan tentang materi "Content Creating". Di sana, peserta diajarkan bagaimana cara membuat sebuah konten yang m</t>
  </si>
  <si>
    <r>
      <rPr>
        <sz val="10"/>
        <color indexed="8"/>
        <rFont val="Calibri"/>
      </rPr>
      <t>https://employee.uc.ac.id/index.php/file/get/sis/t_cp/47bff96f-9693-11ee-b118-000d3ac6bafe.pdf</t>
    </r>
  </si>
  <si>
    <t>Kelompok 9 Ethics Class Prodi Ilmu Komunikasi Univ</t>
  </si>
  <si>
    <t>0606011910017</t>
  </si>
  <si>
    <t>Desy Natalia F. Maskim</t>
  </si>
  <si>
    <t>Medical</t>
  </si>
  <si>
    <t>Artikel Jurnal</t>
  </si>
  <si>
    <t>2023-05-29</t>
  </si>
  <si>
    <t>2023-06-30</t>
  </si>
  <si>
    <t>Artikel Jurnal Internasional</t>
  </si>
  <si>
    <r>
      <rPr>
        <sz val="10"/>
        <color indexed="8"/>
        <rFont val="Calibri"/>
      </rPr>
      <t>https://employee.uc.ac.id/index.php/file/get/sis/t_cp/70919db2-06c9-11ee-b92f-000d3ac6bafe.pdf</t>
    </r>
  </si>
  <si>
    <t>Jurnal Penelitian Skripsi</t>
  </si>
  <si>
    <t>0606011910020</t>
  </si>
  <si>
    <t>Lidya Anin</t>
  </si>
  <si>
    <t>Publikasi Jurnal Internasional</t>
  </si>
  <si>
    <t>2023-07-03</t>
  </si>
  <si>
    <t>Melakukan publikasi jurnal di jurnal internasional</t>
  </si>
  <si>
    <t>www.ijsrt.com</t>
  </si>
  <si>
    <r>
      <rPr>
        <sz val="10"/>
        <color indexed="8"/>
        <rFont val="Calibri"/>
      </rPr>
      <t>https://employee.uc.ac.id/index.php/file/get/sis/t_cp/ae44ae32-1964-11ee-9863-000d3ac6bafe.jpg</t>
    </r>
  </si>
  <si>
    <t>IJSRT</t>
  </si>
  <si>
    <t>0606011910028</t>
  </si>
  <si>
    <t>Zefanja Andera Gondo</t>
  </si>
  <si>
    <t>Publish Journal Internasional</t>
  </si>
  <si>
    <t>2023-05-31</t>
  </si>
  <si>
    <t>Melakukan publikasi jurnal di website jurnal internasional</t>
  </si>
  <si>
    <t>www.ijisrt.com</t>
  </si>
  <si>
    <r>
      <rPr>
        <sz val="10"/>
        <color indexed="8"/>
        <rFont val="Calibri"/>
      </rPr>
      <t>https://employee.uc.ac.id/index.php/file/get/sis/t_cp/40407e8d-0696-11ee-b92f-000d3ac6bafe.pdf</t>
    </r>
  </si>
  <si>
    <t>Publish Journal Internasiobal</t>
  </si>
  <si>
    <t>0606012010002</t>
  </si>
  <si>
    <t>Nyoman Gita Putri Wiranthika</t>
  </si>
  <si>
    <t>at The 30th Annual Physiology Meetingon International Symposium on Physiology for Eco-Health (INSPIR</t>
  </si>
  <si>
    <t>menjadi oral presenter di acara symposium yang diselenggarakan oleh universits sriwijaya yang dihadirkan juga oleh presenter dari dalam maupun luar negeri</t>
  </si>
  <si>
    <r>
      <rPr>
        <sz val="10"/>
        <color indexed="8"/>
        <rFont val="Calibri"/>
      </rPr>
      <t>https://employee.uc.ac.id/index.php/file/get/sis/t_cp/1284ec59-6678-11ee-817b-000d3ac6bafe.jpg</t>
    </r>
  </si>
  <si>
    <r>
      <rPr>
        <sz val="10"/>
        <color indexed="8"/>
        <rFont val="Calibri"/>
      </rPr>
      <t>https://employee.uc.ac.id/index.php/file/get/sis/t_cp/1284ec59-6678-11ee-817b-000d3ac6bafe_assignmentletter.JPG</t>
    </r>
  </si>
  <si>
    <t>universitas sriwijaya</t>
  </si>
  <si>
    <t>0606012010006</t>
  </si>
  <si>
    <t>Kyle Jacqueline Thiotansen</t>
  </si>
  <si>
    <t>0606012010007</t>
  </si>
  <si>
    <t>Samantha Debora Ang</t>
  </si>
  <si>
    <t>0606012010010</t>
  </si>
  <si>
    <t>Leora Esther Xena</t>
  </si>
  <si>
    <t>0606012010021</t>
  </si>
  <si>
    <t>Patricia Priscilla</t>
  </si>
  <si>
    <t>The 30th Annual Physiology Meeting on international Symposium on Physiology for Eco-Health (INSPIRE)</t>
  </si>
  <si>
    <t>2023-09-08</t>
  </si>
  <si>
    <t>Menjadi oral presenter di acara symposium yang diselenggarakan oleh Universitas Sriwijaya yang dihadirkan juga oleh presenter dari dalam maupun luar negeri</t>
  </si>
  <si>
    <r>
      <rPr>
        <sz val="10"/>
        <color indexed="8"/>
        <rFont val="Calibri"/>
      </rPr>
      <t>https://employee.uc.ac.id/index.php/file/get/sis/t_cp/b0e701a8-6677-11ee-817b-000d3ac6bafe.pdf</t>
    </r>
  </si>
  <si>
    <r>
      <rPr>
        <sz val="10"/>
        <color indexed="8"/>
        <rFont val="Calibri"/>
      </rPr>
      <t>https://employee.uc.ac.id/index.php/file/get/sis/t_cp/b0e701a8-6677-11ee-817b-000d3ac6bafe_assignmentletter.jpg</t>
    </r>
  </si>
  <si>
    <t>Universitas Sriwijaya</t>
  </si>
  <si>
    <t>0606012010022</t>
  </si>
  <si>
    <t>Vincent Aurelius Gonaldy</t>
  </si>
  <si>
    <t>0606012010023</t>
  </si>
  <si>
    <t>Anastasia Ellena Posuma</t>
  </si>
  <si>
    <t>Inovasi dalam Sosial Entrepreneurship</t>
  </si>
  <si>
    <t>seminar Inovasi dalam Sosial Entrepreneurship yang dilaksanakan pada 6 April 2023 bersama Drh Alma Erina</t>
  </si>
  <si>
    <r>
      <rPr>
        <sz val="10"/>
        <color indexed="8"/>
        <rFont val="Calibri"/>
      </rPr>
      <t>https://employee.uc.ac.id/index.php/file/get/sis/t_cp/0b050e58-08de-11ee-9976-000d3ac6bafe.png</t>
    </r>
  </si>
  <si>
    <t>SEH Social Innovation Center</t>
  </si>
  <si>
    <t>Inovasi dalam Social Entrepreneurship</t>
  </si>
  <si>
    <t>2023-09-18</t>
  </si>
  <si>
    <t>Webinar yang menginformasikan bagaimana UC menyediakan wadah bagi mahasiswa untuk berinovasi terutama dalam bidang Social Entrepreneurship</t>
  </si>
  <si>
    <r>
      <rPr>
        <sz val="10"/>
        <color indexed="8"/>
        <rFont val="Calibri"/>
      </rPr>
      <t>https://employee.uc.ac.id/index.php/file/get/sis/t_cp/62ffa310-55de-11ee-8778-000d3ac6bafe.png</t>
    </r>
  </si>
  <si>
    <t>0606012010025</t>
  </si>
  <si>
    <t>Tasya Monica</t>
  </si>
  <si>
    <t>0606012010035</t>
  </si>
  <si>
    <t>Windi Clara Viena</t>
  </si>
  <si>
    <t>0606012010045</t>
  </si>
  <si>
    <t>Aura Dhiya Ulhaq</t>
  </si>
  <si>
    <t>Seminar "Ku Kejar Mimpi: Kuatkan Kesehatan Remaja Melalui Pola Asuh Ideal"</t>
  </si>
  <si>
    <t>2022-05-14</t>
  </si>
  <si>
    <t>Memberikan materi mengenai pentingnya edukasi pentingnya edukasi pola asuh yang ideal kepada anak, serta langkah dan pola apa saja yang perlu dipersiapkan agar bisa menjadi role model yang baik untuk kedepannya</t>
  </si>
  <si>
    <r>
      <rPr>
        <sz val="10"/>
        <color indexed="8"/>
        <rFont val="Calibri"/>
      </rPr>
      <t>https://employee.uc.ac.id/index.php/file/get/sis/t_cp/b2dbd518-0543-11ee-8e8c-000d3ac6bafe.pdf</t>
    </r>
  </si>
  <si>
    <t>Mahasiswa FK</t>
  </si>
  <si>
    <t>0606012110014</t>
  </si>
  <si>
    <t>Vincy Falencia</t>
  </si>
  <si>
    <t>0606012110040</t>
  </si>
  <si>
    <t>Kenza Kalihanugrah Akbar</t>
  </si>
  <si>
    <t>0606012210001</t>
  </si>
  <si>
    <t>Jonsen Subagio</t>
  </si>
  <si>
    <t>0606012210008</t>
  </si>
  <si>
    <t>Ni Luh Komang Dea Pradnya Paramitha</t>
  </si>
  <si>
    <t>0606012210018</t>
  </si>
  <si>
    <t>William Nata</t>
  </si>
  <si>
    <t>0606012210022</t>
  </si>
  <si>
    <t>Rivo Christian Kutanggas</t>
  </si>
  <si>
    <t>0606012210033</t>
  </si>
  <si>
    <t>Nisyavira Anam Meilia</t>
  </si>
  <si>
    <t>0606012210041</t>
  </si>
  <si>
    <t>Vajra Yeshie Kusala</t>
  </si>
  <si>
    <t>STOP BULLYING- Live Instagram Duta Kesehatan Mental Indonesia</t>
  </si>
  <si>
    <t>Live Instagram Duta Kesehatan Mental Indonesia dengan tema “Stop Bullying” mengenali Bullying sedini mungkin dan bagaimana mencegahnya. Event Live ini mengundang Narasumber Vajra Yeshie Kusala sebagai Pemateri</t>
  </si>
  <si>
    <r>
      <rPr>
        <sz val="10"/>
        <color indexed="8"/>
        <rFont val="Calibri"/>
      </rPr>
      <t>https://www.instagram.com/tv/CtEnr1TKhzv/?igshid=M</t>
    </r>
  </si>
  <si>
    <r>
      <rPr>
        <sz val="10"/>
        <color indexed="8"/>
        <rFont val="Calibri"/>
      </rPr>
      <t>https://employee.uc.ac.id/index.php/file/get/sis/t_cp/378ab227-02ee-11ee-a50e-000d3ac6bafe.jpg</t>
    </r>
  </si>
  <si>
    <r>
      <rPr>
        <sz val="10"/>
        <color indexed="8"/>
        <rFont val="Calibri"/>
      </rPr>
      <t>https://employee.uc.ac.id/index.php/file/get/sis/t_cp/378ab227-02ee-11ee-a50e-000d3ac6bafe_assignmentletter.pdf</t>
    </r>
  </si>
  <si>
    <t>Duta Kesehatan Mental Indonesia</t>
  </si>
  <si>
    <t>0606012210056</t>
  </si>
  <si>
    <t>Hendrik Hanok Lenggu</t>
  </si>
  <si>
    <t>Lomba Debat Internal Universitas Muria Kudus</t>
  </si>
  <si>
    <t>2023-07-18</t>
  </si>
  <si>
    <t>Juri utama pada lomba debat internal Universitas Muria Kudus, sabtu 15 Juli 2023 pkl 08.00 - selesai</t>
  </si>
  <si>
    <r>
      <rPr>
        <sz val="10"/>
        <color indexed="8"/>
        <rFont val="Calibri"/>
      </rPr>
      <t>https://employee.uc.ac.id/index.php/file/get/sis/t_cp/ae0e8160-2553-11ee-9325-000d3ac6bafe.jpg</t>
    </r>
  </si>
  <si>
    <t>Universitas Muria Kudus</t>
  </si>
  <si>
    <t>Kompetisi Debat Mahasiswa Indonesia 2023</t>
  </si>
  <si>
    <t>Mendapatkan penghargaan juri terakreditasi dalam Kompetisi Debat Mahasiswa Indonesia 2023 yang diselenggarakan oleh DIKTI sejak 12 - 17 September 2023</t>
  </si>
  <si>
    <r>
      <rPr>
        <sz val="10"/>
        <color indexed="8"/>
        <rFont val="Calibri"/>
      </rPr>
      <t>https://pusatprestasinasional.kemdikbud.go.id/even</t>
    </r>
  </si>
  <si>
    <r>
      <rPr>
        <sz val="10"/>
        <color indexed="8"/>
        <rFont val="Calibri"/>
      </rPr>
      <t>https://employee.uc.ac.id/index.php/file/get/sis/t_cp/152de914-7489-11ee-bbde-000d3ac6bafe.jpg</t>
    </r>
  </si>
  <si>
    <r>
      <rPr>
        <sz val="10"/>
        <color indexed="8"/>
        <rFont val="Calibri"/>
      </rPr>
      <t>https://employee.uc.ac.id/index.php/file/get/sis/t_cp/193ac5f1-7489-11ee-bbde-000d3ac6bafe_assignmentletter.jpg</t>
    </r>
  </si>
  <si>
    <t>DIKTI</t>
  </si>
  <si>
    <t>0606012210066</t>
  </si>
  <si>
    <t>Ulfiah</t>
  </si>
  <si>
    <t>0606012210068</t>
  </si>
  <si>
    <t>Dinda Aziza Bryllianna</t>
  </si>
  <si>
    <t>0606012210074</t>
  </si>
  <si>
    <t>Salwa Salsabila</t>
  </si>
  <si>
    <t>0706012010003</t>
  </si>
  <si>
    <t>Daniel Aprillio Budiono</t>
  </si>
  <si>
    <t>Informatics</t>
  </si>
  <si>
    <t>0706012010024</t>
  </si>
  <si>
    <t>Kenny Jinhiro Wibowo</t>
  </si>
  <si>
    <t>Workshop Leucreation UI/UX Prototyping With Figma</t>
  </si>
  <si>
    <t>2023-02-01</t>
  </si>
  <si>
    <t>2023-02-28</t>
  </si>
  <si>
    <t>Narasumber Workshop Leucreation UI/UX Prototyping With Figma</t>
  </si>
  <si>
    <r>
      <rPr>
        <sz val="10"/>
        <color indexed="8"/>
        <rFont val="Calibri"/>
      </rPr>
      <t>https://employee.uc.ac.id/index.php/file/get/sis/t_cp/multi/f6c081fe-76ca-11ee-858c-000d3ac6bafe.png</t>
    </r>
  </si>
  <si>
    <r>
      <rPr>
        <sz val="10"/>
        <color indexed="8"/>
        <rFont val="Calibri"/>
      </rPr>
      <t>https://employee.uc.ac.id/index.php/file/get/sis/t_cp/multi/f6c081fe-76ca-11ee-858c-000d3ac6bafe_assignmentletter.png</t>
    </r>
  </si>
  <si>
    <t xml:space="preserve">Narasumber Workshop Leucreation UI/UX Prototyping With Figma </t>
  </si>
  <si>
    <t>2023-04-01</t>
  </si>
  <si>
    <t>2023-04-30</t>
  </si>
  <si>
    <t>Rumpun Keterampilan Humanistik</t>
  </si>
  <si>
    <r>
      <rPr>
        <sz val="10"/>
        <color indexed="8"/>
        <rFont val="Calibri"/>
      </rPr>
      <t>https://employee.uc.ac.id/index.php/file/get/sis/t_cp/multi/dea5331c-ed7e-11ed-894a-000d3ac6bafe.png</t>
    </r>
  </si>
  <si>
    <r>
      <rPr>
        <sz val="10"/>
        <color indexed="8"/>
        <rFont val="Calibri"/>
      </rPr>
      <t>https://employee.uc.ac.id/index.php/file/get/sis/t_cp/multi/dea5331c-ed7e-11ed-894a-000d3ac6bafe_assignmentletter.png</t>
    </r>
  </si>
  <si>
    <t>0706012010055</t>
  </si>
  <si>
    <t>Haning Galih Rani Kumbara</t>
  </si>
  <si>
    <t>Narasumber Workshop Leucreation - GitHub Helped Me Get a Job</t>
  </si>
  <si>
    <t>2023-05-01</t>
  </si>
  <si>
    <r>
      <rPr>
        <sz val="10"/>
        <color indexed="8"/>
        <rFont val="Calibri"/>
      </rPr>
      <t>https://employee.uc.ac.id/index.php/file/get/sis/t_cp/multi/22a9f18e-0412-11ee-ba25-000d3ac6bafe.png</t>
    </r>
  </si>
  <si>
    <r>
      <rPr>
        <sz val="10"/>
        <color indexed="8"/>
        <rFont val="Calibri"/>
      </rPr>
      <t>https://employee.uc.ac.id/index.php/file/get/sis/t_cp/multi/22a9f18e-0412-11ee-ba25-000d3ac6bafe_assignmentletter.png</t>
    </r>
  </si>
  <si>
    <t>0706012010064</t>
  </si>
  <si>
    <t>Kevin Sander Utomo</t>
  </si>
  <si>
    <t>Publikasi Jurnal Internasional MECS Press Journal International Journal of Information Engineering a</t>
  </si>
  <si>
    <t>2022-12-24</t>
  </si>
  <si>
    <t>2023-11-28</t>
  </si>
  <si>
    <t xml:space="preserve">Berhasil membuat dan menerbitkan jurnal sebagai penulis pertama dari dua penulis berbasis internasional pada MECS Press Journal International Journal of Information Engineering and Electronic Business (IJIEEB) dengan judul: Optimal Playing Position Prediction in Football Matches: A Machine Learning </t>
  </si>
  <si>
    <r>
      <rPr>
        <sz val="10"/>
        <color indexed="8"/>
        <rFont val="Calibri"/>
      </rPr>
      <t>https://www.mecs-press.org/ijieeb/ijieeb-v15-n6/v1</t>
    </r>
  </si>
  <si>
    <r>
      <rPr>
        <sz val="10"/>
        <color indexed="8"/>
        <rFont val="Calibri"/>
      </rPr>
      <t>https://employee.uc.ac.id/index.php/file/get/sis/t_cp/9918f8a7-8dc4-11ee-b8fc-000d3ac6bafe.pdf</t>
    </r>
  </si>
  <si>
    <t>MECS International Journal of Information Engineer</t>
  </si>
  <si>
    <t>0706012110018</t>
  </si>
  <si>
    <t>Vebrillia Santoso</t>
  </si>
  <si>
    <t>0706012110019</t>
  </si>
  <si>
    <t>Ileene Trinia Santoso</t>
  </si>
  <si>
    <t>Webinar Debat SMA Kanaan x ALR</t>
  </si>
  <si>
    <t>2023-10-06</t>
  </si>
  <si>
    <t>Webinar Debat SMA Kanaan yang berkolaborasi dengan ALR (Academia Law Research) mengundang saya dalam webinar mengenai analisis argumen dalam debat, menyusun strategi dalam debat, bagaimana cara rebuttals dengan benar, dan lain sebagainya.</t>
  </si>
  <si>
    <r>
      <rPr>
        <sz val="10"/>
        <color indexed="8"/>
        <rFont val="Calibri"/>
      </rPr>
      <t>https://www.linkedin.com/company/academia-law-rese</t>
    </r>
  </si>
  <si>
    <r>
      <rPr>
        <sz val="10"/>
        <color indexed="8"/>
        <rFont val="Calibri"/>
      </rPr>
      <t>https://employee.uc.ac.id/index.php/file/get/sis/t_cp/7bf2a0c5-684f-11ee-86ec-000d3ac6bafe.pdf</t>
    </r>
  </si>
  <si>
    <r>
      <rPr>
        <sz val="10"/>
        <color indexed="8"/>
        <rFont val="Calibri"/>
      </rPr>
      <t>https://employee.uc.ac.id/index.php/file/get/sis/t_cp/7bf2a0c5-684f-11ee-86ec-000d3ac6bafe_assignmentletter.png</t>
    </r>
  </si>
  <si>
    <t>ALR (Academia Law Research)</t>
  </si>
  <si>
    <t>Juri English Debate Koarmada 2023</t>
  </si>
  <si>
    <t>2023-11-29</t>
  </si>
  <si>
    <t>2023-11-30</t>
  </si>
  <si>
    <t>Menjadi juri debat bahasa Inggris di Koarmada 2023 dengan format asian parliamentary</t>
  </si>
  <si>
    <r>
      <rPr>
        <sz val="10"/>
        <color indexed="8"/>
        <rFont val="Calibri"/>
      </rPr>
      <t>https://employee.uc.ac.id/index.php/file/get/sis/t_cp/e8bec7da-9048-11ee-9103-000d3ac6bafe.pdf</t>
    </r>
  </si>
  <si>
    <r>
      <rPr>
        <sz val="10"/>
        <color indexed="8"/>
        <rFont val="Calibri"/>
      </rPr>
      <t>https://employee.uc.ac.id/index.php/file/get/sis/t_cp/e8bec7da-9048-11ee-9103-000d3ac6bafe_assignmentletter.pdf</t>
    </r>
  </si>
  <si>
    <t>Koarmada Surabaya</t>
  </si>
  <si>
    <t>0706012210034</t>
  </si>
  <si>
    <t>Nathan Darrell</t>
  </si>
  <si>
    <t>Workshop UI/UX menggunakan figma bagi siswa/i SMU</t>
  </si>
  <si>
    <t>2023-07-04</t>
  </si>
  <si>
    <t>Workshop UI/UX menggunakan figma sebagai tools yang diadakan pada hari open day UC</t>
  </si>
  <si>
    <r>
      <rPr>
        <sz val="10"/>
        <color indexed="8"/>
        <rFont val="Calibri"/>
      </rPr>
      <t>https://employee.uc.ac.id/index.php/file/get/sis/t_cp/ebe901cd-7935-11ee-8973-000d3ac6bafe.jpg</t>
    </r>
  </si>
  <si>
    <r>
      <rPr>
        <sz val="10"/>
        <color indexed="8"/>
        <rFont val="Calibri"/>
      </rPr>
      <t>https://employee.uc.ac.id/index.php/file/get/sis/t_cp/ebe901cd-7935-11ee-8973-000d3ac6bafe_assignmentletter.pdf</t>
    </r>
  </si>
  <si>
    <t>0706012210057</t>
  </si>
  <si>
    <t>Owen Orlando</t>
  </si>
  <si>
    <t>0706012210058</t>
  </si>
  <si>
    <t>Sophia Madlentsy Tambunan</t>
  </si>
  <si>
    <t>0706012310038</t>
  </si>
  <si>
    <t>Anastasia Aurelia Khosasih</t>
  </si>
  <si>
    <t>0706021910017</t>
  </si>
  <si>
    <t>Eillen Marchellita Hartono</t>
  </si>
  <si>
    <t>Information System</t>
  </si>
  <si>
    <t>Leadership 101 2022: FORTHCOMING</t>
  </si>
  <si>
    <t>2022-03-27</t>
  </si>
  <si>
    <t>Menjadi juri pada acara leadership 101 2022: Forthcoming</t>
  </si>
  <si>
    <r>
      <rPr>
        <sz val="10"/>
        <color indexed="8"/>
        <rFont val="Calibri"/>
      </rPr>
      <t>https://employee.uc.ac.id/index.php/file/get/sis/t_cp/a4438ff3-8f69-11ed-bca6-000d3ac6bafe.pdf</t>
    </r>
  </si>
  <si>
    <t>SRB dan SC 2021/2022</t>
  </si>
  <si>
    <t>0706021910018</t>
  </si>
  <si>
    <t>Salma Haudia Atmaja</t>
  </si>
  <si>
    <t>0706022010003</t>
  </si>
  <si>
    <t>Billy Jefferson</t>
  </si>
  <si>
    <t>0706022010004</t>
  </si>
  <si>
    <t>Felicia Graciella</t>
  </si>
  <si>
    <t>Penelitian Terapan Unggulan Perguruan Tinggi (PTUPT)</t>
  </si>
  <si>
    <t>2022-06-21</t>
  </si>
  <si>
    <t>2022-11-15</t>
  </si>
  <si>
    <t>Penulisan jurnal sebagai salah satu pemenuhan luaran.</t>
  </si>
  <si>
    <r>
      <rPr>
        <sz val="10"/>
        <color indexed="8"/>
        <rFont val="Calibri"/>
      </rPr>
      <t>https://jsju.org/index.php/journal/article/view/13</t>
    </r>
  </si>
  <si>
    <r>
      <rPr>
        <sz val="10"/>
        <color indexed="8"/>
        <rFont val="Calibri"/>
      </rPr>
      <t>https://employee.uc.ac.id/index.php/file/get/sis/t_cp/d1148a30-b670-11ed-aa92-000d3ac6bafe.jpg</t>
    </r>
  </si>
  <si>
    <t>School of Information Technology</t>
  </si>
  <si>
    <t>0706022010007</t>
  </si>
  <si>
    <t>Shalomeira Valencia Winata</t>
  </si>
  <si>
    <t>Kampus Merdeka Bootcamp: Edisi IISMA</t>
  </si>
  <si>
    <t>2023-02-08</t>
  </si>
  <si>
    <t>Sebagai salah satu narasumber di sesi “How To Become an IISMA Awardee”</t>
  </si>
  <si>
    <t>instagram: globy_id</t>
  </si>
  <si>
    <r>
      <rPr>
        <sz val="10"/>
        <color indexed="8"/>
        <rFont val="Calibri"/>
      </rPr>
      <t>https://employee.uc.ac.id/index.php/file/get/sis/t_cp/497dd414-a7b8-11ed-9a52-000d3ac6bafe.jpg</t>
    </r>
  </si>
  <si>
    <t>GLOBY</t>
  </si>
  <si>
    <t>Publikasi Jurnal</t>
  </si>
  <si>
    <t>2023-11-14</t>
  </si>
  <si>
    <t>sebagai penulis kedua setelah dosen</t>
  </si>
  <si>
    <r>
      <rPr>
        <sz val="10"/>
        <color indexed="8"/>
        <rFont val="Calibri"/>
      </rPr>
      <t>http://bright-journal.org/Journal/index.php/JADS/a</t>
    </r>
  </si>
  <si>
    <r>
      <rPr>
        <sz val="10"/>
        <color indexed="8"/>
        <rFont val="Calibri"/>
      </rPr>
      <t>https://employee.uc.ac.id/index.php/file/get/sis/t_cp/052bab7d-829d-11ee-8a78-000d3ac6bafe.png</t>
    </r>
  </si>
  <si>
    <t>Journal of Applied Data Sciences (JADS)</t>
  </si>
  <si>
    <t>0706022010009</t>
  </si>
  <si>
    <t>Alexander Jason Waworuntu</t>
  </si>
  <si>
    <t>0706022010013</t>
  </si>
  <si>
    <t>Vania Vidya Vimala</t>
  </si>
  <si>
    <t>0706022010020</t>
  </si>
  <si>
    <t>Nathalia Minoque Kusuma Salma Rasyid Jr.</t>
  </si>
  <si>
    <t>2022-09-17</t>
  </si>
  <si>
    <t>2023-02-27</t>
  </si>
  <si>
    <t>Jurnal luaran penelitian PTUPT Scopus Q3</t>
  </si>
  <si>
    <r>
      <rPr>
        <sz val="10"/>
        <color indexed="8"/>
        <rFont val="Calibri"/>
      </rPr>
      <t>https://www.temjournal.com/content/121/TEMJournalF</t>
    </r>
  </si>
  <si>
    <r>
      <rPr>
        <sz val="10"/>
        <color indexed="8"/>
        <rFont val="Calibri"/>
      </rPr>
      <t>https://employee.uc.ac.id/index.php/file/get/sis/t_cp/129fbc7f-bdbb-11ed-afa1-000d3ac6bafe.png</t>
    </r>
  </si>
  <si>
    <t>0706022010032</t>
  </si>
  <si>
    <t>Pravangasta Suihangya Balqis Wahyudi</t>
  </si>
  <si>
    <t>0706022210026</t>
  </si>
  <si>
    <t>Billy Reksodikromo</t>
  </si>
  <si>
    <t>Mezink Academy workshop: Basic Product Videography</t>
  </si>
  <si>
    <t>2023-03-12</t>
  </si>
  <si>
    <t>Sebuah videography untuk mempromosikan di sosial media</t>
  </si>
  <si>
    <r>
      <rPr>
        <sz val="10"/>
        <color indexed="8"/>
        <rFont val="Calibri"/>
      </rPr>
      <t>https://employee.uc.ac.id/index.php/file/get/sis/t_cp/96b93c94-c20f-11ed-aeb7-000d3ac6bafe.pdf</t>
    </r>
  </si>
  <si>
    <t xml:space="preserve">Mezink </t>
  </si>
  <si>
    <t>Rekognisi non lomba</t>
  </si>
  <si>
    <t>Area</t>
  </si>
  <si>
    <t>Departement</t>
  </si>
  <si>
    <t>Juri /Pelatih/wasit</t>
  </si>
  <si>
    <t>Pemakalah /Speaker pada Conference/Seminar Ilmiah</t>
  </si>
  <si>
    <t>Narasumber pada kegiatan /seminar</t>
  </si>
  <si>
    <t>Peserta Pameran Karya Seni</t>
  </si>
  <si>
    <t>Penulis Pertama Buku yang Telah BerISBN</t>
  </si>
  <si>
    <t>Paten/Paten Sederhana</t>
  </si>
  <si>
    <t>Publikasi Jurnal Nasional Sinta 1 dan 2 dan atau Internasional Bereputasi Sebagai Penulis Pertama</t>
  </si>
  <si>
    <t>Tuan Rumah Kejuaraan / Kompetisi Mandiri</t>
  </si>
  <si>
    <t>Total Poin</t>
  </si>
  <si>
    <t>Target Poin</t>
  </si>
  <si>
    <t>% Poin Rekognisi Non Lomba</t>
  </si>
  <si>
    <t>Provinsi</t>
  </si>
  <si>
    <t>International</t>
  </si>
  <si>
    <t>UC+PSDKU</t>
  </si>
  <si>
    <t>SCI+PSDKU</t>
  </si>
  <si>
    <t>SIFT+PSDKU</t>
  </si>
  <si>
    <t>IMT PSDKU</t>
  </si>
  <si>
    <t>VCD PSDKU</t>
  </si>
  <si>
    <t>(VCD + FDB)</t>
  </si>
  <si>
    <t>Prodi Dikti</t>
  </si>
  <si>
    <t>(MIS,IMT,  IMT UC Online)</t>
  </si>
  <si>
    <t>(IBM RC,IC,IBM UC Online,MCM)</t>
  </si>
  <si>
    <t>(HTB + CBZ)</t>
  </si>
  <si>
    <t>FDB+FPD</t>
  </si>
  <si>
    <t>2020/2021</t>
  </si>
  <si>
    <t>Peminatan</t>
  </si>
  <si>
    <t>Jumlah Mahasiswa Peserta MBKM 2020/2021</t>
  </si>
  <si>
    <t>Student Body 2020/2021 Program Sarjana Non Kesehatan</t>
  </si>
  <si>
    <t>Pertukaran pelajar</t>
  </si>
  <si>
    <t>Magang/praktik kerja</t>
  </si>
  <si>
    <t>Mengajar di sekolah</t>
  </si>
  <si>
    <t>Penelitian/riset</t>
  </si>
  <si>
    <t>Proyek kemanusiaan</t>
  </si>
  <si>
    <t>Proyek di desa</t>
  </si>
  <si>
    <t>Wirausaha</t>
  </si>
  <si>
    <t>Studi/proyek independen</t>
  </si>
  <si>
    <t>Jumlah Poin Rekognisi Non Lomba</t>
  </si>
  <si>
    <t>Jumlah Kegiatan Bela Negara</t>
  </si>
  <si>
    <t>FDB+VCD</t>
  </si>
  <si>
    <t>IMT+MIS</t>
  </si>
  <si>
    <t>MCM+IBM-RC+IBM-IC</t>
  </si>
  <si>
    <t>CBZ+HTB</t>
  </si>
  <si>
    <t>Skor Implementasi MBKM &amp; Kegiatan Non Lomba 2020/2021</t>
  </si>
  <si>
    <t>Skor</t>
  </si>
  <si>
    <t>Rekognisi Non Lomba</t>
  </si>
  <si>
    <t>Kegiatan Bela Negara</t>
  </si>
  <si>
    <t>2021/2022</t>
  </si>
  <si>
    <t>Jumlah Mahasiswa Peserta MBKM 2021/2022</t>
  </si>
  <si>
    <t>Student Body 2021/2022 Program Sarjana Non Kesehatan</t>
  </si>
  <si>
    <t xml:space="preserve">SIFT+PSDKU </t>
  </si>
  <si>
    <t>Skor Implementasi MBKM &amp; Kegiatan Non Lomba 2021/2022</t>
  </si>
  <si>
    <t>Jumlah Mahasiswa Peserta MBKM 2022/2023</t>
  </si>
  <si>
    <t>Student Body 2022/2023 Program Sarjana Non Kesehatan</t>
  </si>
  <si>
    <t>1. Pra LDK,
 2. Leadership 1 on 1
3. leadership 1 O2</t>
  </si>
  <si>
    <t>1. Pelatihan kepemimpinan mahasiswa.</t>
  </si>
  <si>
    <t>O-week seminar prof dudung</t>
  </si>
  <si>
    <t>2. Pelatihan militer/kewiraan/wawasan nusantara.</t>
  </si>
  <si>
    <t>SLDR,SLDC
 salt,sult</t>
  </si>
  <si>
    <t>3. Pendidikan norma, etika, pembinaan karakter, dan soft skills mahasiswa.</t>
  </si>
  <si>
    <t>Narkobey</t>
  </si>
  <si>
    <t>5. Pendidikan atau gerakan anti penyalahgunaan NAPZA.</t>
  </si>
  <si>
    <t>Bullying masih jaman?
 we care</t>
  </si>
  <si>
    <t>7. Kampanye pencegahan kekerasan seksual dan Perundungan (bullying).</t>
  </si>
  <si>
    <t>1. kuliah umum Pancasila: Dekolonialisasi Nasionalisme Indonesia</t>
  </si>
  <si>
    <t>2. Kuliah umum Pancasila: Nasionalisme Dokter yang terlupakan</t>
  </si>
  <si>
    <t>W-Care Seminar Anti Bullying &amp; Kekerasan Seksual "Kekerasan Seksual Musuh Kita Bersama"</t>
  </si>
  <si>
    <t>Kenali, Cegah, dan Tangani Kekerasan Seksual</t>
  </si>
  <si>
    <t>Webinar Anti Korupsi</t>
  </si>
  <si>
    <t xml:space="preserve">VCD PSDKU </t>
  </si>
  <si>
    <t xml:space="preserve"> 
Prodi Dikti
</t>
  </si>
  <si>
    <t>(COM+MCM)</t>
  </si>
  <si>
    <t>(FPD+FDB)</t>
  </si>
  <si>
    <t>(ISB+MIS)</t>
  </si>
  <si>
    <t>Skor Implementasi MBKM &amp; Kegiatan Non Lomba 2022/2023</t>
  </si>
  <si>
    <t>No.</t>
  </si>
  <si>
    <t>Bentuk Kegiatan MBKM/
Non Lomba</t>
  </si>
  <si>
    <t>Metode Pengukuran</t>
  </si>
  <si>
    <t>Remarks</t>
  </si>
  <si>
    <t>Jumlah mahasiswa yang mengikuti pertukaran pelajar/total mahasiswa aktif D3 dan D4 atau S1 pada institusi</t>
  </si>
  <si>
    <t>≥ 1%</t>
  </si>
  <si>
    <t>0,5% ≤
persentase &lt; 1%</t>
  </si>
  <si>
    <t>0,1% ≤ persentase
&lt; 0,5%</t>
  </si>
  <si>
    <t>Kurang dari 0,1%</t>
  </si>
  <si>
    <r>
      <rPr>
        <sz val="12"/>
        <color indexed="8"/>
        <rFont val="Calibri"/>
      </rPr>
      <t>Jumlah mahasiswa yang mengikuti pertukaran pelajar/</t>
    </r>
    <r>
      <rPr>
        <sz val="12"/>
        <color indexed="25"/>
        <rFont val="Calibri"/>
      </rPr>
      <t>total student body. Student body yang diperhitungkan hanya program sarjana non kesehatan</t>
    </r>
    <r>
      <rPr>
        <sz val="12"/>
        <color indexed="8"/>
        <rFont val="Calibri"/>
      </rPr>
      <t>.</t>
    </r>
  </si>
  <si>
    <t>&lt;0,1%</t>
  </si>
  <si>
    <r>
      <rPr>
        <sz val="12"/>
        <color indexed="8"/>
        <rFont val="Calibri"/>
      </rPr>
      <t xml:space="preserve">Jumlah mahasiswa peserta magang atau praktik kerja atas inisiatif mahasiswa atau kerjasama institusi dan mitra </t>
    </r>
    <r>
      <rPr>
        <sz val="12"/>
        <color indexed="10"/>
        <rFont val="Calibri"/>
      </rPr>
      <t>di luar kurikuler</t>
    </r>
  </si>
  <si>
    <t>≥ 30</t>
  </si>
  <si>
    <t>≥ 15</t>
  </si>
  <si>
    <t>≥ 5</t>
  </si>
  <si>
    <t>&lt; 5</t>
  </si>
  <si>
    <r>
      <rPr>
        <sz val="12"/>
        <color indexed="8"/>
        <rFont val="Calibri"/>
      </rPr>
      <t xml:space="preserve">Jumlah mahasiswa peserta magang atau praktik kerja atas inisiatif mahasiswa atau kerjasama institusi dan mitra </t>
    </r>
    <r>
      <rPr>
        <sz val="12"/>
        <color indexed="25"/>
        <rFont val="Calibri"/>
      </rPr>
      <t>baik kurikuler ataupun di luar kurikuler</t>
    </r>
    <r>
      <rPr>
        <sz val="12"/>
        <color indexed="8"/>
        <rFont val="Calibri"/>
      </rPr>
      <t>/</t>
    </r>
    <r>
      <rPr>
        <sz val="12"/>
        <color indexed="25"/>
        <rFont val="Calibri"/>
      </rPr>
      <t>total student body. Student body yang diperhitungkan hanya program sarjana non kesehatan</t>
    </r>
    <r>
      <rPr>
        <sz val="12"/>
        <color indexed="8"/>
        <rFont val="Calibri"/>
      </rPr>
      <t>.</t>
    </r>
  </si>
  <si>
    <t>≥ 10%
dengan syarat peserta magang di luar kurikuler minimal 1%</t>
  </si>
  <si>
    <t>≥ 5%</t>
  </si>
  <si>
    <t>≥ 2.5%</t>
  </si>
  <si>
    <t>&lt; 2.5%</t>
  </si>
  <si>
    <t>Angka minimal 1%, dengan asumsi 1% dr 4000 student body senilai 40. Angka 40 sedikit di atas target minimal 30 (dr simkatmawa). Sehingga kurleb 9%nya dr kurikuler</t>
  </si>
  <si>
    <r>
      <rPr>
        <sz val="12"/>
        <color indexed="8"/>
        <rFont val="Calibri"/>
      </rPr>
      <t xml:space="preserve">Jumlah mahasiswa yang mengajar di sekolah </t>
    </r>
    <r>
      <rPr>
        <sz val="12"/>
        <color indexed="10"/>
        <rFont val="Calibri"/>
      </rPr>
      <t>di luar kurikuler</t>
    </r>
    <r>
      <rPr>
        <sz val="12"/>
        <color indexed="8"/>
        <rFont val="Calibri"/>
      </rPr>
      <t xml:space="preserve"> yang dibuktikan dengan surat keterangan dan laporan kegiatan/total mahasiswa aktif D3 dan D4 atau S1 pada institusi</t>
    </r>
  </si>
  <si>
    <t>&lt; 0,1%</t>
  </si>
  <si>
    <r>
      <rPr>
        <sz val="12"/>
        <color indexed="8"/>
        <rFont val="Calibri"/>
      </rPr>
      <t xml:space="preserve">Jumlah mahasiswa yang mengajar di sekolah </t>
    </r>
    <r>
      <rPr>
        <sz val="12"/>
        <color indexed="25"/>
        <rFont val="Calibri"/>
      </rPr>
      <t>baik kurikuler ataupun di luar kurikuler</t>
    </r>
    <r>
      <rPr>
        <sz val="12"/>
        <color indexed="8"/>
        <rFont val="Calibri"/>
      </rPr>
      <t xml:space="preserve"> yang dibuktikan dengan surat keterangan dan laporan kegiatan</t>
    </r>
    <r>
      <rPr>
        <sz val="12"/>
        <color indexed="25"/>
        <rFont val="Calibri"/>
      </rPr>
      <t>/total student body. Student body yang diperhitungkan hanya program sarjana non kesehatan</t>
    </r>
    <r>
      <rPr>
        <sz val="12"/>
        <color indexed="8"/>
        <rFont val="Calibri"/>
      </rPr>
      <t>.</t>
    </r>
  </si>
  <si>
    <t>≥ 2%
dengan syarat peserta mengajar di sekolah melalui program di luar kurikuler senilai 1%</t>
  </si>
  <si>
    <t>1% ≤
persentase &lt; 2%</t>
  </si>
  <si>
    <t>0,2% ≤ persentase
&lt; 1%</t>
  </si>
  <si>
    <t>&lt; 0,2%</t>
  </si>
  <si>
    <t>Target dikali 2</t>
  </si>
  <si>
    <t>Bersyarat</t>
  </si>
  <si>
    <t>Jumlah mahasiswa yang melakukan kegiatan penelitian atau riset mahasiswa yang dilakukan di lembaga riset atau pusat studi. Penelitian atau riset mahasiswa yang dilaporkan dalam bentuk output prosiding, artikel jurnal, LoA dari lembaga riset atau pusat studi di luar program studi.</t>
  </si>
  <si>
    <r>
      <rPr>
        <sz val="12"/>
        <color indexed="8"/>
        <rFont val="Calibri"/>
      </rPr>
      <t>Jumlah mahasiswa yang melakukan kegiatan penelitian atau riset mahasiswa yang dilakukan di lembaga riset atau pusat studi/</t>
    </r>
    <r>
      <rPr>
        <sz val="12"/>
        <color indexed="25"/>
        <rFont val="Calibri"/>
      </rPr>
      <t xml:space="preserve">total student body. </t>
    </r>
    <r>
      <rPr>
        <sz val="12"/>
        <color indexed="8"/>
        <rFont val="Calibri"/>
      </rPr>
      <t xml:space="preserve">Penelitian atau riset mahasiswa yang dilaporkan dalam bentuk output prosiding, artikel jurnal, LoA dari lembaga riset atau pusat studi di luar program studi. </t>
    </r>
    <r>
      <rPr>
        <sz val="12"/>
        <color indexed="25"/>
        <rFont val="Calibri"/>
      </rPr>
      <t xml:space="preserve">Student body yang diperhitungkan hanya program sarjana non kesehatan. </t>
    </r>
  </si>
  <si>
    <t>≥ 0.5%</t>
  </si>
  <si>
    <t>≥ 0.25%</t>
  </si>
  <si>
    <t>&lt; 0.25%</t>
  </si>
  <si>
    <t>Jumlah mahasiswa yang menjalankan proyek kemanusiaan/total mahasiswa aktif D3 dan D4 atau S1 pada institusi. Proyek kemanusiaan dalam hal ini tidak termasuk Kuliah Kerja Nyata (KKN), Program Kreativitas Mahasiswa, dan PHP2D</t>
  </si>
  <si>
    <r>
      <rPr>
        <sz val="12"/>
        <color indexed="8"/>
        <rFont val="Calibri"/>
      </rPr>
      <t>Jumlah mahasiswa yang menjalankan proyek kemanusiaan/</t>
    </r>
    <r>
      <rPr>
        <sz val="12"/>
        <color indexed="25"/>
        <rFont val="Calibri"/>
      </rPr>
      <t>total student body</t>
    </r>
    <r>
      <rPr>
        <sz val="12"/>
        <color indexed="8"/>
        <rFont val="Calibri"/>
      </rPr>
      <t xml:space="preserve">. Proyek kemanusiaan dalam hal ini tidak termasuk Kuliah Kerja Nyata (KKN), Program Kreativitas Mahasiswa, dan PHP2D. </t>
    </r>
    <r>
      <rPr>
        <sz val="12"/>
        <color indexed="25"/>
        <rFont val="Calibri"/>
      </rPr>
      <t xml:space="preserve">Student body yang diperhitungkan hanya program sarjana non kesehatan. </t>
    </r>
  </si>
  <si>
    <t>Jumlah mahasiswa yang melaksanakan proyek di desa/total mahasiswa aktif D3 dan D4 atau S1 pada institusi. Proyek di desa dalam hal ini adalah kegiatan membangun atau proyek di desa yang dilaporkan adalah pengabdian yang dilakukan oleh kelompok/organisasi kemahasiswaan dan keikutsertaan mahasiswa dalam pengabdian dosen, proyek/kegiatan membangun desa yang dibuktikan dengan surat keterangan dan laporan pelaksanaan kegiatan proyek di desa yang terdapat lembar pengesahan yang disertai foto dokumentasi pelaksanaan kegiatan atau dokumen lain yang dapat membuktikan validitas informasi sesuai kriteria yang dipersyaratkan. Tidak termasuk Kuliah Kerja Nyata (KKN), Program Kreativitas Mahasiswa, dan PHP2D.</t>
  </si>
  <si>
    <r>
      <rPr>
        <sz val="12"/>
        <color indexed="8"/>
        <rFont val="Calibri"/>
      </rPr>
      <t>Jumlah mahasiswa yang melaksanakan proyek di desa/</t>
    </r>
    <r>
      <rPr>
        <sz val="12"/>
        <color indexed="25"/>
        <rFont val="Calibri"/>
      </rPr>
      <t>total student body</t>
    </r>
    <r>
      <rPr>
        <sz val="12"/>
        <color indexed="8"/>
        <rFont val="Calibri"/>
      </rPr>
      <t xml:space="preserve">. Proyek di desa dalam hal ini adalah kegiatan membangun atau proyek di desa yang dilaporkan adalah pengabdian yang dilakukan oleh kelompok/organisasi kemahasiswaan dan keikutsertaan mahasiswa dalam pengabdian dosen, proyek/kegiatan membangun desa yang dibuktikan dengan surat keterangan dan laporan pelaksanaan kegiatan proyek di desa yang terdapat lembar pengesahan yang disertai foto dokumentasi pelaksanaan kegiatan atau dokumen lain yang dapat membuktikan validitas informasi sesuai kriteria yang dipersyaratkan. Tidak termasuk Kuliah Kerja Nyata (KKN), Program Kreativitas Mahasiswa, dan PHP2D. </t>
    </r>
    <r>
      <rPr>
        <sz val="12"/>
        <color indexed="25"/>
        <rFont val="Calibri"/>
      </rPr>
      <t>Student body yang diperhitungkan hanya program sarjana non kesehatan.</t>
    </r>
    <r>
      <rPr>
        <sz val="12"/>
        <color indexed="8"/>
        <rFont val="Calibri"/>
      </rPr>
      <t xml:space="preserve"> </t>
    </r>
  </si>
  <si>
    <t>Jumlah mahasiswa yang melaksanakan usaha atau bisnis/total mahasiswa aktif D3 dan D4 atau S1 pada institusi. Mahasiswa yang menjalankan usaha mandiri tanpa mengikuti program pembinaan dan bukti pembinaan tidak dapat dilaporkan sebagai mahasiswa berwirausaha. Lampiran berupa bukti dokumen pendukung berupa surat keterangan, daftar mahasiswa peserta program kewirausahaan, dan laporan akademik pelaksanaan kegiatan yang terdapat lembar pengesahan disertai foto dokumentasi pelaksanaan kegiatan, terdapat bukti jumlah mahasiswa yang melaksanakan program kewirausahaan, foto dokumentasi usaha yang terdapat logo/informasi/ tulisan perguruan tinggi atau dokumen lain yang dapat membuktikan validitas informasi sesuai kriteria yang dipersyaratkan</t>
  </si>
  <si>
    <r>
      <rPr>
        <sz val="12"/>
        <color indexed="8"/>
        <rFont val="Calibri"/>
      </rPr>
      <t>Jumlah mahasiswa yang melaksanakan usaha atau bisnis/</t>
    </r>
    <r>
      <rPr>
        <sz val="12"/>
        <color indexed="25"/>
        <rFont val="Calibri"/>
      </rPr>
      <t>total student body</t>
    </r>
    <r>
      <rPr>
        <sz val="12"/>
        <color indexed="8"/>
        <rFont val="Calibri"/>
      </rPr>
      <t xml:space="preserve">. Mahasiswa yang menjalankan usaha mandiri tanpa mengikuti program pembinaan dan bukti pembinaan tidak dapat dilaporkan sebagai mahasiswa berwirausaha. Lampiran berupa bukti dokumen pendukung berupa surat keterangan, daftar mahasiswa peserta program kewirausahaan, dan laporan akademik pelaksanaan kegiatan yang terdapat lembar pengesahan disertai foto dokumentasi pelaksanaan kegiatan, terdapat bukti jumlah mahasiswa yang melaksanakan program kewirausahaan, foto dokumentasi usaha yang terdapat logo/informasi/ tulisan perguruan tinggi atau dokumen lain yang dapat membuktikan validitas informasi sesuai kriteria yang dipersyaratkan. </t>
    </r>
    <r>
      <rPr>
        <sz val="12"/>
        <color indexed="25"/>
        <rFont val="Calibri"/>
      </rPr>
      <t xml:space="preserve">Student body yang diperhitungkan hanya program sarjana non kesehatan. </t>
    </r>
  </si>
  <si>
    <r>
      <rPr>
        <sz val="12"/>
        <color indexed="8"/>
        <rFont val="Calibri"/>
      </rPr>
      <t xml:space="preserve">Jumlah mahasiswa yang melaksanakan studi atau proyek independen </t>
    </r>
    <r>
      <rPr>
        <sz val="12"/>
        <color indexed="10"/>
        <rFont val="Calibri"/>
      </rPr>
      <t>di luar kurikuler</t>
    </r>
    <r>
      <rPr>
        <sz val="12"/>
        <color indexed="8"/>
        <rFont val="Calibri"/>
      </rPr>
      <t xml:space="preserve"> yang menghasilkan sebuah produk/karya inovasi sesuai bidang keilmuan. Dokumentasi pendukung berupa surat keputusan/surat tugas/laporan dan luaran hasil studi/proyek independen atau dokumen lain yang dapat membuktikan validitas informasi sesuai kriteria yang dipersyaratkan.</t>
    </r>
  </si>
  <si>
    <r>
      <rPr>
        <sz val="12"/>
        <color indexed="8"/>
        <rFont val="Calibri"/>
      </rPr>
      <t xml:space="preserve">Jumlah mahasiswa yang melaksanakan studi atau proyek independen </t>
    </r>
    <r>
      <rPr>
        <sz val="12"/>
        <color indexed="25"/>
        <rFont val="Calibri"/>
      </rPr>
      <t>baik kurikuler ataupun di luar kurikuler</t>
    </r>
    <r>
      <rPr>
        <sz val="12"/>
        <color indexed="8"/>
        <rFont val="Calibri"/>
      </rPr>
      <t xml:space="preserve"> yang menghasilkan sebuah produk atau karya inovasi sesuai bidang keilmuan/</t>
    </r>
    <r>
      <rPr>
        <sz val="12"/>
        <color indexed="25"/>
        <rFont val="Calibri"/>
      </rPr>
      <t>total student body</t>
    </r>
    <r>
      <rPr>
        <sz val="12"/>
        <color indexed="8"/>
        <rFont val="Calibri"/>
      </rPr>
      <t xml:space="preserve">. Dokumentasi pendukung berupa surat keputusan/surat tugas/laporan dan luaran hasil studi/proyek independen atau dokumen lain yang dapat membuktikan validitas informasi sesuai kriteria yang dipersyaratkan. </t>
    </r>
    <r>
      <rPr>
        <sz val="12"/>
        <color indexed="25"/>
        <rFont val="Calibri"/>
      </rPr>
      <t xml:space="preserve">Student body yang diperhitungkan hanya program sarjana non kesehatan. </t>
    </r>
  </si>
  <si>
    <t>Jumlah poin rekognisi yang diperoleh mahasiswa dari prestasi non kompetisi. Rekognisi diberikan oleh pemerintah, komunitas, organisasi atau masyarakat, atau instansi perguruan tinggi. Rekognisi berupa paten (poin 10), hak cipta atau buku (8), juri atau pelatih internasional (6), juri atau pelatih nasional (4), conference atau seminar sbg pemakalah pada seminar internasional (6), conference atau seminar sbg pemakalah pada seminar nasional (4), peserta pameran internasional (6), peserta pameran nasional (4), karya cipta lagu yg telah dipublikasikan atau rekaman atau diakui (4), karya cipta seni tari yg telah dipentaskan atau didokumentasikan (4). Dokumen pendukung berupa sertifikat atau piagam penghargaan/rekognisi, bukti dokumentasi berupa cover buku, dan kartu tanda mahasiswa, nomor ISBN, atau dokumen lain yang dapat membuktikan validitas informasi sesuai kriteria yang dipersyaratkan dalam pemberian indeks penilaian kategori rekognisi.</t>
  </si>
  <si>
    <t>≥ 50</t>
  </si>
  <si>
    <t>31 - 50</t>
  </si>
  <si>
    <t>&lt; 30</t>
  </si>
  <si>
    <t>Target UC: &gt; 50;
Target Prodi:  &gt; 5;
Target Fakultas: Target Prodi x Jumlah Prodi aktif</t>
  </si>
  <si>
    <t>Target UC: 31 - 50;
Target Prodi: 3-5;
Target Fakultas: Target Prodi x Jumlah Prodi aktif</t>
  </si>
  <si>
    <t xml:space="preserve">Target UC: 30;
Target Prodi: 3;
Target Fakultas: Target Prodi x Jumlah Prodi aktif
</t>
  </si>
  <si>
    <t>Target UC: &lt; 30;
Target Prodi: &lt;3;
Target Fakultas: Target Prodi x Jumlah Prodi aktif</t>
  </si>
  <si>
    <t>Jumlah kegiatan terstruktur yang difasilitasi perguruan tinggi untuk mengembangkan kepribadian nasional yang berdasarkan nilai-nilai Pancasila, kegiatan tersebut meliputi pelaksanaan kegiatan dengan kategori:
1. Pelatihan kepemimpinan mahasiswa.
2. Pelatihan militer/kewiraan/wawasan nusantara.
3. Pendidikan norma, etika, pembinaan karakter, dan soft skills mahasiswa.
4. Pendidikan atau gerakan anti korupsi.
5. Pendidikan atau gerakan anti penyalahgunaan NAPZA.
6. Pendidikan atau gerakan anti radikalisme.
7. Kampanye pencegahan kekerasan seksual dan Perundungan (bullying).
8. Kampanye kampus sehat dan/atau green campus.
Dokumentasi pendukung berupa laporan akademik pelaksanaan kegiatan atau dokumen lain yang dapat membuktikan validitas informasi sesuai kriteria yang dipersyaratkan.
Guna memperkuat bukti, perguruan tinggi dapat menyertakan informasi URL berita/sosial media terkait kegiatan.</t>
  </si>
  <si>
    <t>≥ 10 kegiatan dari 5 kategori</t>
  </si>
  <si>
    <t>≥ 8 kegiatan dari 5 kategori</t>
  </si>
  <si>
    <t>≥ 6 kegiatan dari 5 kategori</t>
  </si>
  <si>
    <t>&lt; 6 kegiatan</t>
  </si>
  <si>
    <t>Merupakan kinerja BMA, namun untuk mendapatkan dukungan dr all prodi, nilai tsb. ditargetkan bersama ke all prodi</t>
  </si>
  <si>
    <t>Table 1</t>
  </si>
  <si>
    <t>Notes</t>
  </si>
  <si>
    <t>Peserta Seminar</t>
  </si>
  <si>
    <t>International Competition Achivement</t>
  </si>
  <si>
    <t>Skor Prestasi Akademik</t>
  </si>
  <si>
    <t>Skor Prestasi Non Akademik</t>
  </si>
  <si>
    <t>Target</t>
  </si>
  <si>
    <t>% Student Competition</t>
  </si>
  <si>
    <t>2019/2020</t>
  </si>
  <si>
    <t>2022/2023 (31 Mei)</t>
  </si>
  <si>
    <t>Student Body *</t>
  </si>
  <si>
    <t>Jumlah Prestasi Akademik</t>
  </si>
  <si>
    <t>Rasio Prestasi Akademik</t>
  </si>
  <si>
    <t>Internasional (NI)</t>
  </si>
  <si>
    <t>Nasional (NN)</t>
  </si>
  <si>
    <t>Wilayah (NW)</t>
  </si>
  <si>
    <t>Internasional (RI)</t>
  </si>
  <si>
    <t>Nasional (RN)</t>
  </si>
  <si>
    <t>Wilayah (RW)</t>
  </si>
  <si>
    <t>Jumlah Prestasi Non Akademik</t>
  </si>
  <si>
    <t>Rasio Prestasi Non Akademik</t>
  </si>
  <si>
    <t>Summary BSC Fakultas</t>
  </si>
  <si>
    <t>FIN</t>
  </si>
  <si>
    <t>CUST</t>
  </si>
  <si>
    <t>IBP</t>
  </si>
  <si>
    <t>L&amp;G</t>
  </si>
  <si>
    <t>Total Achievement</t>
  </si>
  <si>
    <t>Perspective</t>
  </si>
  <si>
    <t>BSC Code</t>
  </si>
  <si>
    <t>Strategic Measurement</t>
  </si>
  <si>
    <t>FIN-01</t>
  </si>
  <si>
    <t>Pertumbuhan Net Operating Cash Flow</t>
  </si>
  <si>
    <t>FIN-02</t>
  </si>
  <si>
    <t>Rasio Serapan Anggaran</t>
  </si>
  <si>
    <t>FIN-03</t>
  </si>
  <si>
    <t>Skor Kemandirian Finansial Prodi</t>
  </si>
  <si>
    <t>FIN-04</t>
  </si>
  <si>
    <t>Dana Hibah</t>
  </si>
  <si>
    <t>FIN-05</t>
  </si>
  <si>
    <t>Revenue Non Mahasiswa Non Dana Hibah</t>
  </si>
  <si>
    <t>CUST-01</t>
  </si>
  <si>
    <t>Customer Satisfaction Index</t>
  </si>
  <si>
    <t>CUST-02</t>
  </si>
  <si>
    <t>UC Centers Satisfaction Index</t>
  </si>
  <si>
    <t>CUST-03</t>
  </si>
  <si>
    <t>Student Body</t>
  </si>
  <si>
    <t>CUST-04</t>
  </si>
  <si>
    <t>International Student</t>
  </si>
  <si>
    <t>CUST-05</t>
  </si>
  <si>
    <t>University Ranking</t>
  </si>
  <si>
    <t>CUST-06</t>
  </si>
  <si>
    <t>Akreditasi Nasional Program Studi</t>
  </si>
  <si>
    <t>CUST-07</t>
  </si>
  <si>
    <t>Akreditasi Internasional Program Studi</t>
  </si>
  <si>
    <t>CUST-08</t>
  </si>
  <si>
    <t>Akreditasi/Sertifikasi Kelembagaan</t>
  </si>
  <si>
    <t>CUST-09</t>
  </si>
  <si>
    <t>Employee Recognition</t>
  </si>
  <si>
    <t>IBP-01</t>
  </si>
  <si>
    <t>Graduate Employment Rate</t>
  </si>
  <si>
    <t>IBP-02</t>
  </si>
  <si>
    <t>% Mahasiswa yang Bekerja ≤ 6 Bulan Setelah Lulus</t>
  </si>
  <si>
    <t>IBP-03</t>
  </si>
  <si>
    <t>Implementasi MBKM &amp; Kegiatan Non Lomba</t>
  </si>
  <si>
    <t>IBP-04</t>
  </si>
  <si>
    <t>Peserta MBKM Inbound</t>
  </si>
  <si>
    <t>IBP-05</t>
  </si>
  <si>
    <t>Student Competition</t>
  </si>
  <si>
    <t>IBP-06</t>
  </si>
  <si>
    <t>Sertifikasi Kompetensi Mahasiswa</t>
  </si>
  <si>
    <t>IBP-07</t>
  </si>
  <si>
    <t>Research &amp; Community Development Performance</t>
  </si>
  <si>
    <t>IBP-08</t>
  </si>
  <si>
    <t>% Kerjasama Joint Degree</t>
  </si>
  <si>
    <t>IBP-09</t>
  </si>
  <si>
    <t>% Kerjasama Dunia Industri</t>
  </si>
  <si>
    <t>IBP-10</t>
  </si>
  <si>
    <t>Quality Improvement Score</t>
  </si>
  <si>
    <t>IBP-11</t>
  </si>
  <si>
    <t>Audit Performance</t>
  </si>
  <si>
    <t>L&amp;G-01</t>
  </si>
  <si>
    <t>Lecturer Credential</t>
  </si>
  <si>
    <t>L&amp;G-02</t>
  </si>
  <si>
    <t>Employee Satisfaction Index</t>
  </si>
  <si>
    <t>L&amp;G-03</t>
  </si>
  <si>
    <t>Employee Retention</t>
  </si>
  <si>
    <t>L&amp;G-04</t>
  </si>
  <si>
    <t>Employee Performance</t>
  </si>
  <si>
    <t>BSC PERFORMANCE:</t>
  </si>
  <si>
    <t xml:space="preserve">UC Online </t>
  </si>
  <si>
    <t>Tabel Bobot</t>
  </si>
  <si>
    <t>% Pemenuhan Syarat Perlu Akreditasi</t>
  </si>
  <si>
    <t>N/A</t>
  </si>
  <si>
    <t xml:space="preserve">% Kerjasama Joint Degree </t>
  </si>
  <si>
    <t>Lecturer Competencies</t>
  </si>
  <si>
    <t>Med</t>
  </si>
  <si>
    <t>Psy</t>
  </si>
  <si>
    <t>Jumlah Dosen tetap</t>
  </si>
  <si>
    <t>Jumlah Kerjasama Internasional</t>
  </si>
  <si>
    <t>Jumlah Kerjasama Nasional</t>
  </si>
  <si>
    <t>Jumlah Kerjasama Regional/lokal</t>
  </si>
  <si>
    <t>Skor realisasi tridarma per level</t>
  </si>
  <si>
    <t>Placement</t>
  </si>
  <si>
    <t>Team Category</t>
  </si>
  <si>
    <t>Score</t>
  </si>
  <si>
    <t>Criteria</t>
  </si>
  <si>
    <t>Juara 1</t>
  </si>
  <si>
    <t>Juara 2</t>
  </si>
  <si>
    <t>Juara 3</t>
  </si>
  <si>
    <t>Karya mahasiswa berupa teknologi tepat guna/seni budaya/produk kreatif untuk UMKM dan Industri</t>
  </si>
  <si>
    <t>Juri/Pelatih/Wasit</t>
  </si>
  <si>
    <t>Pemakalah dalam Conference/Seminar Ilmiah</t>
  </si>
  <si>
    <t>Pembicara pada pelatihan/seminar/event berskala</t>
  </si>
  <si>
    <t>Pendaftaran paten/paten sederhana</t>
  </si>
  <si>
    <t>Penulis pertama buku ber-ISBN</t>
  </si>
  <si>
    <t>Penulis pertama pada jurnal internasional bereputasi atau jurnal nasional terindeks SINTA 1 dan 2</t>
  </si>
  <si>
    <t>Karya cipta lagu yang telah dipublikasikan dan mendapatkan sertifikat hak kekayaan intelektual</t>
  </si>
  <si>
    <t>Karya cipta seni tari yang telah dipentaskan dan mendapatkan sertifikat hak kekayaan intelektual.</t>
  </si>
  <si>
    <t>Tuan rumah kejuaraan Kompetisi</t>
  </si>
  <si>
    <t>Juri/Pelatih/Wasit Dean's Cup 2022 yang diselenggarakan oleh SIFT</t>
  </si>
  <si>
    <t>Juri/Pelatih/Wasit UC GOT TALENT</t>
  </si>
  <si>
    <t>Dewan Juri/Pelatih/Wasit seleksi LDBI-NSDC tingkat Kabupaten Trenggalek 2023</t>
  </si>
  <si>
    <t>Juri/Pelatih/Wasit kegiatan mini project entrepreneurship (kuliner) didakan oleh BEM Aptasena Alfa Prima Campus</t>
  </si>
  <si>
    <t>Sebagai Juri/Pelatih/Wasit dalam penetapan Kabupaten Kota Kreatif Indonesia, Kemenparekraf RI</t>
  </si>
  <si>
    <t>Di Undang untuk menjadi Juri/Pelatih/Wasit dalam acara Communicating Live in yang diselenggarakan oleh SMA Masa Depan Cerah</t>
  </si>
  <si>
    <t>Koko cici Jawa Timur pada tanggal 9 Agustus 2023 Mengadakan program acara koko cici Fashion Kids Competition untuk memperingati hari kemerdekaan Indonesia ke 78. Di ikuti kurang lebih 50 peserta dan ada 3 Juri/Pelatih/Wasit yaitu Felicia Jocelyne dari Koci Jatim 22, Mirachelle JHS dari miss teenager Indonesia 22,</t>
  </si>
  <si>
    <t>menjadi Juri/Pelatih/Wasit lomba musik SMI Got Talent</t>
  </si>
  <si>
    <t>Juri/Pelatih/Wasit Grand Final Pemilihan Putera Puteri Pariwisata dan Ekonomi Kreatif Jawa Timur 2023</t>
  </si>
  <si>
    <t xml:space="preserve">Sebagai Juri/Pelatih/Wasit dalam Grand Final Pemilihan Putera Puteri Pariwisata dan Ekonomi Kreatif Jawa Timur tahun 2023. </t>
  </si>
  <si>
    <t>Juri/Pelatih/Wasit utama pada lomba debat internal Universitas Muria Kudus, sabtu 15 Juli 2023 pkl 08.00 - selesai</t>
  </si>
  <si>
    <t>Mendapatkan penghargaan Juri/Pelatih/Wasit terakreditasi dalam Kompetisi Debat Mahasiswa Indonesia 2023 yang diselenggarakan oleh DIKTI sejak 12 - 17 September 2023</t>
  </si>
  <si>
    <t>Juri/Pelatih/Wasit English Debate Koarmada 2023</t>
  </si>
  <si>
    <t>Menjadi Juri/Pelatih/Wasit debat bahasa Inggris di Koarmada 2023 dengan format asian parliamentary</t>
  </si>
  <si>
    <t>Menjadi Juri/Pelatih/Wasit pada acara leadership 101 2022: Forthcoming</t>
  </si>
  <si>
    <t>https://employee.uc.ac.id/index.php/file/get/sis/t_cp/e3d619b7-9728-11ed-b71c-000d3ac6bafe.pdf</t>
  </si>
  <si>
    <t>https://employee.uc.ac.id/index.php/file/get/sis/t_cp/a2c5ec47-0b1b-11ee-80dd-000d3ac6bafe.jpg</t>
  </si>
  <si>
    <t>https://employee.uc.ac.id/index.php/file/get/sis/t_cp/02c6cca4-0451-11ee-ba25-000d3ac6bafe.jpg</t>
  </si>
  <si>
    <t>https://employee.uc.ac.id/index.php/file/get/sis/t_cp/18a78d9a-9ee8-11ed-b9cf-000d3ac6bafe.jpg</t>
  </si>
  <si>
    <t>https://employee.uc.ac.id/index.php/file/get/sis/t_cp/e5d917f3-b39c-11ed-ae8d-000d3ac6bafe.jpg</t>
  </si>
  <si>
    <t>https://employee.uc.ac.id/index.php/file/get/sis/t_cp/efcfc3d4-9c68-11ed-90bc-000d3ac6bafe.jpeg</t>
  </si>
  <si>
    <t>https://employee.uc.ac.id/index.php/file/get/sis/t_cp/7a9befb4-97e1-11ed-af4b-000d3ac6bafe.jpg</t>
  </si>
  <si>
    <t>https://employee.uc.ac.id/index.php/file/get/sis/t_cp/multi/44388237-9417-11ee-bd04-000d3ac6bafe.png</t>
  </si>
  <si>
    <t>https://employee.uc.ac.id/index.php/file/get/sis/t_cp/ed0ed558-d81d-11ed-a359-000d3ac6bafe.jpeg</t>
  </si>
  <si>
    <t>https://employee.uc.ac.id/index.php/file/get/sis/t_cp/multi/c77a0b11-9336-11ee-859c-000d3ac6bafe.png</t>
  </si>
  <si>
    <t>https://employee.uc.ac.id/index.php/file/get/sis/t_cp/multi/36efe3c6-76cb-11ee-858c-000d3ac6bafe.png</t>
  </si>
  <si>
    <t>https://employee.uc.ac.id/index.php/file/get/sis/t_cp/multi/e7681b35-0411-11ee-ba25-000d3ac6bafe.png</t>
  </si>
  <si>
    <t>https://employee.uc.ac.id/index.php/file/get/sis/t_cp/multi/1e7be259-882b-11ee-ae4d-000d3ac6bafe.png</t>
  </si>
  <si>
    <t>https://employee.uc.ac.id/index.php/file/get/sis/t_cp/145956ce-8dc2-11ed-811b-000d3ac6bafe.jpg</t>
  </si>
  <si>
    <t>https://employee.uc.ac.id/index.php/file/get/sis/t_cp/7a74415d-b675-11ed-aa92-000d3ac6bafe.pdf</t>
  </si>
  <si>
    <t>https://employee.uc.ac.id/index.php/file/get/sis/t_cp/c622e22d-b664-11ed-aa92-000d3ac6bafe.jpg</t>
  </si>
  <si>
    <t>https://employee.uc.ac.id/index.php/file/get/sis/t_cp/2f0b4a74-97f8-11ed-af4b-000d3ac6bafe.jpg</t>
  </si>
  <si>
    <t>https://employee.uc.ac.id/index.php/file/get/sis/t_cp/881f0abc-ac9b-11ed-ae71-000d3ac6bafe.jpg</t>
  </si>
  <si>
    <t>https://employee.uc.ac.id/index.php/file/get/sis/t_cp/cea351eb-b3eb-11ed-9a6a-000d3ac6bafe.jpg</t>
  </si>
  <si>
    <t>https://employee.uc.ac.id/index.php/file/get/sis/t_cp/2238ff23-97df-11ed-af4b-000d3ac6bafe.pdf</t>
  </si>
  <si>
    <t>https://employee.uc.ac.id/index.php/file/get/sis/t_cp/3233d227-a489-11ed-b2de-000d3ac6bafe.pdf</t>
  </si>
  <si>
    <t>https://employee.uc.ac.id/index.php/file/get/sis/t_cp/81730dff-5c2f-11ee-aac5-000d3ac6bafe.jpg</t>
  </si>
  <si>
    <t>https://employee.uc.ac.id/index.php/file/get/sis/t_cp/861dd44d-a37c-11ed-85df-000d3ac6bafe.jpg</t>
  </si>
  <si>
    <t>https://employee.uc.ac.id/index.php/file/get/sis/t_cp/41901f15-27c5-11ee-84e6-000d3ac6bafe.pdf</t>
  </si>
  <si>
    <t>https://employee.uc.ac.id/index.php/file/get/sis/t_cp/736e4d76-4226-11ee-b836-000d3ac6bafe.jpeg</t>
  </si>
  <si>
    <t>https://employee.uc.ac.id/index.php/file/get/sis/t_cp/1ed06314-9900-11ee-96bc-000d3ac6bafe.jpg</t>
  </si>
  <si>
    <t>https://employee.uc.ac.id/index.php/file/get/sis/t_cp/de578adb-0c2d-11ee-825c-000d3ac6bafe.jpg</t>
  </si>
  <si>
    <t>https://employee.uc.ac.id/index.php/file/get/sis/t_cp/b76c3473-f7e7-11ed-bf96-000d3ac6bafe.png</t>
  </si>
  <si>
    <t>https://employee.uc.ac.id/index.php/file/get/sis/t_cp/e35010cc-efff-11ed-8d6d-000d3ac6bafe.png</t>
  </si>
  <si>
    <t>https://employee.uc.ac.id/index.php/file/get/sis/t_cp/3b0a7413-96ed-11ed-b71c-000d3ac6bafe.jpg</t>
  </si>
  <si>
    <t>https://employee.uc.ac.id/index.php/file/get/sis/t_cp/7ebdf27d-97b4-11ed-af4b-000d3ac6bafe.jpeg</t>
  </si>
  <si>
    <t>https://employee.uc.ac.id/index.php/file/get/sis/t_cp/2a2e96d9-97b5-11ed-af4b-000d3ac6bafe.jpeg</t>
  </si>
  <si>
    <t>https://employee.uc.ac.id/index.php/file/get/sis/t_cp/2f92d11b-97db-11ed-af4b-000d3ac6bafe.jpeg</t>
  </si>
  <si>
    <t>https://employee.uc.ac.id/index.php/file/get/sis/t_cp/f51d40c6-037a-11ee-9899-000d3ac6bafe.jpg</t>
  </si>
  <si>
    <t>https://employee.uc.ac.id/index.php/file/get/sis/t_cp/7bdce055-97d5-11ed-af4b-000d3ac6bafe.jpg</t>
  </si>
  <si>
    <t>https://employee.uc.ac.id/index.php/file/get/sis/t_cp/3a119bd8-9b1d-11ed-bfe8-000d3ac6bafe.pdf</t>
  </si>
  <si>
    <t>https://employee.uc.ac.id/index.php/file/get/sis/t_cp/2c3a32ff-188c-11ee-96cf-000d3ac6bafe.jpg</t>
  </si>
  <si>
    <t>https://employee.uc.ac.id/index.php/file/get/sis/t_cp/899236bd-188c-11ee-96cf-000d3ac6bafe.jpg</t>
  </si>
  <si>
    <t>https://employee.uc.ac.id/index.php/file/get/sis/t_cp/657224b7-188d-11ee-96cf-000d3ac6bafe.jpg</t>
  </si>
  <si>
    <t>https://employee.uc.ac.id/index.php/file/get/sis/t_cp/15132e10-188d-11ee-96cf-000d3ac6bafe.jpg</t>
  </si>
  <si>
    <t>https://employee.uc.ac.id/index.php/file/get/sis/t_cp/e5d519dc-188d-11ee-96cf-000d3ac6bafe.pdf</t>
  </si>
  <si>
    <t>https://employee.uc.ac.id/index.php/file/get/sis/t_cp/73831462-be27-11ed-8a3c-000d3ac6bafe.pdf</t>
  </si>
  <si>
    <t>https://employee.uc.ac.id/index.php/file/get/sis/t_cp/89710f9d-194f-11ee-a5c3-000d3ac6bafe.pdf</t>
  </si>
  <si>
    <t>https://employee.uc.ac.id/index.php/file/get/sis/t_cp/d366aaf9-9961-11ed-8629-000d3ac6bafe.jpg</t>
  </si>
  <si>
    <t>https://employee.uc.ac.id/index.php/file/get/sis/t_cp/7e2f4f19-9c68-11ed-90bc-000d3ac6bafe.pdf</t>
  </si>
  <si>
    <t>https://employee.uc.ac.id/index.php/file/get/sis/t_cp/57aa62ea-be55-11ed-8a3c-000d3ac6bafe.pdf</t>
  </si>
  <si>
    <t>https://employee.uc.ac.id/index.php/file/get/sis/t_cp/47a77fda-dcd7-11ed-8a0b-000d3ac6bafe.HEIC</t>
  </si>
  <si>
    <t>https://employee.uc.ac.id/index.php/file/get/sis/t_cp/1775fc14-0428-11ee-ba25-000d3ac6bafe.pdf</t>
  </si>
  <si>
    <t>https://employee.uc.ac.id/index.php/file/get/sis/t_cp/a48e719c-d1f0-11ed-a759-000d3ac6bafe.jpg</t>
  </si>
  <si>
    <t>https://employee.uc.ac.id/index.php/file/get/sis/t_cp/b067652e-8b36-11ee-a0af-000d3ac6bafe.jpg</t>
  </si>
  <si>
    <t>https://employee.uc.ac.id/index.php/file/get/sis/t_cp/b23ec435-4fdf-11ee-8859-000d3ac6bafe.jpg</t>
  </si>
  <si>
    <t>https://employee.uc.ac.id/index.php/file/get/sis/t_cp/2eb32b47-f3b9-11ed-b513-000d3ac6bafe.pdf</t>
  </si>
  <si>
    <t>https://employee.uc.ac.id/index.php/file/get/sis/t_cp/e5018742-efe2-11ed-8d6d-000d3ac6bafe.pdf</t>
  </si>
  <si>
    <t>https://employee.uc.ac.id/index.php/file/get/sis/t_cp/dce2baf4-fa9c-11ed-965d-000d3ac6bafe.pdf</t>
  </si>
  <si>
    <t>https://employee.uc.ac.id/index.php/file/get/sis/t_cp/8d3ad991-0441-11ee-ba25-000d3ac6bafe.pdf</t>
  </si>
  <si>
    <t>https://employee.uc.ac.id/index.php/file/get/sis/t_cp/a8912cca-0e63-11ee-849f-000d3ac6bafe.docx</t>
  </si>
  <si>
    <t>https://employee.uc.ac.id/index.php/file/get/sis/t_cp/8a6df53c-148b-11ee-bcb1-000d3ac6bafe.pdf</t>
  </si>
  <si>
    <t>https://employee.uc.ac.id/index.php/file/get/sis/t_cp/606f6fdd-14aa-11ee-bcb1-000d3ac6bafe.pdf</t>
  </si>
  <si>
    <t>https://employee.uc.ac.id/index.php/file/get/sis/t_cp/47b6e505-6bf7-11ee-a25e-000d3ac6bafe.pdf</t>
  </si>
  <si>
    <t>https://employee.uc.ac.id/index.php/file/get/sis/t_cp/1e9785bb-5a06-11ee-8d80-000d3ac6bafe.pdf</t>
  </si>
  <si>
    <t>https://employee.uc.ac.id/index.php/file/get/sis/t_cp/5134f42a-5d4d-11ee-9708-000d3ac6bafe.pdf</t>
  </si>
  <si>
    <t>https://employee.uc.ac.id/index.php/file/get/sis/t_cp/d6b337ad-91ec-11ee-ab5b-000d3ac6bafe.png</t>
  </si>
  <si>
    <t>https://employee.uc.ac.id/index.php/file/get/sis/t_cp/6dc825e6-baf1-11ed-8264-000d3ac6bafe.jpg</t>
  </si>
  <si>
    <t>https://employee.uc.ac.id/index.php/file/get/sis/t_cp/c386679e-70fa-11ee-a572-000d3ac6bafe.jpg</t>
  </si>
  <si>
    <t>https://employee.uc.ac.id/index.php/file/get/sis/t_cp/08cc39e1-bb64-11ed-8264-000d3ac6bafe.png</t>
  </si>
  <si>
    <t>https://employee.uc.ac.id/index.php/file/get/sis/t_cp/f3778db1-8e7c-11ed-acce-000d3ac6bafe.jpg</t>
  </si>
  <si>
    <t>https://employee.uc.ac.id/index.php/file/get/sis/t_cp/35bb035c-c6fd-11ed-8a70-000d3ac6bafe.jpeg</t>
  </si>
  <si>
    <t>https://employee.uc.ac.id/index.php/file/get/sis/t_cp/f9bc4af0-9815-11ed-af4b-000d3ac6bafe.pdf</t>
  </si>
  <si>
    <t>https://employee.uc.ac.id/index.php/file/get/sis/t_cp/8143bad7-0380-11ee-9899-000d3ac6bafe.pdf</t>
  </si>
  <si>
    <t>https://employee.uc.ac.id/index.php/file/get/sis/t_cp/9c20db1d-9fe5-11ee-9e96-000d3ac6bafe.pdf</t>
  </si>
  <si>
    <t>https://employee.uc.ac.id/index.php/file/get/sis/t_cp/b2337fd2-82b8-11ee-8a78-000d3ac6bafe.pdf</t>
  </si>
  <si>
    <t>https://employee.uc.ac.id/index.php/file/get/sis/t_cp/299c8121-9e65-11ee-a2ac-000d3ac6bafe.pdf</t>
  </si>
  <si>
    <t>https://employee.uc.ac.id/index.php/file/get/sis/t_cp/5b8f1e6e-97d2-11ed-af4b-000d3ac6bafe.JPG</t>
  </si>
  <si>
    <t>https://employee.uc.ac.id/index.php/file/get/sis/t_cp/d2e9fbdf-97c7-11ed-af4b-000d3ac6bafe.pdf</t>
  </si>
  <si>
    <t>https://employee.uc.ac.id/index.php/file/get/sis/t_cp/135889e7-fa0c-11ed-84c7-000d3ac6bafe.pdf</t>
  </si>
  <si>
    <t>https://employee.uc.ac.id/index.php/file/get/sis/t_cp/328a7cd0-42f9-11ee-a2ef-000d3ac6bafe.jpg</t>
  </si>
  <si>
    <t>https://employee.uc.ac.id/index.php/file/get/sis/t_cp/e7b0e200-b843-11ed-b290-000d3ac6bafe.jpg</t>
  </si>
  <si>
    <t>https://employee.uc.ac.id/index.php/file/get/sis/t_cp/f4dec291-61a9-11ee-bb53-000d3ac6bafe.pdf</t>
  </si>
  <si>
    <t>https://employee.uc.ac.id/index.php/file/get/sis/t_cp/8e602f94-a07e-11ee-bdb5-000d3ac6bafe.pdf</t>
  </si>
  <si>
    <t>https://employee.uc.ac.id/index.php/file/get/sis/t_cp/86dcce45-f9f6-11ed-84c7-000d3ac6bafe.jpg</t>
  </si>
  <si>
    <t>https://employee.uc.ac.id/index.php/file/get/sis/t_cp/multi/28ba9854-8e8c-11ee-8544-000d3ac6bafe.jpeg</t>
  </si>
  <si>
    <t>https://employee.uc.ac.id/index.php/file/get/sis/t_cp/multi/9966d465-8828-11ee-ae4d-000d3ac6bafe.png</t>
  </si>
  <si>
    <t>https://employee.uc.ac.id/index.php/file/get/sis/t_cp/1248c4a1-7201-11ee-b231-000d3ac6bafe.jpg</t>
  </si>
  <si>
    <t>https://employee.uc.ac.id/index.php/file/get/sis/t_cp/9e27b819-ad0c-11ed-87f5-000d3ac6bafe.jpg</t>
  </si>
  <si>
    <t>https://employee.uc.ac.id/index.php/file/get/sis/t_cp/481197d4-1590-11ee-9279-000d3ac6bafe.jpg</t>
  </si>
  <si>
    <t>https://employee.uc.ac.id/index.php/file/get/sis/t_cp/3b29a2fa-55da-11ee-8778-000d3ac6bafe.jpg</t>
  </si>
  <si>
    <t>https://employee.uc.ac.id/index.php/file/get/sis/t_cp/8718597b-402b-11ee-a77b-000d3ac6bafe.pdf</t>
  </si>
  <si>
    <t>https://employee.uc.ac.id/index.php/file/get/sis/t_cp/47bff96f-9693-11ee-b118-000d3ac6bafe.pdf</t>
  </si>
  <si>
    <t>https://employee.uc.ac.id/index.php/file/get/sis/t_cp/1284ec59-6678-11ee-817b-000d3ac6bafe.jpg</t>
  </si>
  <si>
    <t>https://employee.uc.ac.id/index.php/file/get/sis/t_cp/b0e701a8-6677-11ee-817b-000d3ac6bafe.pdf</t>
  </si>
  <si>
    <t>https://employee.uc.ac.id/index.php/file/get/sis/t_cp/0b050e58-08de-11ee-9976-000d3ac6bafe.png</t>
  </si>
  <si>
    <t>https://employee.uc.ac.id/index.php/file/get/sis/t_cp/62ffa310-55de-11ee-8778-000d3ac6bafe.png</t>
  </si>
  <si>
    <t>https://employee.uc.ac.id/index.php/file/get/sis/t_cp/b2dbd518-0543-11ee-8e8c-000d3ac6bafe.pdf</t>
  </si>
  <si>
    <t>https://employee.uc.ac.id/index.php/file/get/sis/t_cp/378ab227-02ee-11ee-a50e-000d3ac6bafe.jpg</t>
  </si>
  <si>
    <t>https://employee.uc.ac.id/index.php/file/get/sis/t_cp/multi/f6c081fe-76ca-11ee-858c-000d3ac6bafe.png</t>
  </si>
  <si>
    <t>https://employee.uc.ac.id/index.php/file/get/sis/t_cp/multi/dea5331c-ed7e-11ed-894a-000d3ac6bafe.png</t>
  </si>
  <si>
    <t>https://employee.uc.ac.id/index.php/file/get/sis/t_cp/multi/22a9f18e-0412-11ee-ba25-000d3ac6bafe.png</t>
  </si>
  <si>
    <t>https://employee.uc.ac.id/index.php/file/get/sis/t_cp/7bf2a0c5-684f-11ee-86ec-000d3ac6bafe.pdf</t>
  </si>
  <si>
    <t>https://employee.uc.ac.id/index.php/file/get/sis/t_cp/ebe901cd-7935-11ee-8973-000d3ac6bafe.jpg</t>
  </si>
  <si>
    <t>https://employee.uc.ac.id/index.php/file/get/sis/t_cp/497dd414-a7b8-11ed-9a52-000d3ac6bafe.jpg</t>
  </si>
  <si>
    <t>https://employee.uc.ac.id/index.php/file/get/sis/t_cp/96b93c94-c20f-11ed-aeb7-000d3ac6bafe.pdf</t>
  </si>
  <si>
    <t>Row Labels</t>
  </si>
  <si>
    <t>Grand Total</t>
  </si>
  <si>
    <t>Sum of Score</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</si>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</sst>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quot;-&quot;m"/>
    <numFmt numFmtId="165" formatCode="0.000%"/>
  </numFmts>
  <fonts count="29">
    <font>
      <sz val="10"/>
      <color indexed="8"/>
      <name val="Calibri"/>
    </font>
    <font>
      <sz val="15"/>
      <color indexed="8"/>
      <name val="Calibri"/>
    </font>
    <font>
      <b/>
      <sz val="18"/>
      <color indexed="10"/>
      <name val="Calibri"/>
    </font>
    <font>
      <b/>
      <sz val="11"/>
      <color indexed="11"/>
      <name val="Calibri"/>
    </font>
    <font>
      <sz val="11"/>
      <color indexed="8"/>
      <name val="Calibri"/>
    </font>
    <font>
      <sz val="11"/>
      <color indexed="10"/>
      <name val="Calibri"/>
    </font>
    <font>
      <b/>
      <sz val="11"/>
      <color indexed="8"/>
      <name val="Calibri"/>
    </font>
    <font>
      <b/>
      <sz val="11"/>
      <color indexed="11"/>
      <name val="Arial"/>
    </font>
    <font>
      <b/>
      <sz val="9"/>
      <color indexed="11"/>
      <name val="Calibri"/>
    </font>
    <font>
      <b/>
      <sz val="11"/>
      <color indexed="24"/>
      <name val="Calibri"/>
    </font>
    <font>
      <b/>
      <sz val="11"/>
      <color indexed="25"/>
      <name val="Calibri"/>
    </font>
    <font>
      <sz val="11"/>
      <color indexed="24"/>
      <name val="Calibri"/>
    </font>
    <font>
      <sz val="12"/>
      <color indexed="8"/>
      <name val="Arial"/>
    </font>
    <font>
      <b/>
      <sz val="12"/>
      <color indexed="8"/>
      <name val="Calibri"/>
    </font>
    <font>
      <sz val="12"/>
      <color indexed="8"/>
      <name val="Calibri"/>
    </font>
    <font>
      <b/>
      <sz val="12"/>
      <color indexed="34"/>
      <name val="Calibri"/>
    </font>
    <font>
      <sz val="12"/>
      <color indexed="34"/>
      <name val="Calibri"/>
    </font>
    <font>
      <b/>
      <sz val="10"/>
      <color indexed="8"/>
      <name val="Calibri"/>
    </font>
    <font>
      <sz val="12"/>
      <color indexed="36"/>
      <name val="Calibri"/>
    </font>
    <font>
      <sz val="12"/>
      <color indexed="10"/>
      <name val="Calibri"/>
    </font>
    <font>
      <sz val="12"/>
      <color indexed="25"/>
      <name val="Calibri"/>
    </font>
    <font>
      <b/>
      <sz val="16"/>
      <color indexed="8"/>
      <name val="Calibri"/>
    </font>
    <font>
      <b/>
      <sz val="11"/>
      <color indexed="8"/>
      <name val="Arial"/>
    </font>
    <font>
      <sz val="10"/>
      <color indexed="8"/>
      <name val="Arial"/>
    </font>
    <font>
      <b/>
      <sz val="12"/>
      <color indexed="11"/>
      <name val="Calibri"/>
    </font>
    <font>
      <sz val="10"/>
      <color rgb="FF000000"/>
      <name val="Helvetica Neue"/>
      <scheme val="minor"/>
    </font>
    <font>
      <sz val="10"/>
      <color rgb="FF000000"/>
      <name val="Calibri"/>
      <family val="2"/>
    </font>
    <font>
      <u/>
      <sz val="10"/>
      <color theme="10"/>
      <name val="Calibri"/>
    </font>
    <font>
      <sz val="10"/>
      <color indexed="8"/>
      <name val="Calibri"/>
      <family val="2"/>
    </font>
  </fonts>
  <fills count="35">
    <fill>
      <patternFill patternType="none"/>
    </fill>
    <fill>
      <patternFill patternType="gray125"/>
    </fill>
    <fill>
      <patternFill patternType="solid">
        <fgColor indexed="12"/>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3"/>
        <bgColor auto="1"/>
      </patternFill>
    </fill>
    <fill>
      <patternFill patternType="solid">
        <fgColor indexed="35"/>
        <bgColor auto="1"/>
      </patternFill>
    </fill>
    <fill>
      <patternFill patternType="solid">
        <fgColor indexed="37"/>
        <bgColor auto="1"/>
      </patternFill>
    </fill>
    <fill>
      <patternFill patternType="solid">
        <fgColor indexed="38"/>
        <bgColor auto="1"/>
      </patternFill>
    </fill>
    <fill>
      <patternFill patternType="solid">
        <fgColor indexed="41"/>
        <bgColor auto="1"/>
      </patternFill>
    </fill>
    <fill>
      <patternFill patternType="solid">
        <fgColor indexed="42"/>
        <bgColor auto="1"/>
      </patternFill>
    </fill>
    <fill>
      <patternFill patternType="solid">
        <fgColor indexed="43"/>
        <bgColor auto="1"/>
      </patternFill>
    </fill>
    <fill>
      <patternFill patternType="solid">
        <fgColor indexed="44"/>
        <bgColor auto="1"/>
      </patternFill>
    </fill>
    <fill>
      <patternFill patternType="solid">
        <fgColor indexed="45"/>
        <bgColor auto="1"/>
      </patternFill>
    </fill>
    <fill>
      <patternFill patternType="solid">
        <fgColor indexed="8"/>
        <bgColor auto="1"/>
      </patternFill>
    </fill>
    <fill>
      <patternFill patternType="solid">
        <fgColor indexed="46"/>
        <bgColor auto="1"/>
      </patternFill>
    </fill>
    <fill>
      <patternFill patternType="solid">
        <fgColor indexed="47"/>
        <bgColor auto="1"/>
      </patternFill>
    </fill>
    <fill>
      <patternFill patternType="solid">
        <fgColor rgb="FFFFFF00"/>
        <bgColor indexed="64"/>
      </patternFill>
    </fill>
  </fills>
  <borders count="78">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indexed="9"/>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8"/>
      </right>
      <top style="thin">
        <color indexed="9"/>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style="thin">
        <color indexed="8"/>
      </bottom>
      <diagonal/>
    </border>
    <border>
      <left/>
      <right style="thin">
        <color indexed="9"/>
      </right>
      <top style="thin">
        <color indexed="9"/>
      </top>
      <bottom style="thin">
        <color indexed="9"/>
      </bottom>
      <diagonal/>
    </border>
    <border>
      <left style="thin">
        <color indexed="9"/>
      </left>
      <right/>
      <top style="thin">
        <color indexed="9"/>
      </top>
      <bottom/>
      <diagonal/>
    </border>
    <border>
      <left/>
      <right/>
      <top/>
      <bottom/>
      <diagonal/>
    </border>
    <border>
      <left/>
      <right style="thin">
        <color indexed="9"/>
      </right>
      <top style="thin">
        <color indexed="9"/>
      </top>
      <bottom/>
      <diagonal/>
    </border>
    <border>
      <left/>
      <right style="thin">
        <color indexed="9"/>
      </right>
      <top/>
      <bottom style="thin">
        <color indexed="9"/>
      </bottom>
      <diagonal/>
    </border>
    <border>
      <left style="thin">
        <color indexed="9"/>
      </left>
      <right style="thin">
        <color indexed="9"/>
      </right>
      <top/>
      <bottom style="thin">
        <color indexed="9"/>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9"/>
      </right>
      <top/>
      <bottom style="thin">
        <color indexed="8"/>
      </bottom>
      <diagonal/>
    </border>
    <border>
      <left style="thin">
        <color indexed="9"/>
      </left>
      <right style="thin">
        <color indexed="9"/>
      </right>
      <top/>
      <bottom style="thin">
        <color indexed="8"/>
      </bottom>
      <diagonal/>
    </border>
    <border>
      <left style="thin">
        <color indexed="9"/>
      </left>
      <right style="thin">
        <color indexed="8"/>
      </right>
      <top/>
      <bottom style="thin">
        <color indexed="8"/>
      </bottom>
      <diagonal/>
    </border>
    <border>
      <left/>
      <right/>
      <top style="thin">
        <color indexed="8"/>
      </top>
      <bottom style="thin">
        <color indexed="8"/>
      </bottom>
      <diagonal/>
    </border>
    <border>
      <left style="thin">
        <color indexed="9"/>
      </left>
      <right/>
      <top/>
      <bottom style="thin">
        <color indexed="8"/>
      </bottom>
      <diagonal/>
    </border>
    <border>
      <left/>
      <right style="thin">
        <color indexed="8"/>
      </right>
      <top style="thin">
        <color indexed="8"/>
      </top>
      <bottom style="thin">
        <color indexed="8"/>
      </bottom>
      <diagonal/>
    </border>
    <border>
      <left/>
      <right style="thin">
        <color indexed="9"/>
      </right>
      <top/>
      <bottom/>
      <diagonal/>
    </border>
    <border>
      <left/>
      <right style="thin">
        <color indexed="9"/>
      </right>
      <top/>
      <bottom style="thin">
        <color indexed="8"/>
      </bottom>
      <diagonal/>
    </border>
    <border>
      <left/>
      <right style="thin">
        <color indexed="9"/>
      </right>
      <top style="thin">
        <color indexed="9"/>
      </top>
      <bottom style="thin">
        <color indexed="8"/>
      </bottom>
      <diagonal/>
    </border>
    <border>
      <left/>
      <right style="thin">
        <color indexed="9"/>
      </right>
      <top style="thin">
        <color indexed="8"/>
      </top>
      <bottom style="thin">
        <color indexed="9"/>
      </bottom>
      <diagonal/>
    </border>
    <border>
      <left style="thin">
        <color indexed="8"/>
      </left>
      <right style="thin">
        <color indexed="8"/>
      </right>
      <top/>
      <bottom style="thin">
        <color indexed="9"/>
      </bottom>
      <diagonal/>
    </border>
    <border>
      <left style="thin">
        <color indexed="8"/>
      </left>
      <right style="thin">
        <color indexed="9"/>
      </right>
      <top/>
      <bottom style="thin">
        <color indexed="9"/>
      </bottom>
      <diagonal/>
    </border>
    <border>
      <left style="thin">
        <color indexed="9"/>
      </left>
      <right style="thin">
        <color indexed="9"/>
      </right>
      <top style="thin">
        <color indexed="8"/>
      </top>
      <bottom/>
      <diagonal/>
    </border>
    <border>
      <left style="thin">
        <color indexed="9"/>
      </left>
      <right/>
      <top style="thin">
        <color indexed="8"/>
      </top>
      <bottom style="thin">
        <color indexed="8"/>
      </bottom>
      <diagonal/>
    </border>
    <border>
      <left style="thin">
        <color indexed="8"/>
      </left>
      <right/>
      <top/>
      <bottom style="thin">
        <color indexed="8"/>
      </bottom>
      <diagonal/>
    </border>
    <border>
      <left style="thin">
        <color indexed="9"/>
      </left>
      <right/>
      <top style="thin">
        <color indexed="9"/>
      </top>
      <bottom style="thin">
        <color indexed="8"/>
      </bottom>
      <diagonal/>
    </border>
    <border>
      <left/>
      <right/>
      <top style="thin">
        <color indexed="9"/>
      </top>
      <bottom style="thin">
        <color indexed="8"/>
      </bottom>
      <diagonal/>
    </border>
    <border>
      <left style="thin">
        <color indexed="8"/>
      </left>
      <right style="thin">
        <color indexed="9"/>
      </right>
      <top style="thin">
        <color indexed="9"/>
      </top>
      <bottom style="thin">
        <color indexed="8"/>
      </bottom>
      <diagonal/>
    </border>
    <border>
      <left style="thin">
        <color indexed="9"/>
      </left>
      <right style="thin">
        <color indexed="8"/>
      </right>
      <top style="thin">
        <color indexed="9"/>
      </top>
      <bottom/>
      <diagonal/>
    </border>
    <border>
      <left style="thin">
        <color indexed="9"/>
      </left>
      <right style="thin">
        <color indexed="8"/>
      </right>
      <top/>
      <bottom/>
      <diagonal/>
    </border>
    <border>
      <left style="thin">
        <color indexed="9"/>
      </left>
      <right style="thin">
        <color indexed="8"/>
      </right>
      <top/>
      <bottom style="thin">
        <color indexed="9"/>
      </bottom>
      <diagonal/>
    </border>
    <border>
      <left/>
      <right style="thin">
        <color indexed="8"/>
      </right>
      <top/>
      <bottom/>
      <diagonal/>
    </border>
    <border>
      <left style="thin">
        <color indexed="8"/>
      </left>
      <right/>
      <top style="thin">
        <color indexed="9"/>
      </top>
      <bottom style="thin">
        <color indexed="9"/>
      </bottom>
      <diagonal/>
    </border>
    <border>
      <left/>
      <right/>
      <top style="thin">
        <color indexed="9"/>
      </top>
      <bottom style="thin">
        <color indexed="9"/>
      </bottom>
      <diagonal/>
    </border>
    <border>
      <left style="thin">
        <color indexed="9"/>
      </left>
      <right style="thin">
        <color indexed="9"/>
      </right>
      <top/>
      <bottom/>
      <diagonal/>
    </border>
    <border>
      <left style="thin">
        <color indexed="9"/>
      </left>
      <right style="thin">
        <color indexed="8"/>
      </right>
      <top style="thin">
        <color indexed="8"/>
      </top>
      <bottom style="thin">
        <color indexed="9"/>
      </bottom>
      <diagonal/>
    </border>
    <border>
      <left style="thin">
        <color indexed="9"/>
      </left>
      <right/>
      <top/>
      <bottom style="thin">
        <color indexed="9"/>
      </bottom>
      <diagonal/>
    </border>
    <border>
      <left style="thin">
        <color indexed="9"/>
      </left>
      <right/>
      <top/>
      <bottom/>
      <diagonal/>
    </border>
    <border>
      <left/>
      <right style="thin">
        <color indexed="8"/>
      </right>
      <top style="thin">
        <color indexed="9"/>
      </top>
      <bottom style="thin">
        <color indexed="9"/>
      </bottom>
      <diagonal/>
    </border>
    <border>
      <left style="thin">
        <color indexed="39"/>
      </left>
      <right style="thin">
        <color indexed="39"/>
      </right>
      <top style="thin">
        <color indexed="39"/>
      </top>
      <bottom style="thin">
        <color indexed="40"/>
      </bottom>
      <diagonal/>
    </border>
    <border>
      <left style="thin">
        <color indexed="39"/>
      </left>
      <right style="thin">
        <color indexed="40"/>
      </right>
      <top style="thin">
        <color indexed="40"/>
      </top>
      <bottom style="thin">
        <color indexed="39"/>
      </bottom>
      <diagonal/>
    </border>
    <border>
      <left style="thin">
        <color indexed="40"/>
      </left>
      <right style="thin">
        <color indexed="39"/>
      </right>
      <top style="thin">
        <color indexed="40"/>
      </top>
      <bottom style="thin">
        <color indexed="39"/>
      </bottom>
      <diagonal/>
    </border>
    <border>
      <left style="thin">
        <color indexed="39"/>
      </left>
      <right style="thin">
        <color indexed="39"/>
      </right>
      <top style="thin">
        <color indexed="40"/>
      </top>
      <bottom style="thin">
        <color indexed="39"/>
      </bottom>
      <diagonal/>
    </border>
    <border>
      <left style="thin">
        <color indexed="39"/>
      </left>
      <right style="thin">
        <color indexed="40"/>
      </right>
      <top style="thin">
        <color indexed="39"/>
      </top>
      <bottom style="thin">
        <color indexed="39"/>
      </bottom>
      <diagonal/>
    </border>
    <border>
      <left style="thin">
        <color indexed="40"/>
      </left>
      <right style="thin">
        <color indexed="39"/>
      </right>
      <top style="thin">
        <color indexed="39"/>
      </top>
      <bottom style="thin">
        <color indexed="39"/>
      </bottom>
      <diagonal/>
    </border>
    <border>
      <left style="thin">
        <color indexed="39"/>
      </left>
      <right style="thin">
        <color indexed="39"/>
      </right>
      <top style="thin">
        <color indexed="39"/>
      </top>
      <bottom style="thin">
        <color indexed="39"/>
      </bottom>
      <diagonal/>
    </border>
    <border>
      <left style="thin">
        <color indexed="9"/>
      </left>
      <right style="thin">
        <color indexed="9"/>
      </right>
      <top style="thin">
        <color indexed="9"/>
      </top>
      <bottom style="thin">
        <color indexed="30"/>
      </bottom>
      <diagonal/>
    </border>
    <border>
      <left style="thin">
        <color indexed="30"/>
      </left>
      <right style="thin">
        <color indexed="30"/>
      </right>
      <top style="thin">
        <color indexed="30"/>
      </top>
      <bottom style="thin">
        <color indexed="30"/>
      </bottom>
      <diagonal/>
    </border>
    <border>
      <left style="thin">
        <color indexed="30"/>
      </left>
      <right style="thin">
        <color indexed="30"/>
      </right>
      <top style="thin">
        <color indexed="30"/>
      </top>
      <bottom/>
      <diagonal/>
    </border>
    <border>
      <left style="thin">
        <color indexed="30"/>
      </left>
      <right style="thin">
        <color indexed="30"/>
      </right>
      <top/>
      <bottom/>
      <diagonal/>
    </border>
    <border>
      <left style="thin">
        <color indexed="30"/>
      </left>
      <right style="thin">
        <color indexed="9"/>
      </right>
      <top style="thin">
        <color indexed="9"/>
      </top>
      <bottom style="thin">
        <color indexed="9"/>
      </bottom>
      <diagonal/>
    </border>
    <border>
      <left style="thin">
        <color indexed="9"/>
      </left>
      <right style="thin">
        <color indexed="9"/>
      </right>
      <top style="thin">
        <color indexed="30"/>
      </top>
      <bottom style="thin">
        <color indexed="30"/>
      </bottom>
      <diagonal/>
    </border>
    <border>
      <left/>
      <right/>
      <top style="thin">
        <color indexed="30"/>
      </top>
      <bottom style="thin">
        <color indexed="30"/>
      </bottom>
      <diagonal/>
    </border>
    <border>
      <left style="thin">
        <color indexed="9"/>
      </left>
      <right style="thin">
        <color indexed="30"/>
      </right>
      <top style="thin">
        <color indexed="30"/>
      </top>
      <bottom style="thin">
        <color indexed="30"/>
      </bottom>
      <diagonal/>
    </border>
    <border>
      <left style="thin">
        <color indexed="9"/>
      </left>
      <right style="thin">
        <color indexed="9"/>
      </right>
      <top style="thin">
        <color indexed="30"/>
      </top>
      <bottom style="thin">
        <color indexed="9"/>
      </bottom>
      <diagonal/>
    </border>
    <border>
      <left style="thin">
        <color indexed="9"/>
      </left>
      <right style="thin">
        <color indexed="8"/>
      </right>
      <top style="thin">
        <color indexed="9"/>
      </top>
      <bottom style="thin">
        <color indexed="8"/>
      </bottom>
      <diagonal/>
    </border>
    <border>
      <left style="thin">
        <color indexed="8"/>
      </left>
      <right style="thin">
        <color indexed="9"/>
      </right>
      <top/>
      <bottom/>
      <diagonal/>
    </border>
    <border>
      <left/>
      <right/>
      <top/>
      <bottom style="thin">
        <color indexed="9"/>
      </bottom>
      <diagonal/>
    </border>
    <border>
      <left style="thin">
        <color indexed="64"/>
      </left>
      <right style="thin">
        <color indexed="64"/>
      </right>
      <top style="thin">
        <color indexed="64"/>
      </top>
      <bottom style="thin">
        <color indexed="9"/>
      </bottom>
      <diagonal/>
    </border>
    <border>
      <left style="thin">
        <color indexed="64"/>
      </left>
      <right style="thin">
        <color indexed="64"/>
      </right>
      <top/>
      <bottom/>
      <diagonal/>
    </border>
  </borders>
  <cellStyleXfs count="3">
    <xf numFmtId="0" fontId="0" fillId="0" borderId="0" applyNumberFormat="0" applyFill="0" applyBorder="0" applyProtection="0"/>
    <xf numFmtId="0" fontId="25" fillId="0" borderId="21"/>
    <xf numFmtId="0" fontId="27" fillId="0" borderId="0" applyNumberFormat="0" applyFill="0" applyBorder="0" applyAlignment="0" applyProtection="0"/>
  </cellStyleXfs>
  <cellXfs count="564">
    <xf numFmtId="0" fontId="0" fillId="0" borderId="0" xfId="0"/>
    <xf numFmtId="0" fontId="0" fillId="0" borderId="0" xfId="0" applyNumberFormat="1"/>
    <xf numFmtId="0" fontId="0" fillId="0" borderId="1" xfId="0" applyBorder="1"/>
    <xf numFmtId="49" fontId="0" fillId="0" borderId="1" xfId="0" applyNumberFormat="1" applyBorder="1"/>
    <xf numFmtId="9" fontId="0" fillId="0" borderId="1" xfId="0" applyNumberFormat="1" applyBorder="1"/>
    <xf numFmtId="0" fontId="0" fillId="0" borderId="1" xfId="0" applyNumberFormat="1" applyBorder="1"/>
    <xf numFmtId="49" fontId="2" fillId="0" borderId="1" xfId="0" applyNumberFormat="1" applyFont="1" applyBorder="1"/>
    <xf numFmtId="0" fontId="0" fillId="0" borderId="2" xfId="0" applyBorder="1"/>
    <xf numFmtId="0" fontId="0" fillId="0" borderId="3" xfId="0" applyBorder="1"/>
    <xf numFmtId="0" fontId="0" fillId="0" borderId="7" xfId="0" applyBorder="1"/>
    <xf numFmtId="0" fontId="0" fillId="0" borderId="9" xfId="0" applyBorder="1"/>
    <xf numFmtId="49" fontId="3" fillId="2" borderId="11" xfId="0" applyNumberFormat="1" applyFont="1" applyFill="1" applyBorder="1" applyAlignment="1">
      <alignment horizontal="center"/>
    </xf>
    <xf numFmtId="49" fontId="4" fillId="0" borderId="11" xfId="0" applyNumberFormat="1" applyFont="1" applyBorder="1"/>
    <xf numFmtId="49" fontId="5" fillId="3" borderId="11" xfId="0" applyNumberFormat="1" applyFont="1" applyFill="1" applyBorder="1" applyAlignment="1">
      <alignment wrapText="1"/>
    </xf>
    <xf numFmtId="0" fontId="0" fillId="4" borderId="11" xfId="0" applyFill="1" applyBorder="1"/>
    <xf numFmtId="10" fontId="0" fillId="4" borderId="11" xfId="0" applyNumberFormat="1" applyFill="1" applyBorder="1"/>
    <xf numFmtId="0" fontId="0" fillId="0" borderId="11" xfId="0" applyBorder="1"/>
    <xf numFmtId="10" fontId="0" fillId="0" borderId="11" xfId="0" applyNumberFormat="1" applyBorder="1"/>
    <xf numFmtId="9" fontId="0" fillId="0" borderId="11" xfId="0" applyNumberFormat="1" applyBorder="1"/>
    <xf numFmtId="49" fontId="6" fillId="0" borderId="1" xfId="0" applyNumberFormat="1" applyFont="1" applyBorder="1" applyAlignment="1">
      <alignment horizontal="center"/>
    </xf>
    <xf numFmtId="10" fontId="4" fillId="0" borderId="1" xfId="0" applyNumberFormat="1" applyFont="1" applyBorder="1" applyAlignment="1">
      <alignment horizontal="center"/>
    </xf>
    <xf numFmtId="10" fontId="4" fillId="4" borderId="11" xfId="0" applyNumberFormat="1" applyFont="1" applyFill="1" applyBorder="1" applyAlignment="1">
      <alignment horizontal="center"/>
    </xf>
    <xf numFmtId="10" fontId="4" fillId="0" borderId="11" xfId="0" applyNumberFormat="1" applyFont="1" applyBorder="1" applyAlignment="1">
      <alignment horizontal="center"/>
    </xf>
    <xf numFmtId="0" fontId="0" fillId="0" borderId="15" xfId="0" applyBorder="1"/>
    <xf numFmtId="10" fontId="0" fillId="0" borderId="1" xfId="0" applyNumberFormat="1" applyBorder="1"/>
    <xf numFmtId="0" fontId="0" fillId="0" borderId="16" xfId="0" applyBorder="1"/>
    <xf numFmtId="0" fontId="0" fillId="0" borderId="17" xfId="0" applyBorder="1"/>
    <xf numFmtId="49" fontId="6" fillId="5" borderId="18" xfId="0" applyNumberFormat="1" applyFont="1" applyFill="1" applyBorder="1"/>
    <xf numFmtId="0" fontId="0" fillId="5" borderId="18" xfId="0" applyFill="1" applyBorder="1"/>
    <xf numFmtId="49" fontId="6" fillId="6" borderId="18" xfId="0" applyNumberFormat="1" applyFont="1" applyFill="1" applyBorder="1"/>
    <xf numFmtId="0" fontId="0" fillId="6" borderId="18" xfId="0" applyFill="1" applyBorder="1"/>
    <xf numFmtId="0" fontId="0" fillId="0" borderId="19" xfId="0" applyBorder="1"/>
    <xf numFmtId="49" fontId="3" fillId="2" borderId="11" xfId="0" applyNumberFormat="1" applyFont="1" applyFill="1" applyBorder="1" applyAlignment="1">
      <alignment horizontal="center" wrapText="1"/>
    </xf>
    <xf numFmtId="49" fontId="6" fillId="3" borderId="1" xfId="0" applyNumberFormat="1" applyFont="1" applyFill="1" applyBorder="1" applyAlignment="1">
      <alignment horizontal="center" wrapText="1"/>
    </xf>
    <xf numFmtId="164" fontId="3" fillId="2" borderId="11" xfId="0" applyNumberFormat="1" applyFont="1" applyFill="1" applyBorder="1" applyAlignment="1">
      <alignment horizontal="center" wrapText="1"/>
    </xf>
    <xf numFmtId="9" fontId="6" fillId="0" borderId="1" xfId="0" applyNumberFormat="1" applyFont="1" applyBorder="1" applyAlignment="1">
      <alignment horizontal="center"/>
    </xf>
    <xf numFmtId="10" fontId="4" fillId="7" borderId="11" xfId="0" applyNumberFormat="1" applyFont="1" applyFill="1" applyBorder="1" applyAlignment="1">
      <alignment horizontal="center"/>
    </xf>
    <xf numFmtId="49" fontId="4" fillId="4" borderId="11" xfId="0" applyNumberFormat="1" applyFont="1" applyFill="1" applyBorder="1" applyAlignment="1">
      <alignment horizontal="center"/>
    </xf>
    <xf numFmtId="49" fontId="6" fillId="0" borderId="11" xfId="0" applyNumberFormat="1" applyFont="1" applyBorder="1"/>
    <xf numFmtId="10" fontId="6" fillId="7" borderId="11" xfId="0" applyNumberFormat="1" applyFont="1" applyFill="1" applyBorder="1" applyAlignment="1">
      <alignment horizontal="center"/>
    </xf>
    <xf numFmtId="49" fontId="6" fillId="4" borderId="11" xfId="0" applyNumberFormat="1" applyFont="1" applyFill="1" applyBorder="1" applyAlignment="1">
      <alignment horizontal="center"/>
    </xf>
    <xf numFmtId="10" fontId="6" fillId="4" borderId="11" xfId="0" applyNumberFormat="1" applyFont="1" applyFill="1" applyBorder="1" applyAlignment="1">
      <alignment horizontal="center"/>
    </xf>
    <xf numFmtId="10" fontId="6" fillId="0" borderId="1" xfId="0" applyNumberFormat="1" applyFont="1" applyBorder="1" applyAlignment="1">
      <alignment horizontal="center"/>
    </xf>
    <xf numFmtId="49" fontId="4" fillId="8" borderId="11" xfId="0" applyNumberFormat="1" applyFont="1" applyFill="1" applyBorder="1"/>
    <xf numFmtId="49" fontId="4" fillId="7" borderId="11" xfId="0" applyNumberFormat="1" applyFont="1" applyFill="1" applyBorder="1" applyAlignment="1">
      <alignment horizontal="center"/>
    </xf>
    <xf numFmtId="49" fontId="4" fillId="9" borderId="11" xfId="0" applyNumberFormat="1" applyFont="1" applyFill="1" applyBorder="1"/>
    <xf numFmtId="10" fontId="0" fillId="0" borderId="15" xfId="0" applyNumberFormat="1" applyBorder="1"/>
    <xf numFmtId="1" fontId="0" fillId="0" borderId="15" xfId="0" applyNumberFormat="1" applyBorder="1"/>
    <xf numFmtId="10" fontId="0" fillId="0" borderId="16" xfId="0" applyNumberFormat="1" applyBorder="1"/>
    <xf numFmtId="1" fontId="0" fillId="0" borderId="16" xfId="0" applyNumberFormat="1" applyBorder="1"/>
    <xf numFmtId="0" fontId="0" fillId="0" borderId="20" xfId="0" applyBorder="1"/>
    <xf numFmtId="0" fontId="0" fillId="10" borderId="21" xfId="0" applyFill="1" applyBorder="1"/>
    <xf numFmtId="10" fontId="0" fillId="10" borderId="21" xfId="0" applyNumberFormat="1" applyFill="1" applyBorder="1"/>
    <xf numFmtId="0" fontId="0" fillId="11" borderId="21" xfId="0" applyFill="1" applyBorder="1"/>
    <xf numFmtId="0" fontId="0" fillId="0" borderId="21" xfId="0" applyBorder="1"/>
    <xf numFmtId="0" fontId="0" fillId="0" borderId="22" xfId="0" applyBorder="1"/>
    <xf numFmtId="0" fontId="0" fillId="12" borderId="21" xfId="0" applyFill="1" applyBorder="1"/>
    <xf numFmtId="0" fontId="0" fillId="6" borderId="21" xfId="0" applyFill="1" applyBorder="1"/>
    <xf numFmtId="0" fontId="0" fillId="11" borderId="18" xfId="0" applyFill="1" applyBorder="1"/>
    <xf numFmtId="49" fontId="6" fillId="10" borderId="18" xfId="0" applyNumberFormat="1" applyFont="1" applyFill="1" applyBorder="1"/>
    <xf numFmtId="0" fontId="0" fillId="10" borderId="18" xfId="0" applyFill="1" applyBorder="1"/>
    <xf numFmtId="49" fontId="6" fillId="11" borderId="18" xfId="0" applyNumberFormat="1" applyFont="1" applyFill="1" applyBorder="1"/>
    <xf numFmtId="0" fontId="0" fillId="0" borderId="23" xfId="0" applyBorder="1"/>
    <xf numFmtId="0" fontId="0" fillId="0" borderId="24" xfId="0" applyBorder="1"/>
    <xf numFmtId="1" fontId="4" fillId="13" borderId="11" xfId="0" applyNumberFormat="1" applyFont="1" applyFill="1" applyBorder="1" applyAlignment="1">
      <alignment horizontal="center"/>
    </xf>
    <xf numFmtId="10" fontId="4" fillId="13" borderId="11" xfId="0" applyNumberFormat="1" applyFont="1" applyFill="1" applyBorder="1" applyAlignment="1">
      <alignment horizontal="center"/>
    </xf>
    <xf numFmtId="1" fontId="4" fillId="14" borderId="11" xfId="0" applyNumberFormat="1" applyFont="1" applyFill="1" applyBorder="1" applyAlignment="1">
      <alignment horizontal="center"/>
    </xf>
    <xf numFmtId="10" fontId="4" fillId="14" borderId="11" xfId="0" applyNumberFormat="1" applyFont="1" applyFill="1" applyBorder="1" applyAlignment="1">
      <alignment horizontal="center"/>
    </xf>
    <xf numFmtId="1" fontId="0" fillId="4" borderId="11" xfId="0" applyNumberFormat="1" applyFill="1" applyBorder="1"/>
    <xf numFmtId="1" fontId="4" fillId="7" borderId="11" xfId="0" applyNumberFormat="1" applyFont="1" applyFill="1" applyBorder="1" applyAlignment="1">
      <alignment horizontal="center"/>
    </xf>
    <xf numFmtId="1" fontId="4" fillId="4" borderId="11" xfId="0" applyNumberFormat="1" applyFont="1" applyFill="1" applyBorder="1" applyAlignment="1">
      <alignment horizontal="center"/>
    </xf>
    <xf numFmtId="1" fontId="6" fillId="14" borderId="11" xfId="0" applyNumberFormat="1" applyFont="1" applyFill="1" applyBorder="1" applyAlignment="1">
      <alignment horizontal="center"/>
    </xf>
    <xf numFmtId="10" fontId="6" fillId="14" borderId="11" xfId="0" applyNumberFormat="1" applyFont="1" applyFill="1" applyBorder="1" applyAlignment="1">
      <alignment horizontal="center"/>
    </xf>
    <xf numFmtId="1" fontId="9" fillId="4" borderId="11" xfId="0" applyNumberFormat="1" applyFont="1" applyFill="1" applyBorder="1" applyAlignment="1">
      <alignment horizontal="center"/>
    </xf>
    <xf numFmtId="10" fontId="6" fillId="13" borderId="11" xfId="0" applyNumberFormat="1" applyFont="1" applyFill="1" applyBorder="1" applyAlignment="1">
      <alignment horizontal="center"/>
    </xf>
    <xf numFmtId="1" fontId="6" fillId="13" borderId="11" xfId="0" applyNumberFormat="1" applyFont="1" applyFill="1" applyBorder="1" applyAlignment="1">
      <alignment horizontal="center"/>
    </xf>
    <xf numFmtId="1" fontId="10" fillId="7" borderId="11" xfId="0" applyNumberFormat="1" applyFont="1" applyFill="1" applyBorder="1" applyAlignment="1">
      <alignment horizontal="center"/>
    </xf>
    <xf numFmtId="0" fontId="9" fillId="4" borderId="11" xfId="0" applyNumberFormat="1" applyFont="1" applyFill="1" applyBorder="1" applyAlignment="1">
      <alignment horizontal="center"/>
    </xf>
    <xf numFmtId="1" fontId="6" fillId="4" borderId="11" xfId="0" applyNumberFormat="1" applyFont="1" applyFill="1" applyBorder="1" applyAlignment="1">
      <alignment horizontal="center"/>
    </xf>
    <xf numFmtId="0" fontId="0" fillId="13" borderId="11" xfId="0" applyFill="1" applyBorder="1"/>
    <xf numFmtId="49" fontId="4" fillId="13" borderId="11" xfId="0" applyNumberFormat="1" applyFont="1" applyFill="1" applyBorder="1" applyAlignment="1">
      <alignment horizontal="center"/>
    </xf>
    <xf numFmtId="49" fontId="11" fillId="4" borderId="11" xfId="0" applyNumberFormat="1" applyFont="1" applyFill="1" applyBorder="1" applyAlignment="1">
      <alignment horizontal="center"/>
    </xf>
    <xf numFmtId="0" fontId="4" fillId="14" borderId="11" xfId="0" applyNumberFormat="1" applyFont="1" applyFill="1" applyBorder="1" applyAlignment="1">
      <alignment horizontal="center"/>
    </xf>
    <xf numFmtId="49" fontId="4" fillId="14" borderId="11" xfId="0" applyNumberFormat="1" applyFont="1" applyFill="1" applyBorder="1" applyAlignment="1">
      <alignment horizontal="center"/>
    </xf>
    <xf numFmtId="0" fontId="4" fillId="13" borderId="11" xfId="0" applyNumberFormat="1" applyFont="1" applyFill="1" applyBorder="1" applyAlignment="1">
      <alignment horizontal="center"/>
    </xf>
    <xf numFmtId="0" fontId="0" fillId="13" borderId="11" xfId="0" applyNumberFormat="1" applyFill="1" applyBorder="1"/>
    <xf numFmtId="1" fontId="0" fillId="13" borderId="11" xfId="0" applyNumberFormat="1" applyFill="1" applyBorder="1"/>
    <xf numFmtId="1" fontId="9" fillId="13" borderId="11" xfId="0" applyNumberFormat="1" applyFont="1" applyFill="1" applyBorder="1" applyAlignment="1">
      <alignment horizontal="center"/>
    </xf>
    <xf numFmtId="0" fontId="9" fillId="7" borderId="11" xfId="0" applyNumberFormat="1" applyFont="1" applyFill="1" applyBorder="1" applyAlignment="1">
      <alignment horizontal="center"/>
    </xf>
    <xf numFmtId="1" fontId="9" fillId="7" borderId="11" xfId="0" applyNumberFormat="1" applyFont="1" applyFill="1" applyBorder="1" applyAlignment="1">
      <alignment horizontal="center"/>
    </xf>
    <xf numFmtId="10" fontId="0" fillId="14" borderId="11" xfId="0" applyNumberFormat="1" applyFill="1" applyBorder="1"/>
    <xf numFmtId="10" fontId="0" fillId="13" borderId="11" xfId="0" applyNumberFormat="1" applyFill="1" applyBorder="1"/>
    <xf numFmtId="0" fontId="9" fillId="13" borderId="11" xfId="0" applyNumberFormat="1" applyFont="1" applyFill="1" applyBorder="1" applyAlignment="1">
      <alignment horizontal="center"/>
    </xf>
    <xf numFmtId="0" fontId="9" fillId="14" borderId="11" xfId="0" applyNumberFormat="1" applyFont="1" applyFill="1" applyBorder="1" applyAlignment="1">
      <alignment horizontal="center"/>
    </xf>
    <xf numFmtId="49" fontId="11" fillId="13" borderId="11" xfId="0" applyNumberFormat="1" applyFont="1" applyFill="1" applyBorder="1" applyAlignment="1">
      <alignment horizontal="center"/>
    </xf>
    <xf numFmtId="49" fontId="9" fillId="13" borderId="11" xfId="0" applyNumberFormat="1" applyFont="1" applyFill="1" applyBorder="1" applyAlignment="1">
      <alignment horizontal="center"/>
    </xf>
    <xf numFmtId="49" fontId="11" fillId="14" borderId="11" xfId="0" applyNumberFormat="1" applyFont="1" applyFill="1" applyBorder="1" applyAlignment="1">
      <alignment horizontal="center"/>
    </xf>
    <xf numFmtId="0" fontId="4" fillId="4" borderId="11" xfId="0" applyNumberFormat="1" applyFont="1" applyFill="1" applyBorder="1" applyAlignment="1">
      <alignment horizontal="center"/>
    </xf>
    <xf numFmtId="0" fontId="11" fillId="13" borderId="11" xfId="0" applyNumberFormat="1" applyFont="1" applyFill="1" applyBorder="1" applyAlignment="1">
      <alignment horizontal="center"/>
    </xf>
    <xf numFmtId="0" fontId="11" fillId="14" borderId="11" xfId="0" applyNumberFormat="1" applyFont="1" applyFill="1" applyBorder="1" applyAlignment="1">
      <alignment horizontal="center"/>
    </xf>
    <xf numFmtId="49" fontId="0" fillId="7" borderId="11" xfId="0" applyNumberFormat="1" applyFill="1" applyBorder="1"/>
    <xf numFmtId="10" fontId="0" fillId="7" borderId="11" xfId="0" applyNumberFormat="1" applyFill="1" applyBorder="1"/>
    <xf numFmtId="49" fontId="0" fillId="4" borderId="11" xfId="0" applyNumberFormat="1" applyFill="1" applyBorder="1"/>
    <xf numFmtId="49" fontId="3" fillId="2" borderId="33" xfId="0" applyNumberFormat="1" applyFont="1" applyFill="1" applyBorder="1" applyAlignment="1">
      <alignment horizontal="center" wrapText="1"/>
    </xf>
    <xf numFmtId="49" fontId="11" fillId="7" borderId="11" xfId="0" applyNumberFormat="1" applyFont="1" applyFill="1" applyBorder="1" applyAlignment="1">
      <alignment horizontal="center"/>
    </xf>
    <xf numFmtId="0" fontId="4" fillId="4" borderId="11" xfId="0" applyNumberFormat="1" applyFont="1" applyFill="1" applyBorder="1" applyAlignment="1">
      <alignment horizontal="right"/>
    </xf>
    <xf numFmtId="0" fontId="11" fillId="13" borderId="11" xfId="0" applyNumberFormat="1" applyFont="1" applyFill="1" applyBorder="1" applyAlignment="1">
      <alignment horizontal="right"/>
    </xf>
    <xf numFmtId="1" fontId="4" fillId="14" borderId="11" xfId="0" applyNumberFormat="1" applyFont="1" applyFill="1" applyBorder="1" applyAlignment="1">
      <alignment horizontal="right"/>
    </xf>
    <xf numFmtId="1" fontId="4" fillId="13" borderId="11" xfId="0" applyNumberFormat="1" applyFont="1" applyFill="1" applyBorder="1" applyAlignment="1">
      <alignment horizontal="right"/>
    </xf>
    <xf numFmtId="1" fontId="4" fillId="7" borderId="11" xfId="0" applyNumberFormat="1" applyFont="1" applyFill="1" applyBorder="1" applyAlignment="1">
      <alignment horizontal="right"/>
    </xf>
    <xf numFmtId="1" fontId="4" fillId="4" borderId="11" xfId="0" applyNumberFormat="1" applyFont="1" applyFill="1" applyBorder="1" applyAlignment="1">
      <alignment horizontal="right"/>
    </xf>
    <xf numFmtId="1" fontId="11" fillId="13" borderId="11" xfId="0" applyNumberFormat="1" applyFont="1" applyFill="1" applyBorder="1" applyAlignment="1">
      <alignment horizontal="right"/>
    </xf>
    <xf numFmtId="1" fontId="9" fillId="13" borderId="11" xfId="0" applyNumberFormat="1" applyFont="1" applyFill="1" applyBorder="1" applyAlignment="1">
      <alignment horizontal="right"/>
    </xf>
    <xf numFmtId="1" fontId="9" fillId="4" borderId="11" xfId="0" applyNumberFormat="1" applyFont="1" applyFill="1" applyBorder="1" applyAlignment="1">
      <alignment horizontal="right"/>
    </xf>
    <xf numFmtId="0" fontId="4" fillId="14" borderId="11" xfId="0" applyNumberFormat="1" applyFont="1" applyFill="1" applyBorder="1" applyAlignment="1">
      <alignment horizontal="right"/>
    </xf>
    <xf numFmtId="0" fontId="4" fillId="13" borderId="11" xfId="0" applyNumberFormat="1" applyFont="1" applyFill="1" applyBorder="1" applyAlignment="1">
      <alignment horizontal="right"/>
    </xf>
    <xf numFmtId="10" fontId="4" fillId="14" borderId="11" xfId="0" applyNumberFormat="1" applyFont="1" applyFill="1" applyBorder="1" applyAlignment="1">
      <alignment horizontal="right"/>
    </xf>
    <xf numFmtId="49" fontId="4" fillId="13" borderId="11" xfId="0" applyNumberFormat="1" applyFont="1" applyFill="1" applyBorder="1"/>
    <xf numFmtId="1" fontId="0" fillId="14" borderId="11" xfId="0" applyNumberFormat="1" applyFill="1" applyBorder="1"/>
    <xf numFmtId="49" fontId="4" fillId="7" borderId="11" xfId="0" applyNumberFormat="1" applyFont="1" applyFill="1" applyBorder="1"/>
    <xf numFmtId="0" fontId="0" fillId="4" borderId="11" xfId="0" applyNumberFormat="1" applyFill="1" applyBorder="1"/>
    <xf numFmtId="49" fontId="4" fillId="4" borderId="11" xfId="0" applyNumberFormat="1" applyFont="1" applyFill="1" applyBorder="1"/>
    <xf numFmtId="1" fontId="4" fillId="4" borderId="11" xfId="0" applyNumberFormat="1" applyFont="1" applyFill="1" applyBorder="1"/>
    <xf numFmtId="10" fontId="4" fillId="4" borderId="11" xfId="0" applyNumberFormat="1" applyFont="1" applyFill="1" applyBorder="1" applyAlignment="1">
      <alignment horizontal="right"/>
    </xf>
    <xf numFmtId="1" fontId="0" fillId="0" borderId="1" xfId="0" applyNumberFormat="1" applyBorder="1"/>
    <xf numFmtId="49" fontId="6" fillId="15" borderId="18" xfId="0" applyNumberFormat="1" applyFont="1" applyFill="1" applyBorder="1"/>
    <xf numFmtId="0" fontId="0" fillId="15" borderId="18" xfId="0" applyFill="1" applyBorder="1"/>
    <xf numFmtId="10" fontId="4" fillId="16" borderId="11" xfId="0" applyNumberFormat="1" applyFont="1" applyFill="1" applyBorder="1" applyAlignment="1">
      <alignment horizontal="center"/>
    </xf>
    <xf numFmtId="49" fontId="4" fillId="16" borderId="11" xfId="0" applyNumberFormat="1" applyFont="1" applyFill="1" applyBorder="1" applyAlignment="1">
      <alignment horizontal="center"/>
    </xf>
    <xf numFmtId="10" fontId="6" fillId="16" borderId="11" xfId="0" applyNumberFormat="1" applyFont="1" applyFill="1" applyBorder="1" applyAlignment="1">
      <alignment horizontal="center"/>
    </xf>
    <xf numFmtId="49" fontId="6" fillId="16" borderId="11" xfId="0" applyNumberFormat="1" applyFont="1" applyFill="1" applyBorder="1" applyAlignment="1">
      <alignment horizontal="center"/>
    </xf>
    <xf numFmtId="0" fontId="0" fillId="6" borderId="34" xfId="0" applyFill="1" applyBorder="1"/>
    <xf numFmtId="0" fontId="0" fillId="6" borderId="35" xfId="0" applyFill="1" applyBorder="1"/>
    <xf numFmtId="1" fontId="9" fillId="14" borderId="11" xfId="0" applyNumberFormat="1" applyFont="1" applyFill="1" applyBorder="1" applyAlignment="1">
      <alignment horizontal="center"/>
    </xf>
    <xf numFmtId="1" fontId="6" fillId="7" borderId="11" xfId="0" applyNumberFormat="1" applyFont="1" applyFill="1" applyBorder="1" applyAlignment="1">
      <alignment horizontal="center"/>
    </xf>
    <xf numFmtId="49" fontId="6" fillId="7" borderId="11" xfId="0" applyNumberFormat="1" applyFont="1" applyFill="1" applyBorder="1" applyAlignment="1">
      <alignment horizontal="center"/>
    </xf>
    <xf numFmtId="1" fontId="11" fillId="14" borderId="11" xfId="0" applyNumberFormat="1" applyFont="1" applyFill="1" applyBorder="1" applyAlignment="1">
      <alignment horizontal="center"/>
    </xf>
    <xf numFmtId="49" fontId="9" fillId="14" borderId="11" xfId="0" applyNumberFormat="1" applyFont="1" applyFill="1" applyBorder="1" applyAlignment="1">
      <alignment horizontal="center"/>
    </xf>
    <xf numFmtId="49" fontId="9" fillId="4" borderId="11" xfId="0" applyNumberFormat="1" applyFont="1" applyFill="1" applyBorder="1" applyAlignment="1">
      <alignment horizontal="center"/>
    </xf>
    <xf numFmtId="1" fontId="11" fillId="4" borderId="11" xfId="0" applyNumberFormat="1" applyFont="1" applyFill="1" applyBorder="1" applyAlignment="1">
      <alignment horizontal="center"/>
    </xf>
    <xf numFmtId="1" fontId="0" fillId="7" borderId="11" xfId="0" applyNumberFormat="1" applyFill="1" applyBorder="1"/>
    <xf numFmtId="49" fontId="0" fillId="13" borderId="11" xfId="0" applyNumberFormat="1" applyFill="1" applyBorder="1"/>
    <xf numFmtId="10" fontId="0" fillId="16" borderId="11" xfId="0" applyNumberFormat="1" applyFill="1" applyBorder="1"/>
    <xf numFmtId="49" fontId="0" fillId="16" borderId="11" xfId="0" applyNumberFormat="1" applyFill="1" applyBorder="1"/>
    <xf numFmtId="49" fontId="6" fillId="17" borderId="18" xfId="0" applyNumberFormat="1" applyFont="1" applyFill="1" applyBorder="1"/>
    <xf numFmtId="0" fontId="0" fillId="17" borderId="18" xfId="0" applyFill="1" applyBorder="1"/>
    <xf numFmtId="0" fontId="0" fillId="0" borderId="36" xfId="0" applyBorder="1"/>
    <xf numFmtId="10" fontId="0" fillId="18" borderId="11" xfId="0" applyNumberFormat="1" applyFill="1" applyBorder="1"/>
    <xf numFmtId="49" fontId="4" fillId="18" borderId="11" xfId="0" applyNumberFormat="1" applyFont="1" applyFill="1" applyBorder="1" applyAlignment="1">
      <alignment horizontal="center"/>
    </xf>
    <xf numFmtId="10" fontId="4" fillId="3" borderId="14" xfId="0" applyNumberFormat="1" applyFont="1" applyFill="1" applyBorder="1" applyAlignment="1">
      <alignment horizontal="right" wrapText="1"/>
    </xf>
    <xf numFmtId="49" fontId="4" fillId="0" borderId="9" xfId="0" applyNumberFormat="1" applyFont="1" applyBorder="1" applyAlignment="1">
      <alignment horizontal="center"/>
    </xf>
    <xf numFmtId="49" fontId="4" fillId="0" borderId="15" xfId="0" applyNumberFormat="1" applyFont="1" applyBorder="1" applyAlignment="1">
      <alignment horizontal="center"/>
    </xf>
    <xf numFmtId="10" fontId="4" fillId="3" borderId="11" xfId="0" applyNumberFormat="1" applyFont="1" applyFill="1" applyBorder="1" applyAlignment="1">
      <alignment horizontal="right" wrapText="1"/>
    </xf>
    <xf numFmtId="49" fontId="4" fillId="0" borderId="1" xfId="0" applyNumberFormat="1" applyFont="1" applyBorder="1" applyAlignment="1">
      <alignment horizontal="center"/>
    </xf>
    <xf numFmtId="0" fontId="0" fillId="0" borderId="40" xfId="0" applyBorder="1"/>
    <xf numFmtId="9" fontId="0" fillId="0" borderId="40" xfId="0" applyNumberFormat="1" applyBorder="1"/>
    <xf numFmtId="49" fontId="4" fillId="0" borderId="11" xfId="0" applyNumberFormat="1" applyFont="1" applyBorder="1" applyAlignment="1">
      <alignment horizontal="center"/>
    </xf>
    <xf numFmtId="49" fontId="4" fillId="4" borderId="26" xfId="0" applyNumberFormat="1" applyFont="1" applyFill="1" applyBorder="1" applyAlignment="1">
      <alignment horizontal="center"/>
    </xf>
    <xf numFmtId="49" fontId="4" fillId="0" borderId="19" xfId="0" applyNumberFormat="1" applyFont="1" applyBorder="1" applyAlignment="1">
      <alignment horizontal="center"/>
    </xf>
    <xf numFmtId="49" fontId="4" fillId="4" borderId="21" xfId="0" applyNumberFormat="1" applyFont="1" applyFill="1" applyBorder="1" applyAlignment="1">
      <alignment horizontal="center"/>
    </xf>
    <xf numFmtId="49" fontId="4" fillId="0" borderId="24" xfId="0" applyNumberFormat="1" applyFont="1" applyBorder="1" applyAlignment="1">
      <alignment horizontal="center"/>
    </xf>
    <xf numFmtId="49" fontId="4" fillId="0" borderId="16" xfId="0" applyNumberFormat="1" applyFont="1" applyBorder="1" applyAlignment="1">
      <alignment horizontal="center"/>
    </xf>
    <xf numFmtId="10" fontId="0" fillId="19" borderId="11" xfId="0" applyNumberFormat="1" applyFill="1" applyBorder="1"/>
    <xf numFmtId="10" fontId="0" fillId="20" borderId="11" xfId="0" applyNumberFormat="1" applyFill="1" applyBorder="1"/>
    <xf numFmtId="0" fontId="0" fillId="14" borderId="11" xfId="0" applyFill="1" applyBorder="1"/>
    <xf numFmtId="0" fontId="4" fillId="0" borderId="1" xfId="0" applyNumberFormat="1" applyFont="1" applyBorder="1" applyAlignment="1">
      <alignment horizontal="center"/>
    </xf>
    <xf numFmtId="0" fontId="0" fillId="7" borderId="11" xfId="0" applyFill="1" applyBorder="1"/>
    <xf numFmtId="49" fontId="2" fillId="0" borderId="2" xfId="0" applyNumberFormat="1" applyFont="1" applyBorder="1"/>
    <xf numFmtId="0" fontId="4" fillId="0" borderId="2" xfId="0" applyFont="1" applyBorder="1"/>
    <xf numFmtId="0" fontId="4" fillId="0" borderId="1" xfId="0" applyFont="1" applyBorder="1"/>
    <xf numFmtId="0" fontId="4" fillId="0" borderId="9" xfId="0" applyFont="1" applyBorder="1"/>
    <xf numFmtId="0" fontId="4" fillId="4" borderId="11" xfId="0" applyFont="1" applyFill="1" applyBorder="1"/>
    <xf numFmtId="10" fontId="4" fillId="4" borderId="11" xfId="0" applyNumberFormat="1" applyFont="1" applyFill="1" applyBorder="1"/>
    <xf numFmtId="0" fontId="4" fillId="0" borderId="11" xfId="0" applyFont="1" applyBorder="1"/>
    <xf numFmtId="10" fontId="4" fillId="0" borderId="11" xfId="0" applyNumberFormat="1" applyFont="1" applyBorder="1"/>
    <xf numFmtId="9" fontId="4" fillId="0" borderId="11" xfId="0" applyNumberFormat="1" applyFont="1" applyBorder="1"/>
    <xf numFmtId="0" fontId="5" fillId="3" borderId="11" xfId="0" applyFont="1" applyFill="1" applyBorder="1" applyAlignment="1">
      <alignment wrapText="1"/>
    </xf>
    <xf numFmtId="0" fontId="4" fillId="0" borderId="15" xfId="0" applyFont="1" applyBorder="1"/>
    <xf numFmtId="49" fontId="2" fillId="0" borderId="16" xfId="0" applyNumberFormat="1" applyFont="1" applyBorder="1"/>
    <xf numFmtId="0" fontId="4" fillId="0" borderId="16" xfId="0" applyFont="1" applyBorder="1"/>
    <xf numFmtId="49" fontId="6" fillId="5" borderId="32" xfId="0" applyNumberFormat="1" applyFont="1" applyFill="1" applyBorder="1"/>
    <xf numFmtId="0" fontId="6" fillId="5" borderId="18" xfId="0" applyFont="1" applyFill="1" applyBorder="1"/>
    <xf numFmtId="0" fontId="4" fillId="5" borderId="18" xfId="0" applyFont="1" applyFill="1" applyBorder="1"/>
    <xf numFmtId="0" fontId="6" fillId="6" borderId="18" xfId="0" applyFont="1" applyFill="1" applyBorder="1"/>
    <xf numFmtId="0" fontId="4" fillId="6" borderId="18" xfId="0" applyFont="1" applyFill="1" applyBorder="1"/>
    <xf numFmtId="0" fontId="4" fillId="0" borderId="19" xfId="0" applyFont="1" applyBorder="1"/>
    <xf numFmtId="0" fontId="6" fillId="0" borderId="9" xfId="0" applyFont="1" applyBorder="1" applyAlignment="1">
      <alignment horizontal="center"/>
    </xf>
    <xf numFmtId="0" fontId="6" fillId="0" borderId="1" xfId="0" applyFont="1" applyBorder="1" applyAlignment="1">
      <alignment horizontal="center"/>
    </xf>
    <xf numFmtId="10" fontId="4" fillId="0" borderId="15" xfId="0" applyNumberFormat="1" applyFont="1" applyBorder="1" applyAlignment="1">
      <alignment horizontal="center"/>
    </xf>
    <xf numFmtId="1" fontId="4" fillId="0" borderId="15" xfId="0" applyNumberFormat="1" applyFont="1" applyBorder="1"/>
    <xf numFmtId="1" fontId="4" fillId="0" borderId="1" xfId="0" applyNumberFormat="1" applyFont="1" applyBorder="1"/>
    <xf numFmtId="10" fontId="4" fillId="0" borderId="16" xfId="0" applyNumberFormat="1" applyFont="1" applyBorder="1" applyAlignment="1">
      <alignment horizontal="center"/>
    </xf>
    <xf numFmtId="0" fontId="4" fillId="11" borderId="32" xfId="0" applyFont="1" applyFill="1" applyBorder="1"/>
    <xf numFmtId="0" fontId="6" fillId="10" borderId="18" xfId="0" applyFont="1" applyFill="1" applyBorder="1"/>
    <xf numFmtId="49" fontId="4" fillId="11" borderId="18" xfId="0" applyNumberFormat="1" applyFont="1" applyFill="1" applyBorder="1"/>
    <xf numFmtId="0" fontId="4" fillId="11" borderId="18" xfId="0" applyFont="1" applyFill="1" applyBorder="1"/>
    <xf numFmtId="0" fontId="4" fillId="10" borderId="18" xfId="0" applyFont="1" applyFill="1" applyBorder="1"/>
    <xf numFmtId="1" fontId="11" fillId="7" borderId="11" xfId="0" applyNumberFormat="1" applyFont="1" applyFill="1" applyBorder="1" applyAlignment="1">
      <alignment horizontal="center"/>
    </xf>
    <xf numFmtId="1" fontId="11" fillId="21" borderId="11" xfId="0" applyNumberFormat="1" applyFont="1" applyFill="1" applyBorder="1" applyAlignment="1">
      <alignment horizontal="center"/>
    </xf>
    <xf numFmtId="0" fontId="11" fillId="13" borderId="11" xfId="0" applyFont="1" applyFill="1" applyBorder="1" applyAlignment="1">
      <alignment horizontal="center"/>
    </xf>
    <xf numFmtId="1" fontId="11" fillId="13" borderId="11" xfId="0" applyNumberFormat="1" applyFont="1" applyFill="1" applyBorder="1" applyAlignment="1">
      <alignment horizontal="center"/>
    </xf>
    <xf numFmtId="0" fontId="4" fillId="4" borderId="11" xfId="0" applyNumberFormat="1" applyFont="1" applyFill="1" applyBorder="1"/>
    <xf numFmtId="0" fontId="11" fillId="7" borderId="11" xfId="0" applyNumberFormat="1" applyFont="1" applyFill="1" applyBorder="1" applyAlignment="1">
      <alignment horizontal="center"/>
    </xf>
    <xf numFmtId="10" fontId="4" fillId="0" borderId="1" xfId="0" applyNumberFormat="1" applyFont="1" applyBorder="1"/>
    <xf numFmtId="49" fontId="4" fillId="0" borderId="1" xfId="0" applyNumberFormat="1" applyFont="1" applyBorder="1"/>
    <xf numFmtId="0" fontId="4" fillId="0" borderId="1" xfId="0" applyNumberFormat="1" applyFont="1" applyBorder="1"/>
    <xf numFmtId="0" fontId="4" fillId="13" borderId="11" xfId="0" applyNumberFormat="1" applyFont="1" applyFill="1" applyBorder="1"/>
    <xf numFmtId="1" fontId="11" fillId="4" borderId="11" xfId="0" applyNumberFormat="1" applyFont="1" applyFill="1" applyBorder="1" applyAlignment="1">
      <alignment horizontal="right"/>
    </xf>
    <xf numFmtId="10" fontId="4" fillId="0" borderId="15" xfId="0" applyNumberFormat="1" applyFont="1" applyBorder="1"/>
    <xf numFmtId="49" fontId="6" fillId="10" borderId="32" xfId="0" applyNumberFormat="1" applyFont="1" applyFill="1" applyBorder="1"/>
    <xf numFmtId="0" fontId="4" fillId="15" borderId="18" xfId="0" applyFont="1" applyFill="1" applyBorder="1"/>
    <xf numFmtId="165" fontId="4" fillId="16" borderId="11" xfId="0" applyNumberFormat="1" applyFont="1" applyFill="1" applyBorder="1" applyAlignment="1">
      <alignment horizontal="center"/>
    </xf>
    <xf numFmtId="0" fontId="4" fillId="6" borderId="35" xfId="0" applyFont="1" applyFill="1" applyBorder="1"/>
    <xf numFmtId="49" fontId="6" fillId="17" borderId="32" xfId="0" applyNumberFormat="1" applyFont="1" applyFill="1" applyBorder="1"/>
    <xf numFmtId="0" fontId="4" fillId="17" borderId="18" xfId="0" applyFont="1" applyFill="1" applyBorder="1"/>
    <xf numFmtId="0" fontId="4" fillId="0" borderId="36" xfId="0" applyFont="1" applyBorder="1"/>
    <xf numFmtId="0" fontId="4" fillId="0" borderId="3" xfId="0" applyFont="1" applyBorder="1"/>
    <xf numFmtId="10" fontId="4" fillId="18" borderId="11" xfId="0" applyNumberFormat="1" applyFont="1" applyFill="1" applyBorder="1"/>
    <xf numFmtId="49" fontId="4" fillId="0" borderId="9" xfId="0" applyNumberFormat="1" applyFont="1" applyBorder="1"/>
    <xf numFmtId="0" fontId="4" fillId="0" borderId="40" xfId="0" applyFont="1" applyBorder="1"/>
    <xf numFmtId="9" fontId="4" fillId="0" borderId="40" xfId="0" applyNumberFormat="1" applyFont="1" applyBorder="1"/>
    <xf numFmtId="0" fontId="4" fillId="0" borderId="17" xfId="0" applyFont="1" applyBorder="1"/>
    <xf numFmtId="0" fontId="4" fillId="0" borderId="24" xfId="0" applyFont="1" applyBorder="1"/>
    <xf numFmtId="10" fontId="4" fillId="19" borderId="11" xfId="0" applyNumberFormat="1" applyFont="1" applyFill="1" applyBorder="1" applyAlignment="1">
      <alignment horizontal="center"/>
    </xf>
    <xf numFmtId="10" fontId="4" fillId="20" borderId="11" xfId="0" applyNumberFormat="1" applyFont="1" applyFill="1" applyBorder="1" applyAlignment="1">
      <alignment horizontal="center"/>
    </xf>
    <xf numFmtId="49" fontId="4" fillId="19" borderId="11" xfId="0" applyNumberFormat="1" applyFont="1" applyFill="1" applyBorder="1" applyAlignment="1">
      <alignment horizontal="center"/>
    </xf>
    <xf numFmtId="49" fontId="4" fillId="20" borderId="11" xfId="0" applyNumberFormat="1" applyFont="1" applyFill="1" applyBorder="1" applyAlignment="1">
      <alignment horizontal="center"/>
    </xf>
    <xf numFmtId="49" fontId="0" fillId="0" borderId="1" xfId="0" applyNumberFormat="1" applyBorder="1" applyAlignment="1">
      <alignment wrapText="1"/>
    </xf>
    <xf numFmtId="0" fontId="12" fillId="3" borderId="1" xfId="0" applyFont="1" applyFill="1" applyBorder="1" applyAlignment="1">
      <alignment vertical="center"/>
    </xf>
    <xf numFmtId="0" fontId="12" fillId="3" borderId="2" xfId="0" applyFont="1" applyFill="1" applyBorder="1" applyAlignment="1">
      <alignment vertical="center"/>
    </xf>
    <xf numFmtId="49" fontId="13" fillId="3" borderId="43" xfId="0" applyNumberFormat="1" applyFont="1" applyFill="1" applyBorder="1" applyAlignment="1">
      <alignment horizontal="left" vertical="center"/>
    </xf>
    <xf numFmtId="0" fontId="14" fillId="6" borderId="44" xfId="0" applyFont="1" applyFill="1" applyBorder="1" applyAlignment="1">
      <alignment horizontal="center" vertical="center"/>
    </xf>
    <xf numFmtId="0" fontId="14" fillId="3" borderId="36" xfId="0" applyFont="1" applyFill="1" applyBorder="1" applyAlignment="1">
      <alignment horizontal="center" vertical="center"/>
    </xf>
    <xf numFmtId="0" fontId="14" fillId="3" borderId="2" xfId="0" applyFont="1" applyFill="1" applyBorder="1" applyAlignment="1">
      <alignment horizontal="left" vertical="center" wrapText="1"/>
    </xf>
    <xf numFmtId="0" fontId="14" fillId="3" borderId="2" xfId="0" applyFont="1" applyFill="1" applyBorder="1" applyAlignment="1">
      <alignment horizontal="center" vertical="center" wrapText="1"/>
    </xf>
    <xf numFmtId="0" fontId="14" fillId="3" borderId="3" xfId="0" applyFont="1" applyFill="1" applyBorder="1" applyAlignment="1">
      <alignment horizontal="center" vertical="top"/>
    </xf>
    <xf numFmtId="0" fontId="14" fillId="3" borderId="9" xfId="0" applyFont="1" applyFill="1" applyBorder="1" applyAlignment="1">
      <alignment horizontal="center" vertical="top"/>
    </xf>
    <xf numFmtId="0" fontId="14" fillId="3" borderId="1" xfId="0" applyFont="1" applyFill="1" applyBorder="1" applyAlignment="1">
      <alignment horizontal="center" vertical="top"/>
    </xf>
    <xf numFmtId="0" fontId="14" fillId="3" borderId="3" xfId="0" applyFont="1" applyFill="1" applyBorder="1" applyAlignment="1">
      <alignment vertical="center"/>
    </xf>
    <xf numFmtId="49" fontId="13" fillId="22" borderId="11" xfId="0" applyNumberFormat="1" applyFont="1" applyFill="1" applyBorder="1" applyAlignment="1">
      <alignment horizontal="center" vertical="center"/>
    </xf>
    <xf numFmtId="49" fontId="13" fillId="22" borderId="11" xfId="0" applyNumberFormat="1" applyFont="1" applyFill="1" applyBorder="1" applyAlignment="1">
      <alignment horizontal="center" vertical="center" wrapText="1"/>
    </xf>
    <xf numFmtId="0" fontId="14" fillId="3" borderId="9" xfId="0" applyFont="1" applyFill="1" applyBorder="1" applyAlignment="1">
      <alignment vertical="center"/>
    </xf>
    <xf numFmtId="0" fontId="14" fillId="3" borderId="1" xfId="0" applyFont="1" applyFill="1" applyBorder="1" applyAlignment="1">
      <alignment vertical="center"/>
    </xf>
    <xf numFmtId="0" fontId="13" fillId="22" borderId="11" xfId="0" applyNumberFormat="1" applyFont="1" applyFill="1" applyBorder="1" applyAlignment="1">
      <alignment horizontal="center" vertical="center"/>
    </xf>
    <xf numFmtId="0" fontId="13" fillId="22" borderId="11" xfId="0" applyNumberFormat="1" applyFont="1" applyFill="1" applyBorder="1" applyAlignment="1">
      <alignment horizontal="center" vertical="center" wrapText="1"/>
    </xf>
    <xf numFmtId="0" fontId="14" fillId="3" borderId="45" xfId="0" applyFont="1" applyFill="1" applyBorder="1" applyAlignment="1">
      <alignment vertical="center"/>
    </xf>
    <xf numFmtId="0" fontId="12" fillId="3" borderId="3" xfId="0" applyFont="1" applyFill="1" applyBorder="1" applyAlignment="1">
      <alignment vertical="center"/>
    </xf>
    <xf numFmtId="49" fontId="14" fillId="3" borderId="11" xfId="0" applyNumberFormat="1" applyFont="1" applyFill="1" applyBorder="1" applyAlignment="1">
      <alignment horizontal="left" vertical="center" wrapText="1"/>
    </xf>
    <xf numFmtId="0" fontId="14" fillId="3" borderId="11" xfId="0" applyNumberFormat="1" applyFont="1" applyFill="1" applyBorder="1" applyAlignment="1">
      <alignment horizontal="center" vertical="center"/>
    </xf>
    <xf numFmtId="10" fontId="14" fillId="3" borderId="11" xfId="0" applyNumberFormat="1" applyFont="1" applyFill="1" applyBorder="1" applyAlignment="1">
      <alignment horizontal="center" vertical="center"/>
    </xf>
    <xf numFmtId="0" fontId="12" fillId="3" borderId="9" xfId="0" applyFont="1" applyFill="1" applyBorder="1" applyAlignment="1">
      <alignment vertical="center"/>
    </xf>
    <xf numFmtId="10" fontId="12" fillId="3" borderId="1" xfId="0" applyNumberFormat="1" applyFont="1" applyFill="1" applyBorder="1" applyAlignment="1">
      <alignment vertical="center"/>
    </xf>
    <xf numFmtId="0" fontId="14" fillId="3" borderId="1" xfId="0" applyFont="1" applyFill="1" applyBorder="1" applyAlignment="1">
      <alignment horizontal="left" vertical="center" wrapText="1"/>
    </xf>
    <xf numFmtId="49" fontId="14" fillId="3" borderId="11" xfId="0" applyNumberFormat="1" applyFont="1" applyFill="1" applyBorder="1" applyAlignment="1">
      <alignment wrapText="1"/>
    </xf>
    <xf numFmtId="0" fontId="14" fillId="3" borderId="11" xfId="0" applyFont="1" applyFill="1" applyBorder="1" applyAlignment="1">
      <alignment horizontal="center" vertical="center"/>
    </xf>
    <xf numFmtId="49" fontId="14" fillId="3" borderId="11" xfId="0" applyNumberFormat="1" applyFont="1" applyFill="1" applyBorder="1" applyAlignment="1">
      <alignment horizontal="center" vertical="center"/>
    </xf>
    <xf numFmtId="0" fontId="14" fillId="3" borderId="11" xfId="0" applyFont="1" applyFill="1" applyBorder="1" applyAlignment="1">
      <alignment wrapText="1"/>
    </xf>
    <xf numFmtId="0" fontId="12" fillId="3" borderId="3" xfId="0" applyNumberFormat="1" applyFont="1" applyFill="1" applyBorder="1" applyAlignment="1">
      <alignment vertical="center"/>
    </xf>
    <xf numFmtId="49" fontId="14" fillId="0" borderId="11" xfId="0" applyNumberFormat="1" applyFont="1" applyBorder="1"/>
    <xf numFmtId="0" fontId="14" fillId="23" borderId="11" xfId="0" applyFont="1" applyFill="1" applyBorder="1" applyAlignment="1">
      <alignment horizontal="center" vertical="center"/>
    </xf>
    <xf numFmtId="0" fontId="14" fillId="23" borderId="11" xfId="0" applyFont="1" applyFill="1" applyBorder="1" applyAlignment="1">
      <alignment horizontal="center" vertical="center" wrapText="1"/>
    </xf>
    <xf numFmtId="49" fontId="14" fillId="3" borderId="11" xfId="0" applyNumberFormat="1" applyFont="1" applyFill="1" applyBorder="1" applyAlignment="1">
      <alignment vertical="top"/>
    </xf>
    <xf numFmtId="0" fontId="14" fillId="3" borderId="11" xfId="0" applyFont="1" applyFill="1" applyBorder="1" applyAlignment="1">
      <alignment vertical="top"/>
    </xf>
    <xf numFmtId="0" fontId="14" fillId="23" borderId="11" xfId="0" applyNumberFormat="1" applyFont="1" applyFill="1" applyBorder="1" applyAlignment="1">
      <alignment horizontal="center" vertical="center"/>
    </xf>
    <xf numFmtId="0" fontId="14" fillId="23" borderId="11" xfId="0" applyNumberFormat="1" applyFont="1" applyFill="1" applyBorder="1" applyAlignment="1">
      <alignment horizontal="center" vertical="center" wrapText="1"/>
    </xf>
    <xf numFmtId="0" fontId="12" fillId="3" borderId="46" xfId="0" applyFont="1" applyFill="1" applyBorder="1" applyAlignment="1">
      <alignment vertical="center"/>
    </xf>
    <xf numFmtId="49" fontId="14" fillId="3" borderId="11" xfId="0" applyNumberFormat="1" applyFont="1" applyFill="1" applyBorder="1" applyAlignment="1">
      <alignment horizontal="left" vertical="center"/>
    </xf>
    <xf numFmtId="0" fontId="16" fillId="0" borderId="47" xfId="0" applyFont="1" applyBorder="1"/>
    <xf numFmtId="49" fontId="16" fillId="0" borderId="47" xfId="0" applyNumberFormat="1" applyFont="1" applyBorder="1"/>
    <xf numFmtId="49" fontId="14" fillId="0" borderId="47" xfId="0" applyNumberFormat="1" applyFont="1" applyBorder="1"/>
    <xf numFmtId="49" fontId="14" fillId="0" borderId="11" xfId="0" applyNumberFormat="1" applyFont="1" applyBorder="1" applyAlignment="1">
      <alignment horizontal="left"/>
    </xf>
    <xf numFmtId="0" fontId="14" fillId="0" borderId="47" xfId="0" applyFont="1" applyBorder="1" applyAlignment="1">
      <alignment horizontal="left"/>
    </xf>
    <xf numFmtId="0" fontId="14" fillId="0" borderId="48" xfId="0" applyFont="1" applyBorder="1"/>
    <xf numFmtId="0" fontId="12" fillId="3" borderId="15" xfId="0" applyFont="1" applyFill="1" applyBorder="1" applyAlignment="1">
      <alignment vertical="center"/>
    </xf>
    <xf numFmtId="0" fontId="13" fillId="3" borderId="15" xfId="0" applyFont="1" applyFill="1" applyBorder="1" applyAlignment="1">
      <alignment horizontal="left" vertical="center"/>
    </xf>
    <xf numFmtId="0" fontId="14" fillId="3" borderId="15" xfId="0" applyFont="1" applyFill="1" applyBorder="1" applyAlignment="1">
      <alignment horizontal="left" vertical="center"/>
    </xf>
    <xf numFmtId="0" fontId="13" fillId="3" borderId="1" xfId="0" applyFont="1" applyFill="1" applyBorder="1" applyAlignment="1">
      <alignment horizontal="left" vertical="center"/>
    </xf>
    <xf numFmtId="0" fontId="14" fillId="3" borderId="1" xfId="0" applyFont="1" applyFill="1" applyBorder="1" applyAlignment="1">
      <alignment horizontal="left" vertical="center"/>
    </xf>
    <xf numFmtId="0" fontId="14" fillId="3" borderId="1" xfId="0" applyFont="1" applyFill="1" applyBorder="1" applyAlignment="1">
      <alignment horizontal="center" vertical="center"/>
    </xf>
    <xf numFmtId="0" fontId="14" fillId="3" borderId="1" xfId="0" applyFont="1" applyFill="1" applyBorder="1" applyAlignment="1">
      <alignment horizontal="center" vertical="center" wrapText="1"/>
    </xf>
    <xf numFmtId="0" fontId="14" fillId="3" borderId="2" xfId="0" applyFont="1" applyFill="1" applyBorder="1" applyAlignment="1">
      <alignment horizontal="left" vertical="center"/>
    </xf>
    <xf numFmtId="0" fontId="14" fillId="3" borderId="2" xfId="0" applyFont="1" applyFill="1" applyBorder="1" applyAlignment="1">
      <alignment horizontal="center" vertical="center"/>
    </xf>
    <xf numFmtId="0" fontId="12" fillId="3" borderId="17" xfId="0" applyFont="1" applyFill="1" applyBorder="1" applyAlignment="1">
      <alignment vertical="center"/>
    </xf>
    <xf numFmtId="49" fontId="13" fillId="22" borderId="31" xfId="0" applyNumberFormat="1" applyFont="1" applyFill="1" applyBorder="1" applyAlignment="1">
      <alignment horizontal="left" vertical="center"/>
    </xf>
    <xf numFmtId="0" fontId="14" fillId="3" borderId="6" xfId="0" applyFont="1" applyFill="1" applyBorder="1" applyAlignment="1">
      <alignment horizontal="center" vertical="center"/>
    </xf>
    <xf numFmtId="0" fontId="14" fillId="3" borderId="7" xfId="0" applyFont="1" applyFill="1" applyBorder="1" applyAlignment="1">
      <alignment horizontal="center" vertical="center"/>
    </xf>
    <xf numFmtId="0" fontId="14" fillId="3" borderId="7" xfId="0" applyFont="1" applyFill="1" applyBorder="1" applyAlignment="1">
      <alignment horizontal="left" vertical="center" wrapText="1"/>
    </xf>
    <xf numFmtId="0" fontId="14" fillId="3" borderId="7" xfId="0" applyFont="1" applyFill="1" applyBorder="1" applyAlignment="1">
      <alignment horizontal="center" vertical="center" wrapText="1"/>
    </xf>
    <xf numFmtId="0" fontId="14" fillId="3" borderId="11" xfId="0" applyNumberFormat="1" applyFont="1" applyFill="1" applyBorder="1" applyAlignment="1">
      <alignment horizontal="center" vertical="center" wrapText="1"/>
    </xf>
    <xf numFmtId="3" fontId="14" fillId="3" borderId="11" xfId="0" applyNumberFormat="1" applyFont="1" applyFill="1" applyBorder="1" applyAlignment="1">
      <alignment horizontal="center" vertical="center"/>
    </xf>
    <xf numFmtId="0" fontId="14" fillId="0" borderId="1" xfId="0" applyFont="1" applyBorder="1"/>
    <xf numFmtId="0" fontId="14" fillId="0" borderId="3" xfId="0" applyFont="1" applyBorder="1"/>
    <xf numFmtId="49" fontId="14" fillId="3" borderId="3" xfId="0" applyNumberFormat="1" applyFont="1" applyFill="1" applyBorder="1" applyAlignment="1">
      <alignment vertical="center"/>
    </xf>
    <xf numFmtId="3" fontId="18" fillId="3" borderId="11" xfId="0" applyNumberFormat="1" applyFont="1" applyFill="1" applyBorder="1" applyAlignment="1">
      <alignment horizontal="center" vertical="center"/>
    </xf>
    <xf numFmtId="0" fontId="14" fillId="3" borderId="7" xfId="0" applyFont="1" applyFill="1" applyBorder="1" applyAlignment="1">
      <alignment vertical="center"/>
    </xf>
    <xf numFmtId="2" fontId="14" fillId="3" borderId="11" xfId="0" applyNumberFormat="1" applyFont="1" applyFill="1" applyBorder="1" applyAlignment="1">
      <alignment horizontal="center" vertical="center"/>
    </xf>
    <xf numFmtId="49" fontId="14" fillId="3" borderId="7" xfId="0" applyNumberFormat="1" applyFont="1" applyFill="1" applyBorder="1" applyAlignment="1">
      <alignment vertical="center"/>
    </xf>
    <xf numFmtId="49" fontId="14" fillId="3" borderId="11" xfId="0" applyNumberFormat="1" applyFont="1" applyFill="1" applyBorder="1" applyAlignment="1">
      <alignment vertical="center"/>
    </xf>
    <xf numFmtId="1" fontId="14" fillId="24" borderId="11" xfId="0" applyNumberFormat="1" applyFont="1" applyFill="1" applyBorder="1" applyAlignment="1">
      <alignment horizontal="center" vertical="center" wrapText="1"/>
    </xf>
    <xf numFmtId="0" fontId="12" fillId="24" borderId="11" xfId="0" applyNumberFormat="1" applyFont="1" applyFill="1" applyBorder="1" applyAlignment="1">
      <alignment horizontal="center" vertical="center"/>
    </xf>
    <xf numFmtId="3" fontId="14" fillId="24" borderId="11" xfId="0" applyNumberFormat="1" applyFont="1" applyFill="1" applyBorder="1" applyAlignment="1">
      <alignment horizontal="center"/>
    </xf>
    <xf numFmtId="1" fontId="14" fillId="3" borderId="9" xfId="0" applyNumberFormat="1" applyFont="1" applyFill="1" applyBorder="1" applyAlignment="1">
      <alignment vertical="center"/>
    </xf>
    <xf numFmtId="3" fontId="14" fillId="24" borderId="11" xfId="0" applyNumberFormat="1" applyFont="1" applyFill="1" applyBorder="1" applyAlignment="1">
      <alignment horizontal="center" vertical="center"/>
    </xf>
    <xf numFmtId="49" fontId="14" fillId="24" borderId="11" xfId="0" applyNumberFormat="1" applyFont="1" applyFill="1" applyBorder="1" applyAlignment="1">
      <alignment horizontal="center" vertical="center"/>
    </xf>
    <xf numFmtId="3" fontId="14" fillId="3" borderId="9" xfId="0" applyNumberFormat="1" applyFont="1" applyFill="1" applyBorder="1" applyAlignment="1">
      <alignment vertical="center"/>
    </xf>
    <xf numFmtId="1" fontId="12" fillId="24" borderId="11" xfId="0" applyNumberFormat="1" applyFont="1" applyFill="1" applyBorder="1" applyAlignment="1">
      <alignment horizontal="center" vertical="center"/>
    </xf>
    <xf numFmtId="1" fontId="14" fillId="24" borderId="11" xfId="0" applyNumberFormat="1" applyFont="1" applyFill="1" applyBorder="1" applyAlignment="1">
      <alignment horizontal="center"/>
    </xf>
    <xf numFmtId="1" fontId="12" fillId="24" borderId="11" xfId="0" applyNumberFormat="1" applyFont="1" applyFill="1" applyBorder="1" applyAlignment="1">
      <alignment horizontal="center"/>
    </xf>
    <xf numFmtId="49" fontId="14" fillId="24" borderId="11" xfId="0" applyNumberFormat="1" applyFont="1" applyFill="1" applyBorder="1" applyAlignment="1">
      <alignment horizontal="center"/>
    </xf>
    <xf numFmtId="0" fontId="14" fillId="3" borderId="41" xfId="0" applyFont="1" applyFill="1" applyBorder="1" applyAlignment="1">
      <alignment vertical="center"/>
    </xf>
    <xf numFmtId="0" fontId="14" fillId="24" borderId="31" xfId="0" applyFont="1" applyFill="1" applyBorder="1" applyAlignment="1">
      <alignment vertical="center"/>
    </xf>
    <xf numFmtId="0" fontId="14" fillId="24" borderId="31" xfId="0" applyFont="1" applyFill="1" applyBorder="1" applyAlignment="1">
      <alignment horizontal="center" vertical="center"/>
    </xf>
    <xf numFmtId="0" fontId="14" fillId="3" borderId="19" xfId="0" applyFont="1" applyFill="1" applyBorder="1" applyAlignment="1">
      <alignment vertical="center"/>
    </xf>
    <xf numFmtId="0" fontId="14" fillId="3" borderId="46" xfId="0" applyFont="1" applyFill="1" applyBorder="1" applyAlignment="1">
      <alignment vertical="center"/>
    </xf>
    <xf numFmtId="0" fontId="14" fillId="3" borderId="47" xfId="0" applyFont="1" applyFill="1" applyBorder="1" applyAlignment="1">
      <alignment vertical="center"/>
    </xf>
    <xf numFmtId="0" fontId="14" fillId="3" borderId="17" xfId="0" applyFont="1" applyFill="1" applyBorder="1" applyAlignment="1">
      <alignment vertical="center"/>
    </xf>
    <xf numFmtId="0" fontId="14" fillId="3" borderId="49" xfId="0" applyFont="1" applyFill="1" applyBorder="1" applyAlignment="1">
      <alignment vertical="center"/>
    </xf>
    <xf numFmtId="0" fontId="14" fillId="3" borderId="50" xfId="0" applyFont="1" applyFill="1" applyBorder="1" applyAlignment="1">
      <alignment vertical="center"/>
    </xf>
    <xf numFmtId="0" fontId="14" fillId="3" borderId="51" xfId="0" applyFont="1" applyFill="1" applyBorder="1" applyAlignment="1">
      <alignment vertical="center"/>
    </xf>
    <xf numFmtId="0" fontId="19" fillId="3" borderId="1" xfId="0" applyFont="1" applyFill="1" applyBorder="1" applyAlignment="1">
      <alignment vertical="center"/>
    </xf>
    <xf numFmtId="0" fontId="19" fillId="3" borderId="47" xfId="0" applyFont="1" applyFill="1" applyBorder="1" applyAlignment="1">
      <alignment vertical="center"/>
    </xf>
    <xf numFmtId="0" fontId="14" fillId="3" borderId="52" xfId="0" applyFont="1" applyFill="1" applyBorder="1" applyAlignment="1">
      <alignment vertical="center"/>
    </xf>
    <xf numFmtId="49" fontId="14" fillId="3" borderId="52" xfId="0" applyNumberFormat="1" applyFont="1" applyFill="1" applyBorder="1" applyAlignment="1">
      <alignment vertical="center"/>
    </xf>
    <xf numFmtId="0" fontId="14" fillId="3" borderId="16" xfId="0" applyFont="1" applyFill="1" applyBorder="1" applyAlignment="1">
      <alignment vertical="center"/>
    </xf>
    <xf numFmtId="49" fontId="13" fillId="3" borderId="11" xfId="0" applyNumberFormat="1" applyFont="1" applyFill="1" applyBorder="1" applyAlignment="1">
      <alignment vertical="center"/>
    </xf>
    <xf numFmtId="1" fontId="14" fillId="3" borderId="11" xfId="0" applyNumberFormat="1" applyFont="1" applyFill="1" applyBorder="1" applyAlignment="1">
      <alignment horizontal="center" vertical="center" wrapText="1"/>
    </xf>
    <xf numFmtId="0" fontId="12" fillId="3" borderId="11" xfId="0" applyNumberFormat="1" applyFont="1" applyFill="1" applyBorder="1" applyAlignment="1">
      <alignment horizontal="center" vertical="center"/>
    </xf>
    <xf numFmtId="49" fontId="14" fillId="3" borderId="50" xfId="0" applyNumberFormat="1" applyFont="1" applyFill="1" applyBorder="1" applyAlignment="1">
      <alignment vertical="center"/>
    </xf>
    <xf numFmtId="49" fontId="14" fillId="3" borderId="50" xfId="0" applyNumberFormat="1" applyFont="1" applyFill="1" applyBorder="1" applyAlignment="1">
      <alignment vertical="center" wrapText="1"/>
    </xf>
    <xf numFmtId="49" fontId="14" fillId="0" borderId="21" xfId="0" applyNumberFormat="1" applyFont="1" applyBorder="1" applyAlignment="1">
      <alignment horizontal="left"/>
    </xf>
    <xf numFmtId="49" fontId="14" fillId="3" borderId="9" xfId="0" applyNumberFormat="1" applyFont="1" applyFill="1" applyBorder="1" applyAlignment="1">
      <alignment vertical="center"/>
    </xf>
    <xf numFmtId="49" fontId="14" fillId="3" borderId="24" xfId="0" applyNumberFormat="1" applyFont="1" applyFill="1" applyBorder="1" applyAlignment="1">
      <alignment vertical="center"/>
    </xf>
    <xf numFmtId="49" fontId="14" fillId="3" borderId="9" xfId="0" applyNumberFormat="1" applyFont="1" applyFill="1" applyBorder="1" applyAlignment="1">
      <alignment vertical="center" wrapText="1"/>
    </xf>
    <xf numFmtId="49" fontId="14" fillId="3" borderId="1" xfId="0" applyNumberFormat="1" applyFont="1" applyFill="1" applyBorder="1" applyAlignment="1">
      <alignment vertical="center"/>
    </xf>
    <xf numFmtId="49" fontId="14" fillId="0" borderId="1" xfId="0" applyNumberFormat="1" applyFont="1" applyBorder="1"/>
    <xf numFmtId="1" fontId="12" fillId="0" borderId="11" xfId="0" applyNumberFormat="1" applyFont="1" applyBorder="1" applyAlignment="1">
      <alignment horizontal="center"/>
    </xf>
    <xf numFmtId="10" fontId="14" fillId="3" borderId="9" xfId="0" applyNumberFormat="1" applyFont="1" applyFill="1" applyBorder="1" applyAlignment="1">
      <alignment vertical="center"/>
    </xf>
    <xf numFmtId="1" fontId="14" fillId="0" borderId="11" xfId="0" applyNumberFormat="1" applyFont="1" applyBorder="1" applyAlignment="1">
      <alignment horizontal="center"/>
    </xf>
    <xf numFmtId="49" fontId="12" fillId="0" borderId="11" xfId="0" applyNumberFormat="1" applyFont="1" applyBorder="1" applyAlignment="1">
      <alignment horizontal="center"/>
    </xf>
    <xf numFmtId="1" fontId="12" fillId="3" borderId="11" xfId="0" applyNumberFormat="1" applyFont="1" applyFill="1" applyBorder="1" applyAlignment="1">
      <alignment horizontal="center" vertical="center"/>
    </xf>
    <xf numFmtId="49" fontId="14" fillId="0" borderId="47" xfId="0" applyNumberFormat="1" applyFont="1" applyBorder="1" applyAlignment="1">
      <alignment horizontal="left"/>
    </xf>
    <xf numFmtId="49" fontId="14" fillId="0" borderId="48" xfId="0" applyNumberFormat="1" applyFont="1" applyBorder="1"/>
    <xf numFmtId="0" fontId="14" fillId="3" borderId="53" xfId="0" applyFont="1" applyFill="1" applyBorder="1" applyAlignment="1">
      <alignment vertical="center"/>
    </xf>
    <xf numFmtId="0" fontId="14" fillId="6" borderId="21" xfId="0" applyFont="1" applyFill="1" applyBorder="1" applyAlignment="1">
      <alignment vertical="center"/>
    </xf>
    <xf numFmtId="0" fontId="13" fillId="6" borderId="21" xfId="0" applyFont="1" applyFill="1" applyBorder="1" applyAlignment="1">
      <alignment horizontal="left" vertical="center"/>
    </xf>
    <xf numFmtId="0" fontId="14" fillId="6" borderId="21" xfId="0" applyFont="1" applyFill="1" applyBorder="1" applyAlignment="1">
      <alignment horizontal="left" vertical="center" wrapText="1"/>
    </xf>
    <xf numFmtId="0" fontId="14" fillId="6" borderId="21" xfId="0" applyFont="1" applyFill="1" applyBorder="1" applyAlignment="1">
      <alignment horizontal="center" vertical="center" wrapText="1"/>
    </xf>
    <xf numFmtId="0" fontId="14" fillId="6" borderId="34" xfId="0" applyFont="1" applyFill="1" applyBorder="1" applyAlignment="1">
      <alignment vertical="center"/>
    </xf>
    <xf numFmtId="49" fontId="13" fillId="6" borderId="21" xfId="0" applyNumberFormat="1" applyFont="1" applyFill="1" applyBorder="1" applyAlignment="1">
      <alignment horizontal="center" vertical="center" wrapText="1"/>
    </xf>
    <xf numFmtId="49" fontId="13" fillId="6" borderId="21" xfId="0" applyNumberFormat="1" applyFont="1" applyFill="1" applyBorder="1" applyAlignment="1">
      <alignment vertical="center" wrapText="1"/>
    </xf>
    <xf numFmtId="0" fontId="13" fillId="6" borderId="21" xfId="0" applyNumberFormat="1" applyFont="1" applyFill="1" applyBorder="1" applyAlignment="1">
      <alignment horizontal="center" vertical="center" wrapText="1"/>
    </xf>
    <xf numFmtId="0" fontId="14" fillId="6" borderId="21" xfId="0" applyFont="1" applyFill="1" applyBorder="1"/>
    <xf numFmtId="0" fontId="13" fillId="6" borderId="21" xfId="0" applyFont="1" applyFill="1" applyBorder="1" applyAlignment="1">
      <alignment horizontal="center" vertical="center" wrapText="1"/>
    </xf>
    <xf numFmtId="0" fontId="13" fillId="6" borderId="21" xfId="0" applyFont="1" applyFill="1" applyBorder="1" applyAlignment="1">
      <alignment vertical="center" wrapText="1"/>
    </xf>
    <xf numFmtId="0" fontId="14" fillId="6" borderId="21" xfId="0" applyNumberFormat="1" applyFont="1" applyFill="1" applyBorder="1" applyAlignment="1">
      <alignment horizontal="center" vertical="center"/>
    </xf>
    <xf numFmtId="49" fontId="14" fillId="6" borderId="21" xfId="0" applyNumberFormat="1" applyFont="1" applyFill="1" applyBorder="1" applyAlignment="1">
      <alignment vertical="center"/>
    </xf>
    <xf numFmtId="49" fontId="14" fillId="6" borderId="21" xfId="0" applyNumberFormat="1" applyFont="1" applyFill="1" applyBorder="1" applyAlignment="1">
      <alignment horizontal="center" vertical="center"/>
    </xf>
    <xf numFmtId="49" fontId="14" fillId="6" borderId="21" xfId="0" applyNumberFormat="1" applyFont="1" applyFill="1" applyBorder="1" applyAlignment="1">
      <alignment horizontal="center" vertical="center" wrapText="1"/>
    </xf>
    <xf numFmtId="9" fontId="14" fillId="6" borderId="21" xfId="0" applyNumberFormat="1" applyFont="1" applyFill="1" applyBorder="1" applyAlignment="1">
      <alignment horizontal="center" vertical="center"/>
    </xf>
    <xf numFmtId="10" fontId="14" fillId="6" borderId="21" xfId="0" applyNumberFormat="1" applyFont="1" applyFill="1" applyBorder="1" applyAlignment="1">
      <alignment horizontal="center" vertical="center"/>
    </xf>
    <xf numFmtId="49" fontId="20" fillId="6" borderId="21" xfId="0" applyNumberFormat="1" applyFont="1" applyFill="1" applyBorder="1" applyAlignment="1">
      <alignment vertical="center" wrapText="1"/>
    </xf>
    <xf numFmtId="49" fontId="20" fillId="6" borderId="21" xfId="0" applyNumberFormat="1" applyFont="1" applyFill="1" applyBorder="1" applyAlignment="1">
      <alignment vertical="center"/>
    </xf>
    <xf numFmtId="0" fontId="16" fillId="0" borderId="17" xfId="0" applyFont="1" applyBorder="1"/>
    <xf numFmtId="49" fontId="16" fillId="0" borderId="56" xfId="0" applyNumberFormat="1" applyFont="1" applyBorder="1"/>
    <xf numFmtId="49" fontId="14" fillId="0" borderId="3" xfId="0" applyNumberFormat="1" applyFont="1" applyBorder="1"/>
    <xf numFmtId="0" fontId="14" fillId="0" borderId="17" xfId="0" applyFont="1" applyBorder="1" applyAlignment="1">
      <alignment horizontal="left"/>
    </xf>
    <xf numFmtId="49" fontId="14" fillId="0" borderId="56" xfId="0" applyNumberFormat="1" applyFont="1" applyBorder="1" applyAlignment="1">
      <alignment horizontal="left"/>
    </xf>
    <xf numFmtId="0" fontId="14" fillId="3" borderId="15" xfId="0" applyFont="1" applyFill="1" applyBorder="1" applyAlignment="1">
      <alignment vertical="center"/>
    </xf>
    <xf numFmtId="0" fontId="14" fillId="3" borderId="15" xfId="0" applyFont="1" applyFill="1" applyBorder="1" applyAlignment="1">
      <alignment horizontal="center" vertical="center"/>
    </xf>
    <xf numFmtId="0" fontId="14" fillId="3" borderId="24" xfId="0" applyFont="1" applyFill="1" applyBorder="1" applyAlignment="1">
      <alignment vertical="center"/>
    </xf>
    <xf numFmtId="0" fontId="14" fillId="0" borderId="1" xfId="0" applyFont="1" applyBorder="1" applyAlignment="1">
      <alignment horizontal="center"/>
    </xf>
    <xf numFmtId="49" fontId="17" fillId="25" borderId="57" xfId="0" applyNumberFormat="1" applyFont="1" applyFill="1" applyBorder="1"/>
    <xf numFmtId="0" fontId="17" fillId="25" borderId="57" xfId="0" applyFont="1" applyFill="1" applyBorder="1"/>
    <xf numFmtId="49" fontId="17" fillId="26" borderId="58" xfId="0" applyNumberFormat="1" applyFont="1" applyFill="1" applyBorder="1"/>
    <xf numFmtId="49" fontId="0" fillId="0" borderId="59" xfId="0" applyNumberFormat="1" applyBorder="1"/>
    <xf numFmtId="49" fontId="0" fillId="0" borderId="60" xfId="0" applyNumberFormat="1" applyBorder="1"/>
    <xf numFmtId="0" fontId="0" fillId="0" borderId="60" xfId="0" applyNumberFormat="1" applyBorder="1"/>
    <xf numFmtId="0" fontId="0" fillId="0" borderId="60" xfId="0" applyBorder="1"/>
    <xf numFmtId="49" fontId="17" fillId="26" borderId="61" xfId="0" applyNumberFormat="1" applyFont="1" applyFill="1" applyBorder="1"/>
    <xf numFmtId="49" fontId="0" fillId="0" borderId="62" xfId="0" applyNumberFormat="1" applyBorder="1"/>
    <xf numFmtId="49" fontId="0" fillId="0" borderId="63" xfId="0" applyNumberFormat="1" applyBorder="1"/>
    <xf numFmtId="0" fontId="0" fillId="0" borderId="63" xfId="0" applyNumberFormat="1" applyBorder="1"/>
    <xf numFmtId="0" fontId="0" fillId="0" borderId="63" xfId="0" applyBorder="1"/>
    <xf numFmtId="49" fontId="0" fillId="0" borderId="63" xfId="0" applyNumberFormat="1" applyBorder="1" applyAlignment="1">
      <alignment wrapText="1"/>
    </xf>
    <xf numFmtId="49" fontId="0" fillId="3" borderId="12" xfId="0" applyNumberFormat="1" applyFill="1" applyBorder="1" applyAlignment="1">
      <alignment vertical="center"/>
    </xf>
    <xf numFmtId="2" fontId="0" fillId="3" borderId="11" xfId="0" applyNumberFormat="1" applyFill="1" applyBorder="1" applyAlignment="1">
      <alignment vertical="center"/>
    </xf>
    <xf numFmtId="4" fontId="0" fillId="3" borderId="11" xfId="0" applyNumberFormat="1" applyFill="1" applyBorder="1" applyAlignment="1">
      <alignment vertical="center"/>
    </xf>
    <xf numFmtId="49" fontId="0" fillId="3" borderId="11" xfId="0" applyNumberFormat="1" applyFill="1" applyBorder="1" applyAlignment="1">
      <alignment vertical="center"/>
    </xf>
    <xf numFmtId="10" fontId="0" fillId="3" borderId="11" xfId="0" applyNumberFormat="1" applyFill="1" applyBorder="1" applyAlignment="1">
      <alignment vertical="center"/>
    </xf>
    <xf numFmtId="49" fontId="0" fillId="3" borderId="13" xfId="0" applyNumberFormat="1" applyFill="1" applyBorder="1" applyAlignment="1">
      <alignment vertical="center"/>
    </xf>
    <xf numFmtId="49" fontId="0" fillId="3" borderId="14" xfId="0" applyNumberFormat="1" applyFill="1" applyBorder="1" applyAlignment="1">
      <alignment vertical="center"/>
    </xf>
    <xf numFmtId="2" fontId="0" fillId="27" borderId="11" xfId="0" applyNumberFormat="1" applyFill="1" applyBorder="1" applyAlignment="1">
      <alignment vertical="center"/>
    </xf>
    <xf numFmtId="4" fontId="0" fillId="27" borderId="11" xfId="0" applyNumberFormat="1" applyFill="1" applyBorder="1" applyAlignment="1">
      <alignment vertical="center"/>
    </xf>
    <xf numFmtId="10" fontId="0" fillId="27" borderId="11" xfId="0" applyNumberFormat="1" applyFill="1" applyBorder="1" applyAlignment="1">
      <alignment vertical="center"/>
    </xf>
    <xf numFmtId="49" fontId="0" fillId="0" borderId="11" xfId="0" applyNumberFormat="1" applyBorder="1"/>
    <xf numFmtId="3" fontId="0" fillId="0" borderId="11" xfId="0" applyNumberFormat="1" applyBorder="1"/>
    <xf numFmtId="2" fontId="0" fillId="27" borderId="11" xfId="0" applyNumberFormat="1" applyFill="1" applyBorder="1"/>
    <xf numFmtId="49" fontId="13" fillId="28" borderId="11" xfId="0" applyNumberFormat="1" applyFont="1" applyFill="1" applyBorder="1" applyAlignment="1">
      <alignment horizontal="center" vertical="center" wrapText="1"/>
    </xf>
    <xf numFmtId="4" fontId="0" fillId="27" borderId="11" xfId="0" applyNumberFormat="1" applyFill="1" applyBorder="1"/>
    <xf numFmtId="49" fontId="17" fillId="0" borderId="1" xfId="0" applyNumberFormat="1" applyFont="1" applyBorder="1"/>
    <xf numFmtId="49" fontId="17" fillId="0" borderId="11" xfId="0" applyNumberFormat="1" applyFont="1" applyBorder="1" applyAlignment="1">
      <alignment horizontal="center"/>
    </xf>
    <xf numFmtId="49" fontId="0" fillId="3" borderId="11" xfId="0" applyNumberFormat="1" applyFill="1" applyBorder="1" applyAlignment="1">
      <alignment vertical="top"/>
    </xf>
    <xf numFmtId="49" fontId="21" fillId="0" borderId="1" xfId="0" applyNumberFormat="1" applyFont="1" applyBorder="1"/>
    <xf numFmtId="49" fontId="22" fillId="0" borderId="1" xfId="0" applyNumberFormat="1" applyFont="1" applyBorder="1"/>
    <xf numFmtId="0" fontId="23" fillId="0" borderId="1" xfId="0" applyFont="1" applyBorder="1"/>
    <xf numFmtId="0" fontId="23" fillId="0" borderId="64" xfId="0" applyFont="1" applyBorder="1"/>
    <xf numFmtId="0" fontId="23" fillId="0" borderId="16" xfId="0" applyFont="1" applyBorder="1"/>
    <xf numFmtId="49" fontId="24" fillId="29" borderId="65" xfId="0" applyNumberFormat="1" applyFont="1" applyFill="1" applyBorder="1" applyAlignment="1">
      <alignment horizontal="center" vertical="center" wrapText="1"/>
    </xf>
    <xf numFmtId="49" fontId="24" fillId="29" borderId="66" xfId="0" applyNumberFormat="1" applyFont="1" applyFill="1" applyBorder="1" applyAlignment="1">
      <alignment horizontal="center" vertical="center" wrapText="1"/>
    </xf>
    <xf numFmtId="49" fontId="24" fillId="29" borderId="67" xfId="0" applyNumberFormat="1" applyFont="1" applyFill="1" applyBorder="1" applyAlignment="1">
      <alignment vertical="center"/>
    </xf>
    <xf numFmtId="0" fontId="0" fillId="0" borderId="68" xfId="0" applyBorder="1"/>
    <xf numFmtId="49" fontId="14" fillId="7" borderId="69" xfId="0" applyNumberFormat="1" applyFont="1" applyFill="1" applyBorder="1" applyAlignment="1">
      <alignment vertical="top" wrapText="1"/>
    </xf>
    <xf numFmtId="49" fontId="14" fillId="3" borderId="24" xfId="0" applyNumberFormat="1" applyFont="1" applyFill="1" applyBorder="1" applyAlignment="1">
      <alignment horizontal="center" vertical="top"/>
    </xf>
    <xf numFmtId="49" fontId="14" fillId="3" borderId="24" xfId="0" applyNumberFormat="1" applyFont="1" applyFill="1" applyBorder="1" applyAlignment="1">
      <alignment vertical="top"/>
    </xf>
    <xf numFmtId="10" fontId="4" fillId="3" borderId="24" xfId="0" applyNumberFormat="1" applyFont="1" applyFill="1" applyBorder="1" applyAlignment="1">
      <alignment horizontal="center" vertical="top"/>
    </xf>
    <xf numFmtId="10" fontId="14" fillId="3" borderId="24" xfId="0" applyNumberFormat="1" applyFont="1" applyFill="1" applyBorder="1" applyAlignment="1">
      <alignment horizontal="center" vertical="top" wrapText="1"/>
    </xf>
    <xf numFmtId="49" fontId="14" fillId="3" borderId="1" xfId="0" applyNumberFormat="1" applyFont="1" applyFill="1" applyBorder="1" applyAlignment="1">
      <alignment horizontal="center" vertical="top"/>
    </xf>
    <xf numFmtId="49" fontId="14" fillId="3" borderId="1" xfId="0" applyNumberFormat="1" applyFont="1" applyFill="1" applyBorder="1" applyAlignment="1">
      <alignment vertical="top"/>
    </xf>
    <xf numFmtId="10" fontId="4" fillId="3" borderId="1" xfId="0" applyNumberFormat="1" applyFont="1" applyFill="1" applyBorder="1" applyAlignment="1">
      <alignment horizontal="center" vertical="top"/>
    </xf>
    <xf numFmtId="10" fontId="14" fillId="3" borderId="1" xfId="0" applyNumberFormat="1" applyFont="1" applyFill="1" applyBorder="1" applyAlignment="1">
      <alignment horizontal="center" vertical="top" wrapText="1"/>
    </xf>
    <xf numFmtId="10" fontId="14" fillId="3" borderId="16" xfId="0" applyNumberFormat="1" applyFont="1" applyFill="1" applyBorder="1" applyAlignment="1">
      <alignment horizontal="center" vertical="top" wrapText="1"/>
    </xf>
    <xf numFmtId="49" fontId="14" fillId="30" borderId="69" xfId="0" applyNumberFormat="1" applyFont="1" applyFill="1" applyBorder="1" applyAlignment="1">
      <alignment vertical="top" wrapText="1"/>
    </xf>
    <xf numFmtId="49" fontId="14" fillId="3" borderId="16" xfId="0" applyNumberFormat="1" applyFont="1" applyFill="1" applyBorder="1" applyAlignment="1">
      <alignment vertical="top"/>
    </xf>
    <xf numFmtId="10" fontId="4" fillId="3" borderId="16" xfId="0" applyNumberFormat="1" applyFont="1" applyFill="1" applyBorder="1" applyAlignment="1">
      <alignment horizontal="center" vertical="top"/>
    </xf>
    <xf numFmtId="10" fontId="4" fillId="3" borderId="20" xfId="0" applyNumberFormat="1" applyFont="1" applyFill="1" applyBorder="1" applyAlignment="1">
      <alignment horizontal="center" vertical="top"/>
    </xf>
    <xf numFmtId="10" fontId="14" fillId="0" borderId="21" xfId="0" applyNumberFormat="1" applyFont="1" applyBorder="1" applyAlignment="1">
      <alignment horizontal="center"/>
    </xf>
    <xf numFmtId="10" fontId="4" fillId="3" borderId="22" xfId="0" applyNumberFormat="1" applyFont="1" applyFill="1" applyBorder="1" applyAlignment="1">
      <alignment horizontal="center" vertical="top"/>
    </xf>
    <xf numFmtId="49" fontId="14" fillId="30" borderId="70" xfId="0" applyNumberFormat="1" applyFont="1" applyFill="1" applyBorder="1" applyAlignment="1">
      <alignment vertical="top" wrapText="1"/>
    </xf>
    <xf numFmtId="49" fontId="14" fillId="3" borderId="51" xfId="0" applyNumberFormat="1" applyFont="1" applyFill="1" applyBorder="1" applyAlignment="1">
      <alignment horizontal="center" vertical="top"/>
    </xf>
    <xf numFmtId="10" fontId="4" fillId="31" borderId="21" xfId="0" applyNumberFormat="1" applyFont="1" applyFill="1" applyBorder="1" applyAlignment="1">
      <alignment horizontal="center" vertical="top"/>
    </xf>
    <xf numFmtId="49" fontId="14" fillId="3" borderId="16" xfId="0" applyNumberFormat="1" applyFont="1" applyFill="1" applyBorder="1" applyAlignment="1">
      <alignment horizontal="center" vertical="top"/>
    </xf>
    <xf numFmtId="49" fontId="14" fillId="3" borderId="1" xfId="0" applyNumberFormat="1" applyFont="1" applyFill="1" applyBorder="1" applyAlignment="1">
      <alignment horizontal="center" vertical="top" wrapText="1"/>
    </xf>
    <xf numFmtId="49" fontId="14" fillId="3" borderId="52" xfId="0" applyNumberFormat="1" applyFont="1" applyFill="1" applyBorder="1" applyAlignment="1">
      <alignment horizontal="center" vertical="top"/>
    </xf>
    <xf numFmtId="10" fontId="14" fillId="3" borderId="64" xfId="0" applyNumberFormat="1" applyFont="1" applyFill="1" applyBorder="1" applyAlignment="1">
      <alignment horizontal="center" vertical="top" wrapText="1"/>
    </xf>
    <xf numFmtId="49" fontId="14" fillId="32" borderId="69" xfId="0" applyNumberFormat="1" applyFont="1" applyFill="1" applyBorder="1" applyAlignment="1">
      <alignment vertical="top" wrapText="1"/>
    </xf>
    <xf numFmtId="49" fontId="14" fillId="3" borderId="71" xfId="0" applyNumberFormat="1" applyFont="1" applyFill="1" applyBorder="1" applyAlignment="1">
      <alignment horizontal="center" vertical="top"/>
    </xf>
    <xf numFmtId="10" fontId="4" fillId="3" borderId="68" xfId="0" applyNumberFormat="1" applyFont="1" applyFill="1" applyBorder="1" applyAlignment="1">
      <alignment horizontal="center" vertical="top"/>
    </xf>
    <xf numFmtId="10" fontId="14" fillId="3" borderId="72" xfId="0" applyNumberFormat="1" applyFont="1" applyFill="1" applyBorder="1" applyAlignment="1">
      <alignment horizontal="center" vertical="top" wrapText="1"/>
    </xf>
    <xf numFmtId="49" fontId="14" fillId="24" borderId="69" xfId="0" applyNumberFormat="1" applyFont="1" applyFill="1" applyBorder="1" applyAlignment="1">
      <alignment vertical="top" wrapText="1"/>
    </xf>
    <xf numFmtId="49" fontId="14" fillId="3" borderId="1" xfId="0" applyNumberFormat="1" applyFont="1" applyFill="1" applyBorder="1" applyAlignment="1">
      <alignment vertical="top" wrapText="1"/>
    </xf>
    <xf numFmtId="0" fontId="23" fillId="0" borderId="72" xfId="0" applyFont="1" applyBorder="1"/>
    <xf numFmtId="10" fontId="23" fillId="0" borderId="1" xfId="0" applyNumberFormat="1" applyFont="1" applyBorder="1"/>
    <xf numFmtId="10" fontId="23" fillId="0" borderId="1" xfId="0" applyNumberFormat="1" applyFont="1" applyBorder="1" applyAlignment="1">
      <alignment horizontal="center"/>
    </xf>
    <xf numFmtId="0" fontId="23" fillId="0" borderId="68" xfId="0" applyFont="1" applyBorder="1"/>
    <xf numFmtId="10" fontId="14" fillId="3" borderId="1" xfId="0" applyNumberFormat="1" applyFont="1" applyFill="1" applyBorder="1" applyAlignment="1">
      <alignment horizontal="center" vertical="top"/>
    </xf>
    <xf numFmtId="0" fontId="0" fillId="0" borderId="73" xfId="0" applyBorder="1"/>
    <xf numFmtId="49" fontId="6" fillId="3" borderId="11" xfId="0" applyNumberFormat="1" applyFont="1" applyFill="1" applyBorder="1" applyAlignment="1">
      <alignment wrapText="1"/>
    </xf>
    <xf numFmtId="49" fontId="6" fillId="33" borderId="11" xfId="0" applyNumberFormat="1" applyFont="1" applyFill="1" applyBorder="1" applyAlignment="1">
      <alignment wrapText="1"/>
    </xf>
    <xf numFmtId="0" fontId="6" fillId="33" borderId="74" xfId="0" applyFont="1" applyFill="1" applyBorder="1" applyAlignment="1">
      <alignment wrapText="1"/>
    </xf>
    <xf numFmtId="1" fontId="0" fillId="0" borderId="11" xfId="0" applyNumberFormat="1" applyBorder="1"/>
    <xf numFmtId="0" fontId="0" fillId="0" borderId="39" xfId="0" applyNumberFormat="1" applyBorder="1"/>
    <xf numFmtId="0" fontId="0" fillId="0" borderId="11" xfId="0" applyNumberFormat="1" applyBorder="1"/>
    <xf numFmtId="0" fontId="0" fillId="0" borderId="9" xfId="0" applyNumberFormat="1" applyBorder="1"/>
    <xf numFmtId="49" fontId="17" fillId="6" borderId="11" xfId="0" applyNumberFormat="1" applyFont="1" applyFill="1" applyBorder="1"/>
    <xf numFmtId="0" fontId="0" fillId="6" borderId="11" xfId="0" applyFill="1" applyBorder="1"/>
    <xf numFmtId="0" fontId="0" fillId="6" borderId="74" xfId="0" applyFill="1" applyBorder="1"/>
    <xf numFmtId="49" fontId="0" fillId="0" borderId="19" xfId="0" applyNumberFormat="1" applyBorder="1"/>
    <xf numFmtId="49" fontId="0" fillId="0" borderId="17" xfId="0" applyNumberFormat="1" applyBorder="1"/>
    <xf numFmtId="49" fontId="0" fillId="0" borderId="23" xfId="0" applyNumberFormat="1" applyBorder="1"/>
    <xf numFmtId="49" fontId="0" fillId="0" borderId="24" xfId="0" applyNumberFormat="1" applyBorder="1"/>
    <xf numFmtId="49" fontId="0" fillId="0" borderId="54" xfId="0" applyNumberFormat="1" applyBorder="1"/>
    <xf numFmtId="49" fontId="0" fillId="0" borderId="22" xfId="0" applyNumberFormat="1" applyBorder="1"/>
    <xf numFmtId="49" fontId="0" fillId="0" borderId="16" xfId="0" applyNumberFormat="1" applyBorder="1"/>
    <xf numFmtId="0" fontId="0" fillId="0" borderId="16" xfId="0" applyNumberFormat="1" applyBorder="1"/>
    <xf numFmtId="49" fontId="0" fillId="0" borderId="20" xfId="0" applyNumberFormat="1" applyBorder="1"/>
    <xf numFmtId="49" fontId="26" fillId="0" borderId="21" xfId="1" applyNumberFormat="1" applyFont="1"/>
    <xf numFmtId="0" fontId="26" fillId="0" borderId="21" xfId="1" applyFont="1"/>
    <xf numFmtId="49" fontId="0" fillId="0" borderId="76" xfId="0" applyNumberFormat="1" applyBorder="1"/>
    <xf numFmtId="0" fontId="0" fillId="0" borderId="77" xfId="0" applyNumberFormat="1" applyBorder="1"/>
    <xf numFmtId="49" fontId="0" fillId="0" borderId="21" xfId="0" applyNumberFormat="1" applyBorder="1"/>
    <xf numFmtId="0" fontId="0" fillId="34" borderId="0" xfId="0" applyNumberFormat="1" applyFill="1"/>
    <xf numFmtId="49" fontId="0" fillId="0" borderId="19" xfId="0" applyNumberFormat="1" applyFill="1" applyBorder="1"/>
    <xf numFmtId="49" fontId="0" fillId="0" borderId="1" xfId="0" applyNumberFormat="1" applyFill="1" applyBorder="1"/>
    <xf numFmtId="0" fontId="0" fillId="0" borderId="1" xfId="0" applyNumberFormat="1" applyFill="1" applyBorder="1"/>
    <xf numFmtId="0" fontId="0" fillId="0" borderId="1" xfId="0" applyFill="1" applyBorder="1"/>
    <xf numFmtId="49" fontId="0" fillId="0" borderId="17" xfId="0" applyNumberFormat="1" applyFill="1" applyBorder="1"/>
    <xf numFmtId="49" fontId="0" fillId="0" borderId="21" xfId="0" applyNumberFormat="1" applyFill="1" applyBorder="1"/>
    <xf numFmtId="0" fontId="0" fillId="0" borderId="77" xfId="0" applyNumberFormat="1" applyFill="1" applyBorder="1"/>
    <xf numFmtId="0" fontId="0" fillId="0" borderId="0" xfId="0" applyNumberFormat="1" applyFill="1"/>
    <xf numFmtId="49" fontId="14" fillId="23" borderId="11" xfId="0" applyNumberFormat="1" applyFont="1" applyFill="1" applyBorder="1" applyAlignment="1">
      <alignment horizontal="center" vertical="center"/>
    </xf>
    <xf numFmtId="0" fontId="0" fillId="0" borderId="75" xfId="0" applyNumberFormat="1" applyBorder="1"/>
    <xf numFmtId="0" fontId="0" fillId="0" borderId="21" xfId="0" applyNumberFormat="1" applyFill="1" applyBorder="1"/>
    <xf numFmtId="49" fontId="28" fillId="0" borderId="19" xfId="0" applyNumberFormat="1" applyFont="1" applyFill="1" applyBorder="1"/>
    <xf numFmtId="49" fontId="28" fillId="0" borderId="1" xfId="0" applyNumberFormat="1" applyFont="1" applyFill="1" applyBorder="1"/>
    <xf numFmtId="0" fontId="28" fillId="0" borderId="1" xfId="0" applyNumberFormat="1" applyFont="1" applyFill="1" applyBorder="1"/>
    <xf numFmtId="0" fontId="28" fillId="0" borderId="21" xfId="0" applyNumberFormat="1" applyFont="1" applyFill="1" applyBorder="1"/>
    <xf numFmtId="0" fontId="28" fillId="0" borderId="77" xfId="0" applyNumberFormat="1" applyFont="1" applyFill="1" applyBorder="1"/>
    <xf numFmtId="0" fontId="28" fillId="0" borderId="1" xfId="0" applyFont="1" applyFill="1" applyBorder="1"/>
    <xf numFmtId="49" fontId="28" fillId="0" borderId="1" xfId="0" applyNumberFormat="1" applyFont="1" applyFill="1" applyBorder="1" applyAlignment="1">
      <alignment wrapText="1"/>
    </xf>
    <xf numFmtId="49" fontId="28" fillId="0" borderId="21" xfId="0" applyNumberFormat="1" applyFont="1" applyFill="1" applyBorder="1"/>
    <xf numFmtId="49" fontId="28" fillId="0" borderId="0" xfId="0" applyNumberFormat="1" applyFont="1" applyFill="1" applyBorder="1"/>
    <xf numFmtId="49" fontId="26" fillId="0" borderId="1" xfId="0" applyNumberFormat="1" applyFont="1" applyFill="1" applyBorder="1"/>
    <xf numFmtId="49" fontId="0" fillId="0" borderId="1" xfId="0" applyNumberFormat="1" applyFill="1" applyBorder="1" applyAlignment="1">
      <alignment wrapText="1"/>
    </xf>
    <xf numFmtId="49" fontId="26" fillId="0" borderId="1" xfId="1" applyNumberFormat="1" applyFont="1" applyBorder="1"/>
    <xf numFmtId="49" fontId="27" fillId="0" borderId="1" xfId="2" applyNumberFormat="1" applyFill="1" applyBorder="1"/>
    <xf numFmtId="49" fontId="0" fillId="0" borderId="22" xfId="0" applyNumberFormat="1" applyFill="1" applyBorder="1"/>
    <xf numFmtId="49" fontId="0" fillId="0" borderId="16" xfId="0" applyNumberFormat="1" applyFill="1" applyBorder="1"/>
    <xf numFmtId="0" fontId="0" fillId="0" borderId="16" xfId="0" applyNumberFormat="1" applyFill="1" applyBorder="1"/>
    <xf numFmtId="0" fontId="0" fillId="0" borderId="16" xfId="0" applyFill="1" applyBorder="1"/>
    <xf numFmtId="49" fontId="0" fillId="0" borderId="20" xfId="0" applyNumberFormat="1" applyFill="1" applyBorder="1"/>
    <xf numFmtId="0" fontId="0" fillId="0" borderId="0" xfId="0" pivotButton="1"/>
    <xf numFmtId="0" fontId="0" fillId="0" borderId="0" xfId="0" applyAlignment="1">
      <alignment horizontal="left"/>
    </xf>
    <xf numFmtId="49" fontId="3" fillId="2" borderId="5" xfId="0" applyNumberFormat="1" applyFont="1" applyFill="1" applyBorder="1" applyAlignment="1">
      <alignment horizontal="center" wrapText="1"/>
    </xf>
    <xf numFmtId="0" fontId="0" fillId="0" borderId="6" xfId="0" applyBorder="1"/>
    <xf numFmtId="0" fontId="0" fillId="0" borderId="7" xfId="0" applyBorder="1"/>
    <xf numFmtId="0" fontId="0" fillId="0" borderId="8" xfId="0" applyBorder="1"/>
    <xf numFmtId="49" fontId="4" fillId="3" borderId="12" xfId="0" applyNumberFormat="1" applyFont="1" applyFill="1" applyBorder="1" applyAlignment="1">
      <alignment horizontal="center" vertical="top" wrapText="1"/>
    </xf>
    <xf numFmtId="0" fontId="0" fillId="0" borderId="13" xfId="0" applyBorder="1"/>
    <xf numFmtId="0" fontId="0" fillId="0" borderId="14" xfId="0" applyBorder="1"/>
    <xf numFmtId="49" fontId="4" fillId="9" borderId="4" xfId="0" applyNumberFormat="1" applyFont="1" applyFill="1" applyBorder="1" applyAlignment="1">
      <alignment horizontal="center" vertical="top" wrapText="1"/>
    </xf>
    <xf numFmtId="0" fontId="0" fillId="0" borderId="38" xfId="0" applyBorder="1"/>
    <xf numFmtId="49" fontId="3" fillId="2" borderId="4" xfId="0" applyNumberFormat="1" applyFont="1" applyFill="1" applyBorder="1" applyAlignment="1">
      <alignment horizontal="center" wrapText="1"/>
    </xf>
    <xf numFmtId="49" fontId="4" fillId="3" borderId="12" xfId="0" applyNumberFormat="1" applyFont="1" applyFill="1" applyBorder="1" applyAlignment="1">
      <alignment horizontal="center" vertical="top"/>
    </xf>
    <xf numFmtId="10" fontId="4" fillId="3" borderId="12" xfId="0" applyNumberFormat="1" applyFont="1" applyFill="1" applyBorder="1" applyAlignment="1">
      <alignment horizontal="center" vertical="top"/>
    </xf>
    <xf numFmtId="49" fontId="3" fillId="2" borderId="25" xfId="0" applyNumberFormat="1" applyFont="1" applyFill="1" applyBorder="1" applyAlignment="1">
      <alignment horizontal="center" wrapText="1"/>
    </xf>
    <xf numFmtId="0" fontId="0" fillId="0" borderId="37" xfId="0" applyBorder="1"/>
    <xf numFmtId="0" fontId="0" fillId="0" borderId="39" xfId="0" applyBorder="1"/>
    <xf numFmtId="0" fontId="0" fillId="0" borderId="1" xfId="0" applyBorder="1"/>
    <xf numFmtId="0" fontId="0" fillId="0" borderId="9" xfId="0" applyBorder="1"/>
    <xf numFmtId="0" fontId="0" fillId="2" borderId="5" xfId="0" applyFill="1" applyBorder="1"/>
    <xf numFmtId="164" fontId="3" fillId="2" borderId="5" xfId="0" applyNumberFormat="1" applyFont="1" applyFill="1" applyBorder="1" applyAlignment="1">
      <alignment horizontal="center" wrapText="1"/>
    </xf>
    <xf numFmtId="0" fontId="0" fillId="0" borderId="10" xfId="0" applyBorder="1"/>
    <xf numFmtId="164" fontId="3" fillId="2" borderId="25" xfId="0" applyNumberFormat="1" applyFont="1" applyFill="1" applyBorder="1" applyAlignment="1">
      <alignment horizontal="center" wrapText="1"/>
    </xf>
    <xf numFmtId="0" fontId="0" fillId="0" borderId="28" xfId="0" applyBorder="1"/>
    <xf numFmtId="49" fontId="3" fillId="2" borderId="26" xfId="0" applyNumberFormat="1" applyFont="1" applyFill="1" applyBorder="1" applyAlignment="1">
      <alignment horizontal="center" wrapText="1"/>
    </xf>
    <xf numFmtId="0" fontId="0" fillId="0" borderId="32" xfId="0" applyBorder="1"/>
    <xf numFmtId="164" fontId="3" fillId="2" borderId="31" xfId="0" applyNumberFormat="1" applyFont="1" applyFill="1" applyBorder="1" applyAlignment="1">
      <alignment horizontal="center" wrapText="1"/>
    </xf>
    <xf numFmtId="164" fontId="3" fillId="2" borderId="4" xfId="0" applyNumberFormat="1" applyFont="1" applyFill="1" applyBorder="1" applyAlignment="1">
      <alignment horizontal="center" wrapText="1"/>
    </xf>
    <xf numFmtId="164" fontId="3" fillId="2" borderId="26" xfId="0" applyNumberFormat="1" applyFont="1" applyFill="1" applyBorder="1" applyAlignment="1">
      <alignment horizontal="center" wrapText="1"/>
    </xf>
    <xf numFmtId="0" fontId="0" fillId="0" borderId="29" xfId="0" applyBorder="1"/>
    <xf numFmtId="49" fontId="3" fillId="2" borderId="27" xfId="0" applyNumberFormat="1" applyFont="1" applyFill="1" applyBorder="1" applyAlignment="1">
      <alignment horizontal="center" wrapText="1"/>
    </xf>
    <xf numFmtId="0" fontId="0" fillId="0" borderId="30" xfId="0" applyBorder="1"/>
    <xf numFmtId="49" fontId="3" fillId="2" borderId="4" xfId="0" applyNumberFormat="1" applyFont="1" applyFill="1" applyBorder="1" applyAlignment="1">
      <alignment horizontal="center"/>
    </xf>
    <xf numFmtId="164" fontId="3" fillId="2" borderId="5" xfId="0" applyNumberFormat="1" applyFont="1" applyFill="1" applyBorder="1" applyAlignment="1">
      <alignment horizontal="center"/>
    </xf>
    <xf numFmtId="49" fontId="3" fillId="2" borderId="5" xfId="0" applyNumberFormat="1" applyFont="1" applyFill="1" applyBorder="1" applyAlignment="1">
      <alignment horizontal="center"/>
    </xf>
    <xf numFmtId="49" fontId="4" fillId="0" borderId="12" xfId="0" applyNumberFormat="1" applyFont="1" applyBorder="1"/>
    <xf numFmtId="0" fontId="0" fillId="0" borderId="41" xfId="0" applyBorder="1"/>
    <xf numFmtId="49" fontId="3" fillId="2" borderId="31" xfId="0" applyNumberFormat="1" applyFont="1" applyFill="1" applyBorder="1" applyAlignment="1">
      <alignment horizontal="center" wrapText="1"/>
    </xf>
    <xf numFmtId="0" fontId="3" fillId="2" borderId="5" xfId="0" applyFont="1" applyFill="1" applyBorder="1" applyAlignment="1">
      <alignment horizontal="center" wrapText="1"/>
    </xf>
    <xf numFmtId="0" fontId="0" fillId="0" borderId="42" xfId="0" applyBorder="1"/>
    <xf numFmtId="49" fontId="13" fillId="3" borderId="12" xfId="0" applyNumberFormat="1" applyFont="1" applyFill="1" applyBorder="1" applyAlignment="1">
      <alignment vertical="center"/>
    </xf>
    <xf numFmtId="49" fontId="15" fillId="0" borderId="4" xfId="0" applyNumberFormat="1" applyFont="1" applyBorder="1" applyAlignment="1">
      <alignment wrapText="1"/>
    </xf>
    <xf numFmtId="0" fontId="16" fillId="0" borderId="4" xfId="0" applyFont="1" applyBorder="1"/>
    <xf numFmtId="49" fontId="13" fillId="22" borderId="4" xfId="0" applyNumberFormat="1" applyFont="1" applyFill="1" applyBorder="1" applyAlignment="1">
      <alignment horizontal="center" vertical="center" wrapText="1"/>
    </xf>
    <xf numFmtId="49" fontId="13" fillId="22" borderId="5" xfId="0" applyNumberFormat="1" applyFont="1" applyFill="1" applyBorder="1" applyAlignment="1">
      <alignment horizontal="center" vertical="center" wrapText="1"/>
    </xf>
    <xf numFmtId="49" fontId="13" fillId="6" borderId="21" xfId="0" applyNumberFormat="1" applyFont="1" applyFill="1" applyBorder="1" applyAlignment="1">
      <alignment horizontal="center" vertical="center" wrapText="1"/>
    </xf>
    <xf numFmtId="0" fontId="0" fillId="0" borderId="23" xfId="0" applyBorder="1"/>
    <xf numFmtId="0" fontId="0" fillId="0" borderId="54" xfId="0" applyBorder="1"/>
    <xf numFmtId="49" fontId="14" fillId="6" borderId="21" xfId="0" applyNumberFormat="1" applyFont="1" applyFill="1" applyBorder="1" applyAlignment="1">
      <alignment horizontal="left" vertical="center" wrapText="1"/>
    </xf>
    <xf numFmtId="0" fontId="0" fillId="0" borderId="34" xfId="0" applyBorder="1"/>
    <xf numFmtId="0" fontId="0" fillId="0" borderId="55" xfId="0" applyBorder="1"/>
    <xf numFmtId="0" fontId="0" fillId="0" borderId="19" xfId="0" applyBorder="1"/>
    <xf numFmtId="0" fontId="0" fillId="0" borderId="17" xfId="0" applyBorder="1"/>
    <xf numFmtId="49" fontId="13" fillId="22" borderId="49" xfId="0" applyNumberFormat="1" applyFont="1" applyFill="1" applyBorder="1" applyAlignment="1">
      <alignment vertical="center"/>
    </xf>
    <xf numFmtId="49" fontId="12" fillId="3" borderId="12" xfId="0" applyNumberFormat="1" applyFont="1" applyFill="1" applyBorder="1" applyAlignment="1">
      <alignment vertical="center"/>
    </xf>
    <xf numFmtId="49" fontId="17" fillId="3" borderId="12" xfId="0" applyNumberFormat="1" applyFont="1" applyFill="1" applyBorder="1" applyAlignment="1">
      <alignment vertical="center"/>
    </xf>
    <xf numFmtId="0" fontId="17" fillId="0" borderId="12" xfId="0" applyFont="1" applyBorder="1"/>
    <xf numFmtId="49" fontId="13" fillId="22" borderId="5" xfId="0" applyNumberFormat="1" applyFont="1" applyFill="1" applyBorder="1" applyAlignment="1">
      <alignment horizontal="center" vertical="center"/>
    </xf>
    <xf numFmtId="49" fontId="13" fillId="22" borderId="4" xfId="0" applyNumberFormat="1" applyFont="1" applyFill="1" applyBorder="1" applyAlignment="1">
      <alignment horizontal="center" vertical="center"/>
    </xf>
    <xf numFmtId="49" fontId="15" fillId="22" borderId="5" xfId="0" applyNumberFormat="1" applyFont="1" applyFill="1" applyBorder="1" applyAlignment="1">
      <alignment horizontal="center" vertical="center" wrapText="1"/>
    </xf>
    <xf numFmtId="0" fontId="0" fillId="0" borderId="33" xfId="0" applyBorder="1"/>
    <xf numFmtId="0" fontId="1" fillId="0" borderId="0" xfId="0" applyFont="1" applyAlignment="1">
      <alignment horizontal="center" vertical="center"/>
    </xf>
    <xf numFmtId="49" fontId="13" fillId="28" borderId="5" xfId="0" applyNumberFormat="1" applyFont="1" applyFill="1" applyBorder="1" applyAlignment="1">
      <alignment horizontal="center" vertical="center" wrapText="1"/>
    </xf>
    <xf numFmtId="49" fontId="13" fillId="28" borderId="4" xfId="0" applyNumberFormat="1" applyFont="1" applyFill="1" applyBorder="1" applyAlignment="1">
      <alignment horizontal="center" vertical="center" wrapText="1"/>
    </xf>
  </cellXfs>
  <cellStyles count="3">
    <cellStyle name="Hyperlink" xfId="2" builtinId="8"/>
    <cellStyle name="Normal" xfId="0" builtinId="0"/>
    <cellStyle name="Normal 2" xfId="1" xr:uid="{690724AA-F950-4790-94B7-E5DFEFEA3A52}"/>
  </cellStyles>
  <dxfs count="60">
    <dxf>
      <font>
        <b val="0"/>
        <i val="0"/>
        <strike val="0"/>
        <condense val="0"/>
        <extend val="0"/>
        <outline val="0"/>
        <shadow val="0"/>
        <u val="none"/>
        <vertAlign val="baseline"/>
        <sz val="10"/>
        <color rgb="FF000000"/>
        <name val="Calibri"/>
        <family val="2"/>
        <scheme val="none"/>
      </font>
      <numFmt numFmtId="0" formatCode="General"/>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rgb="FF000000"/>
        <name val="Calibri"/>
        <family val="2"/>
        <scheme val="none"/>
      </font>
      <numFmt numFmtId="30" formatCode="@"/>
    </dxf>
    <dxf>
      <font>
        <b val="0"/>
        <i val="0"/>
        <strike val="0"/>
        <condense val="0"/>
        <extend val="0"/>
        <outline val="0"/>
        <shadow val="0"/>
        <u val="none"/>
        <vertAlign val="baseline"/>
        <sz val="10"/>
        <color rgb="FF000000"/>
        <name val="Calibri"/>
        <family val="2"/>
        <scheme val="none"/>
      </font>
      <numFmt numFmtId="30" formatCode="@"/>
    </dxf>
    <dxf>
      <font>
        <b val="0"/>
        <i val="0"/>
        <strike val="0"/>
        <condense val="0"/>
        <extend val="0"/>
        <outline val="0"/>
        <shadow val="0"/>
        <u val="none"/>
        <vertAlign val="baseline"/>
        <sz val="10"/>
        <color rgb="FF000000"/>
        <name val="Calibri"/>
        <family val="2"/>
        <scheme val="none"/>
      </font>
      <numFmt numFmtId="30" formatCode="@"/>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rgb="FF000000"/>
        <name val="Calibri"/>
        <family val="2"/>
        <scheme val="none"/>
      </font>
    </dxf>
    <dxf>
      <numFmt numFmtId="0" formatCode="General"/>
      <fill>
        <patternFill patternType="none">
          <fgColor indexed="64"/>
          <bgColor auto="1"/>
        </patternFill>
      </fill>
      <border diagonalUp="0" diagonalDown="0" outline="0">
        <left/>
        <right style="thin">
          <color indexed="64"/>
        </right>
      </border>
    </dxf>
    <dxf>
      <numFmt numFmtId="0" formatCode="General"/>
      <fill>
        <patternFill patternType="none">
          <fgColor indexed="64"/>
          <bgColor auto="1"/>
        </patternFill>
      </fill>
    </dxf>
    <dxf>
      <numFmt numFmtId="30" formatCode="@"/>
      <fill>
        <patternFill patternType="none">
          <fgColor indexed="64"/>
          <bgColor auto="1"/>
        </patternFill>
      </fill>
      <border diagonalUp="0" diagonalDown="0" outline="0">
        <left style="thin">
          <color indexed="9"/>
        </left>
        <right/>
        <top style="thin">
          <color indexed="9"/>
        </top>
        <bottom style="thin">
          <color indexed="9"/>
        </bottom>
      </border>
    </dxf>
    <dxf>
      <fill>
        <patternFill patternType="none">
          <fgColor indexed="64"/>
          <bgColor auto="1"/>
        </patternFill>
      </fill>
      <border diagonalUp="0" diagonalDown="0" outline="0">
        <left style="thin">
          <color indexed="9"/>
        </left>
        <right style="thin">
          <color indexed="9"/>
        </right>
        <top style="thin">
          <color indexed="9"/>
        </top>
        <bottom style="thin">
          <color indexed="9"/>
        </bottom>
      </border>
    </dxf>
    <dxf>
      <fill>
        <patternFill patternType="none">
          <fgColor indexed="64"/>
          <bgColor auto="1"/>
        </patternFill>
      </fill>
      <border diagonalUp="0" diagonalDown="0" outline="0">
        <left style="thin">
          <color indexed="9"/>
        </left>
        <right style="thin">
          <color indexed="9"/>
        </right>
        <top style="thin">
          <color indexed="9"/>
        </top>
        <bottom style="thin">
          <color indexed="9"/>
        </bottom>
      </border>
    </dxf>
    <dxf>
      <numFmt numFmtId="30" formatCode="@"/>
      <fill>
        <patternFill patternType="none">
          <fgColor indexed="64"/>
          <bgColor auto="1"/>
        </patternFill>
      </fill>
      <border diagonalUp="0" diagonalDown="0" outline="0">
        <left style="thin">
          <color indexed="9"/>
        </left>
        <right style="thin">
          <color indexed="9"/>
        </right>
        <top style="thin">
          <color indexed="9"/>
        </top>
        <bottom style="thin">
          <color indexed="9"/>
        </bottom>
      </border>
    </dxf>
    <dxf>
      <numFmt numFmtId="30" formatCode="@"/>
      <fill>
        <patternFill patternType="none">
          <fgColor indexed="64"/>
          <bgColor auto="1"/>
        </patternFill>
      </fill>
      <border diagonalUp="0" diagonalDown="0" outline="0">
        <left style="thin">
          <color indexed="9"/>
        </left>
        <right style="thin">
          <color indexed="9"/>
        </right>
        <top style="thin">
          <color indexed="9"/>
        </top>
        <bottom style="thin">
          <color indexed="9"/>
        </bottom>
      </border>
    </dxf>
    <dxf>
      <numFmt numFmtId="30" formatCode="@"/>
      <fill>
        <patternFill patternType="none">
          <fgColor indexed="64"/>
          <bgColor auto="1"/>
        </patternFill>
      </fill>
      <border diagonalUp="0" diagonalDown="0" outline="0">
        <left style="thin">
          <color indexed="9"/>
        </left>
        <right style="thin">
          <color indexed="9"/>
        </right>
        <top style="thin">
          <color indexed="9"/>
        </top>
        <bottom style="thin">
          <color indexed="9"/>
        </bottom>
      </border>
    </dxf>
    <dxf>
      <numFmt numFmtId="0" formatCode="General"/>
      <fill>
        <patternFill patternType="none">
          <fgColor indexed="64"/>
          <bgColor auto="1"/>
        </patternFill>
      </fill>
      <border diagonalUp="0" diagonalDown="0" outline="0">
        <left style="thin">
          <color indexed="9"/>
        </left>
        <right style="thin">
          <color indexed="9"/>
        </right>
        <top style="thin">
          <color indexed="9"/>
        </top>
        <bottom style="thin">
          <color indexed="9"/>
        </bottom>
      </border>
    </dxf>
    <dxf>
      <numFmt numFmtId="0" formatCode="General"/>
      <fill>
        <patternFill patternType="none">
          <fgColor indexed="64"/>
          <bgColor auto="1"/>
        </patternFill>
      </fill>
      <border diagonalUp="0" diagonalDown="0" outline="0">
        <left style="thin">
          <color indexed="9"/>
        </left>
        <right style="thin">
          <color indexed="9"/>
        </right>
        <top style="thin">
          <color indexed="9"/>
        </top>
        <bottom style="thin">
          <color indexed="9"/>
        </bottom>
      </border>
    </dxf>
    <dxf>
      <numFmt numFmtId="30" formatCode="@"/>
      <fill>
        <patternFill patternType="none">
          <fgColor indexed="64"/>
          <bgColor auto="1"/>
        </patternFill>
      </fill>
      <border diagonalUp="0" diagonalDown="0" outline="0">
        <left style="thin">
          <color indexed="9"/>
        </left>
        <right style="thin">
          <color indexed="9"/>
        </right>
        <top style="thin">
          <color indexed="9"/>
        </top>
        <bottom style="thin">
          <color indexed="9"/>
        </bottom>
      </border>
    </dxf>
    <dxf>
      <numFmt numFmtId="30" formatCode="@"/>
      <fill>
        <patternFill patternType="none">
          <fgColor indexed="64"/>
          <bgColor auto="1"/>
        </patternFill>
      </fill>
      <border diagonalUp="0" diagonalDown="0" outline="0">
        <left style="thin">
          <color indexed="9"/>
        </left>
        <right style="thin">
          <color indexed="9"/>
        </right>
        <top style="thin">
          <color indexed="9"/>
        </top>
        <bottom style="thin">
          <color indexed="9"/>
        </bottom>
      </border>
    </dxf>
    <dxf>
      <numFmt numFmtId="30" formatCode="@"/>
      <fill>
        <patternFill patternType="none">
          <fgColor indexed="64"/>
          <bgColor auto="1"/>
        </patternFill>
      </fill>
      <border diagonalUp="0" diagonalDown="0" outline="0">
        <left style="thin">
          <color indexed="9"/>
        </left>
        <right style="thin">
          <color indexed="9"/>
        </right>
        <top style="thin">
          <color indexed="9"/>
        </top>
        <bottom style="thin">
          <color indexed="9"/>
        </bottom>
      </border>
    </dxf>
    <dxf>
      <numFmt numFmtId="30" formatCode="@"/>
      <fill>
        <patternFill patternType="none">
          <fgColor indexed="64"/>
          <bgColor auto="1"/>
        </patternFill>
      </fill>
      <border diagonalUp="0" diagonalDown="0" outline="0">
        <left style="thin">
          <color indexed="9"/>
        </left>
        <right style="thin">
          <color indexed="9"/>
        </right>
        <top style="thin">
          <color indexed="9"/>
        </top>
        <bottom style="thin">
          <color indexed="9"/>
        </bottom>
      </border>
    </dxf>
    <dxf>
      <numFmt numFmtId="30" formatCode="@"/>
      <fill>
        <patternFill patternType="none">
          <fgColor indexed="64"/>
          <bgColor auto="1"/>
        </patternFill>
      </fill>
      <border diagonalUp="0" diagonalDown="0" outline="0">
        <left style="thin">
          <color indexed="9"/>
        </left>
        <right style="thin">
          <color indexed="9"/>
        </right>
        <top style="thin">
          <color indexed="9"/>
        </top>
        <bottom style="thin">
          <color indexed="9"/>
        </bottom>
      </border>
    </dxf>
    <dxf>
      <numFmt numFmtId="0" formatCode="General"/>
      <fill>
        <patternFill patternType="none">
          <fgColor indexed="64"/>
          <bgColor auto="1"/>
        </patternFill>
      </fill>
      <border diagonalUp="0" diagonalDown="0" outline="0">
        <left style="thin">
          <color indexed="9"/>
        </left>
        <right style="thin">
          <color indexed="9"/>
        </right>
        <top style="thin">
          <color indexed="9"/>
        </top>
        <bottom style="thin">
          <color indexed="9"/>
        </bottom>
      </border>
    </dxf>
    <dxf>
      <numFmt numFmtId="30" formatCode="@"/>
      <fill>
        <patternFill patternType="none">
          <fgColor indexed="64"/>
          <bgColor auto="1"/>
        </patternFill>
      </fill>
      <border diagonalUp="0" diagonalDown="0" outline="0">
        <left style="thin">
          <color indexed="9"/>
        </left>
        <right style="thin">
          <color indexed="9"/>
        </right>
        <top style="thin">
          <color indexed="9"/>
        </top>
        <bottom style="thin">
          <color indexed="9"/>
        </bottom>
      </border>
    </dxf>
    <dxf>
      <numFmt numFmtId="30" formatCode="@"/>
      <fill>
        <patternFill patternType="none">
          <fgColor indexed="64"/>
          <bgColor auto="1"/>
        </patternFill>
      </fill>
      <border diagonalUp="0" diagonalDown="0" outline="0">
        <left style="thin">
          <color indexed="9"/>
        </left>
        <right style="thin">
          <color indexed="9"/>
        </right>
        <top style="thin">
          <color indexed="9"/>
        </top>
        <bottom style="thin">
          <color indexed="9"/>
        </bottom>
      </border>
    </dxf>
    <dxf>
      <numFmt numFmtId="30" formatCode="@"/>
      <fill>
        <patternFill patternType="none">
          <fgColor indexed="64"/>
          <bgColor auto="1"/>
        </patternFill>
      </fill>
      <border diagonalUp="0" diagonalDown="0" outline="0">
        <left style="thin">
          <color indexed="9"/>
        </left>
        <right style="thin">
          <color indexed="9"/>
        </right>
        <top style="thin">
          <color indexed="9"/>
        </top>
        <bottom style="thin">
          <color indexed="9"/>
        </bottom>
      </border>
    </dxf>
    <dxf>
      <numFmt numFmtId="0" formatCode="General"/>
      <fill>
        <patternFill patternType="none">
          <fgColor indexed="64"/>
          <bgColor auto="1"/>
        </patternFill>
      </fill>
      <border diagonalUp="0" diagonalDown="0" outline="0">
        <left style="thin">
          <color indexed="9"/>
        </left>
        <right style="thin">
          <color indexed="9"/>
        </right>
        <top style="thin">
          <color indexed="9"/>
        </top>
        <bottom style="thin">
          <color indexed="9"/>
        </bottom>
      </border>
    </dxf>
    <dxf>
      <numFmt numFmtId="30" formatCode="@"/>
      <fill>
        <patternFill patternType="none">
          <fgColor indexed="64"/>
          <bgColor auto="1"/>
        </patternFill>
      </fill>
      <border diagonalUp="0" diagonalDown="0" outline="0">
        <left style="thin">
          <color indexed="9"/>
        </left>
        <right style="thin">
          <color indexed="9"/>
        </right>
        <top style="thin">
          <color indexed="9"/>
        </top>
        <bottom style="thin">
          <color indexed="9"/>
        </bottom>
      </border>
    </dxf>
    <dxf>
      <numFmt numFmtId="30" formatCode="@"/>
      <fill>
        <patternFill patternType="none">
          <fgColor indexed="64"/>
          <bgColor auto="1"/>
        </patternFill>
      </fill>
      <border diagonalUp="0" diagonalDown="0" outline="0">
        <left style="thin">
          <color indexed="9"/>
        </left>
        <right style="thin">
          <color indexed="9"/>
        </right>
        <top style="thin">
          <color indexed="9"/>
        </top>
        <bottom style="thin">
          <color indexed="9"/>
        </bottom>
      </border>
    </dxf>
    <dxf>
      <numFmt numFmtId="30" formatCode="@"/>
      <fill>
        <patternFill patternType="none">
          <fgColor indexed="64"/>
          <bgColor auto="1"/>
        </patternFill>
      </fill>
      <border diagonalUp="0" diagonalDown="0" outline="0">
        <left/>
        <right style="thin">
          <color indexed="9"/>
        </right>
        <top style="thin">
          <color indexed="9"/>
        </top>
        <bottom style="thin">
          <color indexed="9"/>
        </bottom>
      </border>
    </dxf>
    <dxf>
      <border outline="0">
        <top style="thin">
          <color indexed="9"/>
        </top>
      </border>
    </dxf>
    <dxf>
      <border outline="0">
        <left style="thin">
          <color indexed="9"/>
        </left>
        <right style="thin">
          <color indexed="9"/>
        </right>
        <top style="thin">
          <color indexed="9"/>
        </top>
        <bottom style="thin">
          <color indexed="9"/>
        </bottom>
      </border>
    </dxf>
    <dxf>
      <fill>
        <patternFill patternType="none">
          <fgColor indexed="64"/>
          <bgColor auto="1"/>
        </patternFill>
      </fill>
    </dxf>
    <dxf>
      <border outline="0">
        <bottom style="thin">
          <color indexed="9"/>
        </bottom>
      </border>
    </dxf>
    <dxf>
      <numFmt numFmtId="30" formatCode="@"/>
      <border diagonalUp="0" diagonalDown="0" outline="0">
        <left style="thin">
          <color indexed="9"/>
        </left>
        <right style="thin">
          <color indexed="9"/>
        </right>
        <top/>
        <bottom/>
      </border>
    </dxf>
    <dxf>
      <numFmt numFmtId="30" formatCode="@"/>
      <border diagonalUp="0" diagonalDown="0">
        <left style="thin">
          <color indexed="9"/>
        </left>
        <right/>
        <top style="thin">
          <color indexed="9"/>
        </top>
        <bottom style="thin">
          <color indexed="9"/>
        </bottom>
        <vertical/>
        <horizontal/>
      </border>
    </dxf>
    <dxf>
      <border diagonalUp="0" diagonalDown="0">
        <left style="thin">
          <color indexed="9"/>
        </left>
        <right style="thin">
          <color indexed="9"/>
        </right>
        <top style="thin">
          <color indexed="9"/>
        </top>
        <bottom style="thin">
          <color indexed="9"/>
        </bottom>
        <vertical/>
        <horizontal/>
      </border>
    </dxf>
    <dxf>
      <border diagonalUp="0" diagonalDown="0">
        <left style="thin">
          <color indexed="9"/>
        </left>
        <right style="thin">
          <color indexed="9"/>
        </right>
        <top style="thin">
          <color indexed="9"/>
        </top>
        <bottom style="thin">
          <color indexed="9"/>
        </bottom>
        <vertical/>
        <horizontal/>
      </border>
    </dxf>
    <dxf>
      <numFmt numFmtId="30" formatCode="@"/>
      <border diagonalUp="0" diagonalDown="0">
        <left style="thin">
          <color indexed="9"/>
        </left>
        <right style="thin">
          <color indexed="9"/>
        </right>
        <top style="thin">
          <color indexed="9"/>
        </top>
        <bottom style="thin">
          <color indexed="9"/>
        </bottom>
        <vertical/>
        <horizontal/>
      </border>
    </dxf>
    <dxf>
      <numFmt numFmtId="30" formatCode="@"/>
      <border diagonalUp="0" diagonalDown="0">
        <left style="thin">
          <color indexed="9"/>
        </left>
        <right style="thin">
          <color indexed="9"/>
        </right>
        <top style="thin">
          <color indexed="9"/>
        </top>
        <bottom style="thin">
          <color indexed="9"/>
        </bottom>
        <vertical/>
        <horizontal/>
      </border>
    </dxf>
    <dxf>
      <numFmt numFmtId="30" formatCode="@"/>
      <border diagonalUp="0" diagonalDown="0">
        <left style="thin">
          <color indexed="9"/>
        </left>
        <right style="thin">
          <color indexed="9"/>
        </right>
        <top style="thin">
          <color indexed="9"/>
        </top>
        <bottom style="thin">
          <color indexed="9"/>
        </bottom>
        <vertical/>
        <horizontal/>
      </border>
    </dxf>
    <dxf>
      <numFmt numFmtId="0" formatCode="General"/>
      <border diagonalUp="0" diagonalDown="0">
        <left style="thin">
          <color indexed="9"/>
        </left>
        <right style="thin">
          <color indexed="9"/>
        </right>
        <top style="thin">
          <color indexed="9"/>
        </top>
        <bottom style="thin">
          <color indexed="9"/>
        </bottom>
        <vertical/>
        <horizontal/>
      </border>
    </dxf>
    <dxf>
      <numFmt numFmtId="0" formatCode="General"/>
      <border diagonalUp="0" diagonalDown="0">
        <left style="thin">
          <color indexed="9"/>
        </left>
        <right style="thin">
          <color indexed="9"/>
        </right>
        <top style="thin">
          <color indexed="9"/>
        </top>
        <bottom style="thin">
          <color indexed="9"/>
        </bottom>
        <vertical/>
        <horizontal/>
      </border>
    </dxf>
    <dxf>
      <numFmt numFmtId="30" formatCode="@"/>
      <border diagonalUp="0" diagonalDown="0">
        <left style="thin">
          <color indexed="9"/>
        </left>
        <right style="thin">
          <color indexed="9"/>
        </right>
        <top style="thin">
          <color indexed="9"/>
        </top>
        <bottom style="thin">
          <color indexed="9"/>
        </bottom>
        <vertical/>
        <horizontal/>
      </border>
    </dxf>
    <dxf>
      <numFmt numFmtId="30" formatCode="@"/>
      <border diagonalUp="0" diagonalDown="0">
        <left style="thin">
          <color indexed="9"/>
        </left>
        <right style="thin">
          <color indexed="9"/>
        </right>
        <top style="thin">
          <color indexed="9"/>
        </top>
        <bottom style="thin">
          <color indexed="9"/>
        </bottom>
        <vertical/>
        <horizontal/>
      </border>
    </dxf>
    <dxf>
      <numFmt numFmtId="30" formatCode="@"/>
      <border diagonalUp="0" diagonalDown="0">
        <left style="thin">
          <color indexed="9"/>
        </left>
        <right style="thin">
          <color indexed="9"/>
        </right>
        <top style="thin">
          <color indexed="9"/>
        </top>
        <bottom style="thin">
          <color indexed="9"/>
        </bottom>
        <vertical/>
        <horizontal/>
      </border>
    </dxf>
    <dxf>
      <numFmt numFmtId="30" formatCode="@"/>
      <border diagonalUp="0" diagonalDown="0">
        <left style="thin">
          <color indexed="9"/>
        </left>
        <right style="thin">
          <color indexed="9"/>
        </right>
        <top style="thin">
          <color indexed="9"/>
        </top>
        <bottom style="thin">
          <color indexed="9"/>
        </bottom>
        <vertical/>
        <horizontal/>
      </border>
    </dxf>
    <dxf>
      <numFmt numFmtId="30" formatCode="@"/>
      <border diagonalUp="0" diagonalDown="0">
        <left style="thin">
          <color indexed="9"/>
        </left>
        <right style="thin">
          <color indexed="9"/>
        </right>
        <top style="thin">
          <color indexed="9"/>
        </top>
        <bottom style="thin">
          <color indexed="9"/>
        </bottom>
        <vertical/>
        <horizontal/>
      </border>
    </dxf>
    <dxf>
      <numFmt numFmtId="0" formatCode="General"/>
      <border diagonalUp="0" diagonalDown="0">
        <left style="thin">
          <color indexed="9"/>
        </left>
        <right style="thin">
          <color indexed="9"/>
        </right>
        <top style="thin">
          <color indexed="9"/>
        </top>
        <bottom style="thin">
          <color indexed="9"/>
        </bottom>
        <vertical/>
        <horizontal/>
      </border>
    </dxf>
    <dxf>
      <numFmt numFmtId="30" formatCode="@"/>
      <border diagonalUp="0" diagonalDown="0">
        <left style="thin">
          <color indexed="9"/>
        </left>
        <right style="thin">
          <color indexed="9"/>
        </right>
        <top style="thin">
          <color indexed="9"/>
        </top>
        <bottom style="thin">
          <color indexed="9"/>
        </bottom>
        <vertical/>
        <horizontal/>
      </border>
    </dxf>
    <dxf>
      <numFmt numFmtId="30" formatCode="@"/>
      <border diagonalUp="0" diagonalDown="0">
        <left style="thin">
          <color indexed="9"/>
        </left>
        <right style="thin">
          <color indexed="9"/>
        </right>
        <top style="thin">
          <color indexed="9"/>
        </top>
        <bottom style="thin">
          <color indexed="9"/>
        </bottom>
        <vertical/>
        <horizontal/>
      </border>
    </dxf>
    <dxf>
      <numFmt numFmtId="30" formatCode="@"/>
      <border diagonalUp="0" diagonalDown="0">
        <left style="thin">
          <color indexed="9"/>
        </left>
        <right style="thin">
          <color indexed="9"/>
        </right>
        <top style="thin">
          <color indexed="9"/>
        </top>
        <bottom style="thin">
          <color indexed="9"/>
        </bottom>
        <vertical/>
        <horizontal/>
      </border>
    </dxf>
    <dxf>
      <numFmt numFmtId="0" formatCode="General"/>
      <border diagonalUp="0" diagonalDown="0">
        <left style="thin">
          <color indexed="9"/>
        </left>
        <right style="thin">
          <color indexed="9"/>
        </right>
        <top style="thin">
          <color indexed="9"/>
        </top>
        <bottom style="thin">
          <color indexed="9"/>
        </bottom>
        <vertical/>
        <horizontal/>
      </border>
    </dxf>
    <dxf>
      <numFmt numFmtId="30" formatCode="@"/>
      <border diagonalUp="0" diagonalDown="0">
        <left style="thin">
          <color indexed="9"/>
        </left>
        <right style="thin">
          <color indexed="9"/>
        </right>
        <top style="thin">
          <color indexed="9"/>
        </top>
        <bottom style="thin">
          <color indexed="9"/>
        </bottom>
        <vertical/>
        <horizontal/>
      </border>
    </dxf>
    <dxf>
      <numFmt numFmtId="30" formatCode="@"/>
      <border diagonalUp="0" diagonalDown="0">
        <left style="thin">
          <color indexed="9"/>
        </left>
        <right style="thin">
          <color indexed="9"/>
        </right>
        <top style="thin">
          <color indexed="9"/>
        </top>
        <bottom style="thin">
          <color indexed="9"/>
        </bottom>
        <vertical/>
        <horizontal/>
      </border>
    </dxf>
    <dxf>
      <numFmt numFmtId="30" formatCode="@"/>
      <border diagonalUp="0" diagonalDown="0">
        <left/>
        <right style="thin">
          <color indexed="9"/>
        </right>
        <top style="thin">
          <color indexed="9"/>
        </top>
        <bottom style="thin">
          <color indexed="9"/>
        </bottom>
        <vertical/>
        <horizontal/>
      </border>
    </dxf>
    <dxf>
      <border outline="0">
        <top style="thin">
          <color rgb="FFAAAAAA"/>
        </top>
      </border>
    </dxf>
    <dxf>
      <border outline="0">
        <left style="thin">
          <color rgb="FFAAAAAA"/>
        </left>
        <right style="thin">
          <color rgb="FFAAAAAA"/>
        </right>
        <top style="thin">
          <color rgb="FFAAAAAA"/>
        </top>
        <bottom style="thin">
          <color rgb="FFAAAAAA"/>
        </bottom>
      </border>
    </dxf>
    <dxf>
      <border outline="0">
        <bottom style="thin">
          <color rgb="FFAAAAAA"/>
        </bottom>
      </border>
    </dxf>
    <dxf>
      <numFmt numFmtId="30" formatCode="@"/>
      <border diagonalUp="0" diagonalDown="0" outline="0">
        <left style="thin">
          <color indexed="9"/>
        </left>
        <right style="thin">
          <color indexed="9"/>
        </right>
        <top/>
        <bottom/>
      </border>
    </dxf>
  </dxfs>
  <tableStyles count="0"/>
  <colors>
    <indexedColors>
      <rgbColor rgb="FF000000"/>
      <rgbColor rgb="FFFFFFFF"/>
      <rgbColor rgb="FFFF0000"/>
      <rgbColor rgb="FF00FF00"/>
      <rgbColor rgb="FF0000FF"/>
      <rgbColor rgb="FFFFFF00"/>
      <rgbColor rgb="FFFF00FF"/>
      <rgbColor rgb="FF00FFFF"/>
      <rgbColor rgb="FF000000"/>
      <rgbColor rgb="FFAAAAAA"/>
      <rgbColor rgb="FFFF0000"/>
      <rgbColor rgb="FFFFFFFF"/>
      <rgbColor rgb="FFA5A5A5"/>
      <rgbColor rgb="FFFFFFCC"/>
      <rgbColor rgb="FF00B0F0"/>
      <rgbColor rgb="FFFFFF00"/>
      <rgbColor rgb="FFDEEAF6"/>
      <rgbColor rgb="FFE7E6E6"/>
      <rgbColor rgb="FFADB9CA"/>
      <rgbColor rgb="FFFF9900"/>
      <rgbColor rgb="FF00FF00"/>
      <rgbColor rgb="FF6D9EEB"/>
      <rgbColor rgb="FFFFECD1"/>
      <rgbColor rgb="FFCCFFCC"/>
      <rgbColor rgb="FF0070C0"/>
      <rgbColor rgb="FF0000FF"/>
      <rgbColor rgb="FFCC66FF"/>
      <rgbColor rgb="FFF0D1FF"/>
      <rgbColor rgb="FFFF33CC"/>
      <rgbColor rgb="FFFFEBFF"/>
      <rgbColor rgb="FFF2F2F2"/>
      <rgbColor rgb="FFCCFFFF"/>
      <rgbColor rgb="FFD9E2F3"/>
      <rgbColor rgb="FFBDD6EE"/>
      <rgbColor rgb="FF1F1F1F"/>
      <rgbColor rgb="FFFFF2CC"/>
      <rgbColor rgb="FF333333"/>
      <rgbColor rgb="FFE2EFD9"/>
      <rgbColor rgb="FFBDC0BF"/>
      <rgbColor rgb="FFA5A5A5"/>
      <rgbColor rgb="FF3F3F3F"/>
      <rgbColor rgb="FFDBDBDB"/>
      <rgbColor rgb="FFFCE5CD"/>
      <rgbColor rgb="FFC5E0B3"/>
      <rgbColor rgb="FF2E75B5"/>
      <rgbColor rgb="FFFBE4D5"/>
      <rgbColor rgb="FFCCCCFF"/>
      <rgbColor rgb="FFEAF1DD"/>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s Joachim" refreshedDate="45537.438797222225" createdVersion="8" refreshedVersion="8" minRefreshableVersion="3" recordCount="467" xr:uid="{ACA27551-7FDC-4836-BCED-36EA3A4F934F}">
  <cacheSource type="worksheet">
    <worksheetSource name="Table2"/>
  </cacheSource>
  <cacheFields count="23">
    <cacheField name="NIS" numFmtId="49">
      <sharedItems/>
    </cacheField>
    <cacheField name="Name" numFmtId="49">
      <sharedItems/>
    </cacheField>
    <cacheField name="Major" numFmtId="49">
      <sharedItems count="16">
        <s v="Communication Science"/>
        <s v="Management - Reguler Class"/>
        <s v="Psychology"/>
        <s v="Magister of Management"/>
        <s v="Information System"/>
        <s v="Informatics"/>
        <s v="Tourism - Hotel and Tourism Business"/>
        <s v="Medical"/>
        <s v="Architecture"/>
        <s v="Accounting"/>
        <s v="Tourism - Culinary Business"/>
        <s v="Fashion Design and Business"/>
        <s v="Food Technology Program"/>
        <s v="Visual Communication Design"/>
        <s v="Magister of Management (BUF)"/>
        <s v="Management - International Class"/>
      </sharedItems>
    </cacheField>
    <cacheField name="Student Year" numFmtId="0">
      <sharedItems containsSemiMixedTypes="0" containsString="0" containsNumber="1" containsInteger="1" minValue="2018" maxValue="2023"/>
    </cacheField>
    <cacheField name="Activity" numFmtId="49">
      <sharedItems/>
    </cacheField>
    <cacheField name="Start Date" numFmtId="49">
      <sharedItems/>
    </cacheField>
    <cacheField name="End Date" numFmtId="49">
      <sharedItems/>
    </cacheField>
    <cacheField name="Period" numFmtId="0">
      <sharedItems containsSemiMixedTypes="0" containsString="0" containsNumber="1" containsInteger="1" minValue="20191" maxValue="20231"/>
    </cacheField>
    <cacheField name="Description" numFmtId="0">
      <sharedItems containsBlank="1" longText="1"/>
    </cacheField>
    <cacheField name="Category" numFmtId="49">
      <sharedItems/>
    </cacheField>
    <cacheField name="Status" numFmtId="49">
      <sharedItems/>
    </cacheField>
    <cacheField name="Level" numFmtId="49">
      <sharedItems count="4">
        <s v="External Regional"/>
        <s v="Internal Sekolah / Universitas"/>
        <s v="External International"/>
        <s v="External National"/>
      </sharedItems>
    </cacheField>
    <cacheField name="Participant As" numFmtId="49">
      <sharedItems/>
    </cacheField>
    <cacheField name="Total Participant" numFmtId="0">
      <sharedItems containsSemiMixedTypes="0" containsString="0" containsNumber="1" containsInteger="1" minValue="0" maxValue="1000"/>
    </cacheField>
    <cacheField name="Point" numFmtId="0">
      <sharedItems containsSemiMixedTypes="0" containsString="0" containsNumber="1" containsInteger="1" minValue="2" maxValue="100"/>
    </cacheField>
    <cacheField name="Website" numFmtId="0">
      <sharedItems containsBlank="1"/>
    </cacheField>
    <cacheField name="Certificate" numFmtId="0">
      <sharedItems containsBlank="1"/>
    </cacheField>
    <cacheField name="Assignment Letter" numFmtId="0">
      <sharedItems containsBlank="1"/>
    </cacheField>
    <cacheField name="Report" numFmtId="0">
      <sharedItems containsBlank="1"/>
    </cacheField>
    <cacheField name="Documentation" numFmtId="0">
      <sharedItems containsNonDate="0" containsString="0" containsBlank="1"/>
    </cacheField>
    <cacheField name="Organizer" numFmtId="49">
      <sharedItems/>
    </cacheField>
    <cacheField name="Criteria" numFmtId="0">
      <sharedItems/>
    </cacheField>
    <cacheField name="Score" numFmtId="0">
      <sharedItems containsSemiMixedTypes="0" containsString="0" containsNumber="1" containsInteger="1" minValue="0" maxValue="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7">
  <r>
    <s v="0506012110036"/>
    <s v="Aang Arif Amrullah"/>
    <x v="0"/>
    <n v="2021"/>
    <s v="LKMM &amp; CRISTA XI UNISMA"/>
    <s v="2023-02-15"/>
    <s v="2023-02-15"/>
    <n v="20221"/>
    <s v="pemateri personal branding lkmm &amp; crista XI universitas islam malang"/>
    <s v="Rumpun Keterampilan Penunjang"/>
    <s v="Pembicara pada pelatihan/seminar/event berskala"/>
    <x v="0"/>
    <s v="Individual"/>
    <n v="150"/>
    <n v="10"/>
    <s v="https://instagram.com/lkmmcrista11?igshid=YmMyMTA2"/>
    <s v="https://employee.uc.ac.id/index.php/file/get/sis/t_cp/9e27b819-ad0c-11ed-87f5-000d3ac6bafe.jpg"/>
    <m/>
    <m/>
    <m/>
    <s v="BEM FK UNISMA MALANG"/>
    <s v="Pembicara pada pelatihan/seminar/event berskala|External Regional|Individual"/>
    <n v="0"/>
  </r>
  <r>
    <s v="0506012110036"/>
    <s v="Aang Arif Amrullah"/>
    <x v="0"/>
    <n v="2021"/>
    <s v="Talkshow Hardiknas"/>
    <s v="2023-06-28"/>
    <s v="2023-06-28"/>
    <n v="20222"/>
    <s v="Pembicara Talkshow di event Hardiknas Universitas Ciputra Surabaya sebagai Duta  Pendidikan Perguruan Tinggi Jawa Timur tanggal 3 Mei 2023"/>
    <s v="Rumpun Keterampilan Penunjang"/>
    <s v="Narasumber / Pemateri Acara Seminar / Workshop / Pemakalah"/>
    <x v="1"/>
    <s v="Individual"/>
    <n v="100"/>
    <n v="5"/>
    <s v="https://www.instagram.com/p/CrmvDj4r9j0/?igshid=Y2"/>
    <s v="https://employee.uc.ac.id/index.php/file/get/sis/t_cp/481197d4-1590-11ee-9279-000d3ac6bafe.jpg"/>
    <s v="https://employee.uc.ac.id/index.php/file/get/sis/t_cp/4e8dccb7-1590-11ee-9279-000d3ac6bafe_assignmentletter.jpg"/>
    <m/>
    <m/>
    <s v="Universitas Ciputra"/>
    <s v="Narasumber / Pemateri Acara Seminar / Workshop / Pemakalah|Internal Sekolah / Universitas|Individual"/>
    <n v="0"/>
  </r>
  <r>
    <s v="0106012010066"/>
    <s v="Abdul Fitro Al Akbar"/>
    <x v="1"/>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392"/>
    <s v="Abelia Cahya Oktaviani"/>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318"/>
    <s v="Achmad Edas Athoillah Syah Putr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110325"/>
    <s v="Achmad Rafly Ramadhani"/>
    <x v="1"/>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394"/>
    <s v="Adam Johan Amar Raay"/>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306012210006"/>
    <s v="Adeline Felicia Cuaca"/>
    <x v="2"/>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8012110007"/>
    <s v="Adinda Denisa"/>
    <x v="3"/>
    <n v="2021"/>
    <s v="Published Journal"/>
    <s v="2023-06-21"/>
    <s v="2023-06-21"/>
    <n v="20222"/>
    <s v="Certified Journal by Sinta 1-1"/>
    <s v="Rumpun Keterampilan Penunjang"/>
    <s v="Penulis pertama pada jurnal internasional bereputasi atau jurnal nasional terindeks SINTA 1 dan 2"/>
    <x v="3"/>
    <s v="Individual"/>
    <n v="1"/>
    <n v="32"/>
    <m/>
    <m/>
    <s v="https://employee.uc.ac.id/index.php/file/get/sis/t_cp/0b5997ad-14a4-11ee-bcb1-000d3ac6bafe_assignmentletter.pdf"/>
    <s v="https://employee.uc.ac.id/index.php/file/get/sis/t_cp/0b5997ad-14a4-11ee-bcb1-000d3ac6bafe_report.pdf"/>
    <m/>
    <s v="Management Department Faculty of Economics and Bus"/>
    <s v="Penulis pertama pada jurnal internasional bereputasi atau jurnal nasional terindeks SINTA 1 dan 2|External National|Individual"/>
    <n v="5"/>
  </r>
  <r>
    <s v="0506012010047"/>
    <s v="Agung Prasetyo"/>
    <x v="0"/>
    <n v="2020"/>
    <s v="Fikomweek 4.0"/>
    <s v="2022-12-01"/>
    <s v="2022-12-20"/>
    <n v="20221"/>
    <s v="Fikomweek 4.0"/>
    <s v="Rumpun Keterampilan Penunjang"/>
    <s v="Juri/Pelatih/Wasit"/>
    <x v="1"/>
    <s v="Individual"/>
    <n v="100"/>
    <n v="6"/>
    <m/>
    <s v="https://employee.uc.ac.id/index.php/file/get/sis/t_cp/multi/252a0c59-2084-11ee-ac37-000d3ac6bafe.png"/>
    <s v="https://employee.uc.ac.id/index.php/file/get/sis/t_cp/multi/252a0c59-2084-11ee-ac37-000d3ac6bafe_assignmentletter.png"/>
    <m/>
    <m/>
    <s v="SU COM 22/23"/>
    <s v="Juri/Pelatih/Wasit|Internal Sekolah / Universitas|Individual"/>
    <n v="0"/>
  </r>
  <r>
    <s v="0106012110303"/>
    <s v="Ahmad Naufal Alehart"/>
    <x v="1"/>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371"/>
    <s v="Ainina Yasmine Mardian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033"/>
    <s v="Akaesa Fayyaza Karismawan"/>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195"/>
    <s v="Albert James Irawan"/>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113"/>
    <s v="AldiI Reyden Valenci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8012220070"/>
    <s v="Alexander Hiro Wibisono"/>
    <x v="3"/>
    <n v="2022"/>
    <s v="Kegiatan Bimbingan Teknis Fasilitator Rangkaian Pendidikan dan Pelatihan Dasar Menwa Se-Provinsi Bal"/>
    <s v="2023-09-10"/>
    <s v="2023-09-10"/>
    <n v="20222"/>
    <m/>
    <s v="Rumpun Keterampilan Penunjang"/>
    <s v="Pembicara pada pelatihan/seminar/event berskala"/>
    <x v="0"/>
    <s v="Individual"/>
    <n v="20"/>
    <n v="10"/>
    <m/>
    <s v="https://employee.uc.ac.id/index.php/file/get/sis/t_cp/b23ec435-4fdf-11ee-8859-000d3ac6bafe.jpg"/>
    <m/>
    <m/>
    <m/>
    <s v="Korps Menwa Ugracena Bali"/>
    <s v="Pembicara pada pelatihan/seminar/event berskala|External Regional|Individual"/>
    <n v="0"/>
  </r>
  <r>
    <s v="0706022010009"/>
    <s v="Alexander Jason Waworuntu"/>
    <x v="4"/>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310039"/>
    <s v="Alexander William Senjay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041"/>
    <s v="Allen Abraham Handok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393"/>
    <s v="Alya Dwiky Surya Permat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010150"/>
    <s v="Amanda Renata Susilo"/>
    <x v="1"/>
    <n v="2020"/>
    <s v="Ruang Publik Etika dan Semangat Kartini "/>
    <s v="2023-04-10"/>
    <s v="2023-04-10"/>
    <n v="20222"/>
    <s v="Narasumber TVRI IBF &quot;Ruang Publok Etika dan Semangat Kartini&quot;"/>
    <s v="Rumpun Keterampilan Penunjang"/>
    <s v="Pembicara pada pelatihan/seminar/event berskala"/>
    <x v="3"/>
    <s v="Individual"/>
    <n v="3"/>
    <n v="15"/>
    <m/>
    <s v="https://employee.uc.ac.id/index.php/file/get/sis/t_cp/ed0ed558-d81d-11ed-a359-000d3ac6bafe.jpeg"/>
    <s v="https://employee.uc.ac.id/index.php/file/get/sis/t_cp/ed0ed558-d81d-11ed-a359-000d3ac6bafe_assignmentletter.pdf"/>
    <m/>
    <m/>
    <s v="TVRI Jawa Timur "/>
    <s v="Pembicara pada pelatihan/seminar/event berskala|External National|Individual"/>
    <n v="4"/>
  </r>
  <r>
    <s v="0106012010150"/>
    <s v="Amanda Renata Susilo"/>
    <x v="1"/>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310245"/>
    <s v="Amelia Eka Sari"/>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110285"/>
    <s v="Ammar Fayyadh Herdiaman"/>
    <x v="1"/>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406"/>
    <s v="Ananda Mahendr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706012310038"/>
    <s v="Anastasia Aurelia Khosasih"/>
    <x v="5"/>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406012010026"/>
    <s v="Anastasia Clara Vicky Nugraha"/>
    <x v="6"/>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606012010023"/>
    <s v="Anastasia Ellena Posuma"/>
    <x v="7"/>
    <n v="2020"/>
    <s v="Inovasi dalam Sosial Entrepreneurship"/>
    <s v="2023-06-12"/>
    <s v="2023-06-12"/>
    <n v="20222"/>
    <s v="seminar Inovasi dalam Sosial Entrepreneurship yang dilaksanakan pada 6 April 2023 bersama Drh Alma Erina"/>
    <s v="Rumpun Keterampilan Penunjang"/>
    <s v="Narasumber / Pemateri Acara Seminar / Workshop / Pemakalah"/>
    <x v="1"/>
    <s v="Individual"/>
    <n v="100"/>
    <n v="5"/>
    <m/>
    <s v="https://employee.uc.ac.id/index.php/file/get/sis/t_cp/0b050e58-08de-11ee-9976-000d3ac6bafe.png"/>
    <m/>
    <m/>
    <m/>
    <s v="SEH Social Innovation Center"/>
    <s v="Narasumber / Pemateri Acara Seminar / Workshop / Pemakalah|Internal Sekolah / Universitas|Individual"/>
    <n v="0"/>
  </r>
  <r>
    <s v="0606012010023"/>
    <s v="Anastasia Ellena Posuma"/>
    <x v="7"/>
    <n v="2020"/>
    <s v="Inovasi dalam Social Entrepreneurship"/>
    <s v="2023-09-18"/>
    <s v="2023-09-18"/>
    <n v="20231"/>
    <s v="Webinar yang menginformasikan bagaimana UC menyediakan wadah bagi mahasiswa untuk berinovasi terutama dalam bidang Social Entrepreneurship"/>
    <s v="Rumpun Keterampilan Penunjang"/>
    <s v="Narasumber / Pemateri Acara Seminar / Workshop / Pemakalah"/>
    <x v="1"/>
    <s v="Individual"/>
    <n v="20"/>
    <n v="5"/>
    <m/>
    <s v="https://employee.uc.ac.id/index.php/file/get/sis/t_cp/62ffa310-55de-11ee-8778-000d3ac6bafe.png"/>
    <m/>
    <m/>
    <m/>
    <s v="UC"/>
    <s v="Narasumber / Pemateri Acara Seminar / Workshop / Pemakalah|Internal Sekolah / Universitas|Individual"/>
    <n v="0"/>
  </r>
  <r>
    <s v="0606012010023"/>
    <s v="Anastasia Ellena Posuma"/>
    <x v="7"/>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206032010024"/>
    <s v="Andi Pricilia Yunita"/>
    <x v="8"/>
    <n v="2020"/>
    <s v="THE INTERNATIONAL CONFERENCE ON HERITAGE AND CULTURAL CONSERVATION (InHERIT) 2020"/>
    <s v="2021-12-14"/>
    <s v="2021-12-15"/>
    <n v="20211"/>
    <s v="Publikasi dalam buku International Conference on heritage and cultural conservation yang berjudul Application of Design Principles in Peneleh and Northwest Lake Housing in Surabaya dengan anggota kelompok Stacey Elbita Eliana, Andi Pricilia Yunita, Stefanie Loviraura, Putri Refinda Yuan Ochtisha, Mu"/>
    <s v="Rumpun Keterampilan Penunjang"/>
    <s v="Penulis pertama buku ber-ISBN"/>
    <x v="2"/>
    <s v="Team"/>
    <n v="200"/>
    <n v="35"/>
    <m/>
    <m/>
    <m/>
    <s v="https://employee.uc.ac.id/index.php/file/get/sis/t_cp/de55c315-6bfe-11ee-a25e-000d3ac6bafe_report.pdf"/>
    <m/>
    <s v=" Universitas Tanjungpura with University of Techno"/>
    <s v="Penulis pertama buku ber-ISBN|External International|Team"/>
    <n v="6"/>
  </r>
  <r>
    <s v="0206032010024"/>
    <s v="Andi Pricilia Yunita"/>
    <x v="8"/>
    <n v="2020"/>
    <s v="TERDEKAT &amp; TERASING Yang Terselip di Belantara Ingatan"/>
    <s v="2023-07-22"/>
    <s v="2023-09-22"/>
    <n v="20222"/>
    <s v="Karya tulisan dari Mata Kuliah Becoming Indonesia terpilih untuk dipublikasikan menjadi buku dengan penerbit Universtas CIputra.Dipublikasikan dalam bentuk ebook dengan link https://play.google.com/store/books/details?id=eDanEAAAQBAJ&amp;rdid=book-eDanEAAAQBAJ&amp;rdot=1&amp;source=gbs_vpt_read&amp;pcampaignid=book"/>
    <s v="Rumpun Keterampilan Penunjang"/>
    <s v="Penulis pertama buku ber-ISBN"/>
    <x v="3"/>
    <s v="Individual"/>
    <n v="40"/>
    <n v="30"/>
    <m/>
    <m/>
    <m/>
    <s v="https://employee.uc.ac.id/index.php/file/get/sis/t_cp/64cbb0e7-6fcf-11ee-9434-000d3ac6bafe_report.pdf"/>
    <m/>
    <s v="Universitas Ciputra"/>
    <s v="Penulis pertama buku ber-ISBN|External National|Individual"/>
    <n v="6"/>
  </r>
  <r>
    <s v="0206032010024"/>
    <s v="Andi Pricilia Yunita"/>
    <x v="8"/>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210106"/>
    <s v="Andrew Wibison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251"/>
    <s v="Angelin Michelle Tendr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110108"/>
    <s v="Angelina Leony Sonbay"/>
    <x v="1"/>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42010038"/>
    <s v="Angelina Suryanto"/>
    <x v="9"/>
    <n v="2020"/>
    <s v="Publikasi Novel &quot;Sweetest Fall&quot;"/>
    <s v="2023-01-10"/>
    <s v="2023-01-10"/>
    <n v="20221"/>
    <m/>
    <s v="Rumpun Keterampilan Penunjang"/>
    <s v="Penulis pertama buku ber-ISBN"/>
    <x v="3"/>
    <s v="Individual"/>
    <n v="1"/>
    <n v="30"/>
    <s v="https://play.google.com/store/books/details?id=_pG"/>
    <s v="https://employee.uc.ac.id/index.php/file/get/sis/t_cp/b032e33b-90b2-11ed-a139-000d3ac6bafe.jpg"/>
    <m/>
    <s v="https://employee.uc.ac.id/index.php/file/get/sis/t_cp/d012c403-90b2-11ed-a139-000d3ac6bafe_report.jpg"/>
    <m/>
    <s v="Eternity Publishing"/>
    <s v="Penulis pertama buku ber-ISBN|External National|Individual"/>
    <n v="6"/>
  </r>
  <r>
    <s v="0106042010038"/>
    <s v="Angelina Suryanto"/>
    <x v="9"/>
    <n v="2020"/>
    <s v="Jurnal Publikasi Can Fintech Mediates The Relationship Between Financial Socialization and Literacy"/>
    <s v="2023-05-19"/>
    <s v="2023-05-19"/>
    <n v="20222"/>
    <s v="Jurnal Publikasi di Jurnal Aplikasi Manajemen (JAM) pada Volume 2 No.4 Tahun December 2024 _x000a__x000a_Dengan akreditasi Sinta 2"/>
    <s v="Rumpun Keterampilan Penunjang"/>
    <s v="Penulis pertama pada jurnal internasional bereputasi atau jurnal nasional terindeks SINTA 1 dan 2"/>
    <x v="3"/>
    <s v="Team"/>
    <n v="2"/>
    <n v="48"/>
    <m/>
    <s v="https://employee.uc.ac.id/index.php/file/get/sis/t_cp/fff8698e-f615-11ed-a8bb-000d3ac6bafe.jpg"/>
    <m/>
    <m/>
    <m/>
    <s v="SINTA"/>
    <s v="Penulis pertama pada jurnal internasional bereputasi atau jurnal nasional terindeks SINTA 1 dan 2|External National|Team"/>
    <n v="5"/>
  </r>
  <r>
    <s v="0106012210049"/>
    <s v="Angeline Soegiant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32110028"/>
    <s v="Angelique Gracia Hartono"/>
    <x v="8"/>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310333"/>
    <s v="Angelizabeth Jocelyn"/>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285"/>
    <s v="Angellica Beatrice Widjanark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506011910014"/>
    <s v="Anggun Elsa Mayanti"/>
    <x v="0"/>
    <n v="2019"/>
    <s v="Creative Digital Tourism"/>
    <s v="2023-01-15"/>
    <s v="2023-01-15"/>
    <n v="20221"/>
    <s v="Sebagai Narasumber dalam talkshow yang diadakan oleh mahasiswa HTB UC"/>
    <s v="Rumpun Keterampilan Penunjang"/>
    <s v="Narasumber / Pemateri Acara Seminar / Workshop / Pemakalah"/>
    <x v="1"/>
    <s v="Individual"/>
    <n v="0"/>
    <n v="5"/>
    <m/>
    <s v="https://employee.uc.ac.id/index.php/file/get/sis/t_cp/86dcce45-f9f6-11ed-84c7-000d3ac6bafe.jpg"/>
    <m/>
    <m/>
    <m/>
    <s v="HTB UC"/>
    <s v="Narasumber / Pemateri Acara Seminar / Workshop / Pemakalah|Internal Sekolah / Universitas|Individual"/>
    <n v="0"/>
  </r>
  <r>
    <s v="0506011910014"/>
    <s v="Anggun Elsa Mayanti"/>
    <x v="0"/>
    <n v="2019"/>
    <s v="Juri/Pelatih/Wasit Grand Final Pemilihan Putera Puteri Pariwisata dan Ekonomi Kreatif Jawa Timur 2023"/>
    <s v="2023-01-26"/>
    <s v="2023-01-26"/>
    <n v="20221"/>
    <s v="Sebagai Juri/Pelatih/Wasit dalam Grand Final Pemilihan Putera Puteri Pariwisata dan Ekonomi Kreatif Jawa Timur tahun 2023. "/>
    <s v="Rumpun Keterampilan Penunjang"/>
    <s v="Juri/Pelatih/Wasit"/>
    <x v="0"/>
    <s v="Individual"/>
    <n v="38"/>
    <n v="10"/>
    <m/>
    <s v="https://employee.uc.ac.id/index.php/file/get/sis/t_cp/0f7e76e8-fa9f-11ed-965d-000d3ac6bafe.png"/>
    <m/>
    <m/>
    <m/>
    <s v="Putera Puteri Parekraf Indonesia Jawa Timur"/>
    <s v="Juri/Pelatih/Wasit|External Regional|Individual"/>
    <n v="0"/>
  </r>
  <r>
    <s v="0106012210077"/>
    <s v="Anita Lucreci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8012110038"/>
    <s v="Anthony Anci"/>
    <x v="3"/>
    <n v="2021"/>
    <s v="Kelas Besar MAN1010 - Organizational Behavior UC Makassar"/>
    <s v="2022-11-18"/>
    <s v="2022-11-18"/>
    <n v="20221"/>
    <s v="Sebagai pembicara alumni pada Kelas Besar MAN1010 - Organizational Behavior UC Makassar"/>
    <s v="Rumpun Keterampilan Penunjang"/>
    <s v="Narasumber / Pemateri Acara Seminar / Workshop / Pemakalah"/>
    <x v="1"/>
    <s v="Individual"/>
    <n v="200"/>
    <n v="5"/>
    <m/>
    <s v="https://employee.uc.ac.id/index.php/file/get/sis/t_cp/73831462-be27-11ed-8a3c-000d3ac6bafe.pdf"/>
    <s v="https://employee.uc.ac.id/index.php/file/get/sis/t_cp/73831462-be27-11ed-8a3c-000d3ac6bafe_assignmentletter.pdf"/>
    <m/>
    <m/>
    <s v="Prodi Manajemen UC Makassar"/>
    <s v="Narasumber / Pemateri Acara Seminar / Workshop / Pemakalah|Internal Sekolah / Universitas|Individual"/>
    <n v="0"/>
  </r>
  <r>
    <s v="0106012310281"/>
    <s v="Anthony The"/>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32110058"/>
    <s v="Ardelia Davina Lena Indrianto"/>
    <x v="8"/>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310179"/>
    <s v="Ariel Edmund Umakalad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506012310030"/>
    <s v="Arkana Asido Parsaoran Sihaloho"/>
    <x v="0"/>
    <n v="2023"/>
    <s v="&quot;Pemuda Bijak &amp; Kreatif Visual: Photography &amp; Video Editing&quot; for Communication Ethics Class"/>
    <s v="2023-11-25"/>
    <s v="2023-12-02"/>
    <n v="20231"/>
    <s v="&quot;Pemuda Bijak &amp; Kreatif Visual: Photography &amp; Video Editing&quot; adalah acara yang diselenggarakan oleh Kelompok 9 Ethics Class Prodi Ilmu Komunikasi Universitas Ciputra Surabaya 2022 yang berisikan tentang materi &quot;Content Creating&quot;. Di sana, peserta diajarkan bagaimana cara membuat sebuah konten yang m"/>
    <s v="Rumpun Keterampilan Penunjang"/>
    <s v="Narasumber / Pemateri Acara Seminar / Workshop / Pemakalah"/>
    <x v="1"/>
    <s v="Team"/>
    <n v="30"/>
    <n v="5"/>
    <m/>
    <s v="https://employee.uc.ac.id/index.php/file/get/sis/t_cp/47bff96f-9693-11ee-b118-000d3ac6bafe.pdf"/>
    <m/>
    <m/>
    <m/>
    <s v="Kelompok 9 Ethics Class Prodi Ilmu Komunikasi Univ"/>
    <s v="Narasumber / Pemateri Acara Seminar / Workshop / Pemakalah|Internal Sekolah / Universitas|Team"/>
    <n v="0"/>
  </r>
  <r>
    <s v="0106012310047"/>
    <s v="Arkananta Wijay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169"/>
    <s v="Arnoldus Putra Adi Santoso"/>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102"/>
    <s v="Arwindo Dian Wijay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277"/>
    <s v="Atthariq Alkausar Herdiyant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306012010058"/>
    <s v="Audrey Vivian Chandra"/>
    <x v="2"/>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210338"/>
    <s v="Audreylia Keisha Poajay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310"/>
    <s v="Aulia Raja Nurendra Dharmalaksana Yuliadin"/>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42010035"/>
    <s v="Aulia Valencia Djunawan"/>
    <x v="9"/>
    <n v="2020"/>
    <s v="Exposure"/>
    <s v="2023-09-26"/>
    <s v="2023-09-26"/>
    <n v="20231"/>
    <s v="Fasilitator"/>
    <s v="Rumpun Keterampilan Penunjang"/>
    <s v="Narasumber / Pemateri Acara Seminar / Workshop / Pemakalah"/>
    <x v="1"/>
    <s v="Individual"/>
    <n v="250"/>
    <n v="4"/>
    <m/>
    <s v="https://employee.uc.ac.id/index.php/file/get/sis/t_cp/multi/1e7be259-882b-11ee-ae4d-000d3ac6bafe.png"/>
    <s v="https://employee.uc.ac.id/index.php/file/get/sis/t_cp/multi/1e7be259-882b-11ee-ae4d-000d3ac6bafe_assignmentletter.png"/>
    <m/>
    <m/>
    <s v="Student Council"/>
    <s v="Narasumber / Pemateri Acara Seminar / Workshop / Pemakalah|Internal Sekolah / Universitas|Individual"/>
    <n v="0"/>
  </r>
  <r>
    <s v="0606012010045"/>
    <s v="Aura Dhiya Ulhaq"/>
    <x v="7"/>
    <n v="2020"/>
    <s v="Seminar &quot;Ku Kejar Mimpi: Kuatkan Kesehatan Remaja Melalui Pola Asuh Ideal&quot;"/>
    <s v="2022-05-14"/>
    <s v="2022-05-14"/>
    <n v="20212"/>
    <s v="Memberikan materi mengenai pentingnya edukasi pentingnya edukasi pola asuh yang ideal kepada anak, serta langkah dan pola apa saja yang perlu dipersiapkan agar bisa menjadi role model yang baik untuk kedepannya"/>
    <s v="Rumpun Keterampilan Penunjang"/>
    <s v="Pembicara pada pelatihan/seminar/event berskala"/>
    <x v="0"/>
    <s v="Team"/>
    <n v="50"/>
    <n v="10"/>
    <m/>
    <s v="https://employee.uc.ac.id/index.php/file/get/sis/t_cp/b2dbd518-0543-11ee-8e8c-000d3ac6bafe.pdf"/>
    <m/>
    <m/>
    <m/>
    <s v="Mahasiswa FK"/>
    <s v="Pembicara pada pelatihan/seminar/event berskala|External Regional|Team"/>
    <n v="0"/>
  </r>
  <r>
    <s v="0406022110057"/>
    <s v="Aurelia Devina Sanjaya"/>
    <x v="10"/>
    <n v="2021"/>
    <s v="Seminar Nasional Pengabdian Masyarakat IV"/>
    <s v="2022-11-24"/>
    <s v="2022-11-22"/>
    <n v="20221"/>
    <s v="Menjadi Narasumber, Pemateri Acara, dan Pemakalah di Seminar Nasional Pengabdian Masyarakat IV dengan makalah yang saya angkat berjudul “Pelatihan Kreasi Membuat Makanan Berbahan Dasar Kepiting untuk Memacu Kreativitas Masyarakat Desa Gisik Cemandi Pasca Covid” pada tanggal 24 November 2022"/>
    <s v="Rumpun Keterampilan Penunjang"/>
    <s v="Pemakalah dalam Conference/Seminar Ilmiah"/>
    <x v="3"/>
    <s v="Team"/>
    <n v="200"/>
    <n v="15"/>
    <s v="lppm.ciputra.ac.id"/>
    <s v="https://employee.uc.ac.id/index.php/file/get/sis/t_cp/e7b0e200-b843-11ed-b290-000d3ac6bafe.jpg"/>
    <m/>
    <m/>
    <m/>
    <s v="LPPM Universitas Ciputra"/>
    <s v="Pemakalah dalam Conference/Seminar Ilmiah|External National|Team"/>
    <n v="4"/>
  </r>
  <r>
    <s v="0206062010001"/>
    <s v="Aurelia Pamela Tjandra"/>
    <x v="11"/>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110066"/>
    <s v="Aurelia Sugita Tjandra"/>
    <x v="1"/>
    <n v="2021"/>
    <s v="Pemakalah Pembelajaran Entrepreneurship Guna Menumbuhkan Intensi Berwirausaha pada Siswa-Siswi SMA T"/>
    <s v="2022-07-23"/>
    <s v="2022-11-24"/>
    <n v="20212"/>
    <s v="Pemakalah Pembelajaran Entrepreneurship Guna Menumbuhkan Intensi Berwirausaha pada Siswa-Siswi SMA Trikarya Surabaya membutuhkan waktu untuk terjun langsung kelapangan hingga berakhirnya acara pada tanggal 24 November 2022."/>
    <s v="Rumpun Keterampilan Penunjang"/>
    <s v="Narasumber / Pemateri Acara Seminar / Workshop / Pemakalah"/>
    <x v="0"/>
    <s v="Team"/>
    <n v="18"/>
    <n v="10"/>
    <m/>
    <s v="https://employee.uc.ac.id/index.php/file/get/sis/t_cp/7a74415d-b675-11ed-aa92-000d3ac6bafe.pdf"/>
    <m/>
    <m/>
    <m/>
    <s v="Universitas Ciputra Surabaya"/>
    <s v="Narasumber / Pemateri Acara Seminar / Workshop / Pemakalah|External Regional|Team"/>
    <n v="0"/>
  </r>
  <r>
    <s v="0406042210007"/>
    <s v="Aurelio"/>
    <x v="12"/>
    <n v="2022"/>
    <s v="UC Day 2023"/>
    <s v="2023-09-15"/>
    <s v="2023-09-15"/>
    <n v="20231"/>
    <m/>
    <s v="Rumpun Keterampilan Penunjang"/>
    <s v="Juri/Pelatih/Wasit"/>
    <x v="1"/>
    <s v="Individual"/>
    <n v="50"/>
    <n v="4"/>
    <m/>
    <s v="https://employee.uc.ac.id/index.php/file/get/sis/t_cp/multi/c15ab80d-7c81-11ee-aca7-000d3ac6bafe.png"/>
    <s v="https://employee.uc.ac.id/index.php/file/get/sis/t_cp/multi/c15ab80d-7c81-11ee-aca7-000d3ac6bafe_assignmentletter.png"/>
    <m/>
    <m/>
    <s v="Universitas Ciputra Surabaya"/>
    <s v="Juri/Pelatih/Wasit|Internal Sekolah / Universitas|Individual"/>
    <n v="0"/>
  </r>
  <r>
    <s v="0106012210028"/>
    <s v="Aventino Jonathan Farrell"/>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160"/>
    <s v="Axel Timotius Suwignyo"/>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506012010025"/>
    <s v="Azalea Abril Hermanto"/>
    <x v="0"/>
    <n v="2020"/>
    <s v="Penulis Jurnal Penelitian"/>
    <s v="2021-12-01"/>
    <s v="2022-03-31"/>
    <n v="20211"/>
    <s v="Penulis Jurnal Spektrum berjudul_x000a_INTEGRATED MARKETING_x000a_COMMUNICATION KEDAI PANTRY_x000a_MAGETAN IN THE DIGITALIZATION ERA_x000a_4.0"/>
    <s v="Rumpun Keterampilan Penunjang"/>
    <s v="Penulis pertama pada jurnal internasional bereputasi atau jurnal nasional terindeks SINTA 1 dan 2"/>
    <x v="2"/>
    <s v="Team"/>
    <n v="2"/>
    <n v="20"/>
    <m/>
    <s v="https://employee.uc.ac.id/index.php/file/get/sis/t_cp/650986bc-a929-11ed-a95e-000d3ac6bafe.pdf"/>
    <m/>
    <m/>
    <m/>
    <s v="Universitas Ciputra"/>
    <s v="Penulis pertama pada jurnal internasional bereputasi atau jurnal nasional terindeks SINTA 1 dan 2|External International|Team"/>
    <n v="5"/>
  </r>
  <r>
    <s v="0206042010058"/>
    <s v="Baihaqi Arif Hutomo"/>
    <x v="13"/>
    <n v="2020"/>
    <s v="SIFT Dean's Cup 2022"/>
    <s v="2022-10-14"/>
    <s v="2022-10-20"/>
    <n v="20221"/>
    <s v="Juri/Pelatih/Wasit Dean's Cup 2022 yang diselenggarakan oleh SIFT"/>
    <s v="Rumpun Keterampilan Penunjang"/>
    <s v="Juri/Pelatih/Wasit"/>
    <x v="1"/>
    <s v="Individual"/>
    <n v="7"/>
    <n v="5"/>
    <m/>
    <s v="https://employee.uc.ac.id/index.php/file/get/sis/t_cp/multi/e9f29743-d848-11ed-a359-000d3ac6bafe.png"/>
    <s v="https://employee.uc.ac.id/index.php/file/get/sis/t_cp/multi/e9f29743-d848-11ed-a359-000d3ac6bafe_assignmentletter.png"/>
    <m/>
    <m/>
    <s v="SU IMT &amp; SU ISB"/>
    <s v="Juri/Pelatih/Wasit|Internal Sekolah / Universitas|Individual"/>
    <n v="0"/>
  </r>
  <r>
    <s v="0106012210303"/>
    <s v="Beatrice Michelle Valerie W."/>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62010040"/>
    <s v="Beauty Azizu Amira"/>
    <x v="11"/>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306012110016"/>
    <s v="Belicia griselda talahaturusun"/>
    <x v="2"/>
    <n v="2021"/>
    <s v="Exposure"/>
    <s v="2023-09-26"/>
    <s v="2023-09-26"/>
    <n v="20231"/>
    <s v="Fasilitator"/>
    <s v="Rumpun Keterampilan Penunjang"/>
    <s v="Narasumber / Pemateri Acara Seminar / Workshop / Pemakalah"/>
    <x v="1"/>
    <s v="Individual"/>
    <n v="250"/>
    <n v="4"/>
    <m/>
    <s v="https://employee.uc.ac.id/index.php/file/get/sis/t_cp/multi/1e7be259-882b-11ee-ae4d-000d3ac6bafe.png"/>
    <s v="https://employee.uc.ac.id/index.php/file/get/sis/t_cp/multi/1e7be259-882b-11ee-ae4d-000d3ac6bafe_assignmentletter.png"/>
    <m/>
    <m/>
    <s v="Student Council"/>
    <s v="Narasumber / Pemateri Acara Seminar / Workshop / Pemakalah|Internal Sekolah / Universitas|Individual"/>
    <n v="0"/>
  </r>
  <r>
    <s v="0306012110016"/>
    <s v="Belicia griselda talahaturusun"/>
    <x v="2"/>
    <n v="2021"/>
    <s v="Pembicara di Webinar Problem in College Life "/>
    <s v="2023-12-14"/>
    <s v="2023-12-14"/>
    <n v="20231"/>
    <s v="menjadi pembicara di Webinar Problem in College Life yang merupakan projek EES dari mahasiswa angkatan 23. Saya dan 2 orang lainnya mewakilli counseling buddy menjadi pembicara yang membahas tentang kesehatan mental mahasiswa"/>
    <s v="Rumpun Keterampilan Penunjang"/>
    <s v="Narasumber / Pemateri Acara Seminar / Workshop / Pemakalah"/>
    <x v="1"/>
    <s v="Individual"/>
    <n v="26"/>
    <n v="5"/>
    <m/>
    <s v="https://employee.uc.ac.id/index.php/file/get/sis/t_cp/299c8121-9e65-11ee-a2ac-000d3ac6bafe.pdf"/>
    <s v="https://employee.uc.ac.id/index.php/file/get/sis/t_cp/299c8121-9e65-11ee-a2ac-000d3ac6bafe_assignmentletter.pdf"/>
    <m/>
    <m/>
    <s v="Kelompok EES (ketua kelompok Yosua Pirono)"/>
    <s v="Narasumber / Pemateri Acara Seminar / Workshop / Pemakalah|Internal Sekolah / Universitas|Individual"/>
    <n v="0"/>
  </r>
  <r>
    <s v="0108012020038"/>
    <s v="Benazir Fahim"/>
    <x v="3"/>
    <n v="2020"/>
    <s v="ICOEN 9th Presenter"/>
    <s v="2022-10-27"/>
    <s v="2022-10-27"/>
    <n v="20221"/>
    <s v="Menjadi presenter perihal publikasi yang dilakukan terhadap survavibility carpet industry di era pandemi covid-19 dengan remodeling business model canvas"/>
    <s v="Rumpun Keterampilan Penunjang"/>
    <s v="Narasumber / Pemateri Acara Seminar / Workshop / Pemakalah"/>
    <x v="1"/>
    <s v="Individual"/>
    <n v="1"/>
    <n v="5"/>
    <m/>
    <s v="https://employee.uc.ac.id/index.php/file/get/sis/t_cp/3b0a7413-96ed-11ed-b71c-000d3ac6bafe.jpg"/>
    <m/>
    <m/>
    <m/>
    <s v="ICOEN 9th Universitas Ciputra"/>
    <s v="Narasumber / Pemateri Acara Seminar / Workshop / Pemakalah|Internal Sekolah / Universitas|Individual"/>
    <n v="0"/>
  </r>
  <r>
    <s v="0106012310157"/>
    <s v="Benedict Nathaniel Tanoyo"/>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204"/>
    <s v="Benedictus Christopher, Ang"/>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282"/>
    <s v="Benjamin Juan Constantine"/>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344"/>
    <s v="Bertrand Lovell Paranday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706022010003"/>
    <s v="Billy Jefferson"/>
    <x v="4"/>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206032110005"/>
    <s v="Billy Jovian Irwanto"/>
    <x v="8"/>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706022210026"/>
    <s v="Billy Reksodikromo"/>
    <x v="4"/>
    <n v="2022"/>
    <s v="Mezink Academy workshop: Basic Product Videography"/>
    <s v="2023-03-12"/>
    <s v="2023-03-12"/>
    <n v="20222"/>
    <s v="Sebuah videography untuk mempromosikan di sosial media"/>
    <s v="Rumpun Keterampilan Penunjang"/>
    <s v="Narasumber / Pemateri Acara Seminar / Workshop / Pemakalah"/>
    <x v="3"/>
    <s v="Individual"/>
    <n v="0"/>
    <n v="6"/>
    <m/>
    <s v="https://employee.uc.ac.id/index.php/file/get/sis/t_cp/96b93c94-c20f-11ed-aeb7-000d3ac6bafe.pdf"/>
    <m/>
    <m/>
    <m/>
    <s v="Mezink "/>
    <s v="Narasumber / Pemateri Acara Seminar / Workshop / Pemakalah|External National|Individual"/>
    <n v="0"/>
  </r>
  <r>
    <s v="0106012210323"/>
    <s v="Billy Tanjung"/>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406042110003"/>
    <s v="Birgitta Allison Kesuma"/>
    <x v="12"/>
    <n v="2021"/>
    <s v="My Plate for My Health - Pengabdian Masyarakat"/>
    <s v="2023-07-24"/>
    <s v="2023-08-25"/>
    <n v="20222"/>
    <s v="Memberikan penyuluhan atau seminar kepada anak kelas 5 SD di Sekolah Citra Berkat Surabaya mengenai makanan sehat dengan dilengkapi aktivitas membuat bento sehat."/>
    <s v="Rumpun Keterampilan Penunjang"/>
    <s v="Pembicara pada pelatihan/seminar/event berskala"/>
    <x v="0"/>
    <s v="Individual"/>
    <n v="100"/>
    <n v="10"/>
    <m/>
    <s v="https://employee.uc.ac.id/index.php/file/get/sis/t_cp/f4dec291-61a9-11ee-bb53-000d3ac6bafe.pdf"/>
    <m/>
    <m/>
    <m/>
    <s v="Sekolah Citra Berkat Surabaya"/>
    <s v="Pembicara pada pelatihan/seminar/event berskala|External Regional|Individual"/>
    <n v="0"/>
  </r>
  <r>
    <s v="0406042110003"/>
    <s v="Birgitta Allison Kesuma"/>
    <x v="12"/>
    <n v="2021"/>
    <s v="UC Day 2023"/>
    <s v="2023-09-15"/>
    <s v="2023-09-15"/>
    <n v="20231"/>
    <m/>
    <s v="Rumpun Keterampilan Penunjang"/>
    <s v="Juri/Pelatih/Wasit"/>
    <x v="1"/>
    <s v="Individual"/>
    <n v="50"/>
    <n v="4"/>
    <m/>
    <s v="https://employee.uc.ac.id/index.php/file/get/sis/t_cp/multi/c15ab80d-7c81-11ee-aca7-000d3ac6bafe.png"/>
    <s v="https://employee.uc.ac.id/index.php/file/get/sis/t_cp/multi/c15ab80d-7c81-11ee-aca7-000d3ac6bafe_assignmentletter.png"/>
    <m/>
    <m/>
    <s v="Universitas Ciputra Surabaya"/>
    <s v="Juri/Pelatih/Wasit|Internal Sekolah / Universitas|Individual"/>
    <n v="0"/>
  </r>
  <r>
    <s v="0206032010034"/>
    <s v="Bong, Antonio William Marcelino"/>
    <x v="8"/>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110312"/>
    <s v="Bridget Beatrix Claire"/>
    <x v="1"/>
    <n v="2021"/>
    <s v="Pembicara Figma Webinar Digital Wave"/>
    <s v="2023-09-26"/>
    <s v="2023-09-26"/>
    <n v="20231"/>
    <s v="i was invited to serve as the Figma Webinar Instructor, introducing the basics of landing page design for digital marketing to the talented students of UKM ITC MIPA Unsoed and Universitas Jenderal Soedirman"/>
    <s v="Rumpun Keterampilan Penunjang"/>
    <s v="Pembicara pada pelatihan/seminar/event berskala"/>
    <x v="0"/>
    <s v="Individual"/>
    <n v="60"/>
    <n v="10"/>
    <s v="https://www.instagram.com/p/CwPUGNyvIf8/?igshid=MW"/>
    <s v="https://employee.uc.ac.id/index.php/file/get/sis/t_cp/81730dff-5c2f-11ee-aac5-000d3ac6bafe.jpg"/>
    <m/>
    <m/>
    <m/>
    <s v="UKM ITC Mipa Unsoed"/>
    <s v="Pembicara pada pelatihan/seminar/event berskala|External Regional|Individual"/>
    <n v="0"/>
  </r>
  <r>
    <s v="0106012310405"/>
    <s v="Bryan Albert Kurniawan"/>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110065"/>
    <s v="Bryan Van Zeda Salim"/>
    <x v="1"/>
    <n v="2021"/>
    <s v="creating sustainable business in green economy era"/>
    <s v="2023-01-06"/>
    <s v="2023-01-06"/>
    <n v="20221"/>
    <m/>
    <s v="Rumpun Keterampilan Penunjang"/>
    <s v="Narasumber / Pemateri Acara Seminar / Workshop / Pemakalah"/>
    <x v="1"/>
    <s v="Individual"/>
    <n v="200"/>
    <n v="5"/>
    <m/>
    <s v="https://employee.uc.ac.id/index.php/file/get/sis/t_cp/145956ce-8dc2-11ed-811b-000d3ac6bafe.jpg"/>
    <s v="https://employee.uc.ac.id/index.php/file/get/sis/t_cp/2391b445-8dc2-11ed-811b-000d3ac6bafe_assignmentletter.jpg"/>
    <m/>
    <m/>
    <s v="Universitas Ciputra"/>
    <s v="Narasumber / Pemateri Acara Seminar / Workshop / Pemakalah|Internal Sekolah / Universitas|Individual"/>
    <n v="0"/>
  </r>
  <r>
    <s v="0106012210304"/>
    <s v="Bryant Mathew Wicakson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42110052"/>
    <s v="Buyung Nur Ramadhan"/>
    <x v="13"/>
    <n v="2021"/>
    <s v="Exposure"/>
    <s v="2023-09-26"/>
    <s v="2023-09-26"/>
    <n v="20231"/>
    <s v="Fasilitator"/>
    <s v="Rumpun Keterampilan Penunjang"/>
    <s v="Narasumber / Pemateri Acara Seminar / Workshop / Pemakalah"/>
    <x v="1"/>
    <s v="Individual"/>
    <n v="250"/>
    <n v="4"/>
    <m/>
    <s v="https://employee.uc.ac.id/index.php/file/get/sis/t_cp/multi/1e7be259-882b-11ee-ae4d-000d3ac6bafe.png"/>
    <s v="https://employee.uc.ac.id/index.php/file/get/sis/t_cp/multi/1e7be259-882b-11ee-ae4d-000d3ac6bafe_assignmentletter.png"/>
    <m/>
    <m/>
    <s v="Student Council"/>
    <s v="Narasumber / Pemateri Acara Seminar / Workshop / Pemakalah|Internal Sekolah / Universitas|Individual"/>
    <n v="0"/>
  </r>
  <r>
    <s v="0106012210151"/>
    <s v="Cabrina Irmadela Setiawan"/>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035"/>
    <s v="Calvin Arifin Lukman"/>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034"/>
    <s v="Calvin Chandok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034"/>
    <s v="Calvin Chandoko"/>
    <x v="1"/>
    <n v="2022"/>
    <s v="Penulis Buku "/>
    <s v="2023-11-01"/>
    <s v="2023-12-08"/>
    <n v="20231"/>
    <s v="Menulis Buku ini berdasarkan kisah nyata kita dalam lomba IYIS di Malaysia, Mulai dari awal persiapan hingga Hari H acara dan selesai dengan baik, Buku ini merupakan Kisah inspiratif dari seluruh Peserta dan panitia. Untuk total peserta dari Penulis buku ini adalah 40 orang yang semuanya adalah Angg"/>
    <s v="Rumpun Keterampilan Penunjang"/>
    <s v="Penulis pertama buku ber-ISBN"/>
    <x v="3"/>
    <s v="Individual"/>
    <n v="43"/>
    <n v="2"/>
    <m/>
    <m/>
    <m/>
    <s v="https://employee.uc.ac.id/index.php/file/get/sis/t_cp/af441088-9998-11ee-ad3c-000d3ac6bafe_report.jpeg"/>
    <m/>
    <s v="Global Youthprenuer Nusantara"/>
    <s v="Penulis pertama buku ber-ISBN|External National|Individual"/>
    <n v="6"/>
  </r>
  <r>
    <s v="0106012310068"/>
    <s v="Calvin Julio Tjandr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247"/>
    <s v="Carissa Belluci"/>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406022210048"/>
    <s v="Catherine Lorena Valentina Franoto"/>
    <x v="10"/>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1910122"/>
    <s v="Celine Miyuki Gunawan"/>
    <x v="1"/>
    <n v="2019"/>
    <s v="National Management Seminar (SENIMA)"/>
    <s v="2022-10-05"/>
    <s v="2022-10-05"/>
    <n v="20221"/>
    <s v="National Seminar Speaker and won the Best Paper Category at the 2021 National Management Seminar (SENIMA) &amp; Call for Papers 2021 by Universitas Negeri Surabaya : &quot;The Effect of Social Influence and Peer Influence on Intention to Purchase on E-Commerce in Indonesia&quot;."/>
    <s v="Rumpun Keterampilan Penunjang"/>
    <s v="Pembicara pada pelatihan/seminar/event berskala"/>
    <x v="3"/>
    <s v="Team"/>
    <n v="2"/>
    <n v="15"/>
    <s v="https://senima.conference.unesa.ac.id"/>
    <s v="https://employee.uc.ac.id/index.php/file/get/sis/t_cp/e3d619b7-9728-11ed-b71c-000d3ac6bafe.pdf"/>
    <s v="https://employee.uc.ac.id/index.php/file/get/sis/t_cp/e3d619b7-9728-11ed-b71c-000d3ac6bafe_assignmentletter.pdf"/>
    <m/>
    <m/>
    <s v="Universitas Negeri Surabaya (UNESA)"/>
    <s v="Pembicara pada pelatihan/seminar/event berskala|External National|Team"/>
    <n v="4"/>
  </r>
  <r>
    <s v="0106012010349"/>
    <s v="Celine Soegiardjo"/>
    <x v="1"/>
    <n v="2020"/>
    <s v="Podcast SC Talk’s , topik : Ke Boston Gak Keluar Uang tapi Susah Bertahan Hidup IISMA"/>
    <s v="2023-03-01"/>
    <s v="2023-03-10"/>
    <n v="20222"/>
    <s v="Narasumber Podcast SC Talk’s , topik : Ke Boston Gak Keluar Uang tapi Susah Bertahan Hidup IISMA"/>
    <s v="Rumpun Keterampilan Penunjang"/>
    <s v="Narasumber / Pemateri Acara Seminar / Workshop / Pemakalah"/>
    <x v="1"/>
    <s v="Individual"/>
    <n v="100"/>
    <n v="5"/>
    <m/>
    <s v="https://employee.uc.ac.id/index.php/file/get/sis/t_cp/multi/36efe3c6-76cb-11ee-858c-000d3ac6bafe.png"/>
    <s v="https://employee.uc.ac.id/index.php/file/get/sis/t_cp/multi/36efe3c6-76cb-11ee-858c-000d3ac6bafe_assignmentletter.png"/>
    <m/>
    <m/>
    <s v="SC 22/23"/>
    <s v="Narasumber / Pemateri Acara Seminar / Workshop / Pemakalah|Internal Sekolah / Universitas|Individual"/>
    <n v="0"/>
  </r>
  <r>
    <s v="0106012010349"/>
    <s v="Celine Soegiardjo"/>
    <x v="1"/>
    <n v="2020"/>
    <s v="Narasumber Podcast SC Talk’s"/>
    <s v="2023-03-29"/>
    <s v="2023-05-11"/>
    <n v="20222"/>
    <s v="Narasumber Podcast SC Talk’s"/>
    <s v="Rumpun Keterampilan Penunjang"/>
    <s v="Narasumber / Pemateri Acara Seminar / Workshop / Pemakalah"/>
    <x v="1"/>
    <s v="Individual"/>
    <n v="50"/>
    <n v="5"/>
    <m/>
    <s v="https://employee.uc.ac.id/index.php/file/get/sis/t_cp/multi/e7681b35-0411-11ee-ba25-000d3ac6bafe.png"/>
    <s v="https://employee.uc.ac.id/index.php/file/get/sis/t_cp/multi/e7681b35-0411-11ee-ba25-000d3ac6bafe_assignmentletter.png"/>
    <m/>
    <m/>
    <s v="SC 22/23"/>
    <s v="Narasumber / Pemateri Acara Seminar / Workshop / Pemakalah|Internal Sekolah / Universitas|Individual"/>
    <n v="0"/>
  </r>
  <r>
    <s v="0106012310189"/>
    <s v="Cella Putri Liyadhi"/>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41910043"/>
    <s v="Charissa Belle Leticia"/>
    <x v="13"/>
    <n v="2019"/>
    <s v="Penelitian “Perancangan Buku Promotional untuk Museum Kesehatan Jiwa Lawang”"/>
    <s v="2021-06-01"/>
    <s v="2021-09-01"/>
    <n v="20202"/>
    <m/>
    <s v="Rumpun Keterampilan Penunjang"/>
    <s v="Pembicara pada pelatihan/seminar/event berskala"/>
    <x v="0"/>
    <s v="Team"/>
    <n v="12"/>
    <n v="10"/>
    <m/>
    <s v="https://employee.uc.ac.id/index.php/file/get/sis/t_cp/f9bc4af0-9815-11ed-af4b-000d3ac6bafe.pdf"/>
    <m/>
    <m/>
    <m/>
    <s v="Musem kesehtan jiwa lawang, VCD universitas ciputr"/>
    <s v="Pembicara pada pelatihan/seminar/event berskala|External Regional|Team"/>
    <n v="0"/>
  </r>
  <r>
    <s v="0106012210204"/>
    <s v="Chelsea Patricia Suryant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306012210041"/>
    <s v="Cheysha Sandrina Putri Rusdiyanto"/>
    <x v="2"/>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206062010042"/>
    <s v="Chimberly Feriditya Spanic"/>
    <x v="11"/>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210398"/>
    <s v="Christian Fenton Handok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010092"/>
    <s v="Christian Jordan Kurniadi"/>
    <x v="1"/>
    <n v="2020"/>
    <s v="SENIMA 6"/>
    <s v="2022-04-30"/>
    <s v="2022-04-30"/>
    <n v="20212"/>
    <s v="Terpublish nya jurnal penelitian SINTA 2 pada tanggal 30 April 2022 dengan judul &quot;The role of technology acceptance model factors on purchase intention in e-commerce&quot;"/>
    <s v="Rumpun Keterampilan Penunjang"/>
    <s v="Penulis pertama pada jurnal internasional bereputasi atau jurnal nasional terindeks SINTA 1 dan 2"/>
    <x v="3"/>
    <s v="Team"/>
    <n v="100"/>
    <n v="12"/>
    <s v="https://journal.unesa.ac.id/index.php/bisma/articl"/>
    <m/>
    <m/>
    <s v="https://employee.uc.ac.id/index.php/file/get/sis/t_cp/b284c4f1-8d80-11ed-811b-000d3ac6bafe_report.png"/>
    <m/>
    <s v="Universitas Negeri Surabaya"/>
    <s v="Penulis pertama pada jurnal internasional bereputasi atau jurnal nasional terindeks SINTA 1 dan 2|External National|Team"/>
    <n v="5"/>
  </r>
  <r>
    <s v="0106012310107"/>
    <s v="Christian Reeva Chandr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127"/>
    <s v="Christian Tamin"/>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213"/>
    <s v="Christoper"/>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32110023"/>
    <s v="Cindy Natalie"/>
    <x v="8"/>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506012110077"/>
    <s v="Citta Catherine Gozali"/>
    <x v="0"/>
    <n v="2021"/>
    <s v="Flash Class CV"/>
    <s v="2023-09-15"/>
    <s v="2023-09-15"/>
    <n v="20231"/>
    <s v="Membawakan materi mengenai pembuatan CV"/>
    <s v="Rumpun Keterampilan Penunjang"/>
    <s v="Narasumber / Pemateri Acara Seminar / Workshop / Pemakalah"/>
    <x v="1"/>
    <s v="Individual"/>
    <n v="50"/>
    <n v="5"/>
    <m/>
    <s v="https://employee.uc.ac.id/index.php/file/get/sis/t_cp/3b29a2fa-55da-11ee-8778-000d3ac6bafe.jpg"/>
    <m/>
    <m/>
    <m/>
    <s v="Student Union Fakultas Ilmu Komunikasi"/>
    <s v="Narasumber / Pemateri Acara Seminar / Workshop / Pemakalah|Internal Sekolah / Universitas|Individual"/>
    <n v="0"/>
  </r>
  <r>
    <s v="0306012010032"/>
    <s v="Clara Hosana Yessica Jelita Dewi"/>
    <x v="2"/>
    <n v="2020"/>
    <s v="Penulis Chapter Buku: TERDEKAT &amp; TERASING Yang Terselip di Belantara Ingatan. "/>
    <s v="2023-02-11"/>
    <s v="2023-02-11"/>
    <n v="20221"/>
    <s v="Penulis Chapter Buku : TERDEKAT &amp; TERASING Yang Terselip di Belantara Ingatan. Dengan Judul Chapter : Biografi Slamet Prajitno 1941-1966_x000a__x000a_https://play.google.com/books/reader?id=eDanEAAAQBAJ&amp;hl=en"/>
    <s v="Rumpun Keterampilan Penunjang"/>
    <s v="Penulis pertama buku ber-ISBN"/>
    <x v="3"/>
    <s v="Individual"/>
    <n v="1"/>
    <n v="30"/>
    <m/>
    <m/>
    <m/>
    <s v="https://employee.uc.ac.id/index.php/file/get/sis/t_cp/8adae2d2-a9f1-11ed-ba27-000d3ac6bafe_report.pdf"/>
    <m/>
    <s v="Penerbit Universitas Ciputra "/>
    <s v="Penulis pertama buku ber-ISBN|External National|Individual"/>
    <n v="6"/>
  </r>
  <r>
    <s v="0106012310240"/>
    <s v="Claressa Felicion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326"/>
    <s v="Claresta Inez Gunawan"/>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61910031"/>
    <s v="Daariin Dhiya` Ulhaq"/>
    <x v="11"/>
    <n v="2019"/>
    <s v="SIFT Dean's Cup 2022"/>
    <s v="2022-10-14"/>
    <s v="2022-10-20"/>
    <n v="20221"/>
    <s v="Juri/Pelatih/Wasit Dean's Cup 2022 yang diselenggarakan oleh SIFT"/>
    <s v="Rumpun Keterampilan Penunjang"/>
    <s v="Juri/Pelatih/Wasit"/>
    <x v="1"/>
    <s v="Individual"/>
    <n v="7"/>
    <n v="5"/>
    <m/>
    <s v="https://employee.uc.ac.id/index.php/file/get/sis/t_cp/multi/e9f29743-d848-11ed-a359-000d3ac6bafe.png"/>
    <s v="https://employee.uc.ac.id/index.php/file/get/sis/t_cp/multi/e9f29743-d848-11ed-a359-000d3ac6bafe_assignmentletter.png"/>
    <m/>
    <m/>
    <s v="SU IMT &amp; SU ISB"/>
    <s v="Juri/Pelatih/Wasit|Internal Sekolah / Universitas|Individual"/>
    <n v="0"/>
  </r>
  <r>
    <s v="0106012310018"/>
    <s v="Dalia Susanto"/>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406021910085"/>
    <s v="Damara Mardati Prameswari"/>
    <x v="10"/>
    <n v="2019"/>
    <s v="festival menulis tingkat nasional"/>
    <s v="2023-01-12"/>
    <s v="2023-01-20"/>
    <n v="20221"/>
    <s v="menulis cerpen yang berjudul &quot;my cold girl&quot; dan mendapat penulis terbaik nasional 2023 yang diselenggarakan oleh antero literasi indonesia"/>
    <s v="Rumpun Keterampilan Penunjang"/>
    <s v="Penulis pertama buku ber-ISBN"/>
    <x v="3"/>
    <s v="Individual"/>
    <n v="33"/>
    <n v="30"/>
    <s v="www.pintarnulis.my.id"/>
    <m/>
    <m/>
    <s v="https://employee.uc.ac.id/index.php/file/get/sis/t_cp/a755ca97-1960-11ee-9863-000d3ac6bafe_report.jpg"/>
    <m/>
    <s v="antero literasi indonesia"/>
    <s v="Penulis pertama buku ber-ISBN|External National|Individual"/>
    <n v="6"/>
  </r>
  <r>
    <s v="0706012010003"/>
    <s v="Daniel Aprillio Budiono"/>
    <x v="5"/>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310339"/>
    <s v="Daniel Austin Susanto"/>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164"/>
    <s v="Dave Christian"/>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043"/>
    <s v="Daven Wijay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173"/>
    <s v="Davin Nathaniel Junior"/>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163"/>
    <s v="Davinsent Villeareal"/>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506012110049"/>
    <s v="Debora Tri Gunawan"/>
    <x v="0"/>
    <n v="2021"/>
    <s v="UC Day 2023"/>
    <s v="2023-09-15"/>
    <s v="2023-09-15"/>
    <n v="20231"/>
    <m/>
    <s v="Rumpun Keterampilan Penunjang"/>
    <s v="Juri/Pelatih/Wasit"/>
    <x v="1"/>
    <s v="Individual"/>
    <n v="50"/>
    <n v="4"/>
    <m/>
    <s v="https://employee.uc.ac.id/index.php/file/get/sis/t_cp/multi/c15ab80d-7c81-11ee-aca7-000d3ac6bafe.png"/>
    <s v="https://employee.uc.ac.id/index.php/file/get/sis/t_cp/multi/c15ab80d-7c81-11ee-aca7-000d3ac6bafe_assignmentletter.png"/>
    <m/>
    <m/>
    <s v="Universitas Ciputra Surabaya"/>
    <s v="Juri/Pelatih/Wasit|Internal Sekolah / Universitas|Individual"/>
    <n v="0"/>
  </r>
  <r>
    <s v="0106012210258"/>
    <s v="Dennis Octavius"/>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606011910017"/>
    <s v="Desy Natalia F. Maskim"/>
    <x v="7"/>
    <n v="2019"/>
    <s v="Artikel Jurnal"/>
    <s v="2023-05-29"/>
    <s v="2023-06-30"/>
    <n v="20222"/>
    <s v="Artikel Jurnal Internasional"/>
    <s v="Rumpun Keterampilan Penunjang"/>
    <s v="Penulis pertama pada jurnal internasional bereputasi atau jurnal nasional terindeks SINTA 1 dan 2"/>
    <x v="2"/>
    <s v="Team"/>
    <n v="3"/>
    <n v="40"/>
    <m/>
    <s v="https://employee.uc.ac.id/index.php/file/get/sis/t_cp/70919db2-06c9-11ee-b92f-000d3ac6bafe.pdf"/>
    <m/>
    <m/>
    <m/>
    <s v="Jurnal Penelitian Skripsi"/>
    <s v="Penulis pertama pada jurnal internasional bereputasi atau jurnal nasional terindeks SINTA 1 dan 2|External International|Team"/>
    <n v="5"/>
  </r>
  <r>
    <s v="0108012220094"/>
    <s v="Dhiemas Arya Putra"/>
    <x v="3"/>
    <n v="2022"/>
    <s v="Pelatihan Agribisnis Jawa Timur"/>
    <s v="2023-06-12"/>
    <s v="2023-06-16"/>
    <n v="20222"/>
    <s v="-Mengisi materi digital marketing and business bersama Dinas pertanian Jawa Timur"/>
    <s v="Rumpun Keterampilan Penunjang"/>
    <s v="Pembicara pada pelatihan/seminar/event berskala"/>
    <x v="0"/>
    <s v="Individual"/>
    <n v="60"/>
    <n v="10"/>
    <m/>
    <s v="https://employee.uc.ac.id/index.php/file/get/sis/t_cp/8a6df53c-148b-11ee-bcb1-000d3ac6bafe.pdf"/>
    <m/>
    <m/>
    <m/>
    <s v="UPTD Dinas Pertanian Prov Jawa Timur"/>
    <s v="Pembicara pada pelatihan/seminar/event berskala|External Regional|Individual"/>
    <n v="0"/>
  </r>
  <r>
    <s v="0108012220094"/>
    <s v="Dhiemas Arya Putra"/>
    <x v="3"/>
    <n v="2022"/>
    <s v="Building Development Services KPP Pratama Wonocolo Surabaya"/>
    <s v="2023-06-15"/>
    <s v="2023-06-15"/>
    <n v="20222"/>
    <s v="Mengisi materi tentang marketing untuk UMKM di Surabaya bersama Kantor Pajak dan Kanwil Pajak 1 Surabaya"/>
    <s v="Rumpun Keterampilan Penunjang"/>
    <s v="Pembicara pada pelatihan/seminar/event berskala"/>
    <x v="0"/>
    <s v="Individual"/>
    <n v="50"/>
    <n v="10"/>
    <m/>
    <s v="https://employee.uc.ac.id/index.php/file/get/sis/t_cp/606f6fdd-14aa-11ee-bcb1-000d3ac6bafe.pdf"/>
    <m/>
    <m/>
    <m/>
    <s v="KPP Pratama Wonocolo Surabaya"/>
    <s v="Pembicara pada pelatihan/seminar/event berskala|External Regional|Individual"/>
    <n v="0"/>
  </r>
  <r>
    <s v="0106012210015"/>
    <s v="Dian Natalia Halim"/>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606012210068"/>
    <s v="Dinda Aziza Bryllianna"/>
    <x v="7"/>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210074"/>
    <s v="Dio Alexander Halim"/>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317"/>
    <s v="Dwantara Alexander Christ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8012020065"/>
    <s v="Dwi Andhika Panjarwanto"/>
    <x v="3"/>
    <n v="2020"/>
    <s v="TALKSHOW RADIO PERSADA FM: HEALTH TALK"/>
    <s v="2022-11-11"/>
    <s v="2022-11-11"/>
    <n v="20221"/>
    <s v="Narasumber dari Dialog Interaktif TALKSHOW RADIO: HEALTH TALK, Mengenai BAHAYA OBESITAS DAN CARA PENCEGAHANNYA"/>
    <s v="Rumpun Keterampilan Penunjang"/>
    <s v="Pembicara pada pelatihan/seminar/event berskala"/>
    <x v="3"/>
    <s v="Individual"/>
    <n v="1"/>
    <n v="15"/>
    <m/>
    <s v="https://employee.uc.ac.id/index.php/file/get/sis/t_cp/7ebdf27d-97b4-11ed-af4b-000d3ac6bafe.jpeg"/>
    <s v="https://employee.uc.ac.id/index.php/file/get/sis/t_cp/7ebdf27d-97b4-11ed-af4b-000d3ac6bafe_assignmentletter.jpeg"/>
    <m/>
    <m/>
    <s v="NARASUMBER"/>
    <s v="Pembicara pada pelatihan/seminar/event berskala|External National|Individual"/>
    <n v="4"/>
  </r>
  <r>
    <s v="0108012020065"/>
    <s v="Dwi Andhika Panjarwanto"/>
    <x v="3"/>
    <n v="2020"/>
    <s v="TALKSHOW RADIO MAYANGKARA FM: HEALTH TALK"/>
    <s v="2023-01-13"/>
    <s v="2023-01-13"/>
    <n v="20221"/>
    <s v="Narasumber dari Dialog Interaktif TALKSHOW RADIO: HEALTH TALK, Mengenai WASPADA DIABETES PADA REMAJA"/>
    <s v="Rumpun Keterampilan Penunjang"/>
    <s v="Pembicara pada pelatihan/seminar/event berskala"/>
    <x v="3"/>
    <s v="Individual"/>
    <n v="1"/>
    <n v="15"/>
    <m/>
    <s v="https://employee.uc.ac.id/index.php/file/get/sis/t_cp/2a2e96d9-97b5-11ed-af4b-000d3ac6bafe.jpeg"/>
    <s v="https://employee.uc.ac.id/index.php/file/get/sis/t_cp/2a2e96d9-97b5-11ed-af4b-000d3ac6bafe_assignmentletter.jpeg"/>
    <m/>
    <m/>
    <s v="NARASUMBER"/>
    <s v="Pembicara pada pelatihan/seminar/event berskala|External National|Individual"/>
    <n v="4"/>
  </r>
  <r>
    <s v="0706021910017"/>
    <s v="Eillen Marchellita Hartono"/>
    <x v="4"/>
    <n v="2019"/>
    <s v="Leadership 101 2022: FORTHCOMING"/>
    <s v="2022-03-12"/>
    <s v="2022-03-27"/>
    <n v="20212"/>
    <s v="Menjadi Juri/Pelatih/Wasit pada acara leadership 101 2022: Forthcoming"/>
    <s v="Rumpun Keterampilan Penunjang"/>
    <s v="Juri/Pelatih/Wasit"/>
    <x v="1"/>
    <s v="Student Organization"/>
    <n v="300"/>
    <n v="5"/>
    <m/>
    <s v="https://employee.uc.ac.id/index.php/file/get/sis/t_cp/a4438ff3-8f69-11ed-bca6-000d3ac6bafe.pdf"/>
    <m/>
    <m/>
    <m/>
    <s v="SRB dan SC 2021/2022"/>
    <s v="Juri/Pelatih/Wasit|Internal Sekolah / Universitas|Student Organization"/>
    <n v="0"/>
  </r>
  <r>
    <s v="0106012210125"/>
    <s v="Eldrick Justin Muliadi"/>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8912310008"/>
    <s v="Elizabeth Maeko Cyrilla Handijaya"/>
    <x v="14"/>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1910296"/>
    <s v="Ellisa Noelia Laurent"/>
    <x v="1"/>
    <n v="2019"/>
    <s v="National Entrepreneurship Camp"/>
    <s v="2022-03-28"/>
    <s v="2022-03-30"/>
    <n v="20212"/>
    <s v="Sharing menjalankan bisnis dan materi mengenai five thinking hats"/>
    <s v="Rumpun Keterampilan Penunjang"/>
    <s v="Pembicara pada pelatihan/seminar/event berskala"/>
    <x v="3"/>
    <s v="Individual"/>
    <n v="400"/>
    <n v="15"/>
    <m/>
    <s v="https://employee.uc.ac.id/index.php/file/get/sis/t_cp/e5d917f3-b39c-11ed-ae8d-000d3ac6bafe.jpg"/>
    <s v="https://employee.uc.ac.id/index.php/file/get/sis/t_cp/33fc8288-b39d-11ed-ae8d-000d3ac6bafe_assignmentletter.pdf"/>
    <m/>
    <m/>
    <s v="Sekolah Citra Kasih &amp; Sekolah Citra Berkat "/>
    <s v="Pembicara pada pelatihan/seminar/event berskala|External National|Individual"/>
    <n v="4"/>
  </r>
  <r>
    <s v="0106012010407"/>
    <s v="Enrico Effendi"/>
    <x v="1"/>
    <n v="2020"/>
    <s v="Exposure"/>
    <s v="2023-09-26"/>
    <s v="2023-09-26"/>
    <n v="20231"/>
    <s v="Fasilitator"/>
    <s v="Rumpun Keterampilan Penunjang"/>
    <s v="Narasumber / Pemateri Acara Seminar / Workshop / Pemakalah"/>
    <x v="1"/>
    <s v="Individual"/>
    <n v="250"/>
    <n v="4"/>
    <m/>
    <s v="https://employee.uc.ac.id/index.php/file/get/sis/t_cp/multi/1e7be259-882b-11ee-ae4d-000d3ac6bafe.png"/>
    <s v="https://employee.uc.ac.id/index.php/file/get/sis/t_cp/multi/1e7be259-882b-11ee-ae4d-000d3ac6bafe_assignmentletter.png"/>
    <m/>
    <m/>
    <s v="Student Council"/>
    <s v="Narasumber / Pemateri Acara Seminar / Workshop / Pemakalah|Internal Sekolah / Universitas|Individual"/>
    <n v="0"/>
  </r>
  <r>
    <s v="0406012110025"/>
    <s v="Erica Destiani Natalia"/>
    <x v="6"/>
    <n v="2021"/>
    <s v="Nulis Bareng Antero"/>
    <s v="2023-01-03"/>
    <s v="2023-01-03"/>
    <n v="20221"/>
    <m/>
    <s v="Rumpun Keterampilan Penunjang"/>
    <s v="Penulis pertama buku ber-ISBN"/>
    <x v="3"/>
    <s v="Individual"/>
    <n v="100"/>
    <n v="30"/>
    <m/>
    <s v="https://employee.uc.ac.id/index.php/file/get/sis/t_cp/4907658c-8b6b-11ed-a20e-000d3ac6bafe.jpg"/>
    <m/>
    <s v="https://employee.uc.ac.id/index.php/file/get/sis/t_cp/4bfa7a3c-8b6b-11ed-a20e-000d3ac6bafe_report.jpg"/>
    <m/>
    <s v="Antero Publish"/>
    <s v="Penulis pertama buku ber-ISBN|External National|Individual"/>
    <n v="6"/>
  </r>
  <r>
    <s v="0106012110070"/>
    <s v="Evelin Sutrisno"/>
    <x v="1"/>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077"/>
    <s v="Evelyn Thania Marcheline"/>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083"/>
    <s v="Evelyne Audrey Tanoehardj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62110027"/>
    <s v="Evi Agustin Kusumo"/>
    <x v="11"/>
    <n v="2021"/>
    <s v="Surabaya Great Expo 2023"/>
    <s v="2023-08-16"/>
    <s v="2023-08-20"/>
    <n v="20222"/>
    <s v="Menjadi narasumber mengenai project batik pemkot x UC di acara Surabaya Great Expo 2023, di Grand City mall Surabaya. "/>
    <s v="Rumpun Keterampilan Penunjang"/>
    <s v="Pembicara pada pelatihan/seminar/event berskala"/>
    <x v="0"/>
    <s v="Individual"/>
    <n v="13"/>
    <n v="10"/>
    <m/>
    <s v="https://employee.uc.ac.id/index.php/file/get/sis/t_cp/b2337fd2-82b8-11ee-8a78-000d3ac6bafe.pdf"/>
    <m/>
    <m/>
    <m/>
    <s v="Pemerintah Kota Surabaya"/>
    <s v="Pembicara pada pelatihan/seminar/event berskala|External Regional|Individual"/>
    <n v="0"/>
  </r>
  <r>
    <s v="0106012210249"/>
    <s v="Exel Apriano Wijay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1910147"/>
    <s v="Falito Efrem Fausto"/>
    <x v="1"/>
    <n v="2019"/>
    <s v="Sharing Session UC Fambus 11th &amp; 12th"/>
    <s v="2023-06-15"/>
    <s v="2023-06-15"/>
    <n v="20222"/>
    <s v="Sharing pengalaman didalam berbisnis pada hari jumat 14 April 2023"/>
    <s v="Rumpun Keterampilan Penunjang"/>
    <s v="Narasumber / Pemateri Acara Seminar / Workshop / Pemakalah"/>
    <x v="1"/>
    <s v="Individual"/>
    <n v="185"/>
    <n v="5"/>
    <m/>
    <s v="https://employee.uc.ac.id/index.php/file/get/sis/t_cp/a2c5ec47-0b1b-11ee-80dd-000d3ac6bafe.jpg"/>
    <m/>
    <m/>
    <m/>
    <s v="UC Family Business Community"/>
    <s v="Narasumber / Pemateri Acara Seminar / Workshop / Pemakalah|Internal Sekolah / Universitas|Individual"/>
    <n v="0"/>
  </r>
  <r>
    <s v="0106012110130"/>
    <s v="Fauzan Abian"/>
    <x v="1"/>
    <n v="2021"/>
    <s v="Seminar Nasional Pengabdian Masyarakat (SNPM) IV"/>
    <s v="2022-11-23"/>
    <s v="2022-11-24"/>
    <n v="20221"/>
    <s v="Participate as Team in Pemakalah Pengembangan mindset wirausaha dan pengembangan ideasi pada siswa SMA Tri Karya Surabaya"/>
    <s v="Rumpun Keterampilan Penunjang"/>
    <s v="Narasumber / Pemateri Acara Seminar / Workshop / Pemakalah"/>
    <x v="3"/>
    <s v="Team"/>
    <n v="5"/>
    <n v="15"/>
    <m/>
    <s v="https://employee.uc.ac.id/index.php/file/get/sis/t_cp/c622e22d-b664-11ed-aa92-000d3ac6bafe.jpg"/>
    <m/>
    <m/>
    <m/>
    <s v="umum"/>
    <s v="Narasumber / Pemateri Acara Seminar / Workshop / Pemakalah|External National|Team"/>
    <n v="0"/>
  </r>
  <r>
    <s v="0106012210022"/>
    <s v="Febiola"/>
    <x v="1"/>
    <n v="2022"/>
    <s v="Share With Us di SMA Katolik Santa Agnes Surabaya"/>
    <s v="2023-07-17"/>
    <s v="2023-07-17"/>
    <n v="20222"/>
    <s v="Sharing kepada seluruh murid baru di SMA Katolik Santa Agnes tentang materi berorganisasi selama SMA dan Kuliah"/>
    <s v="Rumpun Keterampilan Penunjang"/>
    <s v="Pembicara pada pelatihan/seminar/event berskala"/>
    <x v="0"/>
    <s v="Individual"/>
    <n v="150"/>
    <n v="10"/>
    <m/>
    <s v="https://employee.uc.ac.id/index.php/file/get/sis/t_cp/41901f15-27c5-11ee-84e6-000d3ac6bafe.pdf"/>
    <m/>
    <m/>
    <m/>
    <s v="SMA Katolik Santa Agnes Surabaya"/>
    <s v="Pembicara pada pelatihan/seminar/event berskala|External Regional|Individual"/>
    <n v="0"/>
  </r>
  <r>
    <s v="0106012210022"/>
    <s v="Febiol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706022010004"/>
    <s v="Felicia Graciella"/>
    <x v="4"/>
    <n v="2020"/>
    <s v="Penelitian Terapan Unggulan Perguruan Tinggi (PTUPT)"/>
    <s v="2022-06-21"/>
    <s v="2022-11-15"/>
    <n v="20212"/>
    <s v="Penulisan jurnal sebagai salah satu pemenuhan luaran."/>
    <s v="Rumpun Keterampilan Penunjang"/>
    <s v="Penulis pertama pada jurnal internasional bereputasi atau jurnal nasional terindeks SINTA 1 dan 2"/>
    <x v="2"/>
    <s v="Team"/>
    <n v="5"/>
    <n v="15"/>
    <s v="https://jsju.org/index.php/journal/article/view/13"/>
    <s v="https://employee.uc.ac.id/index.php/file/get/sis/t_cp/d1148a30-b670-11ed-aa92-000d3ac6bafe.jpg"/>
    <m/>
    <m/>
    <m/>
    <s v="School of Information Technology"/>
    <s v="Penulis pertama pada jurnal internasional bereputasi atau jurnal nasional terindeks SINTA 1 dan 2|External International|Team"/>
    <n v="5"/>
  </r>
  <r>
    <s v="0406012210046"/>
    <s v="Felicia Jocelyn"/>
    <x v="6"/>
    <n v="2022"/>
    <s v="Koko Cici Kids Fashion Competition 2023"/>
    <s v="2023-08-09"/>
    <s v="2023-08-09"/>
    <n v="20222"/>
    <s v="Koko cici Jawa Timur pada tanggal 9 Agustus 2023 Mengadakan program acara koko cici Fashion Kids Competition untuk memperingati hari kemerdekaan Indonesia ke 78. Di ikuti kurang lebih 50 peserta dan ada 3 Juri/Pelatih/Wasit yaitu Felicia Jocelyne dari Koci Jatim 22, Mirachelle JHS dari miss teenager Indonesia 22,"/>
    <s v="Rumpun Keterampilan Penunjang"/>
    <s v="Juri/Pelatih/Wasit"/>
    <x v="0"/>
    <s v="Individual"/>
    <n v="50"/>
    <n v="10"/>
    <s v="https://www.instagram.com/p/CwJvySzB8-C/?igshid=Mz"/>
    <s v="https://employee.uc.ac.id/index.php/file/get/sis/t_cp/b3c91462-81d7-11ee-8546-000d3ac6bafe.jpeg"/>
    <m/>
    <m/>
    <m/>
    <s v="Koko Cici Jawa Timur, Pakuwon Mall Surabaya "/>
    <s v="Juri/Pelatih/Wasit|External Regional|Individual"/>
    <n v="0"/>
  </r>
  <r>
    <s v="0506012010033"/>
    <s v="Felita Purnomo"/>
    <x v="0"/>
    <n v="2020"/>
    <s v="Penelitian Content Marketing Analysis of Body Positivity Campaign on  Instagram: Case Study of Nippl"/>
    <s v="2022-02-09"/>
    <s v="2022-08-12"/>
    <n v="20211"/>
    <s v="- menjadi penulis ketiga dalam penelitian yang diterbitkan di Channel: Jurnal Komunikasi (dari Universitas Ahmad Dahlan) yang berindeks SINTA 3 dan merupakan jurnal International_x000a_- berikut adalah link jurnal terbitannya: http://journal1.uad.ac.id/index.php/channel/article/view/90"/>
    <s v="Rumpun Keterampilan Penunjang"/>
    <s v="Penulis pertama pada jurnal internasional bereputasi atau jurnal nasional terindeks SINTA 1 dan 2"/>
    <x v="2"/>
    <s v="Individual"/>
    <n v="3"/>
    <n v="20"/>
    <m/>
    <s v="https://employee.uc.ac.id/index.php/file/get/sis/t_cp/650c210e-ac1c-11ed-ae71-000d3ac6bafe.pdf"/>
    <m/>
    <m/>
    <m/>
    <s v="Channel: Jurnal Komunikasi"/>
    <s v="Penulis pertama pada jurnal internasional bereputasi atau jurnal nasional terindeks SINTA 1 dan 2|External International|Individual"/>
    <n v="5"/>
  </r>
  <r>
    <s v="0106012310114"/>
    <s v="Felix Hadikusum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092"/>
    <s v="Felix Hartono Arifin"/>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406012110053"/>
    <s v="Fernando Arron Susilo"/>
    <x v="6"/>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8012120088"/>
    <s v="Fika Andari"/>
    <x v="3"/>
    <n v="2021"/>
    <s v="Entrepreneur talk "/>
    <s v="2023-04-14"/>
    <s v="2023-04-14"/>
    <n v="20222"/>
    <s v="Sebagai narasumber dalam acara Entrepreneur talk yang diselanggarakan oleh universitas Airlangga Surabaya untuk sharing mengenai bisnis keluarga yang dijalankan saat ini"/>
    <s v="Rumpun Keterampilan Penunjang"/>
    <s v="Narasumber / Pemateri Acara Seminar / Workshop / Pemakalah"/>
    <x v="1"/>
    <s v="Student Organization"/>
    <n v="230"/>
    <n v="10"/>
    <s v="-"/>
    <s v="https://employee.uc.ac.id/index.php/file/get/sis/t_cp/47a77fda-dcd7-11ed-8a0b-000d3ac6bafe.HEIC"/>
    <s v="https://employee.uc.ac.id/index.php/file/get/sis/t_cp/47a77fda-dcd7-11ed-8a0b-000d3ac6bafe_assignmentletter.pdf"/>
    <m/>
    <m/>
    <s v="Universitas Airlangga Surabaya "/>
    <s v="Narasumber / Pemateri Acara Seminar / Workshop / Pemakalah|Internal Sekolah / Universitas|Student Organization"/>
    <n v="0"/>
  </r>
  <r>
    <s v="0108012120088"/>
    <s v="Fika Andari"/>
    <x v="3"/>
    <n v="2021"/>
    <s v="webinar "/>
    <s v="2023-06-04"/>
    <s v="2023-06-04"/>
    <n v="20222"/>
    <s v="Participant in webinar &quot; Spotting the opportunity of new technology for business "/>
    <s v="Rumpun Keterampilan Penunjang"/>
    <s v="Narasumber / Pemateri Acara Seminar / Workshop / Pemakalah"/>
    <x v="1"/>
    <s v="Individual"/>
    <n v="100"/>
    <n v="5"/>
    <m/>
    <s v="https://employee.uc.ac.id/index.php/file/get/sis/t_cp/1775fc14-0428-11ee-ba25-000d3ac6bafe.pdf"/>
    <s v="https://employee.uc.ac.id/index.php/file/get/sis/t_cp/1775fc14-0428-11ee-ba25-000d3ac6bafe_assignmentletter.jpeg"/>
    <m/>
    <m/>
    <s v="Universitas Ciputra "/>
    <s v="Narasumber / Pemateri Acara Seminar / Workshop / Pemakalah|Internal Sekolah / Universitas|Individual"/>
    <n v="0"/>
  </r>
  <r>
    <s v="0106011910151"/>
    <s v="Filemon Hermawan Sulistyo"/>
    <x v="1"/>
    <n v="2019"/>
    <s v="speaker at sharing season"/>
    <s v="2023-04-14"/>
    <s v="2023-04-14"/>
    <n v="20222"/>
    <s v="Speaker at Sharing Session: Marketing &amp; Selling Practices in UC Fambus 11th &amp; 12th"/>
    <s v="Rumpun Keterampilan Penunjang"/>
    <s v="Narasumber / Pemateri Acara Seminar / Workshop / Pemakalah"/>
    <x v="1"/>
    <s v="Individual"/>
    <n v="150"/>
    <n v="5"/>
    <m/>
    <s v="https://employee.uc.ac.id/index.php/file/get/sis/t_cp/02c6cca4-0451-11ee-ba25-000d3ac6bafe.jpg"/>
    <m/>
    <m/>
    <m/>
    <s v="family business"/>
    <s v="Narasumber / Pemateri Acara Seminar / Workshop / Pemakalah|Internal Sekolah / Universitas|Individual"/>
    <n v="0"/>
  </r>
  <r>
    <s v="0306012210033"/>
    <s v="Filia Maharini"/>
    <x v="2"/>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110361"/>
    <s v="Florencia Gunawan"/>
    <x v="1"/>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406022010044"/>
    <s v="Florencia Pruistina Zein"/>
    <x v="10"/>
    <n v="2020"/>
    <s v="Menulis dalam buku Terdekat &amp; Terasing: Yang Terselip di Belantara Ingatan"/>
    <s v="2022-01-13"/>
    <s v="2022-12-12"/>
    <n v="20211"/>
    <s v="Menjadi salah satu penulis dalam buku “Terdekat &amp; Terasing: Yang Terselip di Belantara Ingatan” yang diterbitkan oleh Universitas Ciputra_x000a__x000a_Nama Penulis :_x000a_Susan Jaya Witama, Ida Ayu Puspita Dyan Maharani, Nasrullah Moonly Koespianto, Ni Putu Amanda Sintya Putri Dewi, Ketut Keisy Agastya Adi Putra,"/>
    <s v="Rumpun Keterampilan Penunjang"/>
    <s v="Penulis pertama buku ber-ISBN"/>
    <x v="3"/>
    <s v="Individual"/>
    <n v="36"/>
    <n v="5"/>
    <m/>
    <s v="https://employee.uc.ac.id/index.php/file/get/sis/t_cp/8a6cbd2d-73f0-11ee-b010-000d3ac6bafe.jpeg"/>
    <m/>
    <m/>
    <m/>
    <s v="Universitas Ciputra"/>
    <s v="Penulis pertama buku ber-ISBN|External National|Individual"/>
    <n v="6"/>
  </r>
  <r>
    <s v="0106012210407"/>
    <s v="Florentcia Auror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110100"/>
    <s v="Frances Tuesday Whyte"/>
    <x v="1"/>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110309"/>
    <s v="Francine Angelika Natanael"/>
    <x v="1"/>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031"/>
    <s v="Gabriel Antonieth Christinsen Hariyon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142"/>
    <s v="Gabriel Carolina Tjoe"/>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32210036"/>
    <s v="Gabriel Procellia"/>
    <x v="8"/>
    <n v="2022"/>
    <s v="Workshop Membuat Sketsa"/>
    <s v="2022-12-05"/>
    <s v="2023-03-05"/>
    <n v="20221"/>
    <s v="Melakukan Pengabdian kepada Masyarakat (PkM) sebagai narasumber Workshop &quot;Membuat Sketsa” dengan tema utama “Entrepreneurship dan Skill-Skill Penunjang untuk Siswa-Siswi SMA Kristen Gloria 2 Surabaya”."/>
    <s v="Rumpun Keterampilan Penunjang"/>
    <s v="Pembicara pada pelatihan/seminar/event berskala"/>
    <x v="0"/>
    <s v="Individual"/>
    <n v="10"/>
    <n v="10"/>
    <m/>
    <s v="https://employee.uc.ac.id/index.php/file/get/sis/t_cp/08cc39e1-bb64-11ed-8264-000d3ac6bafe.png"/>
    <m/>
    <m/>
    <m/>
    <s v="Fakultas Industri Kreatif Universitas CIputraa"/>
    <s v="Pembicara pada pelatihan/seminar/event berskala|External Regional|Individual"/>
    <n v="0"/>
  </r>
  <r>
    <s v="0106012210128"/>
    <s v="Gabriela Valencia Geonawan"/>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306011810007"/>
    <s v="Gabriella Meta Winanto"/>
    <x v="2"/>
    <n v="2018"/>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206062010003"/>
    <s v="Gashiela Regina Andreas"/>
    <x v="11"/>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210118"/>
    <s v="Gerrent Matthew Wijay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099"/>
    <s v="Gilang Ricky Giovardy"/>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8012110015"/>
    <s v="Gita Prameswari"/>
    <x v="3"/>
    <n v="2021"/>
    <s v="Seminar Nasional Pengabdian Masyarakat IV"/>
    <s v="2023-01-19"/>
    <s v="2023-01-19"/>
    <n v="20221"/>
    <s v="Pemakalah yang berjudul Membangun Keunggulan bersaing Griya Kreatif Private melalui Exhibiton dan Digitalisasi"/>
    <s v="Rumpun Keterampilan Penunjang"/>
    <s v="Pemakalah dalam Conference/Seminar Ilmiah"/>
    <x v="3"/>
    <s v="Team"/>
    <n v="6"/>
    <n v="15"/>
    <m/>
    <s v="https://employee.uc.ac.id/index.php/file/get/sis/t_cp/7bdce055-97d5-11ed-af4b-000d3ac6bafe.jpg"/>
    <m/>
    <m/>
    <m/>
    <s v="LPPM Universitas Ciputra"/>
    <s v="Pemakalah dalam Conference/Seminar Ilmiah|External National|Team"/>
    <n v="4"/>
  </r>
  <r>
    <s v="0108012110034"/>
    <s v="Goldina Thejaya"/>
    <x v="3"/>
    <n v="2021"/>
    <s v="Korean Bento Cake Baking Class"/>
    <s v="2023-01-28"/>
    <s v="2023-01-28"/>
    <n v="20221"/>
    <m/>
    <s v="Rumpun Keterampilan Penunjang"/>
    <s v="Narasumber / Pemateri Acara Seminar / Workshop / Pemakalah"/>
    <x v="1"/>
    <s v="Individual"/>
    <n v="22"/>
    <n v="5"/>
    <m/>
    <s v="https://employee.uc.ac.id/index.php/file/get/sis/t_cp/2c3a32ff-188c-11ee-96cf-000d3ac6bafe.jpg"/>
    <m/>
    <m/>
    <m/>
    <s v="CBM Universitas Ciputra"/>
    <s v="Narasumber / Pemateri Acara Seminar / Workshop / Pemakalah|Internal Sekolah / Universitas|Individual"/>
    <n v="0"/>
  </r>
  <r>
    <s v="0108012110034"/>
    <s v="Goldina Thejaya"/>
    <x v="3"/>
    <n v="2021"/>
    <s v="Korean Bento Cake Baking Class 2"/>
    <s v="2023-03-11"/>
    <s v="2023-03-11"/>
    <n v="20222"/>
    <s v="Isi workshop berupa baking class hingga mengajarkan dekorasi kue kepada calon mahasiswa"/>
    <s v="Rumpun Keterampilan Penunjang"/>
    <s v="Narasumber / Pemateri Acara Seminar / Workshop / Pemakalah"/>
    <x v="1"/>
    <s v="Individual"/>
    <n v="25"/>
    <n v="5"/>
    <m/>
    <s v="https://employee.uc.ac.id/index.php/file/get/sis/t_cp/899236bd-188c-11ee-96cf-000d3ac6bafe.jpg"/>
    <m/>
    <m/>
    <m/>
    <s v="CBM Universitas Ciputra"/>
    <s v="Narasumber / Pemateri Acara Seminar / Workshop / Pemakalah|Internal Sekolah / Universitas|Individual"/>
    <n v="0"/>
  </r>
  <r>
    <s v="0108012110034"/>
    <s v="Goldina Thejaya"/>
    <x v="3"/>
    <n v="2021"/>
    <s v="Korean Bento Cake Baking Class 3"/>
    <s v="2023-03-18"/>
    <s v="2023-03-18"/>
    <n v="20222"/>
    <s v="Workshop baking hingga cara dekorasi kue untuk para calon mahasiswa"/>
    <s v="Rumpun Keterampilan Penunjang"/>
    <s v="Narasumber / Pemateri Acara Seminar / Workshop / Pemakalah"/>
    <x v="1"/>
    <s v="Individual"/>
    <n v="21"/>
    <n v="5"/>
    <m/>
    <s v="https://employee.uc.ac.id/index.php/file/get/sis/t_cp/657224b7-188d-11ee-96cf-000d3ac6bafe.jpg"/>
    <m/>
    <m/>
    <m/>
    <s v="CBM Universitas Ciputra"/>
    <s v="Narasumber / Pemateri Acara Seminar / Workshop / Pemakalah|Internal Sekolah / Universitas|Individual"/>
    <n v="0"/>
  </r>
  <r>
    <s v="0108012110034"/>
    <s v="Goldina Thejaya"/>
    <x v="3"/>
    <n v="2021"/>
    <s v="Talkshow: Overcoming Culinary Business' Challenge Among Competitors"/>
    <s v="2023-05-19"/>
    <s v="2023-05-19"/>
    <n v="20222"/>
    <s v="Seminar membahas sustainibility dalam bisnis kuliner"/>
    <s v="Rumpun Keterampilan Penunjang"/>
    <s v="Narasumber / Pemateri Acara Seminar / Workshop / Pemakalah"/>
    <x v="1"/>
    <s v="Individual"/>
    <n v="50"/>
    <n v="5"/>
    <m/>
    <s v="https://employee.uc.ac.id/index.php/file/get/sis/t_cp/15132e10-188d-11ee-96cf-000d3ac6bafe.jpg"/>
    <m/>
    <m/>
    <m/>
    <s v="CBM Universitas Ciputra"/>
    <s v="Narasumber / Pemateri Acara Seminar / Workshop / Pemakalah|Internal Sekolah / Universitas|Individual"/>
    <n v="0"/>
  </r>
  <r>
    <s v="0108012110034"/>
    <s v="Goldina Thejaya"/>
    <x v="3"/>
    <n v="2021"/>
    <s v="Bincang-bincang dan Sharing Alumni bersama Pak Michael Ricky Sondak"/>
    <s v="2023-06-22"/>
    <s v="2023-06-22"/>
    <n v="20222"/>
    <s v="Sharing alumni tentang pengalaman magang kepada mahasiswa CBM Universitas Ciputra Makassar"/>
    <s v="Rumpun Keterampilan Penunjang"/>
    <s v="Narasumber / Pemateri Acara Seminar / Workshop / Pemakalah"/>
    <x v="1"/>
    <s v="Individual"/>
    <n v="50"/>
    <n v="5"/>
    <m/>
    <s v="https://employee.uc.ac.id/index.php/file/get/sis/t_cp/e5d519dc-188d-11ee-96cf-000d3ac6bafe.pdf"/>
    <m/>
    <m/>
    <m/>
    <s v="CBM Universitas Ciputra"/>
    <s v="Narasumber / Pemateri Acara Seminar / Workshop / Pemakalah|Internal Sekolah / Universitas|Individual"/>
    <n v="0"/>
  </r>
  <r>
    <s v="0106012210316"/>
    <s v="Gregorius Sebastian Kristant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110242"/>
    <s v="Gwen Felicia Christine Soeharto"/>
    <x v="1"/>
    <n v="2021"/>
    <s v="Pemakalah Program Pelatihan Personal Branding untuk Siswa-Siswi SMAK Frateran Surabaya"/>
    <s v="2022-11-24"/>
    <s v="2022-11-24"/>
    <n v="20221"/>
    <s v="Pemakalah Program Pelatihan Personal Branding untuk Siswa-Siswi SMAK Frateran Surabaya"/>
    <s v="Rumpun Keterampilan Penunjang"/>
    <s v="Narasumber / Pemateri Acara Seminar / Workshop / Pemakalah"/>
    <x v="3"/>
    <s v="Team"/>
    <n v="6"/>
    <n v="15"/>
    <m/>
    <s v="https://employee.uc.ac.id/index.php/file/get/sis/t_cp/cea351eb-b3eb-11ed-9a6a-000d3ac6bafe.jpg"/>
    <m/>
    <m/>
    <m/>
    <s v="Umum"/>
    <s v="Narasumber / Pemateri Acara Seminar / Workshop / Pemakalah|External National|Team"/>
    <n v="0"/>
  </r>
  <r>
    <s v="0206062010012"/>
    <s v="Gwyneth Patricia"/>
    <x v="11"/>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206061910036"/>
    <s v="Halima Shafa Sabila"/>
    <x v="11"/>
    <n v="2019"/>
    <s v="Workshop SMA Kristen Gloria 2"/>
    <s v="2022-12-06"/>
    <s v="2022-12-06"/>
    <n v="20221"/>
    <s v="Fasilitator Workshop Basic Fashion Design"/>
    <s v="Rumpun Keterampilan Penunjang"/>
    <s v="Pembicara pada pelatihan/seminar/event berskala"/>
    <x v="0"/>
    <s v="Individual"/>
    <n v="80"/>
    <n v="10"/>
    <m/>
    <s v="https://employee.uc.ac.id/index.php/file/get/sis/t_cp/8143bad7-0380-11ee-9899-000d3ac6bafe.pdf"/>
    <m/>
    <m/>
    <m/>
    <s v="SMA Kristen Gloria 2 "/>
    <s v="Pembicara pada pelatihan/seminar/event berskala|External Regional|Individual"/>
    <n v="0"/>
  </r>
  <r>
    <s v="0706012010055"/>
    <s v="Haning Galih Rani Kumbara"/>
    <x v="5"/>
    <n v="2020"/>
    <s v="Narasumber Workshop Leucreation - GitHub Helped Me Get a Job"/>
    <s v="2023-04-01"/>
    <s v="2023-05-01"/>
    <n v="20222"/>
    <s v="Narasumber Workshop Leucreation - GitHub Helped Me Get a Job"/>
    <s v="Rumpun Keterampilan Penunjang"/>
    <s v="Narasumber / Pemateri Acara Seminar / Workshop / Pemakalah"/>
    <x v="1"/>
    <s v="Individual"/>
    <n v="50"/>
    <n v="5"/>
    <m/>
    <s v="https://employee.uc.ac.id/index.php/file/get/sis/t_cp/multi/22a9f18e-0412-11ee-ba25-000d3ac6bafe.png"/>
    <s v="https://employee.uc.ac.id/index.php/file/get/sis/t_cp/multi/22a9f18e-0412-11ee-ba25-000d3ac6bafe_assignmentletter.png"/>
    <m/>
    <m/>
    <s v="SC 22/23"/>
    <s v="Narasumber / Pemateri Acara Seminar / Workshop / Pemakalah|Internal Sekolah / Universitas|Individual"/>
    <n v="0"/>
  </r>
  <r>
    <s v="0106012210220"/>
    <s v="Hanny Glorify Nathanael Sengkey"/>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406042210006"/>
    <s v="Hans Rachman"/>
    <x v="12"/>
    <n v="2022"/>
    <s v="Food Science Student Conference (FOSTER) 2023 : “Food Innovations For a Secure Future”"/>
    <s v="2023-09-20"/>
    <s v="2023-09-20"/>
    <n v="20231"/>
    <s v="Juara &quot;Best Presenter&quot; pada paper competition pada FOSTER 2023"/>
    <s v="Rumpun Keterampilan Penunjang"/>
    <s v="Pembicara pada pelatihan/seminar/event berskala"/>
    <x v="2"/>
    <s v="Team"/>
    <n v="100"/>
    <n v="24"/>
    <s v="https://www.unika.ac.id/en/fakultas/ftp/food-scien"/>
    <s v="https://employee.uc.ac.id/index.php/file/get/sis/t_cp/8e602f94-a07e-11ee-bdb5-000d3ac6bafe.pdf"/>
    <s v="https://employee.uc.ac.id/index.php/file/get/sis/t_cp/8e602f94-a07e-11ee-bdb5-000d3ac6bafe_assignmentletter.pdf"/>
    <m/>
    <m/>
    <s v="BEM Fakultas Teknologi Pertanian Soegijapranata Ca"/>
    <s v="Pembicara pada pelatihan/seminar/event berskala|External International|Team"/>
    <n v="4"/>
  </r>
  <r>
    <s v="0106012310226"/>
    <s v="Hansel Aurelius Tirto"/>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390"/>
    <s v="Havila Cempaka Putri"/>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32210018"/>
    <s v="Helen Saphira Wibowo"/>
    <x v="8"/>
    <n v="2022"/>
    <s v="International Open Design Colloquium Universiti Teknologi Malaysia and Universitas Ciputra 2022"/>
    <s v="2023-03-05"/>
    <s v="2023-03-05"/>
    <n v="20222"/>
    <s v="Menjadi pembicara untuk event ini, menjelaskan karya saya dalam studio perancangab &quot;Reminders of Bali&quot; di International Open Design Colloquium Universiti Teknologi Malaysia and Universitas Ciputra 2022 "/>
    <s v="Rumpun Keterampilan Penunjang"/>
    <s v="Narasumber / Pemateri Acara Seminar / Workshop / Pemakalah"/>
    <x v="2"/>
    <s v="Individual"/>
    <n v="150"/>
    <n v="20"/>
    <m/>
    <s v="https://employee.uc.ac.id/index.php/file/get/sis/t_cp/6dc825e6-baf1-11ed-8264-000d3ac6bafe.jpg"/>
    <s v="https://employee.uc.ac.id/index.php/file/get/sis/t_cp/82340ecc-baf1-11ed-8264-000d3ac6bafe_assignmentletter.jpg"/>
    <m/>
    <m/>
    <s v="UTM and UC"/>
    <s v="Narasumber / Pemateri Acara Seminar / Workshop / Pemakalah|External International|Individual"/>
    <n v="0"/>
  </r>
  <r>
    <s v="0206032210018"/>
    <s v="Helen Saphira Wibowo"/>
    <x v="8"/>
    <n v="2022"/>
    <s v="DECORINTEX EXPO TALKSHOW 2023"/>
    <s v="2023-10-22"/>
    <s v="2023-10-22"/>
    <n v="20231"/>
    <s v="PEMBICARA SHARING SESSION_x000a_&quot;PERKEMBANG AN SWK SURABAYA DAN_x000a_PENGEMBANGAN DESAIN PAVILION UNTUK_x000a_AREA PENUNJANG SWK STUDIO&quot;"/>
    <s v="Rumpun Keterampilan Penunjang"/>
    <s v="Pembicara pada pelatihan/seminar/event berskala"/>
    <x v="3"/>
    <s v="Individual"/>
    <n v="4"/>
    <n v="15"/>
    <m/>
    <s v="https://employee.uc.ac.id/index.php/file/get/sis/t_cp/c386679e-70fa-11ee-a572-000d3ac6bafe.jpg"/>
    <s v="https://employee.uc.ac.id/index.php/file/get/sis/t_cp/c85aa59c-70fa-11ee-a572-000d3ac6bafe_assignmentletter.jpg"/>
    <m/>
    <m/>
    <s v="DECORINTEX "/>
    <s v="Pembicara pada pelatihan/seminar/event berskala|External National|Individual"/>
    <n v="4"/>
  </r>
  <r>
    <s v="0606012210056"/>
    <s v="Hendrik Hanok Lenggu"/>
    <x v="7"/>
    <n v="2022"/>
    <s v="Lomba Debat Internal Universitas Muria Kudus"/>
    <s v="2023-07-18"/>
    <s v="2023-07-18"/>
    <n v="20222"/>
    <s v="Juri/Pelatih/Wasit utama pada lomba debat internal Universitas Muria Kudus, sabtu 15 Juli 2023 pkl 08.00 - selesai"/>
    <s v="Rumpun Keterampilan Penunjang"/>
    <s v="Juri/Pelatih/Wasit"/>
    <x v="0"/>
    <s v="Individual"/>
    <n v="16"/>
    <n v="10"/>
    <s v="-"/>
    <s v="https://employee.uc.ac.id/index.php/file/get/sis/t_cp/ae0e8160-2553-11ee-9325-000d3ac6bafe.jpg"/>
    <m/>
    <m/>
    <m/>
    <s v="Universitas Muria Kudus"/>
    <s v="Juri/Pelatih/Wasit|External Regional|Individual"/>
    <n v="0"/>
  </r>
  <r>
    <s v="0606012210056"/>
    <s v="Hendrik Hanok Lenggu"/>
    <x v="7"/>
    <n v="2022"/>
    <s v="Kompetisi Debat Mahasiswa Indonesia 2023"/>
    <s v="2023-10-27"/>
    <s v="2023-10-27"/>
    <n v="20231"/>
    <s v="Mendapatkan penghargaan Juri/Pelatih/Wasit terakreditasi dalam Kompetisi Debat Mahasiswa Indonesia 2023 yang diselenggarakan oleh DIKTI sejak 12 - 17 September 2023"/>
    <s v="Rumpun Keterampilan Penunjang"/>
    <s v="Juri/Pelatih/Wasit"/>
    <x v="3"/>
    <s v="Individual"/>
    <n v="112"/>
    <n v="15"/>
    <s v="https://pusatprestasinasional.kemdikbud.go.id/even"/>
    <s v="https://employee.uc.ac.id/index.php/file/get/sis/t_cp/152de914-7489-11ee-bbde-000d3ac6bafe.jpg"/>
    <s v="https://employee.uc.ac.id/index.php/file/get/sis/t_cp/193ac5f1-7489-11ee-bbde-000d3ac6bafe_assignmentletter.jpg"/>
    <m/>
    <m/>
    <s v="DIKTI"/>
    <s v="Juri/Pelatih/Wasit|External National|Individual"/>
    <n v="8"/>
  </r>
  <r>
    <s v="0106012210388"/>
    <s v="Humaidatul Faiqoh Putri Abdillah "/>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363"/>
    <s v="I Gede Rama Naranta Degur"/>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283"/>
    <s v="I Gede Yoga Palgun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026"/>
    <s v="I Wayan Harleyco Nila Putra"/>
    <x v="1"/>
    <n v="2022"/>
    <s v="Asian Youth International Mode United Nations "/>
    <s v="2023-08-11"/>
    <s v="2023-08-15"/>
    <n v="20222"/>
    <s v="Asian Youth International Model United Nations adalah ajak konferensi terbesar di Asia bersama PBB, UNICEF, UNESCO, WHO, IMF, dan INTERPOL"/>
    <s v="Rumpun Keterampilan Penunjang"/>
    <s v="Narasumber / Pemateri Acara Seminar / Workshop / Pemakalah"/>
    <x v="2"/>
    <s v="Individual"/>
    <n v="437"/>
    <n v="20"/>
    <s v="https://modelunitednation.org/offline"/>
    <s v="https://employee.uc.ac.id/index.php/file/get/sis/t_cp/736e4d76-4226-11ee-b836-000d3ac6bafe.jpeg"/>
    <m/>
    <m/>
    <m/>
    <s v="International Global Network "/>
    <s v="Narasumber / Pemateri Acara Seminar / Workshop / Pemakalah|External International|Individual"/>
    <n v="0"/>
  </r>
  <r>
    <s v="0106012210026"/>
    <s v="I Wayan Harleyco Nila Putra"/>
    <x v="1"/>
    <n v="2022"/>
    <s v="UC Day 2023"/>
    <s v="2023-09-15"/>
    <s v="2023-09-15"/>
    <n v="20231"/>
    <m/>
    <s v="Rumpun Keterampilan Penunjang"/>
    <s v="Juri/Pelatih/Wasit"/>
    <x v="1"/>
    <s v="Individual"/>
    <n v="50"/>
    <n v="4"/>
    <m/>
    <s v="https://employee.uc.ac.id/index.php/file/get/sis/t_cp/multi/c15ab80d-7c81-11ee-aca7-000d3ac6bafe.png"/>
    <s v="https://employee.uc.ac.id/index.php/file/get/sis/t_cp/multi/c15ab80d-7c81-11ee-aca7-000d3ac6bafe_assignmentletter.png"/>
    <m/>
    <m/>
    <s v="Universitas Ciputra Surabaya"/>
    <s v="Juri/Pelatih/Wasit|Internal Sekolah / Universitas|Individual"/>
    <n v="0"/>
  </r>
  <r>
    <s v="0106012210026"/>
    <s v="I Wayan Harleyco Nila Putra"/>
    <x v="1"/>
    <n v="2022"/>
    <s v="UC 17 Day"/>
    <s v="2023-09-15"/>
    <s v="2023-09-15"/>
    <n v="20231"/>
    <s v="Juri/Pelatih/Wasit UC GOT TALENT"/>
    <s v="Rumpun Keterampilan Penunjang"/>
    <s v="Juri/Pelatih/Wasit"/>
    <x v="1"/>
    <s v="Individual"/>
    <n v="2"/>
    <n v="5"/>
    <m/>
    <s v="https://employee.uc.ac.id/index.php/file/get/sis/t_cp/69fa4a78-6c24-11ee-a25e-000d3ac6bafe.png"/>
    <m/>
    <m/>
    <m/>
    <s v="Uc"/>
    <s v="Juri/Pelatih/Wasit|Internal Sekolah / Universitas|Individual"/>
    <n v="0"/>
  </r>
  <r>
    <s v="0106012210257"/>
    <s v="I Wayan Michael Mahaabhinaya Darmawan"/>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706012110019"/>
    <s v="Ileene Trinia Santoso"/>
    <x v="5"/>
    <n v="2021"/>
    <s v="Webinar Debat SMA Kanaan x ALR"/>
    <s v="2023-10-06"/>
    <s v="2023-10-06"/>
    <n v="20231"/>
    <s v="Webinar Debat SMA Kanaan yang berkolaborasi dengan ALR (Academia Law Research) mengundang saya dalam webinar mengenai analisis argumen dalam debat, menyusun strategi dalam debat, bagaimana cara rebuttals dengan benar, dan lain sebagainya."/>
    <s v="Rumpun Keterampilan Penunjang"/>
    <s v="Pembicara pada pelatihan/seminar/event berskala"/>
    <x v="3"/>
    <s v="Individual"/>
    <n v="100"/>
    <n v="15"/>
    <s v="https://www.linkedin.com/company/academia-law-rese"/>
    <s v="https://employee.uc.ac.id/index.php/file/get/sis/t_cp/7bf2a0c5-684f-11ee-86ec-000d3ac6bafe.pdf"/>
    <s v="https://employee.uc.ac.id/index.php/file/get/sis/t_cp/7bf2a0c5-684f-11ee-86ec-000d3ac6bafe_assignmentletter.png"/>
    <m/>
    <m/>
    <s v="ALR (Academia Law Research)"/>
    <s v="Pembicara pada pelatihan/seminar/event berskala|External National|Individual"/>
    <n v="4"/>
  </r>
  <r>
    <s v="0706012110019"/>
    <s v="Ileene Trinia Santoso"/>
    <x v="5"/>
    <n v="2021"/>
    <s v="Juri/Pelatih/Wasit English Debate Koarmada 2023"/>
    <s v="2023-11-29"/>
    <s v="2023-11-30"/>
    <n v="20231"/>
    <s v="Menjadi Juri/Pelatih/Wasit debat bahasa Inggris di Koarmada 2023 dengan format asian parliamentary"/>
    <s v="Rumpun Keterampilan Penunjang"/>
    <s v="Juri/Pelatih/Wasit"/>
    <x v="3"/>
    <s v="Individual"/>
    <n v="36"/>
    <n v="15"/>
    <m/>
    <s v="https://employee.uc.ac.id/index.php/file/get/sis/t_cp/e8bec7da-9048-11ee-9103-000d3ac6bafe.pdf"/>
    <s v="https://employee.uc.ac.id/index.php/file/get/sis/t_cp/e8bec7da-9048-11ee-9103-000d3ac6bafe_assignmentletter.pdf"/>
    <m/>
    <m/>
    <s v="Koarmada Surabaya"/>
    <s v="Juri/Pelatih/Wasit|External National|Individual"/>
    <n v="8"/>
  </r>
  <r>
    <s v="0106012310336"/>
    <s v="Imelda Tina Wahyu Prameswari"/>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32110029"/>
    <s v="Immanuel Sebastian"/>
    <x v="8"/>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306011910020"/>
    <s v="Indarta Wira"/>
    <x v="2"/>
    <n v="2019"/>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22210030"/>
    <s v="Isadora Elgina Pramana"/>
    <x v="15"/>
    <n v="2022"/>
    <s v="Your Future Your Challenge UC visit to Xin Zhong School"/>
    <s v="2023-06-16"/>
    <s v="2023-06-16"/>
    <n v="20222"/>
    <s v="Menjadi Narasumber yang membicarakan tentang kehidupan mahasiswa di Universitas Ciputra, bagaimana transisi dari murid sma ke mahasiswa, dan apa yang saya dapatkan juga harapkan dari menempuh pendidikan di UC."/>
    <s v="Rumpun Keterampilan Penunjang"/>
    <s v="Narasumber / Pemateri Acara Seminar / Workshop / Pemakalah"/>
    <x v="1"/>
    <s v="Individual"/>
    <n v="50"/>
    <n v="5"/>
    <m/>
    <s v="https://employee.uc.ac.id/index.php/file/get/sis/t_cp/de578adb-0c2d-11ee-825c-000d3ac6bafe.jpg"/>
    <s v="https://employee.uc.ac.id/index.php/file/get/sis/t_cp/193eca2e-0c2e-11ee-825c-000d3ac6bafe_assignmentletter.jpg"/>
    <m/>
    <m/>
    <s v="UC Marketing"/>
    <s v="Narasumber / Pemateri Acara Seminar / Workshop / Pemakalah|Internal Sekolah / Universitas|Individual"/>
    <n v="0"/>
  </r>
  <r>
    <s v="0108012220084"/>
    <s v="Ismirani Saputri"/>
    <x v="3"/>
    <n v="2022"/>
    <s v="jurnalis class angkatan ke 5"/>
    <s v="2023-05-08"/>
    <s v="2023-05-09"/>
    <n v="20222"/>
    <s v="kegiatan ini di adakan oleh OJK institute secara rutin setiap tahun bergiliran setiap provinsi, kali ini di adakan di sheraton hotel surabaya dan mengundang 40 wartawan dari Jember, Kediri, Malang dan surabaya."/>
    <s v="Rumpun Keterampilan Penunjang"/>
    <s v="Pembicara pada pelatihan/seminar/event berskala"/>
    <x v="0"/>
    <s v="Individual"/>
    <n v="40"/>
    <n v="10"/>
    <m/>
    <s v="https://employee.uc.ac.id/index.php/file/get/sis/t_cp/2eb32b47-f3b9-11ed-b513-000d3ac6bafe.pdf"/>
    <m/>
    <m/>
    <m/>
    <s v="OJK institute"/>
    <s v="Pembicara pada pelatihan/seminar/event berskala|External Regional|Individual"/>
    <n v="0"/>
  </r>
  <r>
    <s v="0108012220084"/>
    <s v="Ismirani Saputri"/>
    <x v="3"/>
    <n v="2022"/>
    <s v="mengenal investasi yang aman"/>
    <s v="2023-05-11"/>
    <s v="2023-05-11"/>
    <n v="20222"/>
    <s v="acara diadakan oleh dharma wanita dinas kelautan danperikanan provinsi jawa timur dan di ikuti oleh 150 orang._x000a_Acara ini tidak terdapat sertifikat dari penyelenggara."/>
    <s v="Rumpun Keterampilan Penunjang"/>
    <s v="Pembicara pada pelatihan/seminar/event berskala"/>
    <x v="0"/>
    <s v="Individual"/>
    <n v="150"/>
    <n v="10"/>
    <m/>
    <s v="https://employee.uc.ac.id/index.php/file/get/sis/t_cp/e5018742-efe2-11ed-8d6d-000d3ac6bafe.pdf"/>
    <m/>
    <m/>
    <m/>
    <s v="dharma wanita"/>
    <s v="Pembicara pada pelatihan/seminar/event berskala|External Regional|Individual"/>
    <n v="0"/>
  </r>
  <r>
    <s v="0108012220084"/>
    <s v="Ismirani Saputri"/>
    <x v="3"/>
    <n v="2022"/>
    <s v=" kegiatan sosialisasi dan edukasi pasar modal kepada para penyandang disabilitas"/>
    <s v="2023-05-16"/>
    <s v="2023-05-16"/>
    <n v="20222"/>
    <s v="kegiatan ini merupakan undangan dari bursa efek indonesia, kegiatan sosialisasi dan edukasi pasar modal kepada para penyandang disabilitas kepada Disabilitas Netra – YPAB dan Pertuni yang dihadiri oleh 50 orang secara langsung dan 30 orang di zoom. kegiatan ini tidak ada sertifikat dari penyelenggar"/>
    <s v="Rumpun Keterampilan Penunjang"/>
    <s v="Pembicara pada pelatihan/seminar/event berskala"/>
    <x v="0"/>
    <s v="Individual"/>
    <n v="80"/>
    <n v="10"/>
    <m/>
    <s v="https://employee.uc.ac.id/index.php/file/get/sis/t_cp/dce2baf4-fa9c-11ed-965d-000d3ac6bafe.pdf"/>
    <m/>
    <m/>
    <m/>
    <s v="Bursa Efek Indonesia"/>
    <s v="Pembicara pada pelatihan/seminar/event berskala|External Regional|Individual"/>
    <n v="0"/>
  </r>
  <r>
    <s v="0108012220084"/>
    <s v="Ismirani Saputri"/>
    <x v="3"/>
    <n v="2022"/>
    <s v="Sosialisasi Literasi dan Inklusi Keuangan Masyarakat dan Desa"/>
    <s v="2023-06-01"/>
    <s v="2023-06-01"/>
    <n v="20222"/>
    <s v="menjadi keynote speaker perihal acara Talkshow Desa Literasi Keuangan: Sosialisasi Literasi dan Inklusi Keuangan Masyarakat dan Desa._x000a_acara ini Kampoeng Kreasi di buka oleh Ibu Gubernur Jawa Timur pada tgl 1 Juni s.d 4 Juni 2023, bekerja sama dengan Dinas Pemberdayaan Masyarakat Desa, terdapat seki"/>
    <s v="Rumpun Keterampilan Penunjang"/>
    <s v="Pembicara pada pelatihan/seminar/event berskala"/>
    <x v="0"/>
    <s v="Individual"/>
    <n v="40"/>
    <n v="10"/>
    <m/>
    <s v="https://employee.uc.ac.id/index.php/file/get/sis/t_cp/8d3ad991-0441-11ee-ba25-000d3ac6bafe.pdf"/>
    <m/>
    <m/>
    <m/>
    <s v="Dinas Pemberdayaan Masyarakat Desa"/>
    <s v="Pembicara pada pelatihan/seminar/event berskala|External Regional|Individual"/>
    <n v="0"/>
  </r>
  <r>
    <s v="0108012220084"/>
    <s v="Ismirani Saputri"/>
    <x v="3"/>
    <n v="2022"/>
    <s v="parenting talk Literasi Keuangan dengan tema Perencanaan Keuangan bagi Guru serta Orang Tua TK dan S"/>
    <s v="2023-06-09"/>
    <s v="2023-06-09"/>
    <n v="20222"/>
    <s v="Literasi Keuangan dengan tema Perencanaan Keuangan bagi Guru dan Orang Tua Anak TK dan SD di royal plaza_x000a_dihadiri oleh dinas pendidikan kota surabaya, guru TK dan SD se- surabaya dengan beberapa orang tua dari siswa IC School_x000a_sekitar 150 peserta"/>
    <s v="Rumpun Keterampilan Penunjang"/>
    <s v="Pembicara pada pelatihan/seminar/event berskala"/>
    <x v="0"/>
    <s v="Individual"/>
    <n v="150"/>
    <n v="10"/>
    <m/>
    <s v="https://employee.uc.ac.id/index.php/file/get/sis/t_cp/a8912cca-0e63-11ee-849f-000d3ac6bafe.docx"/>
    <m/>
    <m/>
    <m/>
    <s v="dinas pendidikan kota surabaya dan IC School"/>
    <s v="Pembicara pada pelatihan/seminar/event berskala|External Regional|Individual"/>
    <n v="0"/>
  </r>
  <r>
    <s v="0106012210362"/>
    <s v="Ivan Indrayana Sugiyant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100"/>
    <s v="Ivana Benita Aileen"/>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506012110007"/>
    <s v="Ivana Clairine Sistiawan"/>
    <x v="0"/>
    <n v="2021"/>
    <s v="Exposure"/>
    <s v="2023-09-26"/>
    <s v="2023-09-26"/>
    <n v="20231"/>
    <m/>
    <s v="Rumpun Keterampilan Penunjang"/>
    <s v="Narasumber / Pemateri Acara Seminar / Workshop / Pemakalah"/>
    <x v="1"/>
    <s v="Individual"/>
    <n v="250"/>
    <n v="5"/>
    <m/>
    <s v="https://employee.uc.ac.id/index.php/file/get/sis/t_cp/multi/9966d465-8828-11ee-ae4d-000d3ac6bafe.png"/>
    <s v="https://employee.uc.ac.id/index.php/file/get/sis/t_cp/multi/9966d465-8828-11ee-ae4d-000d3ac6bafe_assignmentletter.png"/>
    <m/>
    <m/>
    <s v="Student Council"/>
    <s v="Narasumber / Pemateri Acara Seminar / Workshop / Pemakalah|Internal Sekolah / Universitas|Individual"/>
    <n v="0"/>
  </r>
  <r>
    <s v="0506012110007"/>
    <s v="Ivana Clairine Sistiawan"/>
    <x v="0"/>
    <n v="2021"/>
    <s v="Pembicara Flashclass CV"/>
    <s v="2023-10-15"/>
    <s v="2023-10-15"/>
    <n v="20231"/>
    <s v="Flashclass CV adalah kelas singkat yang diadakan oleh Student Union Fikom dengan tujuan menjadi wadah untuk memaksimalkan kemampuan dan pemahaman mahasiswa terkhususnya dari FIKOM."/>
    <s v="Rumpun Keterampilan Penunjang"/>
    <s v="Narasumber / Pemateri Acara Seminar / Workshop / Pemakalah"/>
    <x v="1"/>
    <s v="Individual"/>
    <n v="45"/>
    <n v="5"/>
    <m/>
    <s v="https://employee.uc.ac.id/index.php/file/get/sis/t_cp/1248c4a1-7201-11ee-b231-000d3ac6bafe.jpg"/>
    <m/>
    <m/>
    <m/>
    <s v="Student Union COM"/>
    <s v="Narasumber / Pemateri Acara Seminar / Workshop / Pemakalah|Internal Sekolah / Universitas|Individual"/>
    <n v="0"/>
  </r>
  <r>
    <s v="0406011910037"/>
    <s v="Janice Larissa Sangjaya"/>
    <x v="6"/>
    <n v="2019"/>
    <s v="Communicating Virtual Community Service"/>
    <s v="2022-11-26"/>
    <s v="2022-11-26"/>
    <n v="20221"/>
    <s v="Di Undang untuk menjadi Juri/Pelatih/Wasit dalam acara Communicating Live in yang diselenggarakan oleh SMA Masa Depan Cerah"/>
    <s v="Rumpun Keterampilan Penunjang"/>
    <s v="Juri/Pelatih/Wasit"/>
    <x v="0"/>
    <s v="Individual"/>
    <n v="67"/>
    <n v="5"/>
    <m/>
    <s v="https://employee.uc.ac.id/index.php/file/get/sis/t_cp/967e7cfa-0119-11ee-b6e3-000d3ac6bafe.jpg"/>
    <s v="https://employee.uc.ac.id/index.php/file/get/sis/t_cp/967e7cfa-0119-11ee-b6e3-000d3ac6bafe_assignmentletter.jpg"/>
    <m/>
    <m/>
    <s v="SMA Masa Depan Cerah"/>
    <s v="Juri/Pelatih/Wasit|External Regional|Individual"/>
    <n v="0"/>
  </r>
  <r>
    <s v="0206042110077"/>
    <s v="Jaqlyn Tanlia"/>
    <x v="13"/>
    <n v="2021"/>
    <s v="SIFT Dean's Cup 2022"/>
    <s v="2022-10-14"/>
    <s v="2022-10-20"/>
    <n v="20221"/>
    <s v="Juri/Pelatih/Wasit Dean's Cup 2022 yang diselenggarakan oleh SIFT"/>
    <s v="Rumpun Keterampilan Penunjang"/>
    <s v="Juri/Pelatih/Wasit"/>
    <x v="1"/>
    <s v="Individual"/>
    <n v="7"/>
    <n v="5"/>
    <m/>
    <s v="https://employee.uc.ac.id/index.php/file/get/sis/t_cp/multi/e9f29743-d848-11ed-a359-000d3ac6bafe.png"/>
    <s v="https://employee.uc.ac.id/index.php/file/get/sis/t_cp/multi/e9f29743-d848-11ed-a359-000d3ac6bafe_assignmentletter.png"/>
    <m/>
    <m/>
    <s v="SU IMT &amp; SU ISB"/>
    <s v="Juri/Pelatih/Wasit|Internal Sekolah / Universitas|Individual"/>
    <n v="0"/>
  </r>
  <r>
    <s v="0106012210154"/>
    <s v="Jasmine Nadine Amanda Hartant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151"/>
    <s v="Jennifer Calista Chandr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095"/>
    <s v="Jennifer Tjahyadi"/>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8012120060"/>
    <s v="Jeremy Ernesto Sean Wahono"/>
    <x v="3"/>
    <n v="2021"/>
    <s v="Seminar Nasional Pengabdian Masyarakat (SNPM) IV &quot;Membangun Keberdayaan Masyarakat melalui Sociopren"/>
    <s v="2022-11-24"/>
    <s v="2022-11-24"/>
    <n v="20221"/>
    <s v="Pemakalah yang berjudul &quot;Pendampingan Inovasi Produk dan Kemasan UMKM Untuk Memenangkan Persaingan&quot;"/>
    <s v="Rumpun Keterampilan Penunjang"/>
    <s v="Pemakalah dalam Conference/Seminar Ilmiah"/>
    <x v="3"/>
    <s v="Team"/>
    <n v="0"/>
    <n v="15"/>
    <m/>
    <s v="https://employee.uc.ac.id/index.php/file/get/sis/t_cp/7e2f4f19-9c68-11ed-90bc-000d3ac6bafe.pdf"/>
    <m/>
    <m/>
    <m/>
    <s v="LPPM Universitas Ciputra"/>
    <s v="Pemakalah dalam Conference/Seminar Ilmiah|External National|Team"/>
    <n v="4"/>
  </r>
  <r>
    <s v="0106012310267"/>
    <s v="Jeremy Misael Mulyono"/>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31910033"/>
    <s v="Jeremy Tobing"/>
    <x v="8"/>
    <n v="2019"/>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110059"/>
    <s v="Jesselyne Aurielle Widianto"/>
    <x v="1"/>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224"/>
    <s v="Jessica Angelina The"/>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059"/>
    <s v="Jessica Natasya Singgih"/>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037"/>
    <s v="Jesslyn Nathania Santoso"/>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105"/>
    <s v="Jocelline Aarona Putrici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044"/>
    <s v="Jocelyne Natasha Halim"/>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010328"/>
    <s v="Johannes Krysosthomus Thedens Dominggu"/>
    <x v="1"/>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190"/>
    <s v="Jonathan Adrian Sutant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415"/>
    <s v="Jonathan Stanislaus"/>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606012210001"/>
    <s v="Jonsen Subagio"/>
    <x v="7"/>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210288"/>
    <s v="Jose Alessandro Tanumihardj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8012220061"/>
    <s v="Joseph Richard Hartono"/>
    <x v="3"/>
    <n v="2022"/>
    <s v="Workshop "/>
    <s v="2023-11-11"/>
    <s v="2023-11-11"/>
    <n v="20231"/>
    <s v="Menjadi pembicara pada acara, membahas tentang:_x000a_1. Tata krama ketika surat menyurat pada saat aktivitas lamar kerja_x000a_2. Proses Interview dan Pembiasaan diri_x000a_3. Pertanyaan seputar: dunia kerja IT dan dunia kerja Hukum"/>
    <s v="Rumpun Keterampilan Penunjang"/>
    <s v="Pembicara pada pelatihan/seminar/event berskala"/>
    <x v="0"/>
    <s v="Individual"/>
    <n v="8"/>
    <n v="10"/>
    <m/>
    <s v="https://employee.uc.ac.id/index.php/file/get/sis/t_cp/b067652e-8b36-11ee-a0af-000d3ac6bafe.jpg"/>
    <m/>
    <m/>
    <m/>
    <s v="Hiro's Private Lesson (PT Sukses Ilmu Indonesia)"/>
    <s v="Pembicara pada pelatihan/seminar/event berskala|External Regional|Individual"/>
    <n v="0"/>
  </r>
  <r>
    <s v="0106012310260"/>
    <s v="Jovan Farrel Revalino"/>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401"/>
    <s v="Jovencia Aileen Chiuputr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408"/>
    <s v="Julius Kevin Jonathan Pratama"/>
    <x v="1"/>
    <n v="2022"/>
    <s v="Seleksi LDBI NSDC Tingkat Kabupaten Trenggalek"/>
    <s v="2023-05-17"/>
    <s v="2023-05-17"/>
    <n v="20222"/>
    <s v="Dewan Juri/Pelatih/Wasit seleksi LDBI-NSDC tingkat Kabupaten Trenggalek 2023"/>
    <s v="Rumpun Keterampilan Penunjang"/>
    <s v="Juri/Pelatih/Wasit"/>
    <x v="0"/>
    <s v="Individual"/>
    <n v="45"/>
    <n v="10"/>
    <s v="https://sma.pusatprestasinasional.kemdikbud.go.id/"/>
    <s v="https://employee.uc.ac.id/index.php/file/get/sis/t_cp/de3727e4-1dab-11ee-ab97-000d3ac6bafe.pdf"/>
    <m/>
    <m/>
    <m/>
    <s v="MGMP Bahasa Indonesia Bahasa Inggris SMA Kabupaten"/>
    <s v="Juri/Pelatih/Wasit|External Regional|Individual"/>
    <n v="0"/>
  </r>
  <r>
    <s v="0106012310341"/>
    <s v="Justin Stewart Sugiarto"/>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332"/>
    <s v="Kanyaka Ratna Sucita Maheswari"/>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32010004"/>
    <s v="Karen Fayola"/>
    <x v="8"/>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8012120083"/>
    <s v="Karina Enny Agustina"/>
    <x v="3"/>
    <n v="2021"/>
    <s v="Business Ideation with Business Model Canvas Workshop"/>
    <s v="2022-12-05"/>
    <s v="2022-12-06"/>
    <n v="20221"/>
    <s v="Menjadi pemateri BMC ideation workshop di SMA Gloria 2"/>
    <s v="Rumpun Keterampilan Penunjang"/>
    <s v="Pembicara pada pelatihan/seminar/event berskala"/>
    <x v="0"/>
    <s v="Individual"/>
    <n v="1"/>
    <n v="10"/>
    <m/>
    <s v="https://employee.uc.ac.id/index.php/file/get/sis/t_cp/57aa62ea-be55-11ed-8a3c-000d3ac6bafe.pdf"/>
    <m/>
    <m/>
    <m/>
    <s v="Hotel and Tourism Business UC"/>
    <s v="Pembicara pada pelatihan/seminar/event berskala|External Regional|Individual"/>
    <n v="0"/>
  </r>
  <r>
    <s v="0206032110006"/>
    <s v="Keisha Amabel Saputra Sutikno"/>
    <x v="8"/>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210361"/>
    <s v="Kennard Abelio Santoso Tji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706012010024"/>
    <s v="Kenny Jinhiro Wibowo"/>
    <x v="5"/>
    <n v="2020"/>
    <s v="Workshop Leucreation UI/UX Prototyping With Figma"/>
    <s v="2023-02-01"/>
    <s v="2023-02-28"/>
    <n v="20221"/>
    <s v="Narasumber Workshop Leucreation UI/UX Prototyping With Figma"/>
    <s v="Rumpun Keterampilan Penunjang"/>
    <s v="Narasumber / Pemateri Acara Seminar / Workshop / Pemakalah"/>
    <x v="1"/>
    <s v="Individual"/>
    <n v="30"/>
    <n v="5"/>
    <m/>
    <s v="https://employee.uc.ac.id/index.php/file/get/sis/t_cp/multi/f6c081fe-76ca-11ee-858c-000d3ac6bafe.png"/>
    <s v="https://employee.uc.ac.id/index.php/file/get/sis/t_cp/multi/f6c081fe-76ca-11ee-858c-000d3ac6bafe_assignmentletter.png"/>
    <m/>
    <m/>
    <s v="SC 22/23"/>
    <s v="Narasumber / Pemateri Acara Seminar / Workshop / Pemakalah|Internal Sekolah / Universitas|Individual"/>
    <n v="0"/>
  </r>
  <r>
    <s v="0706012010024"/>
    <s v="Kenny Jinhiro Wibowo"/>
    <x v="5"/>
    <n v="2020"/>
    <s v="Narasumber Workshop Leucreation UI/UX Prototyping With Figma "/>
    <s v="2023-04-01"/>
    <s v="2023-04-30"/>
    <n v="20222"/>
    <s v="Narasumber Workshop Leucreation UI/UX Prototyping With Figma "/>
    <s v="Rumpun Keterampilan Humanistik"/>
    <s v="Narasumber / Pemateri Acara Seminar / Workshop / Pemakalah"/>
    <x v="1"/>
    <s v="Individual"/>
    <n v="15"/>
    <n v="5"/>
    <m/>
    <s v="https://employee.uc.ac.id/index.php/file/get/sis/t_cp/multi/dea5331c-ed7e-11ed-894a-000d3ac6bafe.png"/>
    <s v="https://employee.uc.ac.id/index.php/file/get/sis/t_cp/multi/dea5331c-ed7e-11ed-894a-000d3ac6bafe_assignmentletter.png"/>
    <m/>
    <m/>
    <s v="SC 22/23"/>
    <s v="Narasumber / Pemateri Acara Seminar / Workshop / Pemakalah|Internal Sekolah / Universitas|Individual"/>
    <n v="0"/>
  </r>
  <r>
    <s v="0606012110040"/>
    <s v="Kenza Kalihanugrah Akbar"/>
    <x v="7"/>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210294"/>
    <s v="Kevin Christiano Adjie Susen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706012010064"/>
    <s v="Kevin Sander Utomo"/>
    <x v="5"/>
    <n v="2020"/>
    <s v="Publikasi Jurnal Internasional MECS Press Journal International Journal of Information Engineering a"/>
    <s v="2022-12-24"/>
    <s v="2023-11-28"/>
    <n v="20221"/>
    <s v="Berhasil membuat dan menerbitkan jurnal sebagai penulis pertama dari dua penulis berbasis internasional pada MECS Press Journal International Journal of Information Engineering and Electronic Business (IJIEEB) dengan judul: Optimal Playing Position Prediction in Football Matches: A Machine Learning "/>
    <s v="Rumpun Keterampilan Penunjang"/>
    <s v="Penulis pertama pada jurnal internasional bereputasi atau jurnal nasional terindeks SINTA 1 dan 2"/>
    <x v="2"/>
    <s v="Team"/>
    <n v="2"/>
    <n v="60"/>
    <s v="https://www.mecs-press.org/ijieeb/ijieeb-v15-n6/v1"/>
    <s v="https://employee.uc.ac.id/index.php/file/get/sis/t_cp/9918f8a7-8dc4-11ee-b8fc-000d3ac6bafe.pdf"/>
    <m/>
    <m/>
    <m/>
    <s v="MECS International Journal of Information Engineer"/>
    <s v="Penulis pertama pada jurnal internasional bereputasi atau jurnal nasional terindeks SINTA 1 dan 2|External International|Team"/>
    <n v="5"/>
  </r>
  <r>
    <s v="0506012010009"/>
    <s v="Kezia Angelique Riwong"/>
    <x v="0"/>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406011910083"/>
    <s v="Kezia Victory Purwadi"/>
    <x v="6"/>
    <n v="2019"/>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206042010005"/>
    <s v="Kimberly Kristy Salim"/>
    <x v="13"/>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506012010022"/>
    <s v="Kirana Ratu Sekar Kedaton"/>
    <x v="0"/>
    <n v="2020"/>
    <s v="Bio-Power Reproduction By Authority Agents And Apparatuses Of Power In Health Communication: The Ana"/>
    <s v="2022-06-10"/>
    <s v="2023-07-15"/>
    <n v="20212"/>
    <s v="Penulisan jurnal yang terdaftar di dikti dan didanai oleh kemendikbud ( Journal of Namibian Studies - History Politics Culture (ISSN print 1863-5954; ISSN online 2197-5523)"/>
    <s v="Rumpun Keterampilan Penunjang"/>
    <s v="Penulis pertama pada jurnal internasional bereputasi atau jurnal nasional terindeks SINTA 1 dan 2"/>
    <x v="2"/>
    <s v="Team"/>
    <n v="3"/>
    <n v="20"/>
    <s v="https://namibian-studies.com/index.php/JNS/article"/>
    <s v="https://employee.uc.ac.id/index.php/file/get/sis/t_cp/8cf91672-434d-11ee-a2ef-000d3ac6bafe.pdf"/>
    <m/>
    <m/>
    <m/>
    <s v="Didanai Kemendikbud dan Ristekdikti"/>
    <s v="Penulis pertama pada jurnal internasional bereputasi atau jurnal nasional terindeks SINTA 1 dan 2|External International|Team"/>
    <n v="5"/>
  </r>
  <r>
    <s v="0106012210322"/>
    <s v="Kresna Andrean"/>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606012010006"/>
    <s v="Kyle Jacqueline Thiotansen"/>
    <x v="7"/>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306012110035"/>
    <s v="L Angeline A Yermias Pelealu"/>
    <x v="2"/>
    <n v="2021"/>
    <s v="UC Day 2023"/>
    <s v="2023-09-15"/>
    <s v="2023-09-15"/>
    <n v="20231"/>
    <m/>
    <s v="Rumpun Keterampilan Penunjang"/>
    <s v="Juri/Pelatih/Wasit"/>
    <x v="1"/>
    <s v="Individual"/>
    <n v="50"/>
    <n v="4"/>
    <m/>
    <s v="https://employee.uc.ac.id/index.php/file/get/sis/t_cp/multi/c15ab80d-7c81-11ee-aca7-000d3ac6bafe.png"/>
    <s v="https://employee.uc.ac.id/index.php/file/get/sis/t_cp/multi/c15ab80d-7c81-11ee-aca7-000d3ac6bafe_assignmentletter.png"/>
    <m/>
    <m/>
    <s v="Universitas Ciputra Surabaya"/>
    <s v="Juri/Pelatih/Wasit|Internal Sekolah / Universitas|Individual"/>
    <n v="0"/>
  </r>
  <r>
    <s v="0106012310115"/>
    <s v="Lavenia Sentoso Gunarto"/>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055"/>
    <s v="Leo Halim Wijay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140"/>
    <s v="Leonardo Michael Christanto"/>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606012010010"/>
    <s v="Leora Esther Xena"/>
    <x v="7"/>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310212"/>
    <s v="Leslie Natalie Tanes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606011910020"/>
    <s v="Lidya Anin"/>
    <x v="7"/>
    <n v="2019"/>
    <s v="Publikasi Jurnal Internasional"/>
    <s v="2023-07-03"/>
    <s v="2023-07-03"/>
    <n v="20222"/>
    <s v="Melakukan publikasi jurnal di jurnal internasional"/>
    <s v="Rumpun Keterampilan Penunjang"/>
    <s v="Penulis pertama pada jurnal internasional bereputasi atau jurnal nasional terindeks SINTA 1 dan 2"/>
    <x v="2"/>
    <s v="Team"/>
    <n v="5"/>
    <n v="100"/>
    <s v="www.ijsrt.com"/>
    <s v="https://employee.uc.ac.id/index.php/file/get/sis/t_cp/ae44ae32-1964-11ee-9863-000d3ac6bafe.jpg"/>
    <m/>
    <m/>
    <m/>
    <s v="IJSRT"/>
    <s v="Penulis pertama pada jurnal internasional bereputasi atau jurnal nasional terindeks SINTA 1 dan 2|External International|Team"/>
    <n v="5"/>
  </r>
  <r>
    <s v="0106012010058"/>
    <s v="Linda Laurensia Soetandio"/>
    <x v="1"/>
    <n v="2020"/>
    <s v="Pemakalah jurnal program pelatihan peningkatan keterampilan komunikasi untuk siswa SMA Tri Karya"/>
    <s v="2022-11-24"/>
    <s v="2022-11-24"/>
    <n v="20221"/>
    <s v="Pemakalah jurnal program pelatihan peningkatan keterampilan komunikasi untuk siswa SMA Tri Karya Surabaya"/>
    <s v="Rumpun Keterampilan Penunjang"/>
    <s v="Pemakalah dalam Conference/Seminar Ilmiah"/>
    <x v="3"/>
    <s v="Team"/>
    <n v="5"/>
    <n v="15"/>
    <m/>
    <s v="https://employee.uc.ac.id/index.php/file/get/sis/t_cp/7a9befb4-97e1-11ed-af4b-000d3ac6bafe.jpg"/>
    <s v="https://employee.uc.ac.id/index.php/file/get/sis/t_cp/7a9befb4-97e1-11ed-af4b-000d3ac6bafe_assignmentletter.jpg"/>
    <m/>
    <m/>
    <s v="umum"/>
    <s v="Pemakalah dalam Conference/Seminar Ilmiah|External National|Team"/>
    <n v="4"/>
  </r>
  <r>
    <s v="0106012010058"/>
    <s v="Linda Laurensia Soetandio"/>
    <x v="1"/>
    <n v="2020"/>
    <s v="Menulis buku Manajemen Bisnis : Konsep dan Strateginya"/>
    <s v="2023-07-01"/>
    <s v="2023-08-31"/>
    <n v="20222"/>
    <s v="URL Penerbit : https://store.medsan.co.id/detail/978-623-195-428-2-manajemen-bisnis-konsep-dan-strateginya_x000a_Google Scholar : https://scholar.google.co.id/citations?user=ka0E86IAAAAJ"/>
    <s v="Rumpun Keterampilan Penunjang"/>
    <s v="Penulis pertama buku ber-ISBN"/>
    <x v="3"/>
    <s v="Individual"/>
    <n v="10"/>
    <n v="2"/>
    <s v="https://scholar.google.co.id/citations?user=ka0E86"/>
    <m/>
    <m/>
    <s v="https://employee.uc.ac.id/index.php/file/get/sis/t_cp/2f373225-4e1c-11ee-b77c-000d3ac6bafe_report.jpg"/>
    <m/>
    <s v="Umum"/>
    <s v="Penulis pertama buku ber-ISBN|External National|Individual"/>
    <n v="6"/>
  </r>
  <r>
    <s v="0106012010058"/>
    <s v="Linda Laurensia Soetandio"/>
    <x v="1"/>
    <n v="2020"/>
    <s v="Menulis jurnal Program Pelatihan Personal Branding "/>
    <s v="2023-11-15"/>
    <s v="2023-11-15"/>
    <n v="20231"/>
    <s v="Menulis jurnal Program Pelatihan Personal Branding _x000a__x000a_Link : https://doi.org/10._x000a_37715/consortium.v3i2.4268."/>
    <s v="Rumpun Keterampilan Penunjang"/>
    <s v="Penulis pertama pada jurnal internasional bereputasi atau jurnal nasional terindeks SINTA 1 dan 2"/>
    <x v="2"/>
    <s v="Team"/>
    <n v="2"/>
    <n v="40"/>
    <s v="https://doi.org/10.37715/consortium.v3i2.4268."/>
    <s v="https://employee.uc.ac.id/index.php/file/get/sis/t_cp/7de2d332-8353-11ee-9c7d-000d3ac6bafe.pdf"/>
    <m/>
    <m/>
    <m/>
    <s v="Universitas"/>
    <s v="Penulis pertama pada jurnal internasional bereputasi atau jurnal nasional terindeks SINTA 1 dan 2|External International|Team"/>
    <n v="5"/>
  </r>
  <r>
    <s v="0108012120055"/>
    <s v="Lisa Monika"/>
    <x v="3"/>
    <n v="2021"/>
    <s v="KPR DAY Bersama BCA"/>
    <s v="2023-01-21"/>
    <s v="2023-01-21"/>
    <n v="20221"/>
    <s v="Memberikan wawasan bersama Bank BCA untuk masyarakat luas dan calon Pembeli property _x000a__x000a_langkah langkah yang harus di lakukan_x000a_pengetahuan seputar BI checking dan Bunga Bank_x000a_kemudahan kemudahan yang di berikan oleh developer "/>
    <s v="Rumpun Keterampilan Penunjang"/>
    <s v="Narasumber / Pemateri Acara Seminar / Workshop / Pemakalah"/>
    <x v="0"/>
    <s v="Individual"/>
    <n v="100"/>
    <n v="10"/>
    <s v="dian -istana.com"/>
    <s v="https://employee.uc.ac.id/index.php/file/get/sis/t_cp/d366aaf9-9961-11ed-8629-000d3ac6bafe.jpg"/>
    <m/>
    <m/>
    <m/>
    <s v="KPR DAY"/>
    <s v="Narasumber / Pemateri Acara Seminar / Workshop / Pemakalah|External Regional|Individual"/>
    <n v="0"/>
  </r>
  <r>
    <s v="0106012310236"/>
    <s v="Loretta Sharleen Tyvania Santoso Putri"/>
    <x v="1"/>
    <n v="2023"/>
    <s v="UC Day 2023"/>
    <s v="2023-09-15"/>
    <s v="2023-09-15"/>
    <n v="20231"/>
    <m/>
    <s v="Rumpun Keterampilan Penunjang"/>
    <s v="Juri/Pelatih/Wasit"/>
    <x v="1"/>
    <s v="Individual"/>
    <n v="50"/>
    <n v="4"/>
    <m/>
    <s v="https://employee.uc.ac.id/index.php/file/get/sis/t_cp/multi/c15ab80d-7c81-11ee-aca7-000d3ac6bafe.png"/>
    <s v="https://employee.uc.ac.id/index.php/file/get/sis/t_cp/multi/c15ab80d-7c81-11ee-aca7-000d3ac6bafe_assignmentletter.png"/>
    <m/>
    <m/>
    <s v="Universitas Ciputra Surabaya"/>
    <s v="Juri/Pelatih/Wasit|Internal Sekolah / Universitas|Individual"/>
    <n v="0"/>
  </r>
  <r>
    <s v="0108012210044"/>
    <s v="Lovely Hilary Limawan"/>
    <x v="3"/>
    <n v="2022"/>
    <s v="Pemateri Kelas Nutrition Knowledge"/>
    <s v="2023-04-03"/>
    <s v="2023-04-03"/>
    <n v="20222"/>
    <s v="Pemateri kelas tamu mata kuliah Nutrition Knowledge untuk mahasiswa S1 Universitas Ciputra pogram studi Culinary Business pada tanggal 31 Maret 2023_x000a_Dosen Pengampu Mata Kuliah NK: Oki Krisbianto dan Devina_x000a_Asisten Dosen: Yurika dan Mounindita"/>
    <s v="Rumpun Keterampilan Penunjang"/>
    <s v="Narasumber / Pemateri Acara Seminar / Workshop / Pemakalah"/>
    <x v="1"/>
    <s v="Individual"/>
    <n v="40"/>
    <n v="5"/>
    <m/>
    <s v="https://employee.uc.ac.id/index.php/file/get/sis/t_cp/a48e719c-d1f0-11ed-a759-000d3ac6bafe.jpg"/>
    <s v="https://employee.uc.ac.id/index.php/file/get/sis/t_cp/a6856538-d1f0-11ed-a759-000d3ac6bafe_assignmentletter.jpg"/>
    <m/>
    <m/>
    <s v="Nutrition Knowledge-Culinary Business"/>
    <s v="Narasumber / Pemateri Acara Seminar / Workshop / Pemakalah|Internal Sekolah / Universitas|Individual"/>
    <n v="0"/>
  </r>
  <r>
    <s v="0106012210087"/>
    <s v="Lydia Mulyani"/>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8012110010"/>
    <s v="Made Hadi Nugraha"/>
    <x v="3"/>
    <n v="2021"/>
    <s v="Mini Project Entrepreneurship"/>
    <s v="2021-01-22"/>
    <s v="2021-01-22"/>
    <n v="20201"/>
    <s v="Juri/Pelatih/Wasit kegiatan mini project entrepreneurship (kuliner) didakan oleh BEM Aptasena Alfa Prima Campus"/>
    <s v="Rumpun Keterampilan Penunjang"/>
    <s v="Juri/Pelatih/Wasit"/>
    <x v="1"/>
    <s v="Team"/>
    <n v="15"/>
    <n v="5"/>
    <s v="www.alfa-prima.com"/>
    <s v="https://employee.uc.ac.id/index.php/file/get/sis/t_cp/500c96de-034c-11ee-9899-000d3ac6bafe.jpg"/>
    <m/>
    <m/>
    <m/>
    <s v="BEM Campus"/>
    <s v="Juri/Pelatih/Wasit|Internal Sekolah / Universitas|Team"/>
    <n v="0"/>
  </r>
  <r>
    <s v="0108012110010"/>
    <s v="Made Hadi Nugraha"/>
    <x v="3"/>
    <n v="2021"/>
    <s v="Lomba Selling Product"/>
    <s v="2022-01-19"/>
    <s v="2022-01-21"/>
    <n v="20211"/>
    <s v="Lomba selling product dengan tema United Solidarity in Diversity dengan tema Uniqueness in Creativity"/>
    <s v="Rumpun Keterampilan Penunjang"/>
    <s v="Juri/Pelatih/Wasit"/>
    <x v="1"/>
    <s v="Team"/>
    <n v="30"/>
    <n v="5"/>
    <s v="www.alfa-prima.com"/>
    <s v="https://employee.uc.ac.id/index.php/file/get/sis/t_cp/17182534-034d-11ee-9899-000d3ac6bafe.jpg"/>
    <m/>
    <m/>
    <m/>
    <s v="BEM Campus"/>
    <s v="Juri/Pelatih/Wasit|Internal Sekolah / Universitas|Team"/>
    <n v="0"/>
  </r>
  <r>
    <s v="0108012110010"/>
    <s v="Made Hadi Nugraha"/>
    <x v="3"/>
    <n v="2021"/>
    <s v="Entrepreneur Days Seminar Kewirausahaan"/>
    <s v="2023-03-17"/>
    <s v="2023-03-17"/>
    <n v="20222"/>
    <s v="Entrepreneur Days Seminar Kewirausahaan BEM Aptasena dengan tema Explore Business Opportunities"/>
    <s v="Rumpun Keterampilan Penunjang"/>
    <s v="Pembicara pada pelatihan/seminar/event berskala"/>
    <x v="0"/>
    <s v="Team"/>
    <n v="80"/>
    <n v="10"/>
    <s v="www.alfraprima.id"/>
    <s v="https://employee.uc.ac.id/index.php/file/get/sis/t_cp/f51d40c6-037a-11ee-9899-000d3ac6bafe.jpg"/>
    <m/>
    <m/>
    <m/>
    <s v="BEM Campus"/>
    <s v="Pembicara pada pelatihan/seminar/event berskala|External Regional|Team"/>
    <n v="0"/>
  </r>
  <r>
    <s v="0106012010045"/>
    <s v="Made Nibbana Ganesha Putra Artha"/>
    <x v="1"/>
    <n v="2020"/>
    <s v="SIFT Dean's Cup 2022"/>
    <s v="2022-10-14"/>
    <s v="2022-10-20"/>
    <n v="20221"/>
    <s v="Juri/Pelatih/Wasit Dean's Cup 2022 yang diselenggarakan oleh SIFT"/>
    <s v="Rumpun Keterampilan Penunjang"/>
    <s v="Juri/Pelatih/Wasit"/>
    <x v="1"/>
    <s v="Individual"/>
    <n v="7"/>
    <n v="5"/>
    <m/>
    <s v="https://employee.uc.ac.id/index.php/file/get/sis/t_cp/multi/e9f29743-d848-11ed-a359-000d3ac6bafe.png"/>
    <s v="https://employee.uc.ac.id/index.php/file/get/sis/t_cp/multi/e9f29743-d848-11ed-a359-000d3ac6bafe_assignmentletter.png"/>
    <m/>
    <m/>
    <s v="SU IMT &amp; SU ISB"/>
    <s v="Juri/Pelatih/Wasit|Internal Sekolah / Universitas|Individual"/>
    <n v="0"/>
  </r>
  <r>
    <s v="0106012210234"/>
    <s v="Madeline Margareth Wibison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162"/>
    <s v="Marcel Christofer"/>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119"/>
    <s v="Marcell Gallardo Handok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170"/>
    <s v="Marcell Owen WIjoyo"/>
    <x v="1"/>
    <n v="2022"/>
    <s v="UC Day 2023"/>
    <s v="2023-09-15"/>
    <s v="2023-09-15"/>
    <n v="20231"/>
    <m/>
    <s v="Rumpun Keterampilan Penunjang"/>
    <s v="Juri/Pelatih/Wasit"/>
    <x v="1"/>
    <s v="Individual"/>
    <n v="50"/>
    <n v="4"/>
    <m/>
    <s v="https://employee.uc.ac.id/index.php/file/get/sis/t_cp/multi/c15ab80d-7c81-11ee-aca7-000d3ac6bafe.png"/>
    <s v="https://employee.uc.ac.id/index.php/file/get/sis/t_cp/multi/c15ab80d-7c81-11ee-aca7-000d3ac6bafe_assignmentletter.png"/>
    <m/>
    <m/>
    <s v="Universitas Ciputra Surabaya"/>
    <s v="Juri/Pelatih/Wasit|Internal Sekolah / Universitas|Individual"/>
    <n v="0"/>
  </r>
  <r>
    <s v="0206062010014"/>
    <s v="Maria Jocelyn Poillot"/>
    <x v="11"/>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110084"/>
    <s v="Marsa Azahra Nur Rahma"/>
    <x v="1"/>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32110007"/>
    <s v="Marsha Indrasakti"/>
    <x v="8"/>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206032110007"/>
    <s v="Marsha Indrasakti"/>
    <x v="8"/>
    <n v="2021"/>
    <s v="Sustainable Innovation in Tourism and Hospitality: 2023 Global Student Challenge"/>
    <s v="2023-11-10"/>
    <s v="2023-11-24"/>
    <n v="20231"/>
    <s v="Preservation of the Kya-Kya Area's Sense of Place (Chinatown Area in Surabaya) as Tourism Heritage Site"/>
    <s v="Rumpun Keterampilan Penunjang"/>
    <s v="Pemakalah dalam Conference/Seminar Ilmiah"/>
    <x v="2"/>
    <s v="Individual"/>
    <n v="70"/>
    <n v="20"/>
    <m/>
    <s v="https://employee.uc.ac.id/index.php/file/get/sis/t_cp/d6b337ad-91ec-11ee-ab5b-000d3ac6bafe.png"/>
    <s v="https://employee.uc.ac.id/index.php/file/get/sis/t_cp/d6b337ad-91ec-11ee-ab5b-000d3ac6bafe_assignmentletter.jpg"/>
    <m/>
    <m/>
    <s v="IMTH"/>
    <s v="Pemakalah dalam Conference/Seminar Ilmiah|External International|Individual"/>
    <n v="6"/>
  </r>
  <r>
    <s v="0106012110212"/>
    <s v="Marvelia Zefanya Sonjaya"/>
    <x v="1"/>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115"/>
    <s v="Matthew Brandon"/>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022"/>
    <s v="Matthew Kevin Halim"/>
    <x v="1"/>
    <n v="2023"/>
    <s v="Seminar mental health dan pergaulan bebas"/>
    <s v="2023-12-12"/>
    <s v="2023-12-12"/>
    <n v="20231"/>
    <s v="Seminar mental health oleh pembicara psikolog"/>
    <s v="Rumpun Keterampilan Penunjang"/>
    <s v="Narasumber / Pemateri Acara Seminar / Workshop / Pemakalah"/>
    <x v="1"/>
    <s v="Individual"/>
    <n v="60"/>
    <n v="5"/>
    <m/>
    <s v="https://employee.uc.ac.id/index.php/file/get/sis/t_cp/1ed06314-9900-11ee-96bc-000d3ac6bafe.jpg"/>
    <m/>
    <m/>
    <m/>
    <s v="kelompok Busman"/>
    <s v="Narasumber / Pemateri Acara Seminar / Workshop / Pemakalah|Internal Sekolah / Universitas|Individual"/>
    <n v="0"/>
  </r>
  <r>
    <s v="0106012310085"/>
    <s v="Michael Andrew Limbang"/>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275"/>
    <s v="Michael Christian Sulaiman"/>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014"/>
    <s v="Michael Davis Guyant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144"/>
    <s v="Michael Elliott Tanak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094"/>
    <s v="Michael Sean Kevin"/>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32110025"/>
    <s v="Michael Udayana"/>
    <x v="8"/>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210023"/>
    <s v="Michelle Angel"/>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109"/>
    <s v="Michelle Angie Wangi Soputr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110067"/>
    <s v="Michelle Aurelia Gunawan"/>
    <x v="1"/>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081"/>
    <s v="Michelle Jovana Soedart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8012010013"/>
    <s v="Miftakh Nurhuda Maulana"/>
    <x v="3"/>
    <n v="2020"/>
    <s v="COMMITMENT BUILDING IN FAMILY BUSINESS"/>
    <s v="2022-09-24"/>
    <s v="2022-09-24"/>
    <n v="20221"/>
    <s v="Narasumber mengisi materi family commitment"/>
    <s v="Rumpun Keterampilan Penunjang"/>
    <s v="Narasumber / Pemateri Acara Seminar / Workshop / Pemakalah"/>
    <x v="1"/>
    <s v="Individual"/>
    <n v="28"/>
    <n v="5"/>
    <m/>
    <s v="https://employee.uc.ac.id/index.php/file/get/sis/t_cp/b76c3473-f7e7-11ed-bf96-000d3ac6bafe.png"/>
    <s v="https://employee.uc.ac.id/index.php/file/get/sis/t_cp/b76c3473-f7e7-11ed-bf96-000d3ac6bafe_assignmentletter.png"/>
    <m/>
    <m/>
    <s v="UNIVERSITAS CIPUTRA"/>
    <s v="Narasumber / Pemateri Acara Seminar / Workshop / Pemakalah|Internal Sekolah / Universitas|Individual"/>
    <n v="0"/>
  </r>
  <r>
    <s v="0108012010013"/>
    <s v="Miftakh Nurhuda Maulana"/>
    <x v="3"/>
    <n v="2020"/>
    <s v="FAMILY COMMITMENT"/>
    <s v="2023-03-18"/>
    <s v="2023-03-18"/>
    <n v="20222"/>
    <m/>
    <s v="Rumpun Keterampilan Penunjang"/>
    <s v="Narasumber / Pemateri Acara Seminar / Workshop / Pemakalah"/>
    <x v="1"/>
    <s v="Individual"/>
    <n v="28"/>
    <n v="5"/>
    <m/>
    <s v="https://employee.uc.ac.id/index.php/file/get/sis/t_cp/e35010cc-efff-11ed-8d6d-000d3ac6bafe.png"/>
    <m/>
    <m/>
    <m/>
    <s v="UNIVERSITAS CIPUTRA"/>
    <s v="Narasumber / Pemateri Acara Seminar / Workshop / Pemakalah|Internal Sekolah / Universitas|Individual"/>
    <n v="0"/>
  </r>
  <r>
    <s v="0106012310188"/>
    <s v="Miguel Pedro Arifianto"/>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284"/>
    <s v="Mizell Jocasta Arie Putra Soeben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110257"/>
    <s v="Moch. Ricky Abdul Aziz"/>
    <x v="1"/>
    <n v="2021"/>
    <s v="Pengembangan Mindset Wirausaha dan Pengembangan Ideasi pada Siswa SMA Tri Karya Surabaya "/>
    <s v="2022-11-23"/>
    <s v="2022-11-24"/>
    <n v="20221"/>
    <s v="Pemakalah Program Pelatihan Personal Branding Untuk Siswa - Siswi SMAK Frateran Surabaya "/>
    <s v="Rumpun Keterampilan Penunjang"/>
    <s v="Pemakalah dalam Conference/Seminar Ilmiah"/>
    <x v="3"/>
    <s v="Team"/>
    <n v="5"/>
    <n v="15"/>
    <m/>
    <s v="https://employee.uc.ac.id/index.php/file/get/sis/t_cp/3233d227-a489-11ed-b2de-000d3ac6bafe.pdf"/>
    <s v="https://employee.uc.ac.id/index.php/file/get/sis/t_cp/3233d227-a489-11ed-b2de-000d3ac6bafe_assignmentletter.pdf"/>
    <m/>
    <m/>
    <s v="umum"/>
    <s v="Pemakalah dalam Conference/Seminar Ilmiah|External National|Team"/>
    <n v="4"/>
  </r>
  <r>
    <s v="0206032010013"/>
    <s v="Muhamad Rahmat Pamudji"/>
    <x v="8"/>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210245"/>
    <s v="Muhammad Iqbal Al Habibi"/>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347"/>
    <s v="Muhammad Rizky Ngainul Yakin"/>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312"/>
    <s v="Muhammad Tirta Adi Buan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414"/>
    <s v="Muhammad Yan Saputr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408"/>
    <s v="Muhammad Zaki Yamani"/>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060"/>
    <s v="Nabila Nur Faiza Fadly"/>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241"/>
    <s v="Naila Syafadina Ahmad"/>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340"/>
    <s v="Najwa Zahira Shaf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7104"/>
    <s v="NANDANA RIZQI ANDHIKA FATKHURRAHMAN"/>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42310044"/>
    <s v="Nasya Cinta Fanindya"/>
    <x v="9"/>
    <n v="2023"/>
    <s v="UC Day 2023"/>
    <s v="2023-09-15"/>
    <s v="2023-09-15"/>
    <n v="20231"/>
    <m/>
    <s v="Rumpun Keterampilan Penunjang"/>
    <s v="Juri/Pelatih/Wasit"/>
    <x v="1"/>
    <s v="Individual"/>
    <n v="50"/>
    <n v="4"/>
    <m/>
    <s v="https://employee.uc.ac.id/index.php/file/get/sis/t_cp/multi/c15ab80d-7c81-11ee-aca7-000d3ac6bafe.png"/>
    <s v="https://employee.uc.ac.id/index.php/file/get/sis/t_cp/multi/c15ab80d-7c81-11ee-aca7-000d3ac6bafe_assignmentletter.png"/>
    <m/>
    <m/>
    <s v="Universitas Ciputra Surabaya"/>
    <s v="Juri/Pelatih/Wasit|Internal Sekolah / Universitas|Individual"/>
    <n v="0"/>
  </r>
  <r>
    <s v="0106012310176"/>
    <s v="Nata Andhika Ignatius"/>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406011910012"/>
    <s v="Natashya Geiska Putri"/>
    <x v="6"/>
    <n v="2019"/>
    <s v="Pelatihan Mentor: Identify Self Identity"/>
    <s v="2022-09-08"/>
    <s v="2022-09-08"/>
    <n v="20212"/>
    <s v="Di sini saya diajak menjadi pembicara untuk sharing di pelatihan mentol dengan topik Identify Self Identity yang bertujuan guna membantu para mentor agar bisa lebih mengenai diri mereka lebih jauh lagi. Pengenalan terhadap diri masing - masing calon mentor bertujuan agar mereka bisa memperbaiki sifa"/>
    <s v="Rumpun Keterampilan Penunjang"/>
    <s v="Narasumber / Pemateri Acara Seminar / Workshop / Pemakalah"/>
    <x v="1"/>
    <s v="Individual"/>
    <n v="0"/>
    <n v="5"/>
    <m/>
    <s v="https://employee.uc.ac.id/index.php/file/get/sis/t_cp/135889e7-fa0c-11ed-84c7-000d3ac6bafe.pdf"/>
    <m/>
    <m/>
    <m/>
    <s v="Student Mentor Leadership Team"/>
    <s v="Narasumber / Pemateri Acara Seminar / Workshop / Pemakalah|Internal Sekolah / Universitas|Individual"/>
    <n v="0"/>
  </r>
  <r>
    <s v="0106012210071"/>
    <s v="Natasy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254"/>
    <s v="Natasya Sharla Kirana"/>
    <x v="1"/>
    <n v="2022"/>
    <s v="UC Day 2023"/>
    <s v="2023-09-15"/>
    <s v="2023-09-15"/>
    <n v="20231"/>
    <m/>
    <s v="Rumpun Keterampilan Penunjang"/>
    <s v="Juri/Pelatih/Wasit"/>
    <x v="1"/>
    <s v="Individual"/>
    <n v="50"/>
    <n v="4"/>
    <m/>
    <s v="https://employee.uc.ac.id/index.php/file/get/sis/t_cp/multi/c15ab80d-7c81-11ee-aca7-000d3ac6bafe.png"/>
    <s v="https://employee.uc.ac.id/index.php/file/get/sis/t_cp/multi/c15ab80d-7c81-11ee-aca7-000d3ac6bafe_assignmentletter.png"/>
    <m/>
    <m/>
    <s v="Universitas Ciputra Surabaya"/>
    <s v="Juri/Pelatih/Wasit|Internal Sekolah / Universitas|Individual"/>
    <n v="0"/>
  </r>
  <r>
    <s v="0106012210254"/>
    <s v="Natasya Sharla Kiran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706022010020"/>
    <s v="Nathalia Minoque Kusuma Salma Rasyid Jr."/>
    <x v="4"/>
    <n v="2020"/>
    <s v="Penelitian Terapan Unggulan Perguruan Tinggi (PTUPT)"/>
    <s v="2022-09-17"/>
    <s v="2023-02-27"/>
    <n v="20221"/>
    <s v="Jurnal luaran penelitian PTUPT Scopus Q3"/>
    <s v="Rumpun Keterampilan Penunjang"/>
    <s v="Penulis pertama pada jurnal internasional bereputasi atau jurnal nasional terindeks SINTA 1 dan 2"/>
    <x v="2"/>
    <s v="Team"/>
    <n v="5"/>
    <n v="15"/>
    <s v="https://www.temjournal.com/content/121/TEMJournalF"/>
    <s v="https://employee.uc.ac.id/index.php/file/get/sis/t_cp/129fbc7f-bdbb-11ed-afa1-000d3ac6bafe.png"/>
    <m/>
    <m/>
    <m/>
    <s v="School of Information Technology"/>
    <s v="Penulis pertama pada jurnal internasional bereputasi atau jurnal nasional terindeks SINTA 1 dan 2|External International|Team"/>
    <n v="5"/>
  </r>
  <r>
    <s v="0706012210034"/>
    <s v="Nathan Darrell"/>
    <x v="5"/>
    <n v="2022"/>
    <s v="Workshop UI/UX menggunakan figma bagi siswa/i SMU"/>
    <s v="2023-06-22"/>
    <s v="2023-07-04"/>
    <n v="20222"/>
    <s v="Workshop UI/UX menggunakan figma sebagai tools yang diadakan pada hari open day UC"/>
    <s v="Rumpun Keterampilan Penunjang"/>
    <s v="Narasumber / Pemateri Acara Seminar / Workshop / Pemakalah"/>
    <x v="1"/>
    <s v="Team"/>
    <n v="20"/>
    <n v="5"/>
    <m/>
    <s v="https://employee.uc.ac.id/index.php/file/get/sis/t_cp/ebe901cd-7935-11ee-8973-000d3ac6bafe.jpg"/>
    <s v="https://employee.uc.ac.id/index.php/file/get/sis/t_cp/ebe901cd-7935-11ee-8973-000d3ac6bafe_assignmentletter.pdf"/>
    <m/>
    <m/>
    <s v="Universitas Ciputra"/>
    <s v="Narasumber / Pemateri Acara Seminar / Workshop / Pemakalah|Internal Sekolah / Universitas|Team"/>
    <n v="0"/>
  </r>
  <r>
    <s v="0106012110102"/>
    <s v="Nathanael Kevin Santoso"/>
    <x v="1"/>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386"/>
    <s v="Nayla Izzah Maulan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406022010066"/>
    <s v="Nesya Maiyah Marshanda"/>
    <x v="10"/>
    <n v="2020"/>
    <s v="double track SMA PROGRESIF BUMI SHALAWAT TAHUN 2022"/>
    <s v="2023-08-25"/>
    <s v="2023-08-25"/>
    <n v="20222"/>
    <s v="demo cooking membuat donat , melaksanakan kegiatan pengabdian masyarakat "/>
    <s v="Rumpun Keterampilan Penunjang"/>
    <s v="Pembicara pada pelatihan/seminar/event berskala"/>
    <x v="0"/>
    <s v="Team"/>
    <n v="30"/>
    <n v="5"/>
    <m/>
    <s v="https://employee.uc.ac.id/index.php/file/get/sis/t_cp/328a7cd0-42f9-11ee-a2ef-000d3ac6bafe.jpg"/>
    <s v="https://employee.uc.ac.id/index.php/file/get/sis/t_cp/588bfc93-42f9-11ee-a2ef-000d3ac6bafe_assignmentletter.jpg"/>
    <m/>
    <m/>
    <s v="sma progresif bumi sholawat"/>
    <s v="Pembicara pada pelatihan/seminar/event berskala|External Regional|Team"/>
    <n v="0"/>
  </r>
  <r>
    <s v="0106012310044"/>
    <s v="Nevita Boedyono Subagio"/>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606012210008"/>
    <s v="Ni Luh Komang Dea Pradnya Paramitha"/>
    <x v="7"/>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210133"/>
    <s v="Nicholas Marcell Wibison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310139"/>
    <s v="Nicholas Vincent Susilo"/>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042"/>
    <s v="Nikita Bella Angelin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606012210033"/>
    <s v="Nisyavira Anam Meilia"/>
    <x v="7"/>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310106"/>
    <s v="Nita Christiana Wang"/>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278"/>
    <s v="Nur Amir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62010046"/>
    <s v="Nur Azlina Ali"/>
    <x v="11"/>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606012010002"/>
    <s v="Nyoman Gita Putri Wiranthika"/>
    <x v="7"/>
    <n v="2020"/>
    <s v="at The 30th Annual Physiology Meetingon International Symposium on Physiology for Eco-Health (INSPIR"/>
    <s v="2023-10-09"/>
    <s v="2023-10-09"/>
    <n v="20231"/>
    <s v="menjadi oral presenter di acara symposium yang diselenggarakan oleh universits sriwijaya yang dihadirkan juga oleh presenter dari dalam maupun luar negeri"/>
    <s v="Rumpun Keterampilan Penunjang"/>
    <s v="Pembicara pada pelatihan/seminar/event berskala"/>
    <x v="3"/>
    <s v="Team"/>
    <n v="2"/>
    <n v="15"/>
    <m/>
    <s v="https://employee.uc.ac.id/index.php/file/get/sis/t_cp/1284ec59-6678-11ee-817b-000d3ac6bafe.jpg"/>
    <s v="https://employee.uc.ac.id/index.php/file/get/sis/t_cp/1284ec59-6678-11ee-817b-000d3ac6bafe_assignmentletter.JPG"/>
    <m/>
    <m/>
    <s v="universitas sriwijaya"/>
    <s v="Pembicara pada pelatihan/seminar/event berskala|External National|Team"/>
    <n v="4"/>
  </r>
  <r>
    <s v="0106012310325"/>
    <s v="Olda Odeli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276"/>
    <s v="Ong Jonathan Nicholas Anthony"/>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218"/>
    <s v="Ongki Putri Ayunisi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406012010017"/>
    <s v="Owen Jonathan Wang"/>
    <x v="6"/>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706012210057"/>
    <s v="Owen Orlando"/>
    <x v="5"/>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506012010010"/>
    <s v="Patricia Adeline Valeri Soema"/>
    <x v="0"/>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606012010021"/>
    <s v="Patricia Priscilla"/>
    <x v="7"/>
    <n v="2020"/>
    <s v="The 30th Annual Physiology Meeting on international Symposium on Physiology for Eco-Health (INSPIRE)"/>
    <s v="2023-09-08"/>
    <s v="2023-09-10"/>
    <n v="20222"/>
    <s v="Menjadi oral presenter di acara symposium yang diselenggarakan oleh Universitas Sriwijaya yang dihadirkan juga oleh presenter dari dalam maupun luar negeri"/>
    <s v="Rumpun Keterampilan Penunjang"/>
    <s v="Pembicara pada pelatihan/seminar/event berskala"/>
    <x v="3"/>
    <s v="Team"/>
    <n v="2"/>
    <n v="15"/>
    <m/>
    <s v="https://employee.uc.ac.id/index.php/file/get/sis/t_cp/b0e701a8-6677-11ee-817b-000d3ac6bafe.pdf"/>
    <s v="https://employee.uc.ac.id/index.php/file/get/sis/t_cp/b0e701a8-6677-11ee-817b-000d3ac6bafe_assignmentletter.jpg"/>
    <m/>
    <m/>
    <s v="Universitas Sriwijaya"/>
    <s v="Pembicara pada pelatihan/seminar/event berskala|External National|Team"/>
    <n v="4"/>
  </r>
  <r>
    <s v="0106012310255"/>
    <s v="Peter Shawn Gosari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706022010032"/>
    <s v="Pravangasta Suihangya Balqis Wahyudi"/>
    <x v="4"/>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210319"/>
    <s v="Prisillia Novianni Hendr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110311"/>
    <s v="Priskila Praysi Meiny Pangaila"/>
    <x v="1"/>
    <n v="2021"/>
    <s v="UC Day 2023"/>
    <s v="2023-09-15"/>
    <s v="2023-09-15"/>
    <n v="20231"/>
    <m/>
    <s v="Rumpun Keterampilan Penunjang"/>
    <s v="Juri/Pelatih/Wasit"/>
    <x v="1"/>
    <s v="Individual"/>
    <n v="50"/>
    <n v="4"/>
    <m/>
    <s v="https://employee.uc.ac.id/index.php/file/get/sis/t_cp/multi/c15ab80d-7c81-11ee-aca7-000d3ac6bafe.png"/>
    <s v="https://employee.uc.ac.id/index.php/file/get/sis/t_cp/multi/c15ab80d-7c81-11ee-aca7-000d3ac6bafe_assignmentletter.png"/>
    <m/>
    <m/>
    <s v="Universitas Ciputra Surabaya"/>
    <s v="Juri/Pelatih/Wasit|Internal Sekolah / Universitas|Individual"/>
    <n v="0"/>
  </r>
  <r>
    <s v="0106012110313"/>
    <s v="Putri Ayu Kasuma"/>
    <x v="1"/>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32010016"/>
    <s v="Putri Refinda Yuan Ochtisha"/>
    <x v="8"/>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8012110021"/>
    <s v="Qahira Nazila"/>
    <x v="3"/>
    <n v="2021"/>
    <s v="Seminar Nasional Pengabdian Masyarakat (SNPM) IV &quot;Membangun Keberdayaan Masyarakat melalui Sociopren"/>
    <s v="2022-11-25"/>
    <s v="2022-11-24"/>
    <n v="20221"/>
    <s v="Mengikuti Seminar Nasional Pengabdian Masyarakat (SNPM) IV sebagai pemakalah dengan makalah berjudul &quot;Pendampingan Inovasi Produk dan Kemasan UMKM untuk Memenangkan Persaingan&quot;"/>
    <s v="Rumpun Keterampilan Penunjang"/>
    <s v="Pemakalah dalam Conference/Seminar Ilmiah"/>
    <x v="3"/>
    <s v="Team"/>
    <n v="3"/>
    <n v="15"/>
    <m/>
    <s v="https://employee.uc.ac.id/index.php/file/get/sis/t_cp/3a119bd8-9b1d-11ed-bfe8-000d3ac6bafe.pdf"/>
    <m/>
    <m/>
    <m/>
    <s v="LPPM Universitas Ciputra"/>
    <s v="Pemakalah dalam Conference/Seminar Ilmiah|External National|Team"/>
    <n v="4"/>
  </r>
  <r>
    <s v="0106012210198"/>
    <s v="Qur Roti A`yun"/>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032"/>
    <s v="Radja Aidil Gimnastiar Irawan"/>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055"/>
    <s v="Raffaela Jovanka Wijay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110149"/>
    <s v="Rafly Baihaqi Murtadlo"/>
    <x v="1"/>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129"/>
    <s v="Raymond Setiyawan"/>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141"/>
    <s v="Raymond Wijaya Halim"/>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110335"/>
    <s v="Regina Rara Sarira"/>
    <x v="1"/>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42010008"/>
    <s v="Reginaldo Edrico"/>
    <x v="9"/>
    <n v="2020"/>
    <s v="Exposure"/>
    <s v="2023-09-26"/>
    <s v="2023-09-26"/>
    <n v="20231"/>
    <s v="Fasilitator"/>
    <s v="Rumpun Keterampilan Penunjang"/>
    <s v="Narasumber / Pemateri Acara Seminar / Workshop / Pemakalah"/>
    <x v="1"/>
    <s v="Individual"/>
    <n v="250"/>
    <n v="4"/>
    <m/>
    <s v="https://employee.uc.ac.id/index.php/file/get/sis/t_cp/multi/1e7be259-882b-11ee-ae4d-000d3ac6bafe.png"/>
    <s v="https://employee.uc.ac.id/index.php/file/get/sis/t_cp/multi/1e7be259-882b-11ee-ae4d-000d3ac6bafe_assignmentletter.png"/>
    <m/>
    <m/>
    <s v="Student Council"/>
    <s v="Narasumber / Pemateri Acara Seminar / Workshop / Pemakalah|Internal Sekolah / Universitas|Individual"/>
    <n v="0"/>
  </r>
  <r>
    <s v="0406012010064"/>
    <s v="Resa Kharisma Efendi"/>
    <x v="6"/>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206062010038"/>
    <s v="Reski Amelia Saputri"/>
    <x v="11"/>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406011810094"/>
    <s v="Reynaldi Aryaputra"/>
    <x v="6"/>
    <n v="2018"/>
    <s v="WEBINAR DIGITAL &amp; CREATIVE MARKETING "/>
    <s v="2022-03-26"/>
    <s v="2022-03-26"/>
    <n v="20212"/>
    <s v="Saya menjadi narasumber di acara &quot;WEBINAR DIGITAL &amp; CREATIVE MARKETING&quot; yang diadakan oleh Universitas Ciputra Prodi Hotel and Tourism Business.  "/>
    <s v="Rumpun Keterampilan Penunjang"/>
    <s v="Narasumber / Pemateri Acara Seminar / Workshop / Pemakalah"/>
    <x v="1"/>
    <s v="Individual"/>
    <n v="80"/>
    <n v="5"/>
    <m/>
    <s v="https://employee.uc.ac.id/index.php/file/get/sis/t_cp/5b8f1e6e-97d2-11ed-af4b-000d3ac6bafe.JPG"/>
    <m/>
    <m/>
    <m/>
    <s v="SU HOTEL AND TOURISM BUSINESS UNIVERSITAS CIPUTRA"/>
    <s v="Narasumber / Pemateri Acara Seminar / Workshop / Pemakalah|Internal Sekolah / Universitas|Individual"/>
    <n v="0"/>
  </r>
  <r>
    <s v="0406011810094"/>
    <s v="Reynaldi Aryaputra"/>
    <x v="6"/>
    <n v="2018"/>
    <s v="Next Tourism With Enterpreneurship Through Technology "/>
    <s v="2022-09-27"/>
    <s v="2022-09-27"/>
    <n v="20221"/>
    <s v="Saya menjadi narasumber di acara tersebut, dikarenakan saya di usia 22 ini sudah memiliki usaha dibidang pariwisata yang sangat berpengaruh bagi tingkat perekonomian masyarakat sekitar "/>
    <s v="Rumpun Keterampilan Penunjang"/>
    <s v="Narasumber / Pemateri Acara Seminar / Workshop / Pemakalah"/>
    <x v="1"/>
    <s v="Individual"/>
    <n v="200"/>
    <n v="5"/>
    <m/>
    <s v="https://employee.uc.ac.id/index.php/file/get/sis/t_cp/d2e9fbdf-97c7-11ed-af4b-000d3ac6bafe.pdf"/>
    <m/>
    <m/>
    <m/>
    <s v="Hotel and Tourism Business "/>
    <s v="Narasumber / Pemateri Acara Seminar / Workshop / Pemakalah|Internal Sekolah / Universitas|Individual"/>
    <n v="0"/>
  </r>
  <r>
    <s v="0106012310282"/>
    <s v="Rheiva Ozura Hamindong"/>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024"/>
    <s v="Richard Savero Setiawan"/>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32110060"/>
    <s v="Rico Mahendra Kurniawan Putra"/>
    <x v="8"/>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8012120098"/>
    <s v="Rif`atus Sholihah"/>
    <x v="3"/>
    <n v="2021"/>
    <s v="Penerbit Pondok Pesantren Baron "/>
    <s v="2023-08-19"/>
    <s v="2023-08-19"/>
    <n v="20222"/>
    <s v="Kunci Bisnis (Dalam proses pengajuan ISBN)"/>
    <s v="Rumpun Keterampilan Penunjang"/>
    <s v="Penulis pertama buku ber-ISBN"/>
    <x v="3"/>
    <s v="Individual"/>
    <n v="1000"/>
    <n v="30"/>
    <m/>
    <m/>
    <m/>
    <s v="https://employee.uc.ac.id/index.php/file/get/sis/t_cp/926b4e63-3e9d-11ee-9179-000d3ac6bafe_report.jpg"/>
    <m/>
    <s v="Penerbit Pondok Pesantren Baron "/>
    <s v="Penulis pertama buku ber-ISBN|External National|Individual"/>
    <n v="6"/>
  </r>
  <r>
    <s v="0106012010162"/>
    <s v="Rio Maxinata"/>
    <x v="1"/>
    <n v="2020"/>
    <s v="SIFT Dean's Cup 2022"/>
    <s v="2022-10-14"/>
    <s v="2022-10-20"/>
    <n v="20221"/>
    <s v="Juri/Pelatih/Wasit Dean's Cup 2022 yang diselenggarakan oleh SIFT"/>
    <s v="Rumpun Keterampilan Penunjang"/>
    <s v="Juri/Pelatih/Wasit"/>
    <x v="1"/>
    <s v="Individual"/>
    <n v="7"/>
    <n v="5"/>
    <m/>
    <s v="https://employee.uc.ac.id/index.php/file/get/sis/t_cp/multi/e9f29743-d848-11ed-a359-000d3ac6bafe.png"/>
    <s v="https://employee.uc.ac.id/index.php/file/get/sis/t_cp/multi/e9f29743-d848-11ed-a359-000d3ac6bafe_assignmentletter.png"/>
    <m/>
    <m/>
    <s v="SU IMT &amp; SU ISB"/>
    <s v="Juri/Pelatih/Wasit|Internal Sekolah / Universitas|Individual"/>
    <n v="0"/>
  </r>
  <r>
    <s v="0106012210253"/>
    <s v="Riska Listiyani"/>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606012210022"/>
    <s v="Rivo Christian Kutanggas"/>
    <x v="7"/>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310389"/>
    <s v="Roshan Hasan Bafadal"/>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110368"/>
    <s v="Rossella Lianna Himawan"/>
    <x v="1"/>
    <n v="2021"/>
    <s v="Pemakalah Program Pembelajaran Entrepreneurship Menumbuhkan Intensi Berwirausaha Siswa SMA Trikarya"/>
    <s v="2023-02-03"/>
    <s v="2023-02-03"/>
    <n v="20221"/>
    <s v="Kami melakukan luaran jurnal dari program IBM Goes To School. Makalah kami berjudul Pembelajaran Entrepreneurship Gun Menumbuhkan Intensi Berwirausaha pad Siswa-Siswi_x000a_SMA Trikarya Surabaya. Saya adalah salah satu pemakalah bersama dengan 3 teman dan 1 dosen pendamping"/>
    <s v="Rumpun Keterampilan Penunjang"/>
    <s v="Pemakalah dalam Conference/Seminar Ilmiah"/>
    <x v="3"/>
    <s v="Team"/>
    <n v="1000"/>
    <n v="15"/>
    <m/>
    <s v="https://employee.uc.ac.id/index.php/file/get/sis/t_cp/861dd44d-a37c-11ed-85df-000d3ac6bafe.jpg"/>
    <s v="https://employee.uc.ac.id/index.php/file/get/sis/t_cp/842a5a62-a37c-11ed-85df-000d3ac6bafe_assignmentletter.jpg"/>
    <m/>
    <m/>
    <s v="umum"/>
    <s v="Pemakalah dalam Conference/Seminar Ilmiah|External National|Team"/>
    <n v="4"/>
  </r>
  <r>
    <s v="0106012110368"/>
    <s v="Rossella Lianna Himawan"/>
    <x v="1"/>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183"/>
    <s v="Ryan Etenia Gadman"/>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62110030"/>
    <s v="Ryvaley Electra Sheyoputri"/>
    <x v="11"/>
    <n v="2021"/>
    <s v="SIFT Dean's Cup 2022"/>
    <s v="2022-10-14"/>
    <s v="2022-10-20"/>
    <n v="20221"/>
    <s v="Juri/Pelatih/Wasit Dean's Cup 2022 yang diselenggarakan oleh SIFT"/>
    <s v="Rumpun Keterampilan Penunjang"/>
    <s v="Juri/Pelatih/Wasit"/>
    <x v="1"/>
    <s v="Individual"/>
    <n v="7"/>
    <n v="5"/>
    <m/>
    <s v="https://employee.uc.ac.id/index.php/file/get/sis/t_cp/multi/e9f29743-d848-11ed-a359-000d3ac6bafe.png"/>
    <s v="https://employee.uc.ac.id/index.php/file/get/sis/t_cp/multi/e9f29743-d848-11ed-a359-000d3ac6bafe_assignmentletter.png"/>
    <m/>
    <m/>
    <s v="SU IMT &amp; SU ISB"/>
    <s v="Juri/Pelatih/Wasit|Internal Sekolah / Universitas|Individual"/>
    <n v="0"/>
  </r>
  <r>
    <s v="0706021910018"/>
    <s v="Salma Haudia Atmaja"/>
    <x v="4"/>
    <n v="2019"/>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606012210074"/>
    <s v="Salwa Salsabila"/>
    <x v="7"/>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606012010007"/>
    <s v="Samantha Debora Ang"/>
    <x v="7"/>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010240"/>
    <s v="Samuel Fredolin Pakpahan"/>
    <x v="1"/>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42010066"/>
    <s v="Sandro Juan Kristiawan"/>
    <x v="13"/>
    <n v="2020"/>
    <s v="Exposure"/>
    <s v="2023-09-26"/>
    <s v="2023-09-26"/>
    <n v="20231"/>
    <s v="Fasilitator"/>
    <s v="Rumpun Keterampilan Penunjang"/>
    <s v="Narasumber / Pemateri Acara Seminar / Workshop / Pemakalah"/>
    <x v="1"/>
    <s v="Individual"/>
    <n v="250"/>
    <n v="4"/>
    <m/>
    <s v="https://employee.uc.ac.id/index.php/file/get/sis/t_cp/multi/1e7be259-882b-11ee-ae4d-000d3ac6bafe.png"/>
    <s v="https://employee.uc.ac.id/index.php/file/get/sis/t_cp/multi/1e7be259-882b-11ee-ae4d-000d3ac6bafe_assignmentletter.png"/>
    <m/>
    <m/>
    <s v="Student Council"/>
    <s v="Narasumber / Pemateri Acara Seminar / Workshop / Pemakalah|Internal Sekolah / Universitas|Individual"/>
    <n v="0"/>
  </r>
  <r>
    <s v="0106012210021"/>
    <s v="Sebastian Brendon Huisaini"/>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706022010007"/>
    <s v="Shalomeira Valencia Winata"/>
    <x v="4"/>
    <n v="2020"/>
    <s v="Kampus Merdeka Bootcamp: Edisi IISMA"/>
    <s v="2023-02-08"/>
    <s v="2023-02-08"/>
    <n v="20221"/>
    <s v="Sebagai salah satu narasumber di sesi “How To Become an IISMA Awardee”"/>
    <s v="Rumpun Keterampilan Penunjang"/>
    <s v="Pembicara pada pelatihan/seminar/event berskala"/>
    <x v="3"/>
    <s v="Individual"/>
    <n v="150"/>
    <n v="15"/>
    <s v="instagram: globy_id"/>
    <s v="https://employee.uc.ac.id/index.php/file/get/sis/t_cp/497dd414-a7b8-11ed-9a52-000d3ac6bafe.jpg"/>
    <m/>
    <m/>
    <m/>
    <s v="GLOBY"/>
    <s v="Pembicara pada pelatihan/seminar/event berskala|External National|Individual"/>
    <n v="4"/>
  </r>
  <r>
    <s v="0706022010007"/>
    <s v="Shalomeira Valencia Winata"/>
    <x v="4"/>
    <n v="2020"/>
    <s v="Publikasi Jurnal"/>
    <s v="2023-11-14"/>
    <s v="2023-11-14"/>
    <n v="20231"/>
    <s v="sebagai penulis kedua setelah dosen"/>
    <s v="Rumpun Keterampilan Penunjang"/>
    <s v="Penulis pertama pada jurnal internasional bereputasi atau jurnal nasional terindeks SINTA 1 dan 2"/>
    <x v="2"/>
    <s v="Individual"/>
    <n v="2"/>
    <n v="40"/>
    <s v="http://bright-journal.org/Journal/index.php/JADS/a"/>
    <s v="https://employee.uc.ac.id/index.php/file/get/sis/t_cp/052bab7d-829d-11ee-8a78-000d3ac6bafe.png"/>
    <m/>
    <m/>
    <m/>
    <s v="Journal of Applied Data Sciences (JADS)"/>
    <s v="Penulis pertama pada jurnal internasional bereputasi atau jurnal nasional terindeks SINTA 1 dan 2|External International|Individual"/>
    <n v="5"/>
  </r>
  <r>
    <s v="0106012310059"/>
    <s v="Shams Parvez Rabbani"/>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143"/>
    <s v="Shannon Eleonora Santos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043"/>
    <s v="Shareen Widjaj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159"/>
    <s v="Sharon Gloria Chandr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62010036"/>
    <s v="Shellen Nataria"/>
    <x v="11"/>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306012010003"/>
    <s v="Sheren Reggyna Herawan"/>
    <x v="2"/>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310395"/>
    <s v="Sigourney Ajit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264"/>
    <s v="Silvia Valenci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015"/>
    <s v="Silviana Margareth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62010044"/>
    <s v="Sinta Nuriya Hariyanto"/>
    <x v="11"/>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706012210058"/>
    <s v="Sophia Madlentsy Tambunan"/>
    <x v="5"/>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206061910017"/>
    <s v="Sophie Adela Josephine Setyono"/>
    <x v="11"/>
    <n v="2019"/>
    <s v="SIFT Dean's Cup 2022"/>
    <s v="2022-10-14"/>
    <s v="2022-10-20"/>
    <n v="20221"/>
    <s v="Juri/Pelatih/Wasit Dean's Cup 2022 yang diselenggarakan oleh SIFT"/>
    <s v="Rumpun Keterampilan Penunjang"/>
    <s v="Juri/Pelatih/Wasit"/>
    <x v="1"/>
    <s v="Individual"/>
    <n v="7"/>
    <n v="5"/>
    <m/>
    <s v="https://employee.uc.ac.id/index.php/file/get/sis/t_cp/multi/e9f29743-d848-11ed-a359-000d3ac6bafe.png"/>
    <s v="https://employee.uc.ac.id/index.php/file/get/sis/t_cp/multi/e9f29743-d848-11ed-a359-000d3ac6bafe_assignmentletter.png"/>
    <m/>
    <m/>
    <s v="SU IMT &amp; SU ISB"/>
    <s v="Juri/Pelatih/Wasit|Internal Sekolah / Universitas|Individual"/>
    <n v="0"/>
  </r>
  <r>
    <s v="0206032010015"/>
    <s v="Stacey Elbita Eliana"/>
    <x v="8"/>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310271"/>
    <s v="Starcy Angelica Coriss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506012010036"/>
    <s v="Stefani Natania Setiyo Sumantri"/>
    <x v="0"/>
    <n v="2020"/>
    <s v="Narasumber Seminar Keselamatan Berkendara UC 2023"/>
    <s v="2023-11-09"/>
    <s v="2023-11-09"/>
    <n v="20231"/>
    <m/>
    <s v="Rumpun Keterampilan Penunjang"/>
    <s v="Narasumber / Pemateri Acara Seminar / Workshop / Pemakalah"/>
    <x v="1"/>
    <s v="Individual"/>
    <n v="500"/>
    <n v="4"/>
    <m/>
    <s v="https://employee.uc.ac.id/index.php/file/get/sis/t_cp/multi/28ba9854-8e8c-11ee-8544-000d3ac6bafe.jpeg"/>
    <s v="https://employee.uc.ac.id/index.php/file/get/sis/t_cp/multi/28ba9854-8e8c-11ee-8544-000d3ac6bafe_assignmentletter.jpeg"/>
    <m/>
    <m/>
    <s v="Biro Mahasiswa &amp; Alumni"/>
    <s v="Narasumber / Pemateri Acara Seminar / Workshop / Pemakalah|Internal Sekolah / Universitas|Individual"/>
    <n v="0"/>
  </r>
  <r>
    <s v="0106012110181"/>
    <s v="Stefanie Jesselyn Setiajie"/>
    <x v="1"/>
    <n v="2021"/>
    <s v="Pemakalah Pembelajaran Entrepreneurship Guna Menumbuhkan Intensi Berwirausaha pada Siswa-Siswi SMA T"/>
    <s v="2022-11-24"/>
    <s v="2022-11-24"/>
    <n v="20221"/>
    <s v="Pemakalah Pembelajaran Entrepreneurship Guna Menumbuhkan Intensi Berwirausaha pada Siswa-Siswi SMA Trikarya Surabaya"/>
    <s v="Rumpun Keterampilan Penunjang"/>
    <s v="Narasumber / Pemateri Acara Seminar / Workshop / Pemakalah"/>
    <x v="3"/>
    <s v="Team"/>
    <n v="4"/>
    <n v="15"/>
    <m/>
    <s v="https://employee.uc.ac.id/index.php/file/get/sis/t_cp/2f0b4a74-97f8-11ed-af4b-000d3ac6bafe.jpg"/>
    <m/>
    <m/>
    <m/>
    <s v="Universitas Ciputra"/>
    <s v="Narasumber / Pemateri Acara Seminar / Workshop / Pemakalah|External National|Team"/>
    <n v="0"/>
  </r>
  <r>
    <s v="0106012110181"/>
    <s v="Stefanie Jesselyn Setiajie"/>
    <x v="1"/>
    <n v="2021"/>
    <s v="Exposure"/>
    <s v="2023-09-26"/>
    <s v="2023-09-26"/>
    <n v="20231"/>
    <s v="Fasilitator"/>
    <s v="Rumpun Keterampilan Penunjang"/>
    <s v="Narasumber / Pemateri Acara Seminar / Workshop / Pemakalah"/>
    <x v="1"/>
    <s v="Individual"/>
    <n v="250"/>
    <n v="4"/>
    <m/>
    <s v="https://employee.uc.ac.id/index.php/file/get/sis/t_cp/multi/1e7be259-882b-11ee-ae4d-000d3ac6bafe.png"/>
    <s v="https://employee.uc.ac.id/index.php/file/get/sis/t_cp/multi/1e7be259-882b-11ee-ae4d-000d3ac6bafe_assignmentletter.png"/>
    <m/>
    <m/>
    <s v="Student Council"/>
    <s v="Narasumber / Pemateri Acara Seminar / Workshop / Pemakalah|Internal Sekolah / Universitas|Individual"/>
    <n v="0"/>
  </r>
  <r>
    <s v="0106012310166"/>
    <s v="Stefano Bryan Barut"/>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162"/>
    <s v="Stefano Theodore Hawani"/>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420"/>
    <s v="Steven Adi Santoso"/>
    <x v="1"/>
    <n v="2022"/>
    <s v="Seleksi LDBI NSDC Tingkat Kabupaten Trenggalek"/>
    <s v="2023-05-17"/>
    <s v="2023-05-17"/>
    <n v="20222"/>
    <s v="Dewan Juri/Pelatih/Wasit seleksi LDBI-NSDC tingkat Kabupaten Trenggalek 2023"/>
    <s v="Rumpun Keterampilan Penunjang"/>
    <s v="Juri/Pelatih/Wasit"/>
    <x v="0"/>
    <s v="Individual"/>
    <n v="33"/>
    <n v="10"/>
    <s v="https://sma.pusatprestasinasional.kemdikbud.go.id/"/>
    <s v="https://employee.uc.ac.id/index.php/file/get/sis/t_cp/e42e6661-f715-11ed-9687-000d3ac6bafe.pdf"/>
    <m/>
    <m/>
    <m/>
    <s v="MGMP Bahasa Indonesia Bahasa Inggris SMA Kabupaten"/>
    <s v="Juri/Pelatih/Wasit|External Regional|Individual"/>
    <n v="0"/>
  </r>
  <r>
    <s v="0106012310121"/>
    <s v="Steven Gracio Darmo Suwito"/>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010208"/>
    <s v="Stiven Bryan Mintaraga"/>
    <x v="1"/>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8012310018"/>
    <s v="Suryadi Kusniawan"/>
    <x v="3"/>
    <n v="2023"/>
    <s v="Dosen Tamu di Magister Industri Kreatif Sekolah Pascasarjana UC"/>
    <s v="2023-09-21"/>
    <s v="2023-09-21"/>
    <n v="20231"/>
    <s v="Dosen Tamu di Magister Industri Kreatif Sekolah Pascasarjana UC."/>
    <s v="Rumpun Keterampilan Penunjang"/>
    <s v="Pembicara pada pelatihan/seminar/event berskala"/>
    <x v="0"/>
    <s v="Individual"/>
    <n v="18"/>
    <n v="10"/>
    <s v="https://pasca.unair.ac.id"/>
    <s v="https://employee.uc.ac.id/index.php/file/get/sis/t_cp/47b6e505-6bf7-11ee-a25e-000d3ac6bafe.pdf"/>
    <s v="https://employee.uc.ac.id/index.php/file/get/sis/t_cp/47b6e505-6bf7-11ee-a25e-000d3ac6bafe_assignmentletter.pdf"/>
    <m/>
    <m/>
    <s v="Sekolah Pascasarjana Universitas Airlangga"/>
    <s v="Pembicara pada pelatihan/seminar/event berskala|External Regional|Individual"/>
    <n v="0"/>
  </r>
  <r>
    <s v="0108012310018"/>
    <s v="Suryadi Kusniawan"/>
    <x v="3"/>
    <n v="2023"/>
    <s v="Konsultan Kebijakan Ekonomi Kreatif DPRD Kota Surabaya"/>
    <s v="2023-09-23"/>
    <s v="2023-09-23"/>
    <n v="20231"/>
    <s v="Menjadi konsultan kebijakan pengembangan Ekonomi Kreatif di DPRD Kota Surabaya"/>
    <s v="Rumpun Keterampilan Penunjang"/>
    <s v="Narasumber / Pemateri Acara Seminar / Workshop / Pemakalah"/>
    <x v="0"/>
    <s v="Individual"/>
    <n v="3"/>
    <n v="10"/>
    <s v="https://dprd.surabaya.go.id/"/>
    <s v="https://employee.uc.ac.id/index.php/file/get/sis/t_cp/1e9785bb-5a06-11ee-8d80-000d3ac6bafe.pdf"/>
    <m/>
    <m/>
    <m/>
    <s v="DPRD Kota Surabaya"/>
    <s v="Narasumber / Pemateri Acara Seminar / Workshop / Pemakalah|External Regional|Individual"/>
    <n v="0"/>
  </r>
  <r>
    <s v="0108012310018"/>
    <s v="Suryadi Kusniawan"/>
    <x v="3"/>
    <n v="2023"/>
    <s v="Sarasehan Kota Kreatif, Disbudpar Provinsi Jawa Timur"/>
    <s v="2023-09-27"/>
    <s v="2023-09-27"/>
    <n v="20231"/>
    <s v="Sebagai nara sumber dalam sarasehan Kota Kreatif Jawa Timur bersama Dinas Pariwisata se Jawa Timur dan para pelaku Ekraf di Jawa Timur."/>
    <s v="Rumpun Keterampilan Penunjang"/>
    <s v="Pembicara pada pelatihan/seminar/event berskala"/>
    <x v="0"/>
    <s v="Individual"/>
    <n v="50"/>
    <n v="10"/>
    <s v="http://disbudpar.jatimprov.go.id/"/>
    <s v="https://employee.uc.ac.id/index.php/file/get/sis/t_cp/5134f42a-5d4d-11ee-9708-000d3ac6bafe.pdf"/>
    <m/>
    <m/>
    <m/>
    <s v="Disbidpar Provinsi Jawa Timur"/>
    <s v="Pembicara pada pelatihan/seminar/event berskala|External Regional|Individual"/>
    <n v="0"/>
  </r>
  <r>
    <s v="0108012310018"/>
    <s v="Suryadi Kusniawan"/>
    <x v="3"/>
    <n v="2023"/>
    <s v="Rapat Pleno Penetapan KaTa Kreatif Indonesia"/>
    <s v="2023-10-09"/>
    <s v="2023-10-09"/>
    <n v="20231"/>
    <s v="Sebagai Juri/Pelatih/Wasit dalam penetapan Kabupaten Kota Kreatif Indonesia, Kemenparekraf RI"/>
    <s v="Rumpun Keterampilan Penunjang"/>
    <s v="Juri/Pelatih/Wasit"/>
    <x v="3"/>
    <s v="Individual"/>
    <n v="11"/>
    <n v="15"/>
    <s v="https://kemenparekraf.go.id"/>
    <s v="https://employee.uc.ac.id/index.php/file/get/sis/t_cp/24018527-681a-11ee-876c-000d3ac6bafe.pdf"/>
    <s v="https://employee.uc.ac.id/index.php/file/get/sis/t_cp/24018527-681a-11ee-876c-000d3ac6bafe_assignmentletter.pdf"/>
    <m/>
    <m/>
    <s v="Kemenparekraf/Baparekraf RI"/>
    <s v="Juri/Pelatih/Wasit|External National|Individual"/>
    <n v="8"/>
  </r>
  <r>
    <s v="0506012010026"/>
    <s v="Susan Jaya Witama"/>
    <x v="0"/>
    <n v="2020"/>
    <s v="Publish Buku Terdekat dan Terasing"/>
    <s v="2021-11-08"/>
    <s v="2022-01-08"/>
    <n v="20211"/>
    <s v="menulis buku tentang sejarah keluarga yang di publish menjadi buku offline dan buku online_x000a_https://play.google.com/store/books/details?id=eDa"/>
    <s v="Rumpun Keterampilan Penunjang"/>
    <s v="Penulis pertama buku ber-ISBN"/>
    <x v="3"/>
    <s v="Team"/>
    <n v="38"/>
    <n v="12"/>
    <s v="https://books.google.co.id/books/about/TERDEKAT_TE"/>
    <m/>
    <m/>
    <s v="https://employee.uc.ac.id/index.php/file/get/sis/t_cp/1843d263-307a-11ee-b2c1-000d3ac6bafe_report.png"/>
    <m/>
    <s v="Penerbit Universitas Ciputra Surabaya"/>
    <s v="Penulis pertama buku ber-ISBN|External National|Team"/>
    <n v="6"/>
  </r>
  <r>
    <s v="0506012010026"/>
    <s v="Susan Jaya Witama"/>
    <x v="0"/>
    <n v="2020"/>
    <s v="Exposure"/>
    <s v="2023-09-26"/>
    <s v="2023-09-26"/>
    <n v="20231"/>
    <s v="Fasilitator"/>
    <s v="Rumpun Keterampilan Penunjang"/>
    <s v="Narasumber / Pemateri Acara Seminar / Workshop / Pemakalah"/>
    <x v="1"/>
    <s v="Individual"/>
    <n v="250"/>
    <n v="4"/>
    <m/>
    <s v="https://employee.uc.ac.id/index.php/file/get/sis/t_cp/multi/1e7be259-882b-11ee-ae4d-000d3ac6bafe.png"/>
    <s v="https://employee.uc.ac.id/index.php/file/get/sis/t_cp/multi/1e7be259-882b-11ee-ae4d-000d3ac6bafe_assignmentletter.png"/>
    <m/>
    <m/>
    <s v="Student Council"/>
    <s v="Narasumber / Pemateri Acara Seminar / Workshop / Pemakalah|Internal Sekolah / Universitas|Individual"/>
    <n v="0"/>
  </r>
  <r>
    <s v="0106012210279"/>
    <s v="Syaiful Arif"/>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110343"/>
    <s v="Syakira Kayla Putri Dafi"/>
    <x v="1"/>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506012210015"/>
    <s v="Talitha Aurellia Awanda"/>
    <x v="0"/>
    <n v="2022"/>
    <s v="SHARING SESSION E-LITE VOICE, UNIVERSITAS BRAWIJAYA"/>
    <s v="2023-08-13"/>
    <s v="2023-08-13"/>
    <n v="20222"/>
    <s v="E-Lite Voice merupakan salah satu organisasi mahasiswa FIB Universitas Brawijaya. E-Lite Voice mengadakan pra-Acara salah satu program kerja mereka, yaitu E-Lite Voice Concert 2023. Kegiatan pra-acara tersebut adalah sesi sharing session dengan tema “Membangun Relasi dan Kerja Sama Organisasi dengan"/>
    <s v="Rumpun Keterampilan Penunjang"/>
    <s v="Narasumber / Pemateri Acara Seminar / Workshop / Pemakalah"/>
    <x v="0"/>
    <s v="Individual"/>
    <n v="25"/>
    <n v="10"/>
    <m/>
    <s v="https://employee.uc.ac.id/index.php/file/get/sis/t_cp/8718597b-402b-11ee-a77b-000d3ac6bafe.pdf"/>
    <m/>
    <m/>
    <m/>
    <s v="E-Lite Voice, Universitas Brawijaya"/>
    <s v="Narasumber / Pemateri Acara Seminar / Workshop / Pemakalah|External Regional|Individual"/>
    <n v="0"/>
  </r>
  <r>
    <s v="0106012110227"/>
    <s v="Tamara Septania"/>
    <x v="1"/>
    <n v="2021"/>
    <s v="IBM Goes to School"/>
    <s v="2023-02-15"/>
    <s v="2023-02-15"/>
    <n v="20221"/>
    <s v="Menjadi pemateri di acara IBM Goes to School yang diadakan di SMA Tri Karya Surabaya"/>
    <s v="Rumpun Keterampilan Penunjang"/>
    <s v="Narasumber / Pemateri Acara Seminar / Workshop / Pemakalah"/>
    <x v="0"/>
    <s v="Individual"/>
    <n v="1"/>
    <n v="5"/>
    <s v="instagram.com/ibmunion"/>
    <s v="https://employee.uc.ac.id/index.php/file/get/sis/t_cp/881f0abc-ac9b-11ed-ae71-000d3ac6bafe.jpg"/>
    <s v="https://employee.uc.ac.id/index.php/file/get/sis/t_cp/aae61e4a-ac9b-11ed-ae71-000d3ac6bafe_assignmentletter.png"/>
    <m/>
    <m/>
    <s v="SU IBM"/>
    <s v="Narasumber / Pemateri Acara Seminar / Workshop / Pemakalah|External Regional|Individual"/>
    <n v="0"/>
  </r>
  <r>
    <s v="0206041910029"/>
    <s v="Tamariska Felicia Levina Adino"/>
    <x v="13"/>
    <n v="2019"/>
    <s v="Penerbitan Buku Kumpulan Cerpen sebagai Penulis Utama berjudul &quot;One Family&quot;"/>
    <s v="2019-12-01"/>
    <s v="2019-12-01"/>
    <n v="20191"/>
    <s v="Publikasi buku ISBN sebagai penulis utama, berjudul &quot;One Family&quot; (telah terdaftar di Perpusnas). "/>
    <s v="Rumpun Keterampilan Penunjang"/>
    <s v="Penulis pertama buku ber-ISBN"/>
    <x v="3"/>
    <s v="Individual"/>
    <n v="13"/>
    <n v="30"/>
    <s v="Instagram: redaksi.rumahkita"/>
    <m/>
    <m/>
    <s v="https://employee.uc.ac.id/index.php/file/get/sis/t_cp/a522fdc4-8c94-11ed-8644-000d3ac6bafe_report.pdf"/>
    <m/>
    <s v="Rumah Kita; Kendal"/>
    <s v="Penulis pertama buku ber-ISBN|External National|Individual"/>
    <n v="6"/>
  </r>
  <r>
    <s v="0206041910029"/>
    <s v="Tamariska Felicia Levina Adino"/>
    <x v="13"/>
    <n v="2019"/>
    <s v="Pembuatan Buku [WORKSHEET BOOK] The Journey of Building The Audience"/>
    <s v="2023-02-20"/>
    <s v="2023-02-20"/>
    <n v="20222"/>
    <s v="[WORKSHEET BOOK] The Journey of Building The Audience_x000a_No. ISBN: 978-623-8136-07-0_x000a__x000a_Buku worksheet untuk membantu para pelaku startup mempraktikkan materi branding dan digital marketing yang telah diberikan pada buku sharing &quot;The Journey of Building The Audience&quot;"/>
    <s v="Rumpun Keterampilan Penunjang"/>
    <s v="Penulis pertama buku ber-ISBN"/>
    <x v="3"/>
    <s v="Individual"/>
    <n v="1"/>
    <n v="30"/>
    <s v="https://www.uc.ac.id/puc/"/>
    <m/>
    <m/>
    <s v="https://employee.uc.ac.id/index.php/file/get/sis/t_cp/229ca450-b197-11ed-8338-000d3ac6bafe_report.pdf"/>
    <m/>
    <s v="Penerbit Universitas Ciputra"/>
    <s v="Penulis pertama buku ber-ISBN|External National|Individual"/>
    <n v="6"/>
  </r>
  <r>
    <s v="0206041910029"/>
    <s v="Tamariska Felicia Levina Adino"/>
    <x v="13"/>
    <n v="2019"/>
    <s v="Publikasi Buku ISBN Nasional - The Journey of Building The Audience"/>
    <s v="2023-02-21"/>
    <s v="2023-02-21"/>
    <n v="20222"/>
    <s v="Publikasi Buku ISBN Nasional - The Journey of Building The Audience_x000a_No. ISBN: 978-623-8136-04-9_x000a_Buku materi tentang branding dan digital marketing untuk startup "/>
    <s v="Rumpun Keterampilan Penunjang"/>
    <s v="Penulis pertama buku ber-ISBN"/>
    <x v="3"/>
    <s v="Individual"/>
    <n v="1"/>
    <n v="30"/>
    <s v="https://www.uc.ac.id/puc/"/>
    <m/>
    <m/>
    <s v="https://employee.uc.ac.id/index.php/file/get/sis/t_cp/60db7e5e-b195-11ed-8338-000d3ac6bafe_report.pdf"/>
    <m/>
    <s v="Penerbit Universitas Ciputra"/>
    <s v="Penulis pertama buku ber-ISBN|External National|Individual"/>
    <n v="6"/>
  </r>
  <r>
    <s v="0206041910029"/>
    <s v="Tamariska Felicia Levina Adino"/>
    <x v="13"/>
    <n v="2019"/>
    <s v="i-Talk &quot;The Importance of Storytelling in Branding&quot;"/>
    <s v="2023-03-15"/>
    <s v="2023-03-15"/>
    <n v="20222"/>
    <s v="Pemateri acara webinar i-Talk &quot;The Importance of Storytelling in Branding&quot;, kolaborasi Vizione Studio bersama UC Library._x000a_Peserta dari internal dan eksternal UC, total 43 orang"/>
    <s v="Rumpun Keterampilan Penunjang"/>
    <s v="Pembicara pada pelatihan/seminar/event berskala"/>
    <x v="0"/>
    <s v="Individual"/>
    <n v="43"/>
    <n v="5"/>
    <s v="www.vizionestudio.com dan uc.ac.id"/>
    <s v="https://employee.uc.ac.id/index.php/file/get/sis/t_cp/35bb035c-c6fd-11ed-8a70-000d3ac6bafe.jpeg"/>
    <m/>
    <m/>
    <m/>
    <s v="UC Library dan Vizione Studio"/>
    <s v="Pembicara pada pelatihan/seminar/event berskala|External Regional|Individual"/>
    <n v="0"/>
  </r>
  <r>
    <s v="0206041910015"/>
    <s v="Tania Lia Chandra"/>
    <x v="13"/>
    <n v="2019"/>
    <s v="Live Instagram Series 04 #BelakangLayar Incendio"/>
    <s v="2022-02-11"/>
    <s v="2022-02-11"/>
    <n v="20211"/>
    <s v="Sebagai tamu narasumber dalam series 04 #BelakangLayar pada live instagram @incendio.id pada 11 Februari 2022 dalam hal ini bertugas untuk Sharing seputar leadership dan pengalaman menjadi president SU VCD 2021-2022"/>
    <s v="Rumpun Keterampilan Penunjang"/>
    <s v="Pembicara pada pelatihan/seminar/event berskala"/>
    <x v="3"/>
    <s v="Individual"/>
    <n v="51"/>
    <n v="15"/>
    <s v="https://www.instagram.com/tv/CZ1XugjqLoM/?igshid=Y"/>
    <s v="https://employee.uc.ac.id/index.php/file/get/sis/t_cp/f3778db1-8e7c-11ed-acce-000d3ac6bafe.jpg"/>
    <m/>
    <m/>
    <m/>
    <s v="Incendio.id"/>
    <s v="Pembicara pada pelatihan/seminar/event berskala|External National|Individual"/>
    <n v="4"/>
  </r>
  <r>
    <s v="0106012210086"/>
    <s v="Tantowi Tan"/>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62010011"/>
    <s v="Tarisha Shefie Ekaputri"/>
    <x v="11"/>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206062010011"/>
    <s v="Tarisha Shefie Ekaputri"/>
    <x v="11"/>
    <n v="2020"/>
    <s v="Webinar Problem in College Life"/>
    <s v="2023-12-14"/>
    <s v="2023-12-14"/>
    <n v="20231"/>
    <s v="Webinar untuk mahasiswa Universitas Ciputra yang mebahas mengenai permasalahan di dunia perkuliahan."/>
    <s v="Rumpun Keterampilan Penunjang"/>
    <s v="Narasumber / Pemateri Acara Seminar / Workshop / Pemakalah"/>
    <x v="1"/>
    <s v="Individual"/>
    <n v="50"/>
    <n v="5"/>
    <m/>
    <s v="https://employee.uc.ac.id/index.php/file/get/sis/t_cp/9c20db1d-9fe5-11ee-9e96-000d3ac6bafe.pdf"/>
    <s v="https://employee.uc.ac.id/index.php/file/get/sis/t_cp/9c20db1d-9fe5-11ee-9e96-000d3ac6bafe_assignmentletter.pdf"/>
    <m/>
    <m/>
    <s v="Mahasiswa Universitas Ciputra"/>
    <s v="Narasumber / Pemateri Acara Seminar / Workshop / Pemakalah|Internal Sekolah / Universitas|Individual"/>
    <n v="0"/>
  </r>
  <r>
    <s v="0606012010025"/>
    <s v="Tasya Monica"/>
    <x v="7"/>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506012110004"/>
    <s v="Thalia Nikky Siswono"/>
    <x v="0"/>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210238"/>
    <s v="Theodore Hermanto"/>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406012010012"/>
    <s v="Theresia Rianatika Tulimau"/>
    <x v="6"/>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010164"/>
    <s v="Tifania Angga"/>
    <x v="1"/>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506012210023"/>
    <s v="Tiffanny Odelia Hutasoit"/>
    <x v="0"/>
    <n v="2022"/>
    <s v="FISTAORA-ART 2022"/>
    <s v="2022-08-01"/>
    <s v="2022-08-20"/>
    <n v="20212"/>
    <s v="Perlombaan seni dan olahraga antar mahasiswa Fakultas Ilmu Sosial dan Ilmu Politik Universitas Padjajaran"/>
    <s v="Rumpun Keterampilan Penunjang"/>
    <s v="Juri/Pelatih/Wasit"/>
    <x v="0"/>
    <s v="Individual"/>
    <n v="10"/>
    <n v="10"/>
    <s v="https://instagram.com/fistaora.art?igshid=YmMyMTA2"/>
    <s v="https://employee.uc.ac.id/index.php/file/get/sis/t_cp/eba986b2-8b32-11ed-a20e-000d3ac6bafe.pdf"/>
    <m/>
    <m/>
    <m/>
    <s v="Badan Eksekutif Mahasiswa Fakultas Ilmu Sosial dan"/>
    <s v="Juri/Pelatih/Wasit|External Regional|Individual"/>
    <n v="0"/>
  </r>
  <r>
    <s v="0106011910231"/>
    <s v="Tirsha Jane Pattiselanno"/>
    <x v="1"/>
    <n v="2019"/>
    <s v="Pelatihan Channels Blok Business Model Canvas bagi Komunitas BMC - Hongkong dan China"/>
    <s v="2023-01-28"/>
    <s v="2023-01-28"/>
    <n v="20221"/>
    <s v="Menjadi Narasumbel pada  program Abdimas Program PMI HONGKONG &amp; CHINA membawa topik mengenai kreatifitas dalam menjual produk _x000a_"/>
    <s v="Rumpun Keterampilan Penunjang"/>
    <s v="Pembicara pada pelatihan/seminar/event berskala"/>
    <x v="2"/>
    <s v="Team"/>
    <n v="40"/>
    <n v="20"/>
    <m/>
    <s v="https://employee.uc.ac.id/index.php/file/get/sis/t_cp/18a78d9a-9ee8-11ed-b9cf-000d3ac6bafe.jpg"/>
    <m/>
    <m/>
    <m/>
    <s v="UC Family Business Community Indonesia"/>
    <s v="Pembicara pada pelatihan/seminar/event berskala|External International|Team"/>
    <n v="4"/>
  </r>
  <r>
    <s v="0106012310391"/>
    <s v="Titania Rendy Callist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165"/>
    <s v="Tjiang William Chandr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289"/>
    <s v="Tulus Ferdynan Siadari"/>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263"/>
    <s v="Tyaga Adinata Povannes"/>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606012210066"/>
    <s v="Ulfiah"/>
    <x v="7"/>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606012210041"/>
    <s v="Vajra Yeshie Kusala"/>
    <x v="7"/>
    <n v="2022"/>
    <s v="STOP BULLYING- Live Instagram Duta Kesehatan Mental Indonesia"/>
    <s v="2023-06-04"/>
    <s v="2023-06-04"/>
    <n v="20222"/>
    <s v="Live Instagram Duta Kesehatan Mental Indonesia dengan tema “Stop Bullying” mengenali Bullying sedini mungkin dan bagaimana mencegahnya. Event Live ini mengundang Narasumber Vajra Yeshie Kusala sebagai Pemateri"/>
    <s v="Rumpun Keterampilan Penunjang"/>
    <s v="Pembicara pada pelatihan/seminar/event berskala"/>
    <x v="3"/>
    <s v="Individual"/>
    <n v="200"/>
    <n v="15"/>
    <s v="https://www.instagram.com/tv/CtEnr1TKhzv/?igshid=M"/>
    <s v="https://employee.uc.ac.id/index.php/file/get/sis/t_cp/378ab227-02ee-11ee-a50e-000d3ac6bafe.jpg"/>
    <s v="https://employee.uc.ac.id/index.php/file/get/sis/t_cp/378ab227-02ee-11ee-a50e-000d3ac6bafe_assignmentletter.pdf"/>
    <m/>
    <m/>
    <s v="Duta Kesehatan Mental Indonesia"/>
    <s v="Pembicara pada pelatihan/seminar/event berskala|External National|Individual"/>
    <n v="4"/>
  </r>
  <r>
    <s v="0606012210041"/>
    <s v="Vajra Yeshie Kusala"/>
    <x v="7"/>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110151"/>
    <s v="Valentino Limbang Jaya"/>
    <x v="1"/>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048"/>
    <s v="Valentino Wu"/>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028"/>
    <s v="Vanessa Adoni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206032110020"/>
    <s v="Vanessa Eileen Soewitno"/>
    <x v="8"/>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310192"/>
    <s v="Vanessa Rosalie Lautan"/>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351"/>
    <s v="Vanessa Wynne"/>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306012110033"/>
    <s v="Vania Loviena Timothy"/>
    <x v="2"/>
    <n v="2021"/>
    <s v="Exposure"/>
    <s v="2023-09-26"/>
    <s v="2023-09-26"/>
    <n v="20231"/>
    <s v="Fasilitator"/>
    <s v="Rumpun Keterampilan Penunjang"/>
    <s v="Narasumber / Pemateri Acara Seminar / Workshop / Pemakalah"/>
    <x v="1"/>
    <s v="Individual"/>
    <n v="250"/>
    <n v="4"/>
    <m/>
    <s v="https://employee.uc.ac.id/index.php/file/get/sis/t_cp/multi/1e7be259-882b-11ee-ae4d-000d3ac6bafe.png"/>
    <s v="https://employee.uc.ac.id/index.php/file/get/sis/t_cp/multi/1e7be259-882b-11ee-ae4d-000d3ac6bafe_assignmentletter.png"/>
    <m/>
    <m/>
    <s v="Student Council"/>
    <s v="Narasumber / Pemateri Acara Seminar / Workshop / Pemakalah|Internal Sekolah / Universitas|Individual"/>
    <n v="0"/>
  </r>
  <r>
    <s v="0406021910069"/>
    <s v="Vania Nanette Santosa"/>
    <x v="10"/>
    <n v="2019"/>
    <s v="SMI Got Talent"/>
    <s v="2023-05-25"/>
    <s v="2023-05-25"/>
    <n v="20222"/>
    <s v="menjadi Juri/Pelatih/Wasit lomba musik SMI Got Talent"/>
    <s v="Rumpun Keterampilan Penunjang"/>
    <s v="Juri/Pelatih/Wasit"/>
    <x v="0"/>
    <s v="Individual"/>
    <n v="1"/>
    <n v="8"/>
    <s v="https://sekolahmusikindonesia.id/"/>
    <s v="https://employee.uc.ac.id/index.php/file/get/sis/t_cp/04c81a75-faad-11ed-965d-000d3ac6bafe.jpg"/>
    <m/>
    <m/>
    <m/>
    <s v="Sekolah Musik Indonesia "/>
    <s v="Juri/Pelatih/Wasit|External Regional|Individual"/>
    <n v="0"/>
  </r>
  <r>
    <s v="0706022010013"/>
    <s v="Vania Vidya Vimala"/>
    <x v="4"/>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706012110018"/>
    <s v="Vebrillia Santoso"/>
    <x v="5"/>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310210"/>
    <s v="Velda Sugiantoro Putri"/>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306012210014"/>
    <s v="VELYNIE NOVELITHA MULJONO "/>
    <x v="2"/>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8012020071"/>
    <s v="Vera Desiyanti Ang"/>
    <x v="3"/>
    <n v="2020"/>
    <s v="Seminar Career Day Ray White Royal Residence"/>
    <s v="2022-04-23"/>
    <s v="2023-01-19"/>
    <n v="20212"/>
    <m/>
    <s v="Rumpun Keterampilan Penunjang"/>
    <s v="Pembicara pada pelatihan/seminar/event berskala"/>
    <x v="3"/>
    <s v="Team"/>
    <n v="4"/>
    <n v="15"/>
    <m/>
    <s v="https://employee.uc.ac.id/index.php/file/get/sis/t_cp/2f92d11b-97db-11ed-af4b-000d3ac6bafe.jpeg"/>
    <m/>
    <m/>
    <m/>
    <s v="Ray White Royal Residence"/>
    <s v="Pembicara pada pelatihan/seminar/event berskala|External National|Team"/>
    <n v="4"/>
  </r>
  <r>
    <s v="0106012310259"/>
    <s v="Verlita Amanda Oktaviana"/>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110244"/>
    <s v="Veronika Juliana Purwandanu"/>
    <x v="1"/>
    <n v="2021"/>
    <s v="Pemakalah Pengembangan mindset wirausaha dan pengembangan ideasi pada siswa SMA Tri Karya Surabaya"/>
    <s v="2022-11-23"/>
    <s v="2022-11-24"/>
    <n v="20221"/>
    <s v="Pemakalah Pengembangan mindset wirausaha dan pengembangan ideasi pada siswa SMA Tri Karya Surabaya"/>
    <s v="Rumpun Keterampilan Penunjang"/>
    <s v="Narasumber / Pemateri Acara Seminar / Workshop / Pemakalah"/>
    <x v="3"/>
    <s v="Team"/>
    <n v="5"/>
    <n v="15"/>
    <m/>
    <s v="https://employee.uc.ac.id/index.php/file/get/sis/t_cp/2238ff23-97df-11ed-af4b-000d3ac6bafe.pdf"/>
    <s v="https://employee.uc.ac.id/index.php/file/get/sis/t_cp/2238ff23-97df-11ed-af4b-000d3ac6bafe_assignmentletter.pdf"/>
    <m/>
    <m/>
    <s v="umun"/>
    <s v="Narasumber / Pemateri Acara Seminar / Workshop / Pemakalah|External National|Team"/>
    <n v="0"/>
  </r>
  <r>
    <s v="0106012210033"/>
    <s v="Verrel Aurelius Gonaldy"/>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300"/>
    <s v="Victoria Safira Kusbianto"/>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606012010022"/>
    <s v="Vincent Aurelius Gonaldy"/>
    <x v="7"/>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110112"/>
    <s v="Vincent Herin"/>
    <x v="1"/>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296"/>
    <s v="Vincentius Arianto Christean"/>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606012110014"/>
    <s v="Vincy Falencia"/>
    <x v="7"/>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206042110050"/>
    <s v="Vinsen Candra"/>
    <x v="13"/>
    <n v="2021"/>
    <s v="Exposure"/>
    <s v="2023-09-26"/>
    <s v="2023-09-26"/>
    <n v="20231"/>
    <s v="Fasilitator"/>
    <s v="Rumpun Keterampilan Penunjang"/>
    <s v="Narasumber / Pemateri Acara Seminar / Workshop / Pemakalah"/>
    <x v="1"/>
    <s v="Individual"/>
    <n v="250"/>
    <n v="4"/>
    <m/>
    <s v="https://employee.uc.ac.id/index.php/file/get/sis/t_cp/multi/1e7be259-882b-11ee-ae4d-000d3ac6bafe.png"/>
    <s v="https://employee.uc.ac.id/index.php/file/get/sis/t_cp/multi/1e7be259-882b-11ee-ae4d-000d3ac6bafe_assignmentletter.png"/>
    <m/>
    <m/>
    <s v="Student Council"/>
    <s v="Narasumber / Pemateri Acara Seminar / Workshop / Pemakalah|Internal Sekolah / Universitas|Individual"/>
    <n v="0"/>
  </r>
  <r>
    <s v="0106012210084"/>
    <s v="Viona Joycelyn"/>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306012210059"/>
    <s v="Vionita Ariance Hamadi"/>
    <x v="2"/>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506012110009"/>
    <s v="Vivia Pauline Harliana"/>
    <x v="0"/>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210392"/>
    <s v="Wandi Hardiansyah Lubis"/>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101"/>
    <s v="Wendia Nels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310340"/>
    <s v="Westly Theodorus Tjokro"/>
    <x v="1"/>
    <n v="2023"/>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8012110047"/>
    <s v="Widya Arif Sofyan Kurniawan"/>
    <x v="3"/>
    <n v="2021"/>
    <s v="kedaireka"/>
    <s v="2022-12-23"/>
    <s v="2022-12-23"/>
    <n v="20221"/>
    <s v="menjadi narasumber membahas tentang perusahaan keluarga dari perspektif generasi kedua pada acara kedaireka MODIS - Modified Design Thinking Periode yang diselenggarakan di tunjungan plaza"/>
    <s v="Rumpun Keterampilan Penunjang"/>
    <s v="Pembicara pada pelatihan/seminar/event berskala"/>
    <x v="3"/>
    <s v="Individual"/>
    <n v="1"/>
    <n v="15"/>
    <m/>
    <s v="https://employee.uc.ac.id/index.php/file/get/sis/t_cp/89710f9d-194f-11ee-a5c3-000d3ac6bafe.pdf"/>
    <s v="https://employee.uc.ac.id/index.php/file/get/sis/t_cp/89710f9d-194f-11ee-a5c3-000d3ac6bafe_assignmentletter.jpeg"/>
    <m/>
    <m/>
    <s v="kedaireka"/>
    <s v="Pembicara pada pelatihan/seminar/event berskala|External National|Individual"/>
    <n v="4"/>
  </r>
  <r>
    <s v="0106012010364"/>
    <s v="William Jordan Satriagani"/>
    <x v="1"/>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606012210018"/>
    <s v="William Nata"/>
    <x v="7"/>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506012110041"/>
    <s v="Wilson David Mulya Huang"/>
    <x v="0"/>
    <n v="2021"/>
    <s v="Exposure"/>
    <s v="2023-09-26"/>
    <s v="2023-09-26"/>
    <n v="20231"/>
    <m/>
    <s v="Rumpun Keterampilan Penunjang"/>
    <s v="Narasumber / Pemateri Acara Seminar / Workshop / Pemakalah"/>
    <x v="1"/>
    <s v="Individual"/>
    <n v="250"/>
    <n v="5"/>
    <m/>
    <s v="https://employee.uc.ac.id/index.php/file/get/sis/t_cp/multi/9966d465-8828-11ee-ae4d-000d3ac6bafe.png"/>
    <s v="https://employee.uc.ac.id/index.php/file/get/sis/t_cp/multi/9966d465-8828-11ee-ae4d-000d3ac6bafe_assignmentletter.png"/>
    <m/>
    <m/>
    <s v="Student Council"/>
    <s v="Narasumber / Pemateri Acara Seminar / Workshop / Pemakalah|Internal Sekolah / Universitas|Individual"/>
    <n v="0"/>
  </r>
  <r>
    <s v="0606012010035"/>
    <s v="Windi Clara Viena"/>
    <x v="7"/>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206032110048"/>
    <s v="Winston Goeinawan"/>
    <x v="8"/>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106012010149"/>
    <s v="Wongkojoyo, Kevin"/>
    <x v="1"/>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2210404"/>
    <s v="Yohana Cinta Ayu Desylina"/>
    <x v="1"/>
    <n v="2022"/>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44388237-9417-11ee-bd04-000d3ac6bafe.png"/>
    <s v="https://employee.uc.ac.id/index.php/file/get/sis/t_cp/multi/44388237-9417-11ee-bd04-000d3ac6bafe_assignmentletter.png"/>
    <m/>
    <m/>
    <s v="ICOEN"/>
    <s v="Narasumber / Pemateri Acara Seminar / Workshop / Pemakalah|External International|Individual"/>
    <n v="0"/>
  </r>
  <r>
    <s v="0106011910347"/>
    <s v="Yonathan Budiono"/>
    <x v="1"/>
    <n v="2019"/>
    <s v="Pelatihan Channels Blok Business Model Canvas bagi Komunitas BMC-Hongkong, China"/>
    <s v="2022-03-12"/>
    <s v="2022-03-12"/>
    <n v="20212"/>
    <s v="Menjadi Narasumber di pelatihan Channels Blok Business Model Canvas bagi Komunitas BMC-Hongkong, dimana kami mengajarkan marketing kepada TKW di Hong Kong."/>
    <s v="Rumpun Keterampilan Penunjang"/>
    <s v="Pembicara pada pelatihan/seminar/event berskala"/>
    <x v="2"/>
    <s v="Team"/>
    <n v="20"/>
    <n v="15"/>
    <m/>
    <s v="https://employee.uc.ac.id/index.php/file/get/sis/t_cp/efcfc3d4-9c68-11ed-90bc-000d3ac6bafe.jpeg"/>
    <m/>
    <m/>
    <m/>
    <s v="BMC Hong Kong"/>
    <s v="Pembicara pada pelatihan/seminar/event berskala|External International|Team"/>
    <n v="4"/>
  </r>
  <r>
    <s v="0206032110057"/>
    <s v="Yovita Aryani Harsono"/>
    <x v="8"/>
    <n v="2021"/>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206062010027"/>
    <s v="Zafira Salma Salsabil"/>
    <x v="11"/>
    <n v="2020"/>
    <s v="The 10th International Conference on Entrepreneurship 2023 (ICOEN)"/>
    <s v="2023-10-26"/>
    <s v="2023-10-27"/>
    <n v="20231"/>
    <s v="The 10th International Conference on Entrepreneurship 2023 (ICOEN) &quot;Facing Economic Uncertainty through Digital Entrepreneurship&quot;"/>
    <s v="Rumpun Keterampilan Penunjang"/>
    <s v="Narasumber / Pemateri Acara Seminar / Workshop / Pemakalah"/>
    <x v="2"/>
    <s v="Individual"/>
    <n v="500"/>
    <n v="10"/>
    <s v="https://icoen.org/"/>
    <s v="https://employee.uc.ac.id/index.php/file/get/sis/t_cp/multi/c77a0b11-9336-11ee-859c-000d3ac6bafe.png"/>
    <s v="https://employee.uc.ac.id/index.php/file/get/sis/t_cp/multi/c77a0b11-9336-11ee-859c-000d3ac6bafe_assignmentletter.png"/>
    <m/>
    <m/>
    <s v="ICOEN"/>
    <s v="Narasumber / Pemateri Acara Seminar / Workshop / Pemakalah|External International|Individual"/>
    <n v="0"/>
  </r>
  <r>
    <s v="0606011910028"/>
    <s v="Zefanja Andera Gondo"/>
    <x v="7"/>
    <n v="2019"/>
    <s v="Publish Journal Internasional"/>
    <s v="2023-05-31"/>
    <s v="2023-05-31"/>
    <n v="20222"/>
    <s v="Melakukan publikasi jurnal di website jurnal internasional"/>
    <s v="Rumpun Keterampilan Penunjang"/>
    <s v="Penulis pertama pada jurnal internasional bereputasi atau jurnal nasional terindeks SINTA 1 dan 2"/>
    <x v="2"/>
    <s v="Team"/>
    <n v="3"/>
    <n v="40"/>
    <s v="www.ijisrt.com"/>
    <s v="https://employee.uc.ac.id/index.php/file/get/sis/t_cp/40407e8d-0696-11ee-b92f-000d3ac6bafe.pdf"/>
    <m/>
    <m/>
    <m/>
    <s v="Publish Journal Internasiobal"/>
    <s v="Penulis pertama pada jurnal internasional bereputasi atau jurnal nasional terindeks SINTA 1 dan 2|External International|Team"/>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F7884A-4D18-4B18-8E55-12E405FFAC7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21" firstHeaderRow="1" firstDataRow="2" firstDataCol="1"/>
  <pivotFields count="23">
    <pivotField showAll="0"/>
    <pivotField showAll="0"/>
    <pivotField axis="axisRow" showAll="0">
      <items count="17">
        <item x="9"/>
        <item x="8"/>
        <item x="0"/>
        <item x="11"/>
        <item x="12"/>
        <item x="5"/>
        <item x="4"/>
        <item x="3"/>
        <item x="14"/>
        <item x="15"/>
        <item x="1"/>
        <item x="7"/>
        <item x="2"/>
        <item x="10"/>
        <item x="6"/>
        <item x="13"/>
        <item t="default"/>
      </items>
    </pivotField>
    <pivotField showAll="0"/>
    <pivotField showAll="0"/>
    <pivotField showAll="0"/>
    <pivotField showAll="0"/>
    <pivotField showAll="0"/>
    <pivotField showAll="0"/>
    <pivotField showAll="0"/>
    <pivotField showAll="0"/>
    <pivotField axis="axisCol" showAll="0">
      <items count="5">
        <item x="2"/>
        <item x="3"/>
        <item x="0"/>
        <item x="1"/>
        <item t="default"/>
      </items>
    </pivotField>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17">
    <i>
      <x/>
    </i>
    <i>
      <x v="1"/>
    </i>
    <i>
      <x v="2"/>
    </i>
    <i>
      <x v="3"/>
    </i>
    <i>
      <x v="4"/>
    </i>
    <i>
      <x v="5"/>
    </i>
    <i>
      <x v="6"/>
    </i>
    <i>
      <x v="7"/>
    </i>
    <i>
      <x v="8"/>
    </i>
    <i>
      <x v="9"/>
    </i>
    <i>
      <x v="10"/>
    </i>
    <i>
      <x v="11"/>
    </i>
    <i>
      <x v="12"/>
    </i>
    <i>
      <x v="13"/>
    </i>
    <i>
      <x v="14"/>
    </i>
    <i>
      <x v="15"/>
    </i>
    <i t="grand">
      <x/>
    </i>
  </rowItems>
  <colFields count="1">
    <field x="11"/>
  </colFields>
  <colItems count="5">
    <i>
      <x/>
    </i>
    <i>
      <x v="1"/>
    </i>
    <i>
      <x v="2"/>
    </i>
    <i>
      <x v="3"/>
    </i>
    <i t="grand">
      <x/>
    </i>
  </colItems>
  <dataFields count="1">
    <dataField name="Sum of Score" fld="22"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7632E4E-5FBF-4B77-9D5E-03EC0ECF53E1}" name="Table25" displayName="Table25" ref="A1:U468" totalsRowShown="0" headerRowDxfId="59" headerRowBorderDxfId="58" tableBorderDxfId="57" totalsRowBorderDxfId="56">
  <autoFilter ref="A1:U468" xr:uid="{2E3EA246-9EAF-4ED7-9650-4A735D6F5E04}"/>
  <tableColumns count="21">
    <tableColumn id="1" xr3:uid="{765DAE40-B965-49A5-85AE-90E9C60B1AC7}" name="NIS" dataDxfId="55"/>
    <tableColumn id="2" xr3:uid="{C2CDB8CE-5F6F-431E-8C79-62DEE0B1721B}" name="Name" dataDxfId="54"/>
    <tableColumn id="3" xr3:uid="{AEDCA362-64DD-4EF5-8772-D15FF7604E84}" name="Major" dataDxfId="53"/>
    <tableColumn id="4" xr3:uid="{1348AA9B-39BB-4936-A5F2-3982D2A9ABC5}" name="Student Year" dataDxfId="52"/>
    <tableColumn id="5" xr3:uid="{8432DCF3-0DA4-466C-905B-B0D446888165}" name="Activity" dataDxfId="51"/>
    <tableColumn id="6" xr3:uid="{2EECFF52-F4A2-47A5-8E8A-52D5797C0AE0}" name="Start Date" dataDxfId="50"/>
    <tableColumn id="7" xr3:uid="{19080524-F665-4AE2-AD8F-4BDC637064B9}" name="End Date" dataDxfId="49"/>
    <tableColumn id="8" xr3:uid="{D737FF6E-CEFB-4273-861D-30EB24EF91BE}" name="Period" dataDxfId="48"/>
    <tableColumn id="9" xr3:uid="{6170F760-38F6-4E7A-9942-D6BFF0171257}" name="Description" dataDxfId="47"/>
    <tableColumn id="10" xr3:uid="{912A88E3-BF98-479B-B547-143E647841D4}" name="Category" dataDxfId="46"/>
    <tableColumn id="11" xr3:uid="{2711CA7F-DE18-408A-9CED-4EF31414B524}" name="Status" dataDxfId="45"/>
    <tableColumn id="12" xr3:uid="{7F4C2C42-D145-4CC9-946D-432C71877738}" name="Level" dataDxfId="44"/>
    <tableColumn id="13" xr3:uid="{78D66DA1-503C-4759-9F5B-15F0E7FB5E18}" name="Participant As" dataDxfId="43"/>
    <tableColumn id="14" xr3:uid="{DA218C3A-2A2F-4F6D-9C14-00665DC3BE06}" name="Total Participant" dataDxfId="42"/>
    <tableColumn id="15" xr3:uid="{0F1D3B59-E890-455A-BC5A-6D10DF3055ED}" name="Point" dataDxfId="41"/>
    <tableColumn id="16" xr3:uid="{EA1044FC-B714-4511-B27A-794699C3DA26}" name="Website" dataDxfId="40"/>
    <tableColumn id="17" xr3:uid="{A3D4B265-05ED-478D-BBC2-28FC22535CB4}" name="Certificate" dataDxfId="39"/>
    <tableColumn id="18" xr3:uid="{90C5C858-8E29-4C48-A5B6-891D0A725A82}" name="Assignment Letter" dataDxfId="38"/>
    <tableColumn id="19" xr3:uid="{7A7A6A6C-739D-4C74-BFFD-781FF3C80CCD}" name="Report" dataDxfId="37"/>
    <tableColumn id="20" xr3:uid="{A76AE8A2-A13C-448D-B188-FB2BF6C341FE}" name="Documentation" dataDxfId="36"/>
    <tableColumn id="21" xr3:uid="{762E1172-972A-4A3B-B88B-744E6AD7D1CF}" name="Organizer" dataDxfId="3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E3EA246-9EAF-4ED7-9650-4A735D6F5E04}" name="Table2" displayName="Table2" ref="A1:W468" totalsRowShown="0" headerRowDxfId="34" dataDxfId="32" headerRowBorderDxfId="33" tableBorderDxfId="31" totalsRowBorderDxfId="30">
  <autoFilter ref="A1:W468" xr:uid="{2E3EA246-9EAF-4ED7-9650-4A735D6F5E04}"/>
  <tableColumns count="23">
    <tableColumn id="1" xr3:uid="{A0509437-19E7-4E99-B208-368B0C8B79CF}" name="NIS" dataDxfId="29"/>
    <tableColumn id="2" xr3:uid="{F06AE178-3CE1-47AE-A4B8-D062B046E922}" name="Name" dataDxfId="28"/>
    <tableColumn id="3" xr3:uid="{51C2DA84-235B-4222-AC8C-00FFFD0F0C49}" name="Major" dataDxfId="27"/>
    <tableColumn id="4" xr3:uid="{4EEA1D21-4399-44DD-B108-B2584C30EE5E}" name="Student Year" dataDxfId="26"/>
    <tableColumn id="5" xr3:uid="{1C0F2EC9-A173-4BB4-88E0-994DAEA077CA}" name="Activity" dataDxfId="25"/>
    <tableColumn id="6" xr3:uid="{F4AF255A-3186-41BF-82A8-66FB7B670383}" name="Start Date" dataDxfId="24"/>
    <tableColumn id="7" xr3:uid="{0EA5C6D9-1E63-4F49-A002-0551C9485BBC}" name="End Date" dataDxfId="23"/>
    <tableColumn id="8" xr3:uid="{246103EB-A6C4-4988-BB64-ED71B82D3C9C}" name="Period" dataDxfId="22"/>
    <tableColumn id="9" xr3:uid="{0CC8EC2D-5972-455D-8145-097106C4EF9B}" name="Description" dataDxfId="21"/>
    <tableColumn id="10" xr3:uid="{15163A3D-0F3F-4B59-8302-B954637C9061}" name="Category" dataDxfId="20"/>
    <tableColumn id="11" xr3:uid="{19557DB5-DC37-4B47-AE75-D8B0734A36C2}" name="Status" dataDxfId="19"/>
    <tableColumn id="12" xr3:uid="{778DF857-E6BB-464E-8744-323A23F4A73A}" name="Level" dataDxfId="18"/>
    <tableColumn id="13" xr3:uid="{99B1003A-4CF6-41C3-9915-74588B611746}" name="Participant As" dataDxfId="17"/>
    <tableColumn id="14" xr3:uid="{295E98C8-95CB-4EF3-A970-09AC0623C90E}" name="Total Participant" dataDxfId="16"/>
    <tableColumn id="15" xr3:uid="{E482E3CF-E87A-414F-BB21-163395A6B928}" name="Point" dataDxfId="15"/>
    <tableColumn id="16" xr3:uid="{97F00C2E-FC07-41D2-A48F-0D3DF20AAD06}" name="Website" dataDxfId="14"/>
    <tableColumn id="17" xr3:uid="{9783D212-A444-4F84-9CB8-3724D6724B35}" name="Certificate" dataDxfId="13"/>
    <tableColumn id="18" xr3:uid="{598952FA-6B5C-4146-BF79-1CFE4AFF1728}" name="Assignment Letter" dataDxfId="12"/>
    <tableColumn id="19" xr3:uid="{F0093D5D-1EFF-47A5-B7A3-9DDBCC1694EE}" name="Report" dataDxfId="11"/>
    <tableColumn id="20" xr3:uid="{A3389588-DFCC-4879-8954-616974C5EF55}" name="Documentation" dataDxfId="10"/>
    <tableColumn id="21" xr3:uid="{E42A730B-CFE6-4882-B972-47FBDF0F2F52}" name="Organizer" dataDxfId="9"/>
    <tableColumn id="23" xr3:uid="{FC9528F2-CC60-485D-A149-628A963EEAFB}" name="Criteria" dataDxfId="8">
      <calculatedColumnFormula>CLEAN(TRIM(Table2[[#This Row],[Status]] &amp; "|" &amp; Table2[[#This Row],[Level]] &amp; "|" &amp; Table2[[#This Row],[Participant As]]))</calculatedColumnFormula>
    </tableColumn>
    <tableColumn id="22" xr3:uid="{98655E20-8BB7-4109-8D29-E3119C75F985}" name="Score" dataDxfId="7">
      <calculatedColumnFormula>IFERROR(INDEX(GradingSimkat[Score], MATCH(Table2[[#This Row],[Criteria]], GradingSimkat[Criteria], 0)), 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8D6CBC-425A-4A70-A422-20713E754F11}" name="GradingSimkat" displayName="GradingSimkat" ref="A1:E50" totalsRowShown="0" headerRowDxfId="6" dataDxfId="5">
  <autoFilter ref="A1:E50" xr:uid="{3B373465-528D-43CE-8DFC-85D264F6ECE7}"/>
  <tableColumns count="5">
    <tableColumn id="6" xr3:uid="{7784E217-4CE1-43AB-995F-53722D1927D6}" name="Placement" dataDxfId="4"/>
    <tableColumn id="2" xr3:uid="{2CF9B4B0-E575-4A2F-ABA3-A3FEA9F7DA4E}" name="Level" dataDxfId="3"/>
    <tableColumn id="3" xr3:uid="{3D6B3033-9781-4C12-9E9B-9EB916A49861}" name="Team Category" dataDxfId="2"/>
    <tableColumn id="4" xr3:uid="{212E00CF-B295-4DE5-B5C9-E21D0AFAE8F5}" name="Score" dataDxfId="1"/>
    <tableColumn id="5" xr3:uid="{602DBB9B-192A-4DC8-AD65-80C0F82ACB2B}" name="Criteria" dataDxfId="0">
      <calculatedColumnFormula>CLEAN(TRIM(GradingSimkat[[#This Row],[Placement]] &amp;  "|" &amp; GradingSimkat[[#This Row],[Level]] &amp; "|" &amp; GradingSimkat[[#This Row],[Team Category]]))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21" Type="http://schemas.openxmlformats.org/officeDocument/2006/relationships/hyperlink" Target="https://journal.unesa.ac.id/index.php/bisma/articl" TargetMode="External"/><Relationship Id="rId170" Type="http://schemas.openxmlformats.org/officeDocument/2006/relationships/hyperlink" Target="https://employee.uc.ac.id/index.php/file/get/sis/t_cp/multi/44388237-9417-11ee-bd04-000d3ac6bafe_assignmentletter.png" TargetMode="External"/><Relationship Id="rId268" Type="http://schemas.openxmlformats.org/officeDocument/2006/relationships/hyperlink" Target="https://employee.uc.ac.id/index.php/file/get/sis/t_cp/multi/c77a0b11-9336-11ee-859c-000d3ac6bafe.png" TargetMode="External"/><Relationship Id="rId475" Type="http://schemas.openxmlformats.org/officeDocument/2006/relationships/hyperlink" Target="https://employee.uc.ac.id/index.php/file/get/sis/t_cp/multi/44388237-9417-11ee-bd04-000d3ac6bafe.png" TargetMode="External"/><Relationship Id="rId682" Type="http://schemas.openxmlformats.org/officeDocument/2006/relationships/hyperlink" Target="https://employee.uc.ac.id/index.php/file/get/sis/t_cp/multi/44388237-9417-11ee-bd04-000d3ac6bafe_assignmentletter.png" TargetMode="External"/><Relationship Id="rId128" Type="http://schemas.openxmlformats.org/officeDocument/2006/relationships/hyperlink" Target="https://employee.uc.ac.id/index.php/file/get/sis/t_cp/multi/44388237-9417-11ee-bd04-000d3ac6bafe_assignmentletter.png" TargetMode="External"/><Relationship Id="rId335" Type="http://schemas.openxmlformats.org/officeDocument/2006/relationships/hyperlink" Target="https://employee.uc.ac.id/index.php/file/get/sis/t_cp/multi/44388237-9417-11ee-bd04-000d3ac6bafe.png" TargetMode="External"/><Relationship Id="rId542" Type="http://schemas.openxmlformats.org/officeDocument/2006/relationships/hyperlink" Target="https://employee.uc.ac.id/index.php/file/get/sis/t_cp/multi/44388237-9417-11ee-bd04-000d3ac6bafe_assignmentletter.png" TargetMode="External"/><Relationship Id="rId987" Type="http://schemas.openxmlformats.org/officeDocument/2006/relationships/hyperlink" Target="https://employee.uc.ac.id/index.php/file/get/sis/t_cp/588bfc93-42f9-11ee-a2ef-000d3ac6bafe_assignmentletter.jpg" TargetMode="External"/><Relationship Id="rId402" Type="http://schemas.openxmlformats.org/officeDocument/2006/relationships/hyperlink" Target="https://employee.uc.ac.id/index.php/file/get/sis/t_cp/multi/44388237-9417-11ee-bd04-000d3ac6bafe_assignmentletter.png" TargetMode="External"/><Relationship Id="rId847" Type="http://schemas.openxmlformats.org/officeDocument/2006/relationships/hyperlink" Target="https://employee.uc.ac.id/index.php/file/get/sis/t_cp/82340ecc-baf1-11ed-8264-000d3ac6bafe_assignmentletter.jpg" TargetMode="External"/><Relationship Id="rId1032" Type="http://schemas.openxmlformats.org/officeDocument/2006/relationships/hyperlink" Target="https://employee.uc.ac.id/index.php/file/get/sis/t_cp/481197d4-1590-11ee-9279-000d3ac6bafe.jpg" TargetMode="External"/><Relationship Id="rId707" Type="http://schemas.openxmlformats.org/officeDocument/2006/relationships/hyperlink" Target="https://icoen.org/" TargetMode="External"/><Relationship Id="rId914" Type="http://schemas.openxmlformats.org/officeDocument/2006/relationships/hyperlink" Target="https://employee.uc.ac.id/index.php/file/get/sis/t_cp/multi/c77a0b11-9336-11ee-859c-000d3ac6bafe.png" TargetMode="External"/><Relationship Id="rId43" Type="http://schemas.openxmlformats.org/officeDocument/2006/relationships/hyperlink" Target="https://employee.uc.ac.id/index.php/file/get/sis/t_cp/multi/44388237-9417-11ee-bd04-000d3ac6bafe.png" TargetMode="External"/><Relationship Id="rId192" Type="http://schemas.openxmlformats.org/officeDocument/2006/relationships/hyperlink" Target="https://icoen.org/" TargetMode="External"/><Relationship Id="rId497" Type="http://schemas.openxmlformats.org/officeDocument/2006/relationships/hyperlink" Target="https://employee.uc.ac.id/index.php/file/get/sis/t_cp/multi/44388237-9417-11ee-bd04-000d3ac6bafe_assignmentletter.png" TargetMode="External"/><Relationship Id="rId357" Type="http://schemas.openxmlformats.org/officeDocument/2006/relationships/hyperlink" Target="https://employee.uc.ac.id/index.php/file/get/sis/t_cp/multi/44388237-9417-11ee-bd04-000d3ac6bafe_assignmentletter.png" TargetMode="External"/><Relationship Id="rId217" Type="http://schemas.openxmlformats.org/officeDocument/2006/relationships/hyperlink" Target="https://employee.uc.ac.id/index.php/file/get/sis/t_cp/multi/44388237-9417-11ee-bd04-000d3ac6bafe.png" TargetMode="External"/><Relationship Id="rId564" Type="http://schemas.openxmlformats.org/officeDocument/2006/relationships/hyperlink" Target="https://icoen.org/" TargetMode="External"/><Relationship Id="rId771" Type="http://schemas.openxmlformats.org/officeDocument/2006/relationships/hyperlink" Target="https://employee.uc.ac.id/index.php/file/get/sis/t_cp/606f6fdd-14aa-11ee-bcb1-000d3ac6bafe.pdf" TargetMode="External"/><Relationship Id="rId869" Type="http://schemas.openxmlformats.org/officeDocument/2006/relationships/hyperlink" Target="https://employee.uc.ac.id/index.php/file/get/sis/t_cp/multi/1e7be259-882b-11ee-ae4d-000d3ac6bafe.png" TargetMode="External"/><Relationship Id="rId424" Type="http://schemas.openxmlformats.org/officeDocument/2006/relationships/hyperlink" Target="https://icoen.org/" TargetMode="External"/><Relationship Id="rId631" Type="http://schemas.openxmlformats.org/officeDocument/2006/relationships/hyperlink" Target="https://employee.uc.ac.id/index.php/file/get/sis/t_cp/multi/44388237-9417-11ee-bd04-000d3ac6bafe_assignmentletter.png" TargetMode="External"/><Relationship Id="rId729" Type="http://schemas.openxmlformats.org/officeDocument/2006/relationships/hyperlink" Target="https://employee.uc.ac.id/index.php/file/get/sis/t_cp/b76c3473-f7e7-11ed-bf96-000d3ac6bafe_assignmentletter.png" TargetMode="External"/><Relationship Id="rId1054" Type="http://schemas.openxmlformats.org/officeDocument/2006/relationships/hyperlink" Target="https://icoen.org/" TargetMode="External"/><Relationship Id="rId936" Type="http://schemas.openxmlformats.org/officeDocument/2006/relationships/hyperlink" Target="https://employee.uc.ac.id/index.php/file/get/sis/t_cp/multi/1e7be259-882b-11ee-ae4d-000d3ac6bafe.png" TargetMode="External"/><Relationship Id="rId1121" Type="http://schemas.openxmlformats.org/officeDocument/2006/relationships/hyperlink" Target="https://employee.uc.ac.id/index.php/file/get/sis/t_cp/multi/22a9f18e-0412-11ee-ba25-000d3ac6bafe.png" TargetMode="External"/><Relationship Id="rId65" Type="http://schemas.openxmlformats.org/officeDocument/2006/relationships/hyperlink" Target="https://employee.uc.ac.id/index.php/file/get/sis/t_cp/multi/44388237-9417-11ee-bd04-000d3ac6bafe_assignmentletter.png" TargetMode="External"/><Relationship Id="rId281" Type="http://schemas.openxmlformats.org/officeDocument/2006/relationships/hyperlink" Target="https://employee.uc.ac.id/index.php/file/get/sis/t_cp/multi/44388237-9417-11ee-bd04-000d3ac6bafe_assignmentletter.png" TargetMode="External"/><Relationship Id="rId141" Type="http://schemas.openxmlformats.org/officeDocument/2006/relationships/hyperlink" Target="https://employee.uc.ac.id/index.php/file/get/sis/t_cp/multi/44388237-9417-11ee-bd04-000d3ac6bafe.png" TargetMode="External"/><Relationship Id="rId379" Type="http://schemas.openxmlformats.org/officeDocument/2006/relationships/hyperlink" Target="https://icoen.org/" TargetMode="External"/><Relationship Id="rId586" Type="http://schemas.openxmlformats.org/officeDocument/2006/relationships/hyperlink" Target="https://employee.uc.ac.id/index.php/file/get/sis/t_cp/multi/44388237-9417-11ee-bd04-000d3ac6bafe.png" TargetMode="External"/><Relationship Id="rId793" Type="http://schemas.openxmlformats.org/officeDocument/2006/relationships/hyperlink" Target="https://employee.uc.ac.id/index.php/file/get/sis/t_cp/multi/c77a0b11-9336-11ee-859c-000d3ac6bafe_assignmentletter.png" TargetMode="External"/><Relationship Id="rId7" Type="http://schemas.openxmlformats.org/officeDocument/2006/relationships/hyperlink" Target="https://employee.uc.ac.id/index.php/file/get/sis/t_cp/e5d917f3-b39c-11ed-ae8d-000d3ac6bafe.jpg" TargetMode="External"/><Relationship Id="rId239" Type="http://schemas.openxmlformats.org/officeDocument/2006/relationships/hyperlink" Target="https://employee.uc.ac.id/index.php/file/get/sis/t_cp/multi/44388237-9417-11ee-bd04-000d3ac6bafe_assignmentletter.png" TargetMode="External"/><Relationship Id="rId446" Type="http://schemas.openxmlformats.org/officeDocument/2006/relationships/hyperlink" Target="https://icoen.org/" TargetMode="External"/><Relationship Id="rId653" Type="http://schemas.openxmlformats.org/officeDocument/2006/relationships/hyperlink" Target="https://icoen.org/" TargetMode="External"/><Relationship Id="rId1076" Type="http://schemas.openxmlformats.org/officeDocument/2006/relationships/hyperlink" Target="https://employee.uc.ac.id/index.php/file/get/sis/t_cp/multi/c77a0b11-9336-11ee-859c-000d3ac6bafe_assignmentletter.png" TargetMode="External"/><Relationship Id="rId306" Type="http://schemas.openxmlformats.org/officeDocument/2006/relationships/hyperlink" Target="https://employee.uc.ac.id/index.php/file/get/sis/t_cp/multi/44388237-9417-11ee-bd04-000d3ac6bafe.png" TargetMode="External"/><Relationship Id="rId860" Type="http://schemas.openxmlformats.org/officeDocument/2006/relationships/hyperlink" Target="https://icoen.org/" TargetMode="External"/><Relationship Id="rId958" Type="http://schemas.openxmlformats.org/officeDocument/2006/relationships/hyperlink" Target="https://employee.uc.ac.id/index.php/file/get/sis/t_cp/967e7cfa-0119-11ee-b6e3-000d3ac6bafe.jpg" TargetMode="External"/><Relationship Id="rId1143" Type="http://schemas.openxmlformats.org/officeDocument/2006/relationships/hyperlink" Target="https://employee.uc.ac.id/index.php/file/get/sis/t_cp/multi/c77a0b11-9336-11ee-859c-000d3ac6bafe_assignmentletter.png" TargetMode="External"/><Relationship Id="rId87" Type="http://schemas.openxmlformats.org/officeDocument/2006/relationships/hyperlink" Target="https://employee.uc.ac.id/index.php/file/get/sis/t_cp/multi/44388237-9417-11ee-bd04-000d3ac6bafe_assignmentletter.png" TargetMode="External"/><Relationship Id="rId513" Type="http://schemas.openxmlformats.org/officeDocument/2006/relationships/hyperlink" Target="https://icoen.org/" TargetMode="External"/><Relationship Id="rId720" Type="http://schemas.openxmlformats.org/officeDocument/2006/relationships/hyperlink" Target="https://employee.uc.ac.id/index.php/file/get/sis/t_cp/multi/1e7be259-882b-11ee-ae4d-000d3ac6bafe.png" TargetMode="External"/><Relationship Id="rId818" Type="http://schemas.openxmlformats.org/officeDocument/2006/relationships/hyperlink" Target="https://employee.uc.ac.id/index.php/file/get/sis/t_cp/d6b337ad-91ec-11ee-ab5b-000d3ac6bafe_assignmentletter.jpg" TargetMode="External"/><Relationship Id="rId1003" Type="http://schemas.openxmlformats.org/officeDocument/2006/relationships/hyperlink" Target="https://employee.uc.ac.id/index.php/file/get/sis/t_cp/multi/c77a0b11-9336-11ee-859c-000d3ac6bafe.png" TargetMode="External"/><Relationship Id="rId14" Type="http://schemas.openxmlformats.org/officeDocument/2006/relationships/hyperlink" Target="https://scholar.google.co.id/citations?user=ka0E86" TargetMode="External"/><Relationship Id="rId163" Type="http://schemas.openxmlformats.org/officeDocument/2006/relationships/hyperlink" Target="https://employee.uc.ac.id/index.php/file/get/sis/t_cp/multi/44388237-9417-11ee-bd04-000d3ac6bafe_assignmentletter.png" TargetMode="External"/><Relationship Id="rId370" Type="http://schemas.openxmlformats.org/officeDocument/2006/relationships/hyperlink" Target="https://icoen.org/" TargetMode="External"/><Relationship Id="rId230" Type="http://schemas.openxmlformats.org/officeDocument/2006/relationships/hyperlink" Target="https://employee.uc.ac.id/index.php/file/get/sis/t_cp/multi/44388237-9417-11ee-bd04-000d3ac6bafe_assignmentletter.png" TargetMode="External"/><Relationship Id="rId468" Type="http://schemas.openxmlformats.org/officeDocument/2006/relationships/hyperlink" Target="https://icoen.org/" TargetMode="External"/><Relationship Id="rId675" Type="http://schemas.openxmlformats.org/officeDocument/2006/relationships/hyperlink" Target="https://employee.uc.ac.id/index.php/file/get/sis/t_cp/multi/44388237-9417-11ee-bd04-000d3ac6bafe.png" TargetMode="External"/><Relationship Id="rId882" Type="http://schemas.openxmlformats.org/officeDocument/2006/relationships/hyperlink" Target="https://employee.uc.ac.id/index.php/file/get/sis/t_cp/multi/c77a0b11-9336-11ee-859c-000d3ac6bafe.png" TargetMode="External"/><Relationship Id="rId1098" Type="http://schemas.openxmlformats.org/officeDocument/2006/relationships/hyperlink" Target="https://icoen.org/" TargetMode="External"/><Relationship Id="rId328" Type="http://schemas.openxmlformats.org/officeDocument/2006/relationships/hyperlink" Target="https://employee.uc.ac.id/index.php/file/get/sis/t_cp/multi/44388237-9417-11ee-bd04-000d3ac6bafe_assignmentletter.png" TargetMode="External"/><Relationship Id="rId535" Type="http://schemas.openxmlformats.org/officeDocument/2006/relationships/hyperlink" Target="https://employee.uc.ac.id/index.php/file/get/sis/t_cp/multi/44388237-9417-11ee-bd04-000d3ac6bafe.png" TargetMode="External"/><Relationship Id="rId742" Type="http://schemas.openxmlformats.org/officeDocument/2006/relationships/hyperlink" Target="https://employee.uc.ac.id/index.php/file/get/sis/t_cp/7bdce055-97d5-11ed-af4b-000d3ac6bafe.jpg" TargetMode="External"/><Relationship Id="rId1165" Type="http://schemas.openxmlformats.org/officeDocument/2006/relationships/hyperlink" Target="https://employee.uc.ac.id/index.php/file/get/sis/t_cp/multi/c77a0b11-9336-11ee-859c-000d3ac6bafe.png" TargetMode="External"/><Relationship Id="rId602" Type="http://schemas.openxmlformats.org/officeDocument/2006/relationships/hyperlink" Target="https://icoen.org/" TargetMode="External"/><Relationship Id="rId1025" Type="http://schemas.openxmlformats.org/officeDocument/2006/relationships/hyperlink" Target="https://employee.uc.ac.id/index.php/file/get/sis/t_cp/1248c4a1-7201-11ee-b231-000d3ac6bafe.jpg" TargetMode="External"/><Relationship Id="rId907" Type="http://schemas.openxmlformats.org/officeDocument/2006/relationships/hyperlink" Target="https://icoen.org/" TargetMode="External"/><Relationship Id="rId36" Type="http://schemas.openxmlformats.org/officeDocument/2006/relationships/hyperlink" Target="https://icoen.org/" TargetMode="External"/><Relationship Id="rId185" Type="http://schemas.openxmlformats.org/officeDocument/2006/relationships/hyperlink" Target="https://employee.uc.ac.id/index.php/file/get/sis/t_cp/multi/44388237-9417-11ee-bd04-000d3ac6bafe_assignmentletter.png" TargetMode="External"/><Relationship Id="rId392" Type="http://schemas.openxmlformats.org/officeDocument/2006/relationships/hyperlink" Target="https://employee.uc.ac.id/index.php/file/get/sis/t_cp/multi/44388237-9417-11ee-bd04-000d3ac6bafe.png" TargetMode="External"/><Relationship Id="rId697" Type="http://schemas.openxmlformats.org/officeDocument/2006/relationships/hyperlink" Target="https://employee.uc.ac.id/index.php/file/get/sis/t_cp/multi/44388237-9417-11ee-bd04-000d3ac6bafe_assignmentletter.png" TargetMode="External"/><Relationship Id="rId252" Type="http://schemas.openxmlformats.org/officeDocument/2006/relationships/hyperlink" Target="https://icoen.org/" TargetMode="External"/><Relationship Id="rId112" Type="http://schemas.openxmlformats.org/officeDocument/2006/relationships/hyperlink" Target="https://www.instagram.com/p/CwPUGNyvIf8/?igshid=MW" TargetMode="External"/><Relationship Id="rId557" Type="http://schemas.openxmlformats.org/officeDocument/2006/relationships/hyperlink" Target="https://employee.uc.ac.id/index.php/file/get/sis/t_cp/multi/44388237-9417-11ee-bd04-000d3ac6bafe_assignmentletter.png" TargetMode="External"/><Relationship Id="rId764" Type="http://schemas.openxmlformats.org/officeDocument/2006/relationships/hyperlink" Target="https://employee.uc.ac.id/index.php/file/get/sis/t_cp/b23ec435-4fdf-11ee-8859-000d3ac6bafe.jpg" TargetMode="External"/><Relationship Id="rId971" Type="http://schemas.openxmlformats.org/officeDocument/2006/relationships/hyperlink" Target="https://employee.uc.ac.id/index.php/file/get/sis/t_cp/multi/c77a0b11-9336-11ee-859c-000d3ac6bafe_assignmentletter.png" TargetMode="External"/><Relationship Id="rId417" Type="http://schemas.openxmlformats.org/officeDocument/2006/relationships/hyperlink" Target="https://employee.uc.ac.id/index.php/file/get/sis/t_cp/multi/44388237-9417-11ee-bd04-000d3ac6bafe_assignmentletter.png" TargetMode="External"/><Relationship Id="rId624" Type="http://schemas.openxmlformats.org/officeDocument/2006/relationships/hyperlink" Target="https://employee.uc.ac.id/index.php/file/get/sis/t_cp/multi/44388237-9417-11ee-bd04-000d3ac6bafe.png" TargetMode="External"/><Relationship Id="rId831" Type="http://schemas.openxmlformats.org/officeDocument/2006/relationships/hyperlink" Target="https://icoen.org/" TargetMode="External"/><Relationship Id="rId1047" Type="http://schemas.openxmlformats.org/officeDocument/2006/relationships/hyperlink" Target="https://employee.uc.ac.id/index.php/file/get/sis/t_cp/1284ec59-6678-11ee-817b-000d3ac6bafe_assignmentletter.JPG" TargetMode="External"/><Relationship Id="rId929" Type="http://schemas.openxmlformats.org/officeDocument/2006/relationships/hyperlink" Target="https://icoen.org/" TargetMode="External"/><Relationship Id="rId1114" Type="http://schemas.openxmlformats.org/officeDocument/2006/relationships/hyperlink" Target="https://icoen.org/" TargetMode="External"/><Relationship Id="rId58" Type="http://schemas.openxmlformats.org/officeDocument/2006/relationships/hyperlink" Target="https://employee.uc.ac.id/index.php/file/get/sis/t_cp/2391b445-8dc2-11ed-811b-000d3ac6bafe_assignmentletter.jpg" TargetMode="External"/><Relationship Id="rId123" Type="http://schemas.openxmlformats.org/officeDocument/2006/relationships/hyperlink" Target="https://icoen.org/" TargetMode="External"/><Relationship Id="rId330" Type="http://schemas.openxmlformats.org/officeDocument/2006/relationships/hyperlink" Target="https://employee.uc.ac.id/index.php/file/get/sis/t_cp/multi/44388237-9417-11ee-bd04-000d3ac6bafe.png" TargetMode="External"/><Relationship Id="rId568" Type="http://schemas.openxmlformats.org/officeDocument/2006/relationships/hyperlink" Target="https://employee.uc.ac.id/index.php/file/get/sis/t_cp/multi/44388237-9417-11ee-bd04-000d3ac6bafe.png" TargetMode="External"/><Relationship Id="rId775" Type="http://schemas.openxmlformats.org/officeDocument/2006/relationships/hyperlink" Target="https://dprd.surabaya.go.id/" TargetMode="External"/><Relationship Id="rId982" Type="http://schemas.openxmlformats.org/officeDocument/2006/relationships/hyperlink" Target="https://sekolahmusikindonesia.id/" TargetMode="External"/><Relationship Id="rId428" Type="http://schemas.openxmlformats.org/officeDocument/2006/relationships/hyperlink" Target="https://employee.uc.ac.id/index.php/file/get/sis/t_cp/multi/44388237-9417-11ee-bd04-000d3ac6bafe.png" TargetMode="External"/><Relationship Id="rId635" Type="http://schemas.openxmlformats.org/officeDocument/2006/relationships/hyperlink" Target="https://icoen.org/" TargetMode="External"/><Relationship Id="rId842" Type="http://schemas.openxmlformats.org/officeDocument/2006/relationships/hyperlink" Target="https://employee.uc.ac.id/index.php/file/get/sis/t_cp/multi/c77a0b11-9336-11ee-859c-000d3ac6bafe_assignmentletter.png" TargetMode="External"/><Relationship Id="rId1058" Type="http://schemas.openxmlformats.org/officeDocument/2006/relationships/hyperlink" Target="https://employee.uc.ac.id/index.php/file/get/sis/t_cp/b0e701a8-6677-11ee-817b-000d3ac6bafe_assignmentletter.jpg" TargetMode="External"/><Relationship Id="rId274" Type="http://schemas.openxmlformats.org/officeDocument/2006/relationships/hyperlink" Target="https://employee.uc.ac.id/index.php/file/get/sis/t_cp/multi/44388237-9417-11ee-bd04-000d3ac6bafe.png" TargetMode="External"/><Relationship Id="rId481" Type="http://schemas.openxmlformats.org/officeDocument/2006/relationships/hyperlink" Target="https://employee.uc.ac.id/index.php/file/get/sis/t_cp/multi/44388237-9417-11ee-bd04-000d3ac6bafe.png" TargetMode="External"/><Relationship Id="rId702" Type="http://schemas.openxmlformats.org/officeDocument/2006/relationships/hyperlink" Target="https://employee.uc.ac.id/index.php/file/get/sis/t_cp/multi/44388237-9417-11ee-bd04-000d3ac6bafe.png" TargetMode="External"/><Relationship Id="rId1125" Type="http://schemas.openxmlformats.org/officeDocument/2006/relationships/hyperlink" Target="https://icoen.org/" TargetMode="External"/><Relationship Id="rId69" Type="http://schemas.openxmlformats.org/officeDocument/2006/relationships/hyperlink" Target="https://icoen.org/" TargetMode="External"/><Relationship Id="rId134" Type="http://schemas.openxmlformats.org/officeDocument/2006/relationships/hyperlink" Target="https://icoen.org/" TargetMode="External"/><Relationship Id="rId579" Type="http://schemas.openxmlformats.org/officeDocument/2006/relationships/hyperlink" Target="https://icoen.org/" TargetMode="External"/><Relationship Id="rId786" Type="http://schemas.openxmlformats.org/officeDocument/2006/relationships/hyperlink" Target="https://employee.uc.ac.id/index.php/file/get/sis/t_cp/multi/c77a0b11-9336-11ee-859c-000d3ac6bafe.png" TargetMode="External"/><Relationship Id="rId993" Type="http://schemas.openxmlformats.org/officeDocument/2006/relationships/hyperlink" Target="https://employee.uc.ac.id/index.php/file/get/sis/t_cp/multi/c15ab80d-7c81-11ee-aca7-000d3ac6bafe.png" TargetMode="External"/><Relationship Id="rId341" Type="http://schemas.openxmlformats.org/officeDocument/2006/relationships/hyperlink" Target="https://employee.uc.ac.id/index.php/file/get/sis/t_cp/multi/44388237-9417-11ee-bd04-000d3ac6bafe.png" TargetMode="External"/><Relationship Id="rId439" Type="http://schemas.openxmlformats.org/officeDocument/2006/relationships/hyperlink" Target="https://icoen.org/" TargetMode="External"/><Relationship Id="rId646" Type="http://schemas.openxmlformats.org/officeDocument/2006/relationships/hyperlink" Target="https://employee.uc.ac.id/index.php/file/get/sis/t_cp/multi/44388237-9417-11ee-bd04-000d3ac6bafe_assignmentletter.png" TargetMode="External"/><Relationship Id="rId1069" Type="http://schemas.openxmlformats.org/officeDocument/2006/relationships/hyperlink" Target="https://employee.uc.ac.id/index.php/file/get/sis/t_cp/multi/c77a0b11-9336-11ee-859c-000d3ac6bafe_assignmentletter.png" TargetMode="External"/><Relationship Id="rId201" Type="http://schemas.openxmlformats.org/officeDocument/2006/relationships/hyperlink" Target="https://icoen.org/" TargetMode="External"/><Relationship Id="rId285" Type="http://schemas.openxmlformats.org/officeDocument/2006/relationships/hyperlink" Target="https://employee.uc.ac.id/index.php/file/get/sis/t_cp/multi/c15ab80d-7c81-11ee-aca7-000d3ac6bafe.png" TargetMode="External"/><Relationship Id="rId506" Type="http://schemas.openxmlformats.org/officeDocument/2006/relationships/hyperlink" Target="https://employee.uc.ac.id/index.php/file/get/sis/t_cp/multi/44388237-9417-11ee-bd04-000d3ac6bafe_assignmentletter.png" TargetMode="External"/><Relationship Id="rId853" Type="http://schemas.openxmlformats.org/officeDocument/2006/relationships/hyperlink" Target="https://employee.uc.ac.id/index.php/file/get/sis/t_cp/a522fdc4-8c94-11ed-8644-000d3ac6bafe_report.pdf" TargetMode="External"/><Relationship Id="rId1136" Type="http://schemas.openxmlformats.org/officeDocument/2006/relationships/hyperlink" Target="https://employee.uc.ac.id/index.php/file/get/sis/t_cp/multi/c77a0b11-9336-11ee-859c-000d3ac6bafe.png" TargetMode="External"/><Relationship Id="rId492" Type="http://schemas.openxmlformats.org/officeDocument/2006/relationships/hyperlink" Target="https://icoen.org/" TargetMode="External"/><Relationship Id="rId713" Type="http://schemas.openxmlformats.org/officeDocument/2006/relationships/hyperlink" Target="https://icoen.org/" TargetMode="External"/><Relationship Id="rId797" Type="http://schemas.openxmlformats.org/officeDocument/2006/relationships/hyperlink" Target="https://icoen.org/" TargetMode="External"/><Relationship Id="rId920" Type="http://schemas.openxmlformats.org/officeDocument/2006/relationships/hyperlink" Target="https://employee.uc.ac.id/index.php/file/get/sis/t_cp/multi/c77a0b11-9336-11ee-859c-000d3ac6bafe.png" TargetMode="External"/><Relationship Id="rId145" Type="http://schemas.openxmlformats.org/officeDocument/2006/relationships/hyperlink" Target="https://employee.uc.ac.id/index.php/file/get/sis/t_cp/multi/44388237-9417-11ee-bd04-000d3ac6bafe.png" TargetMode="External"/><Relationship Id="rId352" Type="http://schemas.openxmlformats.org/officeDocument/2006/relationships/hyperlink" Target="https://icoen.org/" TargetMode="External"/><Relationship Id="rId212" Type="http://schemas.openxmlformats.org/officeDocument/2006/relationships/hyperlink" Target="https://employee.uc.ac.id/index.php/file/get/sis/t_cp/multi/44388237-9417-11ee-bd04-000d3ac6bafe_assignmentletter.png" TargetMode="External"/><Relationship Id="rId657" Type="http://schemas.openxmlformats.org/officeDocument/2006/relationships/hyperlink" Target="https://employee.uc.ac.id/index.php/file/get/sis/t_cp/multi/44388237-9417-11ee-bd04-000d3ac6bafe.png" TargetMode="External"/><Relationship Id="rId864" Type="http://schemas.openxmlformats.org/officeDocument/2006/relationships/hyperlink" Target="https://employee.uc.ac.id/index.php/file/get/sis/t_cp/multi/e9f29743-d848-11ed-a359-000d3ac6bafe_assignmentletter.png" TargetMode="External"/><Relationship Id="rId296" Type="http://schemas.openxmlformats.org/officeDocument/2006/relationships/hyperlink" Target="https://icoen.org/" TargetMode="External"/><Relationship Id="rId517" Type="http://schemas.openxmlformats.org/officeDocument/2006/relationships/hyperlink" Target="https://employee.uc.ac.id/index.php/file/get/sis/t_cp/multi/44388237-9417-11ee-bd04-000d3ac6bafe.png" TargetMode="External"/><Relationship Id="rId724" Type="http://schemas.openxmlformats.org/officeDocument/2006/relationships/hyperlink" Target="https://employee.uc.ac.id/index.php/file/get/sis/t_cp/d012c403-90b2-11ed-a139-000d3ac6bafe_report.jpg" TargetMode="External"/><Relationship Id="rId931" Type="http://schemas.openxmlformats.org/officeDocument/2006/relationships/hyperlink" Target="https://employee.uc.ac.id/index.php/file/get/sis/t_cp/multi/c77a0b11-9336-11ee-859c-000d3ac6bafe_assignmentletter.png" TargetMode="External"/><Relationship Id="rId1147" Type="http://schemas.openxmlformats.org/officeDocument/2006/relationships/hyperlink" Target="https://employee.uc.ac.id/index.php/file/get/sis/t_cp/multi/c77a0b11-9336-11ee-859c-000d3ac6bafe_assignmentletter.png" TargetMode="External"/><Relationship Id="rId60" Type="http://schemas.openxmlformats.org/officeDocument/2006/relationships/hyperlink" Target="https://icoen.org/" TargetMode="External"/><Relationship Id="rId156" Type="http://schemas.openxmlformats.org/officeDocument/2006/relationships/hyperlink" Target="https://employee.uc.ac.id/index.php/file/get/sis/t_cp/multi/44388237-9417-11ee-bd04-000d3ac6bafe.png" TargetMode="External"/><Relationship Id="rId363" Type="http://schemas.openxmlformats.org/officeDocument/2006/relationships/hyperlink" Target="https://employee.uc.ac.id/index.php/file/get/sis/t_cp/multi/44388237-9417-11ee-bd04-000d3ac6bafe_assignmentletter.png" TargetMode="External"/><Relationship Id="rId570" Type="http://schemas.openxmlformats.org/officeDocument/2006/relationships/hyperlink" Target="https://icoen.org/" TargetMode="External"/><Relationship Id="rId1007" Type="http://schemas.openxmlformats.org/officeDocument/2006/relationships/hyperlink" Target="https://employee.uc.ac.id/index.php/file/get/sis/t_cp/multi/c77a0b11-9336-11ee-859c-000d3ac6bafe_assignmentletter.png" TargetMode="External"/><Relationship Id="rId223" Type="http://schemas.openxmlformats.org/officeDocument/2006/relationships/hyperlink" Target="https://employee.uc.ac.id/index.php/file/get/sis/t_cp/multi/44388237-9417-11ee-bd04-000d3ac6bafe.png" TargetMode="External"/><Relationship Id="rId430" Type="http://schemas.openxmlformats.org/officeDocument/2006/relationships/hyperlink" Target="https://icoen.org/" TargetMode="External"/><Relationship Id="rId668" Type="http://schemas.openxmlformats.org/officeDocument/2006/relationships/hyperlink" Target="https://icoen.org/" TargetMode="External"/><Relationship Id="rId875" Type="http://schemas.openxmlformats.org/officeDocument/2006/relationships/hyperlink" Target="https://employee.uc.ac.id/index.php/file/get/sis/t_cp/multi/e9f29743-d848-11ed-a359-000d3ac6bafe.png" TargetMode="External"/><Relationship Id="rId1060" Type="http://schemas.openxmlformats.org/officeDocument/2006/relationships/hyperlink" Target="https://employee.uc.ac.id/index.php/file/get/sis/t_cp/multi/c77a0b11-9336-11ee-859c-000d3ac6bafe.png" TargetMode="External"/><Relationship Id="rId18" Type="http://schemas.openxmlformats.org/officeDocument/2006/relationships/hyperlink" Target="https://icoen.org/" TargetMode="External"/><Relationship Id="rId528" Type="http://schemas.openxmlformats.org/officeDocument/2006/relationships/hyperlink" Target="https://icoen.org/" TargetMode="External"/><Relationship Id="rId735" Type="http://schemas.openxmlformats.org/officeDocument/2006/relationships/hyperlink" Target="https://employee.uc.ac.id/index.php/file/get/sis/t_cp/2a2e96d9-97b5-11ed-af4b-000d3ac6bafe_assignmentletter.jpeg" TargetMode="External"/><Relationship Id="rId942" Type="http://schemas.openxmlformats.org/officeDocument/2006/relationships/hyperlink" Target="https://employee.uc.ac.id/index.php/file/get/sis/t_cp/multi/c77a0b11-9336-11ee-859c-000d3ac6bafe_assignmentletter.png" TargetMode="External"/><Relationship Id="rId1158" Type="http://schemas.openxmlformats.org/officeDocument/2006/relationships/hyperlink" Target="https://employee.uc.ac.id/index.php/file/get/sis/t_cp/multi/c77a0b11-9336-11ee-859c-000d3ac6bafe_assignmentletter.png" TargetMode="External"/><Relationship Id="rId167" Type="http://schemas.openxmlformats.org/officeDocument/2006/relationships/hyperlink" Target="https://employee.uc.ac.id/index.php/file/get/sis/t_cp/af441088-9998-11ee-ad3c-000d3ac6bafe_report.jpeg" TargetMode="External"/><Relationship Id="rId374" Type="http://schemas.openxmlformats.org/officeDocument/2006/relationships/hyperlink" Target="https://employee.uc.ac.id/index.php/file/get/sis/t_cp/multi/44388237-9417-11ee-bd04-000d3ac6bafe.png" TargetMode="External"/><Relationship Id="rId581" Type="http://schemas.openxmlformats.org/officeDocument/2006/relationships/hyperlink" Target="https://employee.uc.ac.id/index.php/file/get/sis/t_cp/multi/44388237-9417-11ee-bd04-000d3ac6bafe_assignmentletter.png" TargetMode="External"/><Relationship Id="rId1018" Type="http://schemas.openxmlformats.org/officeDocument/2006/relationships/hyperlink" Target="https://employee.uc.ac.id/index.php/file/get/sis/t_cp/multi/252a0c59-2084-11ee-ac37-000d3ac6bafe.png" TargetMode="External"/><Relationship Id="rId71" Type="http://schemas.openxmlformats.org/officeDocument/2006/relationships/hyperlink" Target="https://employee.uc.ac.id/index.php/file/get/sis/t_cp/multi/c77a0b11-9336-11ee-859c-000d3ac6bafe_assignmentletter.png" TargetMode="External"/><Relationship Id="rId234" Type="http://schemas.openxmlformats.org/officeDocument/2006/relationships/hyperlink" Target="https://icoen.org/" TargetMode="External"/><Relationship Id="rId679" Type="http://schemas.openxmlformats.org/officeDocument/2006/relationships/hyperlink" Target="https://employee.uc.ac.id/index.php/file/get/sis/t_cp/multi/44388237-9417-11ee-bd04-000d3ac6bafe_assignmentletter.png" TargetMode="External"/><Relationship Id="rId802" Type="http://schemas.openxmlformats.org/officeDocument/2006/relationships/hyperlink" Target="https://icoen.org/" TargetMode="External"/><Relationship Id="rId886" Type="http://schemas.openxmlformats.org/officeDocument/2006/relationships/hyperlink" Target="https://employee.uc.ac.id/index.php/file/get/sis/t_cp/multi/c77a0b11-9336-11ee-859c-000d3ac6bafe_assignmentletter.png" TargetMode="External"/><Relationship Id="rId2" Type="http://schemas.openxmlformats.org/officeDocument/2006/relationships/hyperlink" Target="https://employee.uc.ac.id/index.php/file/get/sis/t_cp/e3d619b7-9728-11ed-b71c-000d3ac6bafe.pdf" TargetMode="External"/><Relationship Id="rId29" Type="http://schemas.openxmlformats.org/officeDocument/2006/relationships/hyperlink" Target="https://employee.uc.ac.id/index.php/file/get/sis/t_cp/multi/c77a0b11-9336-11ee-859c-000d3ac6bafe.png" TargetMode="External"/><Relationship Id="rId441" Type="http://schemas.openxmlformats.org/officeDocument/2006/relationships/hyperlink" Target="https://employee.uc.ac.id/index.php/file/get/sis/t_cp/multi/44388237-9417-11ee-bd04-000d3ac6bafe_assignmentletter.png" TargetMode="External"/><Relationship Id="rId539" Type="http://schemas.openxmlformats.org/officeDocument/2006/relationships/hyperlink" Target="https://employee.uc.ac.id/index.php/file/get/sis/t_cp/multi/44388237-9417-11ee-bd04-000d3ac6bafe_assignmentletter.png" TargetMode="External"/><Relationship Id="rId746" Type="http://schemas.openxmlformats.org/officeDocument/2006/relationships/hyperlink" Target="https://employee.uc.ac.id/index.php/file/get/sis/t_cp/657224b7-188d-11ee-96cf-000d3ac6bafe.jpg" TargetMode="External"/><Relationship Id="rId1071" Type="http://schemas.openxmlformats.org/officeDocument/2006/relationships/hyperlink" Target="https://employee.uc.ac.id/index.php/file/get/sis/t_cp/multi/c77a0b11-9336-11ee-859c-000d3ac6bafe.png" TargetMode="External"/><Relationship Id="rId178" Type="http://schemas.openxmlformats.org/officeDocument/2006/relationships/hyperlink" Target="https://employee.uc.ac.id/index.php/file/get/sis/t_cp/multi/44388237-9417-11ee-bd04-000d3ac6bafe.png" TargetMode="External"/><Relationship Id="rId301" Type="http://schemas.openxmlformats.org/officeDocument/2006/relationships/hyperlink" Target="https://employee.uc.ac.id/index.php/file/get/sis/t_cp/multi/44388237-9417-11ee-bd04-000d3ac6bafe_assignmentletter.png" TargetMode="External"/><Relationship Id="rId953" Type="http://schemas.openxmlformats.org/officeDocument/2006/relationships/hyperlink" Target="https://employee.uc.ac.id/index.php/file/get/sis/t_cp/multi/c77a0b11-9336-11ee-859c-000d3ac6bafe.png" TargetMode="External"/><Relationship Id="rId1029" Type="http://schemas.openxmlformats.org/officeDocument/2006/relationships/hyperlink" Target="https://instagram.com/lkmmcrista11?igshid=YmMyMTA2" TargetMode="External"/><Relationship Id="rId82" Type="http://schemas.openxmlformats.org/officeDocument/2006/relationships/hyperlink" Target="https://icoen.org/" TargetMode="External"/><Relationship Id="rId385" Type="http://schemas.openxmlformats.org/officeDocument/2006/relationships/hyperlink" Target="https://icoen.org/" TargetMode="External"/><Relationship Id="rId592" Type="http://schemas.openxmlformats.org/officeDocument/2006/relationships/hyperlink" Target="https://employee.uc.ac.id/index.php/file/get/sis/t_cp/multi/44388237-9417-11ee-bd04-000d3ac6bafe.png" TargetMode="External"/><Relationship Id="rId606" Type="http://schemas.openxmlformats.org/officeDocument/2006/relationships/hyperlink" Target="https://employee.uc.ac.id/index.php/file/get/sis/t_cp/multi/44388237-9417-11ee-bd04-000d3ac6bafe.png" TargetMode="External"/><Relationship Id="rId813" Type="http://schemas.openxmlformats.org/officeDocument/2006/relationships/hyperlink" Target="https://employee.uc.ac.id/index.php/file/get/sis/t_cp/multi/c77a0b11-9336-11ee-859c-000d3ac6bafe_assignmentletter.png" TargetMode="External"/><Relationship Id="rId245" Type="http://schemas.openxmlformats.org/officeDocument/2006/relationships/hyperlink" Target="https://employee.uc.ac.id/index.php/file/get/sis/t_cp/multi/44388237-9417-11ee-bd04-000d3ac6bafe_assignmentletter.png" TargetMode="External"/><Relationship Id="rId452" Type="http://schemas.openxmlformats.org/officeDocument/2006/relationships/hyperlink" Target="https://employee.uc.ac.id/index.php/file/get/sis/t_cp/1ed06314-9900-11ee-96bc-000d3ac6bafe.jpg" TargetMode="External"/><Relationship Id="rId897" Type="http://schemas.openxmlformats.org/officeDocument/2006/relationships/hyperlink" Target="https://employee.uc.ac.id/index.php/file/get/sis/t_cp/multi/c77a0b11-9336-11ee-859c-000d3ac6bafe_assignmentletter.png" TargetMode="External"/><Relationship Id="rId1082" Type="http://schemas.openxmlformats.org/officeDocument/2006/relationships/hyperlink" Target="https://employee.uc.ac.id/index.php/file/get/sis/t_cp/multi/c77a0b11-9336-11ee-859c-000d3ac6bafe_assignmentletter.png" TargetMode="External"/><Relationship Id="rId105" Type="http://schemas.openxmlformats.org/officeDocument/2006/relationships/hyperlink" Target="https://employee.uc.ac.id/index.php/file/get/sis/t_cp/multi/44388237-9417-11ee-bd04-000d3ac6bafe.png" TargetMode="External"/><Relationship Id="rId312" Type="http://schemas.openxmlformats.org/officeDocument/2006/relationships/hyperlink" Target="https://employee.uc.ac.id/index.php/file/get/sis/t_cp/multi/44388237-9417-11ee-bd04-000d3ac6bafe.png" TargetMode="External"/><Relationship Id="rId757" Type="http://schemas.openxmlformats.org/officeDocument/2006/relationships/hyperlink" Target="https://employee.uc.ac.id/index.php/file/get/sis/t_cp/47a77fda-dcd7-11ed-8a0b-000d3ac6bafe_assignmentletter.pdf" TargetMode="External"/><Relationship Id="rId964" Type="http://schemas.openxmlformats.org/officeDocument/2006/relationships/hyperlink" Target="https://employee.uc.ac.id/index.php/file/get/sis/t_cp/multi/c77a0b11-9336-11ee-859c-000d3ac6bafe.png" TargetMode="External"/><Relationship Id="rId93" Type="http://schemas.openxmlformats.org/officeDocument/2006/relationships/hyperlink" Target="https://employee.uc.ac.id/index.php/file/get/sis/t_cp/multi/44388237-9417-11ee-bd04-000d3ac6bafe_assignmentletter.png" TargetMode="External"/><Relationship Id="rId189" Type="http://schemas.openxmlformats.org/officeDocument/2006/relationships/hyperlink" Target="https://icoen.org/" TargetMode="External"/><Relationship Id="rId396" Type="http://schemas.openxmlformats.org/officeDocument/2006/relationships/hyperlink" Target="https://employee.uc.ac.id/index.php/file/get/sis/t_cp/multi/44388237-9417-11ee-bd04-000d3ac6bafe_assignmentletter.png" TargetMode="External"/><Relationship Id="rId617" Type="http://schemas.openxmlformats.org/officeDocument/2006/relationships/hyperlink" Target="https://icoen.org/" TargetMode="External"/><Relationship Id="rId824" Type="http://schemas.openxmlformats.org/officeDocument/2006/relationships/hyperlink" Target="https://employee.uc.ac.id/index.php/file/get/sis/t_cp/multi/c77a0b11-9336-11ee-859c-000d3ac6bafe_assignmentletter.png" TargetMode="External"/><Relationship Id="rId256" Type="http://schemas.openxmlformats.org/officeDocument/2006/relationships/hyperlink" Target="https://employee.uc.ac.id/index.php/file/get/sis/t_cp/multi/44388237-9417-11ee-bd04-000d3ac6bafe.png" TargetMode="External"/><Relationship Id="rId463" Type="http://schemas.openxmlformats.org/officeDocument/2006/relationships/hyperlink" Target="https://employee.uc.ac.id/index.php/file/get/sis/t_cp/multi/44388237-9417-11ee-bd04-000d3ac6bafe.png" TargetMode="External"/><Relationship Id="rId670" Type="http://schemas.openxmlformats.org/officeDocument/2006/relationships/hyperlink" Target="https://employee.uc.ac.id/index.php/file/get/sis/t_cp/multi/44388237-9417-11ee-bd04-000d3ac6bafe_assignmentletter.png" TargetMode="External"/><Relationship Id="rId1093" Type="http://schemas.openxmlformats.org/officeDocument/2006/relationships/hyperlink" Target="https://employee.uc.ac.id/index.php/file/get/sis/t_cp/multi/c77a0b11-9336-11ee-859c-000d3ac6bafe.png" TargetMode="External"/><Relationship Id="rId1107" Type="http://schemas.openxmlformats.org/officeDocument/2006/relationships/hyperlink" Target="https://employee.uc.ac.id/index.php/file/get/sis/t_cp/multi/c77a0b11-9336-11ee-859c-000d3ac6bafe_assignmentletter.png" TargetMode="External"/><Relationship Id="rId116" Type="http://schemas.openxmlformats.org/officeDocument/2006/relationships/hyperlink" Target="https://employee.uc.ac.id/index.php/file/get/sis/t_cp/multi/44388237-9417-11ee-bd04-000d3ac6bafe_assignmentletter.png" TargetMode="External"/><Relationship Id="rId323" Type="http://schemas.openxmlformats.org/officeDocument/2006/relationships/hyperlink" Target="https://icoen.org/" TargetMode="External"/><Relationship Id="rId530" Type="http://schemas.openxmlformats.org/officeDocument/2006/relationships/hyperlink" Target="https://employee.uc.ac.id/index.php/file/get/sis/t_cp/multi/44388237-9417-11ee-bd04-000d3ac6bafe_assignmentletter.png" TargetMode="External"/><Relationship Id="rId768" Type="http://schemas.openxmlformats.org/officeDocument/2006/relationships/hyperlink" Target="https://employee.uc.ac.id/index.php/file/get/sis/t_cp/8d3ad991-0441-11ee-ba25-000d3ac6bafe.pdf" TargetMode="External"/><Relationship Id="rId975" Type="http://schemas.openxmlformats.org/officeDocument/2006/relationships/hyperlink" Target="https://employee.uc.ac.id/index.php/file/get/sis/t_cp/4907658c-8b6b-11ed-a20e-000d3ac6bafe.jpg" TargetMode="External"/><Relationship Id="rId1160" Type="http://schemas.openxmlformats.org/officeDocument/2006/relationships/hyperlink" Target="https://employee.uc.ac.id/index.php/file/get/sis/t_cp/multi/c77a0b11-9336-11ee-859c-000d3ac6bafe.png" TargetMode="External"/><Relationship Id="rId20" Type="http://schemas.openxmlformats.org/officeDocument/2006/relationships/hyperlink" Target="https://employee.uc.ac.id/index.php/file/get/sis/t_cp/multi/44388237-9417-11ee-bd04-000d3ac6bafe_assignmentletter.png" TargetMode="External"/><Relationship Id="rId628" Type="http://schemas.openxmlformats.org/officeDocument/2006/relationships/hyperlink" Target="https://employee.uc.ac.id/index.php/file/get/sis/t_cp/multi/44388237-9417-11ee-bd04-000d3ac6bafe_assignmentletter.png" TargetMode="External"/><Relationship Id="rId835" Type="http://schemas.openxmlformats.org/officeDocument/2006/relationships/hyperlink" Target="https://employee.uc.ac.id/index.php/file/get/sis/t_cp/multi/c77a0b11-9336-11ee-859c-000d3ac6bafe.png" TargetMode="External"/><Relationship Id="rId267" Type="http://schemas.openxmlformats.org/officeDocument/2006/relationships/hyperlink" Target="https://icoen.org/" TargetMode="External"/><Relationship Id="rId474" Type="http://schemas.openxmlformats.org/officeDocument/2006/relationships/hyperlink" Target="https://icoen.org/" TargetMode="External"/><Relationship Id="rId1020" Type="http://schemas.openxmlformats.org/officeDocument/2006/relationships/hyperlink" Target="https://icoen.org/" TargetMode="External"/><Relationship Id="rId1118" Type="http://schemas.openxmlformats.org/officeDocument/2006/relationships/hyperlink" Target="https://employee.uc.ac.id/index.php/file/get/sis/t_cp/multi/f6c081fe-76ca-11ee-858c-000d3ac6bafe_assignmentletter.png" TargetMode="External"/><Relationship Id="rId127" Type="http://schemas.openxmlformats.org/officeDocument/2006/relationships/hyperlink" Target="https://employee.uc.ac.id/index.php/file/get/sis/t_cp/multi/44388237-9417-11ee-bd04-000d3ac6bafe.png" TargetMode="External"/><Relationship Id="rId681" Type="http://schemas.openxmlformats.org/officeDocument/2006/relationships/hyperlink" Target="https://employee.uc.ac.id/index.php/file/get/sis/t_cp/multi/44388237-9417-11ee-bd04-000d3ac6bafe.png" TargetMode="External"/><Relationship Id="rId779" Type="http://schemas.openxmlformats.org/officeDocument/2006/relationships/hyperlink" Target="https://kemenparekraf.go.id/" TargetMode="External"/><Relationship Id="rId902" Type="http://schemas.openxmlformats.org/officeDocument/2006/relationships/hyperlink" Target="https://employee.uc.ac.id/index.php/file/get/sis/t_cp/multi/c77a0b11-9336-11ee-859c-000d3ac6bafe.png" TargetMode="External"/><Relationship Id="rId986" Type="http://schemas.openxmlformats.org/officeDocument/2006/relationships/hyperlink" Target="https://employee.uc.ac.id/index.php/file/get/sis/t_cp/328a7cd0-42f9-11ee-a2ef-000d3ac6bafe.jpg" TargetMode="External"/><Relationship Id="rId31" Type="http://schemas.openxmlformats.org/officeDocument/2006/relationships/hyperlink" Target="https://employee.uc.ac.id/index.php/file/get/sis/t_cp/multi/e9f29743-d848-11ed-a359-000d3ac6bafe.png" TargetMode="External"/><Relationship Id="rId334" Type="http://schemas.openxmlformats.org/officeDocument/2006/relationships/hyperlink" Target="https://icoen.org/" TargetMode="External"/><Relationship Id="rId541" Type="http://schemas.openxmlformats.org/officeDocument/2006/relationships/hyperlink" Target="https://employee.uc.ac.id/index.php/file/get/sis/t_cp/multi/44388237-9417-11ee-bd04-000d3ac6bafe.png" TargetMode="External"/><Relationship Id="rId639" Type="http://schemas.openxmlformats.org/officeDocument/2006/relationships/hyperlink" Target="https://employee.uc.ac.id/index.php/file/get/sis/t_cp/multi/44388237-9417-11ee-bd04-000d3ac6bafe.png" TargetMode="External"/><Relationship Id="rId180" Type="http://schemas.openxmlformats.org/officeDocument/2006/relationships/hyperlink" Target="https://icoen.org/" TargetMode="External"/><Relationship Id="rId278" Type="http://schemas.openxmlformats.org/officeDocument/2006/relationships/hyperlink" Target="https://employee.uc.ac.id/index.php/file/get/sis/t_cp/multi/44388237-9417-11ee-bd04-000d3ac6bafe_assignmentletter.png" TargetMode="External"/><Relationship Id="rId401" Type="http://schemas.openxmlformats.org/officeDocument/2006/relationships/hyperlink" Target="https://employee.uc.ac.id/index.php/file/get/sis/t_cp/multi/44388237-9417-11ee-bd04-000d3ac6bafe.png" TargetMode="External"/><Relationship Id="rId846" Type="http://schemas.openxmlformats.org/officeDocument/2006/relationships/hyperlink" Target="https://employee.uc.ac.id/index.php/file/get/sis/t_cp/6dc825e6-baf1-11ed-8264-000d3ac6bafe.jpg" TargetMode="External"/><Relationship Id="rId1031" Type="http://schemas.openxmlformats.org/officeDocument/2006/relationships/hyperlink" Target="https://www.instagram.com/p/CrmvDj4r9j0/?igshid=Y2" TargetMode="External"/><Relationship Id="rId1129" Type="http://schemas.openxmlformats.org/officeDocument/2006/relationships/hyperlink" Target="https://employee.uc.ac.id/index.php/file/get/sis/t_cp/7bf2a0c5-684f-11ee-86ec-000d3ac6bafe.pdf" TargetMode="External"/><Relationship Id="rId485" Type="http://schemas.openxmlformats.org/officeDocument/2006/relationships/hyperlink" Target="https://employee.uc.ac.id/index.php/file/get/sis/t_cp/multi/44388237-9417-11ee-bd04-000d3ac6bafe_assignmentletter.png" TargetMode="External"/><Relationship Id="rId692" Type="http://schemas.openxmlformats.org/officeDocument/2006/relationships/hyperlink" Target="https://icoen.org/" TargetMode="External"/><Relationship Id="rId706" Type="http://schemas.openxmlformats.org/officeDocument/2006/relationships/hyperlink" Target="https://employee.uc.ac.id/index.php/file/get/sis/t_cp/multi/44388237-9417-11ee-bd04-000d3ac6bafe_assignmentletter.png" TargetMode="External"/><Relationship Id="rId913" Type="http://schemas.openxmlformats.org/officeDocument/2006/relationships/hyperlink" Target="https://icoen.org/" TargetMode="External"/><Relationship Id="rId42" Type="http://schemas.openxmlformats.org/officeDocument/2006/relationships/hyperlink" Target="https://icoen.org/" TargetMode="External"/><Relationship Id="rId138" Type="http://schemas.openxmlformats.org/officeDocument/2006/relationships/hyperlink" Target="https://employee.uc.ac.id/index.php/file/get/sis/t_cp/multi/44388237-9417-11ee-bd04-000d3ac6bafe.png" TargetMode="External"/><Relationship Id="rId345" Type="http://schemas.openxmlformats.org/officeDocument/2006/relationships/hyperlink" Target="https://employee.uc.ac.id/index.php/file/get/sis/t_cp/multi/44388237-9417-11ee-bd04-000d3ac6bafe_assignmentletter.png" TargetMode="External"/><Relationship Id="rId552" Type="http://schemas.openxmlformats.org/officeDocument/2006/relationships/hyperlink" Target="https://icoen.org/" TargetMode="External"/><Relationship Id="rId997" Type="http://schemas.openxmlformats.org/officeDocument/2006/relationships/hyperlink" Target="https://employee.uc.ac.id/index.php/file/get/sis/t_cp/8e602f94-a07e-11ee-bdb5-000d3ac6bafe_assignmentletter.pdf" TargetMode="External"/><Relationship Id="rId191" Type="http://schemas.openxmlformats.org/officeDocument/2006/relationships/hyperlink" Target="https://employee.uc.ac.id/index.php/file/get/sis/t_cp/multi/44388237-9417-11ee-bd04-000d3ac6bafe_assignmentletter.png" TargetMode="External"/><Relationship Id="rId205" Type="http://schemas.openxmlformats.org/officeDocument/2006/relationships/hyperlink" Target="https://employee.uc.ac.id/index.php/file/get/sis/t_cp/multi/44388237-9417-11ee-bd04-000d3ac6bafe.png" TargetMode="External"/><Relationship Id="rId412" Type="http://schemas.openxmlformats.org/officeDocument/2006/relationships/hyperlink" Target="https://icoen.org/" TargetMode="External"/><Relationship Id="rId857" Type="http://schemas.openxmlformats.org/officeDocument/2006/relationships/hyperlink" Target="https://employee.uc.ac.id/index.php/file/get/sis/t_cp/60db7e5e-b195-11ed-8338-000d3ac6bafe_report.pdf" TargetMode="External"/><Relationship Id="rId1042" Type="http://schemas.openxmlformats.org/officeDocument/2006/relationships/hyperlink" Target="https://employee.uc.ac.id/index.php/file/get/sis/t_cp/47bff96f-9693-11ee-b118-000d3ac6bafe.pdf" TargetMode="External"/><Relationship Id="rId289" Type="http://schemas.openxmlformats.org/officeDocument/2006/relationships/hyperlink" Target="https://employee.uc.ac.id/index.php/file/get/sis/t_cp/multi/44388237-9417-11ee-bd04-000d3ac6bafe_assignmentletter.png" TargetMode="External"/><Relationship Id="rId496" Type="http://schemas.openxmlformats.org/officeDocument/2006/relationships/hyperlink" Target="https://employee.uc.ac.id/index.php/file/get/sis/t_cp/multi/44388237-9417-11ee-bd04-000d3ac6bafe.png" TargetMode="External"/><Relationship Id="rId717" Type="http://schemas.openxmlformats.org/officeDocument/2006/relationships/hyperlink" Target="https://employee.uc.ac.id/index.php/file/get/sis/t_cp/193eca2e-0c2e-11ee-825c-000d3ac6bafe_assignmentletter.jpg" TargetMode="External"/><Relationship Id="rId924" Type="http://schemas.openxmlformats.org/officeDocument/2006/relationships/hyperlink" Target="https://employee.uc.ac.id/index.php/file/get/sis/t_cp/multi/c77a0b11-9336-11ee-859c-000d3ac6bafe_assignmentletter.png" TargetMode="External"/><Relationship Id="rId53" Type="http://schemas.openxmlformats.org/officeDocument/2006/relationships/hyperlink" Target="https://employee.uc.ac.id/index.php/file/get/sis/t_cp/multi/1e7be259-882b-11ee-ae4d-000d3ac6bafe_assignmentletter.png" TargetMode="External"/><Relationship Id="rId149" Type="http://schemas.openxmlformats.org/officeDocument/2006/relationships/hyperlink" Target="https://employee.uc.ac.id/index.php/file/get/sis/t_cp/multi/44388237-9417-11ee-bd04-000d3ac6bafe_assignmentletter.png" TargetMode="External"/><Relationship Id="rId356" Type="http://schemas.openxmlformats.org/officeDocument/2006/relationships/hyperlink" Target="https://employee.uc.ac.id/index.php/file/get/sis/t_cp/multi/44388237-9417-11ee-bd04-000d3ac6bafe.png" TargetMode="External"/><Relationship Id="rId563" Type="http://schemas.openxmlformats.org/officeDocument/2006/relationships/hyperlink" Target="https://employee.uc.ac.id/index.php/file/get/sis/t_cp/multi/44388237-9417-11ee-bd04-000d3ac6bafe_assignmentletter.png" TargetMode="External"/><Relationship Id="rId770" Type="http://schemas.openxmlformats.org/officeDocument/2006/relationships/hyperlink" Target="https://employee.uc.ac.id/index.php/file/get/sis/t_cp/8a6df53c-148b-11ee-bcb1-000d3ac6bafe.pdf" TargetMode="External"/><Relationship Id="rId216" Type="http://schemas.openxmlformats.org/officeDocument/2006/relationships/hyperlink" Target="https://icoen.org/" TargetMode="External"/><Relationship Id="rId423" Type="http://schemas.openxmlformats.org/officeDocument/2006/relationships/hyperlink" Target="https://employee.uc.ac.id/index.php/file/get/sis/t_cp/multi/44388237-9417-11ee-bd04-000d3ac6bafe_assignmentletter.png" TargetMode="External"/><Relationship Id="rId868" Type="http://schemas.openxmlformats.org/officeDocument/2006/relationships/hyperlink" Target="https://employee.uc.ac.id/index.php/file/get/sis/t_cp/multi/1e7be259-882b-11ee-ae4d-000d3ac6bafe_assignmentletter.png" TargetMode="External"/><Relationship Id="rId1053" Type="http://schemas.openxmlformats.org/officeDocument/2006/relationships/hyperlink" Target="https://employee.uc.ac.id/index.php/file/get/sis/t_cp/multi/c77a0b11-9336-11ee-859c-000d3ac6bafe_assignmentletter.png" TargetMode="External"/><Relationship Id="rId630" Type="http://schemas.openxmlformats.org/officeDocument/2006/relationships/hyperlink" Target="https://employee.uc.ac.id/index.php/file/get/sis/t_cp/multi/44388237-9417-11ee-bd04-000d3ac6bafe.png" TargetMode="External"/><Relationship Id="rId728" Type="http://schemas.openxmlformats.org/officeDocument/2006/relationships/hyperlink" Target="https://employee.uc.ac.id/index.php/file/get/sis/t_cp/b76c3473-f7e7-11ed-bf96-000d3ac6bafe.png" TargetMode="External"/><Relationship Id="rId935" Type="http://schemas.openxmlformats.org/officeDocument/2006/relationships/hyperlink" Target="https://employee.uc.ac.id/index.php/file/get/sis/t_cp/299c8121-9e65-11ee-a2ac-000d3ac6bafe_assignmentletter.pdf" TargetMode="External"/><Relationship Id="rId64" Type="http://schemas.openxmlformats.org/officeDocument/2006/relationships/hyperlink" Target="https://employee.uc.ac.id/index.php/file/get/sis/t_cp/multi/44388237-9417-11ee-bd04-000d3ac6bafe.png" TargetMode="External"/><Relationship Id="rId367" Type="http://schemas.openxmlformats.org/officeDocument/2006/relationships/hyperlink" Target="https://icoen.org/" TargetMode="External"/><Relationship Id="rId574" Type="http://schemas.openxmlformats.org/officeDocument/2006/relationships/hyperlink" Target="https://employee.uc.ac.id/index.php/file/get/sis/t_cp/multi/44388237-9417-11ee-bd04-000d3ac6bafe.png" TargetMode="External"/><Relationship Id="rId1120" Type="http://schemas.openxmlformats.org/officeDocument/2006/relationships/hyperlink" Target="https://employee.uc.ac.id/index.php/file/get/sis/t_cp/multi/dea5331c-ed7e-11ed-894a-000d3ac6bafe_assignmentletter.png" TargetMode="External"/><Relationship Id="rId227" Type="http://schemas.openxmlformats.org/officeDocument/2006/relationships/hyperlink" Target="https://employee.uc.ac.id/index.php/file/get/sis/t_cp/multi/44388237-9417-11ee-bd04-000d3ac6bafe_assignmentletter.png" TargetMode="External"/><Relationship Id="rId781" Type="http://schemas.openxmlformats.org/officeDocument/2006/relationships/hyperlink" Target="https://employee.uc.ac.id/index.php/file/get/sis/t_cp/24018527-681a-11ee-876c-000d3ac6bafe_assignmentletter.pdf" TargetMode="External"/><Relationship Id="rId879" Type="http://schemas.openxmlformats.org/officeDocument/2006/relationships/hyperlink" Target="https://employee.uc.ac.id/index.php/file/get/sis/t_cp/multi/c77a0b11-9336-11ee-859c-000d3ac6bafe.png" TargetMode="External"/><Relationship Id="rId434" Type="http://schemas.openxmlformats.org/officeDocument/2006/relationships/hyperlink" Target="https://employee.uc.ac.id/index.php/file/get/sis/t_cp/multi/44388237-9417-11ee-bd04-000d3ac6bafe.png" TargetMode="External"/><Relationship Id="rId641" Type="http://schemas.openxmlformats.org/officeDocument/2006/relationships/hyperlink" Target="https://icoen.org/" TargetMode="External"/><Relationship Id="rId739" Type="http://schemas.openxmlformats.org/officeDocument/2006/relationships/hyperlink" Target="https://employee.uc.ac.id/index.php/file/get/sis/t_cp/500c96de-034c-11ee-9899-000d3ac6bafe.jpg" TargetMode="External"/><Relationship Id="rId1064" Type="http://schemas.openxmlformats.org/officeDocument/2006/relationships/hyperlink" Target="https://icoen.org/" TargetMode="External"/><Relationship Id="rId280" Type="http://schemas.openxmlformats.org/officeDocument/2006/relationships/hyperlink" Target="https://employee.uc.ac.id/index.php/file/get/sis/t_cp/multi/44388237-9417-11ee-bd04-000d3ac6bafe.png" TargetMode="External"/><Relationship Id="rId501" Type="http://schemas.openxmlformats.org/officeDocument/2006/relationships/hyperlink" Target="https://icoen.org/" TargetMode="External"/><Relationship Id="rId946" Type="http://schemas.openxmlformats.org/officeDocument/2006/relationships/hyperlink" Target="https://icoen.org/" TargetMode="External"/><Relationship Id="rId1131" Type="http://schemas.openxmlformats.org/officeDocument/2006/relationships/hyperlink" Target="https://employee.uc.ac.id/index.php/file/get/sis/t_cp/e8bec7da-9048-11ee-9103-000d3ac6bafe.pdf" TargetMode="External"/><Relationship Id="rId75" Type="http://schemas.openxmlformats.org/officeDocument/2006/relationships/hyperlink" Target="https://icoen.org/" TargetMode="External"/><Relationship Id="rId140" Type="http://schemas.openxmlformats.org/officeDocument/2006/relationships/hyperlink" Target="https://icoen.org/" TargetMode="External"/><Relationship Id="rId378" Type="http://schemas.openxmlformats.org/officeDocument/2006/relationships/hyperlink" Target="https://employee.uc.ac.id/index.php/file/get/sis/t_cp/multi/44388237-9417-11ee-bd04-000d3ac6bafe_assignmentletter.png" TargetMode="External"/><Relationship Id="rId585" Type="http://schemas.openxmlformats.org/officeDocument/2006/relationships/hyperlink" Target="https://icoen.org/" TargetMode="External"/><Relationship Id="rId792" Type="http://schemas.openxmlformats.org/officeDocument/2006/relationships/hyperlink" Target="https://employee.uc.ac.id/index.php/file/get/sis/t_cp/multi/c77a0b11-9336-11ee-859c-000d3ac6bafe.png" TargetMode="External"/><Relationship Id="rId806" Type="http://schemas.openxmlformats.org/officeDocument/2006/relationships/hyperlink" Target="https://employee.uc.ac.id/index.php/file/get/sis/t_cp/multi/c77a0b11-9336-11ee-859c-000d3ac6bafe.png" TargetMode="External"/><Relationship Id="rId6" Type="http://schemas.openxmlformats.org/officeDocument/2006/relationships/hyperlink" Target="https://employee.uc.ac.id/index.php/file/get/sis/t_cp/18a78d9a-9ee8-11ed-b9cf-000d3ac6bafe.jpg" TargetMode="External"/><Relationship Id="rId238" Type="http://schemas.openxmlformats.org/officeDocument/2006/relationships/hyperlink" Target="https://employee.uc.ac.id/index.php/file/get/sis/t_cp/multi/44388237-9417-11ee-bd04-000d3ac6bafe.png" TargetMode="External"/><Relationship Id="rId445" Type="http://schemas.openxmlformats.org/officeDocument/2006/relationships/hyperlink" Target="https://employee.uc.ac.id/index.php/file/get/sis/t_cp/e42e6661-f715-11ed-9687-000d3ac6bafe.pdf" TargetMode="External"/><Relationship Id="rId652" Type="http://schemas.openxmlformats.org/officeDocument/2006/relationships/hyperlink" Target="https://employee.uc.ac.id/index.php/file/get/sis/t_cp/multi/44388237-9417-11ee-bd04-000d3ac6bafe_assignmentletter.png" TargetMode="External"/><Relationship Id="rId1075" Type="http://schemas.openxmlformats.org/officeDocument/2006/relationships/hyperlink" Target="https://employee.uc.ac.id/index.php/file/get/sis/t_cp/multi/c77a0b11-9336-11ee-859c-000d3ac6bafe.png" TargetMode="External"/><Relationship Id="rId291" Type="http://schemas.openxmlformats.org/officeDocument/2006/relationships/hyperlink" Target="https://employee.uc.ac.id/index.php/file/get/sis/t_cp/multi/44388237-9417-11ee-bd04-000d3ac6bafe.png" TargetMode="External"/><Relationship Id="rId305" Type="http://schemas.openxmlformats.org/officeDocument/2006/relationships/hyperlink" Target="https://icoen.org/" TargetMode="External"/><Relationship Id="rId512" Type="http://schemas.openxmlformats.org/officeDocument/2006/relationships/hyperlink" Target="https://employee.uc.ac.id/index.php/file/get/sis/t_cp/multi/44388237-9417-11ee-bd04-000d3ac6bafe_assignmentletter.png" TargetMode="External"/><Relationship Id="rId957" Type="http://schemas.openxmlformats.org/officeDocument/2006/relationships/hyperlink" Target="https://employee.uc.ac.id/index.php/file/get/sis/t_cp/135889e7-fa0c-11ed-84c7-000d3ac6bafe.pdf" TargetMode="External"/><Relationship Id="rId1142" Type="http://schemas.openxmlformats.org/officeDocument/2006/relationships/hyperlink" Target="https://employee.uc.ac.id/index.php/file/get/sis/t_cp/multi/c77a0b11-9336-11ee-859c-000d3ac6bafe.png" TargetMode="External"/><Relationship Id="rId86" Type="http://schemas.openxmlformats.org/officeDocument/2006/relationships/hyperlink" Target="https://employee.uc.ac.id/index.php/file/get/sis/t_cp/multi/44388237-9417-11ee-bd04-000d3ac6bafe.png" TargetMode="External"/><Relationship Id="rId151" Type="http://schemas.openxmlformats.org/officeDocument/2006/relationships/hyperlink" Target="https://employee.uc.ac.id/index.php/file/get/sis/t_cp/736e4d76-4226-11ee-b836-000d3ac6bafe.jpeg" TargetMode="External"/><Relationship Id="rId389" Type="http://schemas.openxmlformats.org/officeDocument/2006/relationships/hyperlink" Target="https://employee.uc.ac.id/index.php/file/get/sis/t_cp/multi/44388237-9417-11ee-bd04-000d3ac6bafe.png" TargetMode="External"/><Relationship Id="rId596" Type="http://schemas.openxmlformats.org/officeDocument/2006/relationships/hyperlink" Target="https://employee.uc.ac.id/index.php/file/get/sis/t_cp/multi/44388237-9417-11ee-bd04-000d3ac6bafe_assignmentletter.png" TargetMode="External"/><Relationship Id="rId817" Type="http://schemas.openxmlformats.org/officeDocument/2006/relationships/hyperlink" Target="https://employee.uc.ac.id/index.php/file/get/sis/t_cp/d6b337ad-91ec-11ee-ab5b-000d3ac6bafe.png" TargetMode="External"/><Relationship Id="rId1002" Type="http://schemas.openxmlformats.org/officeDocument/2006/relationships/hyperlink" Target="https://icoen.org/" TargetMode="External"/><Relationship Id="rId249" Type="http://schemas.openxmlformats.org/officeDocument/2006/relationships/hyperlink" Target="https://icoen.org/" TargetMode="External"/><Relationship Id="rId456" Type="http://schemas.openxmlformats.org/officeDocument/2006/relationships/hyperlink" Target="https://icoen.org/" TargetMode="External"/><Relationship Id="rId663" Type="http://schemas.openxmlformats.org/officeDocument/2006/relationships/hyperlink" Target="https://employee.uc.ac.id/index.php/file/get/sis/t_cp/multi/44388237-9417-11ee-bd04-000d3ac6bafe.png" TargetMode="External"/><Relationship Id="rId870" Type="http://schemas.openxmlformats.org/officeDocument/2006/relationships/hyperlink" Target="https://employee.uc.ac.id/index.php/file/get/sis/t_cp/multi/1e7be259-882b-11ee-ae4d-000d3ac6bafe_assignmentletter.png" TargetMode="External"/><Relationship Id="rId1086" Type="http://schemas.openxmlformats.org/officeDocument/2006/relationships/hyperlink" Target="https://icoen.org/" TargetMode="External"/><Relationship Id="rId13" Type="http://schemas.openxmlformats.org/officeDocument/2006/relationships/hyperlink" Target="https://employee.uc.ac.id/index.php/file/get/sis/t_cp/7a9befb4-97e1-11ed-af4b-000d3ac6bafe_assignmentletter.jpg" TargetMode="External"/><Relationship Id="rId109" Type="http://schemas.openxmlformats.org/officeDocument/2006/relationships/hyperlink" Target="https://employee.uc.ac.id/index.php/file/get/sis/t_cp/multi/44388237-9417-11ee-bd04-000d3ac6bafe_assignmentletter.png" TargetMode="External"/><Relationship Id="rId316" Type="http://schemas.openxmlformats.org/officeDocument/2006/relationships/hyperlink" Target="https://employee.uc.ac.id/index.php/file/get/sis/t_cp/multi/44388237-9417-11ee-bd04-000d3ac6bafe_assignmentletter.png" TargetMode="External"/><Relationship Id="rId523" Type="http://schemas.openxmlformats.org/officeDocument/2006/relationships/hyperlink" Target="https://employee.uc.ac.id/index.php/file/get/sis/t_cp/multi/44388237-9417-11ee-bd04-000d3ac6bafe.png" TargetMode="External"/><Relationship Id="rId968" Type="http://schemas.openxmlformats.org/officeDocument/2006/relationships/hyperlink" Target="https://employee.uc.ac.id/index.php/file/get/sis/t_cp/multi/c77a0b11-9336-11ee-859c-000d3ac6bafe_assignmentletter.png" TargetMode="External"/><Relationship Id="rId1153" Type="http://schemas.openxmlformats.org/officeDocument/2006/relationships/hyperlink" Target="https://employee.uc.ac.id/index.php/file/get/sis/t_cp/497dd414-a7b8-11ed-9a52-000d3ac6bafe.jpg" TargetMode="External"/><Relationship Id="rId97" Type="http://schemas.openxmlformats.org/officeDocument/2006/relationships/hyperlink" Target="https://employee.uc.ac.id/index.php/file/get/sis/t_cp/2238ff23-97df-11ed-af4b-000d3ac6bafe.pdf" TargetMode="External"/><Relationship Id="rId730" Type="http://schemas.openxmlformats.org/officeDocument/2006/relationships/hyperlink" Target="https://employee.uc.ac.id/index.php/file/get/sis/t_cp/e35010cc-efff-11ed-8d6d-000d3ac6bafe.png" TargetMode="External"/><Relationship Id="rId828" Type="http://schemas.openxmlformats.org/officeDocument/2006/relationships/hyperlink" Target="https://icoen.org/" TargetMode="External"/><Relationship Id="rId1013" Type="http://schemas.openxmlformats.org/officeDocument/2006/relationships/hyperlink" Target="https://employee.uc.ac.id/index.php/file/get/sis/t_cp/multi/1e7be259-882b-11ee-ae4d-000d3ac6bafe.png" TargetMode="External"/><Relationship Id="rId162" Type="http://schemas.openxmlformats.org/officeDocument/2006/relationships/hyperlink" Target="https://employee.uc.ac.id/index.php/file/get/sis/t_cp/multi/44388237-9417-11ee-bd04-000d3ac6bafe.png" TargetMode="External"/><Relationship Id="rId467" Type="http://schemas.openxmlformats.org/officeDocument/2006/relationships/hyperlink" Target="https://employee.uc.ac.id/index.php/file/get/sis/t_cp/multi/44388237-9417-11ee-bd04-000d3ac6bafe_assignmentletter.png" TargetMode="External"/><Relationship Id="rId1097" Type="http://schemas.openxmlformats.org/officeDocument/2006/relationships/hyperlink" Target="https://employee.uc.ac.id/index.php/file/get/sis/t_cp/378ab227-02ee-11ee-a50e-000d3ac6bafe_assignmentletter.pdf" TargetMode="External"/><Relationship Id="rId674" Type="http://schemas.openxmlformats.org/officeDocument/2006/relationships/hyperlink" Target="https://icoen.org/" TargetMode="External"/><Relationship Id="rId881" Type="http://schemas.openxmlformats.org/officeDocument/2006/relationships/hyperlink" Target="https://icoen.org/" TargetMode="External"/><Relationship Id="rId979" Type="http://schemas.openxmlformats.org/officeDocument/2006/relationships/hyperlink" Target="https://employee.uc.ac.id/index.php/file/get/sis/t_cp/multi/c77a0b11-9336-11ee-859c-000d3ac6bafe_assignmentletter.png" TargetMode="External"/><Relationship Id="rId24" Type="http://schemas.openxmlformats.org/officeDocument/2006/relationships/hyperlink" Target="https://employee.uc.ac.id/index.php/file/get/sis/t_cp/multi/44388237-9417-11ee-bd04-000d3ac6bafe.png" TargetMode="External"/><Relationship Id="rId327" Type="http://schemas.openxmlformats.org/officeDocument/2006/relationships/hyperlink" Target="https://employee.uc.ac.id/index.php/file/get/sis/t_cp/multi/44388237-9417-11ee-bd04-000d3ac6bafe.png" TargetMode="External"/><Relationship Id="rId534" Type="http://schemas.openxmlformats.org/officeDocument/2006/relationships/hyperlink" Target="https://icoen.org/" TargetMode="External"/><Relationship Id="rId741" Type="http://schemas.openxmlformats.org/officeDocument/2006/relationships/hyperlink" Target="https://employee.uc.ac.id/index.php/file/get/sis/t_cp/f51d40c6-037a-11ee-9899-000d3ac6bafe.jpg" TargetMode="External"/><Relationship Id="rId839" Type="http://schemas.openxmlformats.org/officeDocument/2006/relationships/hyperlink" Target="https://employee.uc.ac.id/index.php/file/get/sis/t_cp/multi/c77a0b11-9336-11ee-859c-000d3ac6bafe_assignmentletter.png" TargetMode="External"/><Relationship Id="rId1164" Type="http://schemas.openxmlformats.org/officeDocument/2006/relationships/hyperlink" Target="https://icoen.org/" TargetMode="External"/><Relationship Id="rId173" Type="http://schemas.openxmlformats.org/officeDocument/2006/relationships/hyperlink" Target="https://employee.uc.ac.id/index.php/file/get/sis/t_cp/multi/44388237-9417-11ee-bd04-000d3ac6bafe_assignmentletter.png" TargetMode="External"/><Relationship Id="rId380" Type="http://schemas.openxmlformats.org/officeDocument/2006/relationships/hyperlink" Target="https://employee.uc.ac.id/index.php/file/get/sis/t_cp/multi/44388237-9417-11ee-bd04-000d3ac6bafe.png" TargetMode="External"/><Relationship Id="rId601" Type="http://schemas.openxmlformats.org/officeDocument/2006/relationships/hyperlink" Target="https://employee.uc.ac.id/index.php/file/get/sis/t_cp/multi/44388237-9417-11ee-bd04-000d3ac6bafe_assignmentletter.png" TargetMode="External"/><Relationship Id="rId1024" Type="http://schemas.openxmlformats.org/officeDocument/2006/relationships/hyperlink" Target="https://employee.uc.ac.id/index.php/file/get/sis/t_cp/multi/9966d465-8828-11ee-ae4d-000d3ac6bafe_assignmentletter.png" TargetMode="External"/><Relationship Id="rId240" Type="http://schemas.openxmlformats.org/officeDocument/2006/relationships/hyperlink" Target="https://icoen.org/" TargetMode="External"/><Relationship Id="rId478" Type="http://schemas.openxmlformats.org/officeDocument/2006/relationships/hyperlink" Target="https://employee.uc.ac.id/index.php/file/get/sis/t_cp/multi/44388237-9417-11ee-bd04-000d3ac6bafe.png" TargetMode="External"/><Relationship Id="rId685" Type="http://schemas.openxmlformats.org/officeDocument/2006/relationships/hyperlink" Target="https://employee.uc.ac.id/index.php/file/get/sis/t_cp/multi/44388237-9417-11ee-bd04-000d3ac6bafe_assignmentletter.png" TargetMode="External"/><Relationship Id="rId892" Type="http://schemas.openxmlformats.org/officeDocument/2006/relationships/hyperlink" Target="https://icoen.org/" TargetMode="External"/><Relationship Id="rId906" Type="http://schemas.openxmlformats.org/officeDocument/2006/relationships/hyperlink" Target="https://employee.uc.ac.id/index.php/file/get/sis/t_cp/multi/c77a0b11-9336-11ee-859c-000d3ac6bafe_assignmentletter.png" TargetMode="External"/><Relationship Id="rId35" Type="http://schemas.openxmlformats.org/officeDocument/2006/relationships/hyperlink" Target="https://employee.uc.ac.id/index.php/file/get/sis/t_cp/multi/c77a0b11-9336-11ee-859c-000d3ac6bafe_assignmentletter.png" TargetMode="External"/><Relationship Id="rId100" Type="http://schemas.openxmlformats.org/officeDocument/2006/relationships/hyperlink" Target="https://employee.uc.ac.id/index.php/file/get/sis/t_cp/3233d227-a489-11ed-b2de-000d3ac6bafe_assignmentletter.pdf" TargetMode="External"/><Relationship Id="rId338" Type="http://schemas.openxmlformats.org/officeDocument/2006/relationships/hyperlink" Target="https://employee.uc.ac.id/index.php/file/get/sis/t_cp/multi/44388237-9417-11ee-bd04-000d3ac6bafe.png" TargetMode="External"/><Relationship Id="rId545" Type="http://schemas.openxmlformats.org/officeDocument/2006/relationships/hyperlink" Target="https://employee.uc.ac.id/index.php/file/get/sis/t_cp/multi/44388237-9417-11ee-bd04-000d3ac6bafe_assignmentletter.png" TargetMode="External"/><Relationship Id="rId752" Type="http://schemas.openxmlformats.org/officeDocument/2006/relationships/hyperlink" Target="https://employee.uc.ac.id/index.php/file/get/sis/t_cp/89710f9d-194f-11ee-a5c3-000d3ac6bafe_assignmentletter.jpeg" TargetMode="External"/><Relationship Id="rId184" Type="http://schemas.openxmlformats.org/officeDocument/2006/relationships/hyperlink" Target="https://employee.uc.ac.id/index.php/file/get/sis/t_cp/multi/44388237-9417-11ee-bd04-000d3ac6bafe.png" TargetMode="External"/><Relationship Id="rId391" Type="http://schemas.openxmlformats.org/officeDocument/2006/relationships/hyperlink" Target="https://icoen.org/" TargetMode="External"/><Relationship Id="rId405" Type="http://schemas.openxmlformats.org/officeDocument/2006/relationships/hyperlink" Target="https://employee.uc.ac.id/index.php/file/get/sis/t_cp/multi/44388237-9417-11ee-bd04-000d3ac6bafe_assignmentletter.png" TargetMode="External"/><Relationship Id="rId612" Type="http://schemas.openxmlformats.org/officeDocument/2006/relationships/hyperlink" Target="https://employee.uc.ac.id/index.php/file/get/sis/t_cp/multi/44388237-9417-11ee-bd04-000d3ac6bafe.png" TargetMode="External"/><Relationship Id="rId1035" Type="http://schemas.openxmlformats.org/officeDocument/2006/relationships/hyperlink" Target="https://employee.uc.ac.id/index.php/file/get/sis/t_cp/multi/9966d465-8828-11ee-ae4d-000d3ac6bafe_assignmentletter.png" TargetMode="External"/><Relationship Id="rId251" Type="http://schemas.openxmlformats.org/officeDocument/2006/relationships/hyperlink" Target="https://employee.uc.ac.id/index.php/file/get/sis/t_cp/multi/44388237-9417-11ee-bd04-000d3ac6bafe_assignmentletter.png" TargetMode="External"/><Relationship Id="rId489" Type="http://schemas.openxmlformats.org/officeDocument/2006/relationships/hyperlink" Target="https://icoen.org/" TargetMode="External"/><Relationship Id="rId696" Type="http://schemas.openxmlformats.org/officeDocument/2006/relationships/hyperlink" Target="https://employee.uc.ac.id/index.php/file/get/sis/t_cp/multi/44388237-9417-11ee-bd04-000d3ac6bafe.png" TargetMode="External"/><Relationship Id="rId917" Type="http://schemas.openxmlformats.org/officeDocument/2006/relationships/hyperlink" Target="https://employee.uc.ac.id/index.php/file/get/sis/t_cp/multi/e9f29743-d848-11ed-a359-000d3ac6bafe.png" TargetMode="External"/><Relationship Id="rId1102" Type="http://schemas.openxmlformats.org/officeDocument/2006/relationships/hyperlink" Target="https://pusatprestasinasional.kemdikbud.go.id/even" TargetMode="External"/><Relationship Id="rId46" Type="http://schemas.openxmlformats.org/officeDocument/2006/relationships/hyperlink" Target="https://employee.uc.ac.id/index.php/file/get/sis/t_cp/multi/36efe3c6-76cb-11ee-858c-000d3ac6bafe_assignmentletter.png" TargetMode="External"/><Relationship Id="rId349" Type="http://schemas.openxmlformats.org/officeDocument/2006/relationships/hyperlink" Target="https://icoen.org/" TargetMode="External"/><Relationship Id="rId556" Type="http://schemas.openxmlformats.org/officeDocument/2006/relationships/hyperlink" Target="https://employee.uc.ac.id/index.php/file/get/sis/t_cp/multi/44388237-9417-11ee-bd04-000d3ac6bafe.png" TargetMode="External"/><Relationship Id="rId763" Type="http://schemas.openxmlformats.org/officeDocument/2006/relationships/hyperlink" Target="https://employee.uc.ac.id/index.php/file/get/sis/t_cp/b067652e-8b36-11ee-a0af-000d3ac6bafe.jpg" TargetMode="External"/><Relationship Id="rId111" Type="http://schemas.openxmlformats.org/officeDocument/2006/relationships/hyperlink" Target="https://employee.uc.ac.id/index.php/file/get/sis/t_cp/multi/c15ab80d-7c81-11ee-aca7-000d3ac6bafe_assignmentletter.png" TargetMode="External"/><Relationship Id="rId195" Type="http://schemas.openxmlformats.org/officeDocument/2006/relationships/hyperlink" Target="https://icoen.org/" TargetMode="External"/><Relationship Id="rId209" Type="http://schemas.openxmlformats.org/officeDocument/2006/relationships/hyperlink" Target="https://employee.uc.ac.id/index.php/file/get/sis/t_cp/multi/44388237-9417-11ee-bd04-000d3ac6bafe_assignmentletter.png" TargetMode="External"/><Relationship Id="rId416" Type="http://schemas.openxmlformats.org/officeDocument/2006/relationships/hyperlink" Target="https://employee.uc.ac.id/index.php/file/get/sis/t_cp/multi/44388237-9417-11ee-bd04-000d3ac6bafe.png" TargetMode="External"/><Relationship Id="rId970" Type="http://schemas.openxmlformats.org/officeDocument/2006/relationships/hyperlink" Target="https://employee.uc.ac.id/index.php/file/get/sis/t_cp/multi/c77a0b11-9336-11ee-859c-000d3ac6bafe.png" TargetMode="External"/><Relationship Id="rId1046" Type="http://schemas.openxmlformats.org/officeDocument/2006/relationships/hyperlink" Target="https://employee.uc.ac.id/index.php/file/get/sis/t_cp/1284ec59-6678-11ee-817b-000d3ac6bafe.jpg" TargetMode="External"/><Relationship Id="rId623" Type="http://schemas.openxmlformats.org/officeDocument/2006/relationships/hyperlink" Target="https://icoen.org/" TargetMode="External"/><Relationship Id="rId830" Type="http://schemas.openxmlformats.org/officeDocument/2006/relationships/hyperlink" Target="https://employee.uc.ac.id/index.php/file/get/sis/t_cp/multi/c77a0b11-9336-11ee-859c-000d3ac6bafe_assignmentletter.png" TargetMode="External"/><Relationship Id="rId928" Type="http://schemas.openxmlformats.org/officeDocument/2006/relationships/hyperlink" Target="https://employee.uc.ac.id/index.php/file/get/sis/t_cp/8adae2d2-a9f1-11ed-ba27-000d3ac6bafe_report.pdf" TargetMode="External"/><Relationship Id="rId57" Type="http://schemas.openxmlformats.org/officeDocument/2006/relationships/hyperlink" Target="https://employee.uc.ac.id/index.php/file/get/sis/t_cp/145956ce-8dc2-11ed-811b-000d3ac6bafe.jpg" TargetMode="External"/><Relationship Id="rId262" Type="http://schemas.openxmlformats.org/officeDocument/2006/relationships/hyperlink" Target="https://employee.uc.ac.id/index.php/file/get/sis/t_cp/multi/44388237-9417-11ee-bd04-000d3ac6bafe.png" TargetMode="External"/><Relationship Id="rId567" Type="http://schemas.openxmlformats.org/officeDocument/2006/relationships/hyperlink" Target="https://icoen.org/" TargetMode="External"/><Relationship Id="rId1113" Type="http://schemas.openxmlformats.org/officeDocument/2006/relationships/hyperlink" Target="https://employee.uc.ac.id/index.php/file/get/sis/t_cp/multi/c77a0b11-9336-11ee-859c-000d3ac6bafe_assignmentletter.png" TargetMode="External"/><Relationship Id="rId122" Type="http://schemas.openxmlformats.org/officeDocument/2006/relationships/hyperlink" Target="https://employee.uc.ac.id/index.php/file/get/sis/t_cp/multi/44388237-9417-11ee-bd04-000d3ac6bafe_assignmentletter.png" TargetMode="External"/><Relationship Id="rId774" Type="http://schemas.openxmlformats.org/officeDocument/2006/relationships/hyperlink" Target="https://employee.uc.ac.id/index.php/file/get/sis/t_cp/47b6e505-6bf7-11ee-a25e-000d3ac6bafe_assignmentletter.pdf" TargetMode="External"/><Relationship Id="rId981" Type="http://schemas.openxmlformats.org/officeDocument/2006/relationships/hyperlink" Target="https://employee.uc.ac.id/index.php/file/get/sis/t_cp/b3c91462-81d7-11ee-8546-000d3ac6bafe.jpeg" TargetMode="External"/><Relationship Id="rId1057" Type="http://schemas.openxmlformats.org/officeDocument/2006/relationships/hyperlink" Target="https://employee.uc.ac.id/index.php/file/get/sis/t_cp/b0e701a8-6677-11ee-817b-000d3ac6bafe.pdf" TargetMode="External"/><Relationship Id="rId427" Type="http://schemas.openxmlformats.org/officeDocument/2006/relationships/hyperlink" Target="https://icoen.org/" TargetMode="External"/><Relationship Id="rId634" Type="http://schemas.openxmlformats.org/officeDocument/2006/relationships/hyperlink" Target="https://employee.uc.ac.id/index.php/file/get/sis/t_cp/multi/44388237-9417-11ee-bd04-000d3ac6bafe_assignmentletter.png" TargetMode="External"/><Relationship Id="rId841" Type="http://schemas.openxmlformats.org/officeDocument/2006/relationships/hyperlink" Target="https://employee.uc.ac.id/index.php/file/get/sis/t_cp/multi/c77a0b11-9336-11ee-859c-000d3ac6bafe.png" TargetMode="External"/><Relationship Id="rId273" Type="http://schemas.openxmlformats.org/officeDocument/2006/relationships/hyperlink" Target="https://icoen.org/" TargetMode="External"/><Relationship Id="rId480" Type="http://schemas.openxmlformats.org/officeDocument/2006/relationships/hyperlink" Target="https://icoen.org/" TargetMode="External"/><Relationship Id="rId701" Type="http://schemas.openxmlformats.org/officeDocument/2006/relationships/hyperlink" Target="https://icoen.org/" TargetMode="External"/><Relationship Id="rId939" Type="http://schemas.openxmlformats.org/officeDocument/2006/relationships/hyperlink" Target="https://employee.uc.ac.id/index.php/file/get/sis/t_cp/multi/c15ab80d-7c81-11ee-aca7-000d3ac6bafe_assignmentletter.png" TargetMode="External"/><Relationship Id="rId1124" Type="http://schemas.openxmlformats.org/officeDocument/2006/relationships/hyperlink" Target="https://employee.uc.ac.id/index.php/file/get/sis/t_cp/9918f8a7-8dc4-11ee-b8fc-000d3ac6bafe.pdf" TargetMode="External"/><Relationship Id="rId68" Type="http://schemas.openxmlformats.org/officeDocument/2006/relationships/hyperlink" Target="https://employee.uc.ac.id/index.php/file/get/sis/t_cp/multi/44388237-9417-11ee-bd04-000d3ac6bafe_assignmentletter.png" TargetMode="External"/><Relationship Id="rId133" Type="http://schemas.openxmlformats.org/officeDocument/2006/relationships/hyperlink" Target="https://employee.uc.ac.id/index.php/file/get/sis/t_cp/multi/44388237-9417-11ee-bd04-000d3ac6bafe_assignmentletter.png" TargetMode="External"/><Relationship Id="rId340" Type="http://schemas.openxmlformats.org/officeDocument/2006/relationships/hyperlink" Target="https://icoen.org/" TargetMode="External"/><Relationship Id="rId578" Type="http://schemas.openxmlformats.org/officeDocument/2006/relationships/hyperlink" Target="https://employee.uc.ac.id/index.php/file/get/sis/t_cp/multi/44388237-9417-11ee-bd04-000d3ac6bafe_assignmentletter.png" TargetMode="External"/><Relationship Id="rId785" Type="http://schemas.openxmlformats.org/officeDocument/2006/relationships/hyperlink" Target="https://icoen.org/" TargetMode="External"/><Relationship Id="rId992" Type="http://schemas.openxmlformats.org/officeDocument/2006/relationships/hyperlink" Target="https://employee.uc.ac.id/index.php/file/get/sis/t_cp/f4dec291-61a9-11ee-bb53-000d3ac6bafe.pdf" TargetMode="External"/><Relationship Id="rId200" Type="http://schemas.openxmlformats.org/officeDocument/2006/relationships/hyperlink" Target="https://employee.uc.ac.id/index.php/file/get/sis/t_cp/multi/44388237-9417-11ee-bd04-000d3ac6bafe_assignmentletter.png" TargetMode="External"/><Relationship Id="rId438" Type="http://schemas.openxmlformats.org/officeDocument/2006/relationships/hyperlink" Target="https://employee.uc.ac.id/index.php/file/get/sis/t_cp/multi/44388237-9417-11ee-bd04-000d3ac6bafe_assignmentletter.png" TargetMode="External"/><Relationship Id="rId645" Type="http://schemas.openxmlformats.org/officeDocument/2006/relationships/hyperlink" Target="https://employee.uc.ac.id/index.php/file/get/sis/t_cp/multi/44388237-9417-11ee-bd04-000d3ac6bafe.png" TargetMode="External"/><Relationship Id="rId852" Type="http://schemas.openxmlformats.org/officeDocument/2006/relationships/hyperlink" Target="https://employee.uc.ac.id/index.php/file/get/sis/t_cp/f3778db1-8e7c-11ed-acce-000d3ac6bafe.jpg" TargetMode="External"/><Relationship Id="rId1068" Type="http://schemas.openxmlformats.org/officeDocument/2006/relationships/hyperlink" Target="https://employee.uc.ac.id/index.php/file/get/sis/t_cp/multi/c77a0b11-9336-11ee-859c-000d3ac6bafe.png" TargetMode="External"/><Relationship Id="rId284" Type="http://schemas.openxmlformats.org/officeDocument/2006/relationships/hyperlink" Target="https://employee.uc.ac.id/index.php/file/get/sis/t_cp/multi/44388237-9417-11ee-bd04-000d3ac6bafe_assignmentletter.png" TargetMode="External"/><Relationship Id="rId491" Type="http://schemas.openxmlformats.org/officeDocument/2006/relationships/hyperlink" Target="https://employee.uc.ac.id/index.php/file/get/sis/t_cp/multi/44388237-9417-11ee-bd04-000d3ac6bafe_assignmentletter.png" TargetMode="External"/><Relationship Id="rId505" Type="http://schemas.openxmlformats.org/officeDocument/2006/relationships/hyperlink" Target="https://employee.uc.ac.id/index.php/file/get/sis/t_cp/multi/44388237-9417-11ee-bd04-000d3ac6bafe.png" TargetMode="External"/><Relationship Id="rId712" Type="http://schemas.openxmlformats.org/officeDocument/2006/relationships/hyperlink" Target="https://employee.uc.ac.id/index.php/file/get/sis/t_cp/multi/44388237-9417-11ee-bd04-000d3ac6bafe_assignmentletter.png" TargetMode="External"/><Relationship Id="rId1135" Type="http://schemas.openxmlformats.org/officeDocument/2006/relationships/hyperlink" Target="https://icoen.org/" TargetMode="External"/><Relationship Id="rId79" Type="http://schemas.openxmlformats.org/officeDocument/2006/relationships/hyperlink" Target="https://employee.uc.ac.id/index.php/file/get/sis/t_cp/multi/44388237-9417-11ee-bd04-000d3ac6bafe.png" TargetMode="External"/><Relationship Id="rId144" Type="http://schemas.openxmlformats.org/officeDocument/2006/relationships/hyperlink" Target="https://icoen.org/" TargetMode="External"/><Relationship Id="rId589" Type="http://schemas.openxmlformats.org/officeDocument/2006/relationships/hyperlink" Target="https://employee.uc.ac.id/index.php/file/get/sis/t_cp/multi/44388237-9417-11ee-bd04-000d3ac6bafe.png" TargetMode="External"/><Relationship Id="rId796" Type="http://schemas.openxmlformats.org/officeDocument/2006/relationships/hyperlink" Target="https://employee.uc.ac.id/index.php/file/get/sis/t_cp/multi/c77a0b11-9336-11ee-859c-000d3ac6bafe_assignmentletter.png" TargetMode="External"/><Relationship Id="rId351" Type="http://schemas.openxmlformats.org/officeDocument/2006/relationships/hyperlink" Target="https://employee.uc.ac.id/index.php/file/get/sis/t_cp/multi/44388237-9417-11ee-bd04-000d3ac6bafe_assignmentletter.png" TargetMode="External"/><Relationship Id="rId449" Type="http://schemas.openxmlformats.org/officeDocument/2006/relationships/hyperlink" Target="https://icoen.org/" TargetMode="External"/><Relationship Id="rId656" Type="http://schemas.openxmlformats.org/officeDocument/2006/relationships/hyperlink" Target="https://icoen.org/" TargetMode="External"/><Relationship Id="rId863" Type="http://schemas.openxmlformats.org/officeDocument/2006/relationships/hyperlink" Target="https://employee.uc.ac.id/index.php/file/get/sis/t_cp/multi/e9f29743-d848-11ed-a359-000d3ac6bafe.png" TargetMode="External"/><Relationship Id="rId1079" Type="http://schemas.openxmlformats.org/officeDocument/2006/relationships/hyperlink" Target="https://employee.uc.ac.id/index.php/file/get/sis/t_cp/multi/c77a0b11-9336-11ee-859c-000d3ac6bafe_assignmentletter.png" TargetMode="External"/><Relationship Id="rId211" Type="http://schemas.openxmlformats.org/officeDocument/2006/relationships/hyperlink" Target="https://employee.uc.ac.id/index.php/file/get/sis/t_cp/multi/44388237-9417-11ee-bd04-000d3ac6bafe.png" TargetMode="External"/><Relationship Id="rId295" Type="http://schemas.openxmlformats.org/officeDocument/2006/relationships/hyperlink" Target="https://employee.uc.ac.id/index.php/file/get/sis/t_cp/multi/44388237-9417-11ee-bd04-000d3ac6bafe_assignmentletter.png" TargetMode="External"/><Relationship Id="rId309" Type="http://schemas.openxmlformats.org/officeDocument/2006/relationships/hyperlink" Target="https://employee.uc.ac.id/index.php/file/get/sis/t_cp/multi/44388237-9417-11ee-bd04-000d3ac6bafe.png" TargetMode="External"/><Relationship Id="rId516" Type="http://schemas.openxmlformats.org/officeDocument/2006/relationships/hyperlink" Target="https://icoen.org/" TargetMode="External"/><Relationship Id="rId1146" Type="http://schemas.openxmlformats.org/officeDocument/2006/relationships/hyperlink" Target="https://employee.uc.ac.id/index.php/file/get/sis/t_cp/multi/c77a0b11-9336-11ee-859c-000d3ac6bafe.png" TargetMode="External"/><Relationship Id="rId723" Type="http://schemas.openxmlformats.org/officeDocument/2006/relationships/hyperlink" Target="https://employee.uc.ac.id/index.php/file/get/sis/t_cp/b032e33b-90b2-11ed-a139-000d3ac6bafe.jpg" TargetMode="External"/><Relationship Id="rId930" Type="http://schemas.openxmlformats.org/officeDocument/2006/relationships/hyperlink" Target="https://employee.uc.ac.id/index.php/file/get/sis/t_cp/multi/c77a0b11-9336-11ee-859c-000d3ac6bafe.png" TargetMode="External"/><Relationship Id="rId1006" Type="http://schemas.openxmlformats.org/officeDocument/2006/relationships/hyperlink" Target="https://employee.uc.ac.id/index.php/file/get/sis/t_cp/multi/c77a0b11-9336-11ee-859c-000d3ac6bafe.png" TargetMode="External"/><Relationship Id="rId155" Type="http://schemas.openxmlformats.org/officeDocument/2006/relationships/hyperlink" Target="https://icoen.org/" TargetMode="External"/><Relationship Id="rId362" Type="http://schemas.openxmlformats.org/officeDocument/2006/relationships/hyperlink" Target="https://employee.uc.ac.id/index.php/file/get/sis/t_cp/multi/44388237-9417-11ee-bd04-000d3ac6bafe.png" TargetMode="External"/><Relationship Id="rId222" Type="http://schemas.openxmlformats.org/officeDocument/2006/relationships/hyperlink" Target="https://icoen.org/" TargetMode="External"/><Relationship Id="rId667" Type="http://schemas.openxmlformats.org/officeDocument/2006/relationships/hyperlink" Target="https://employee.uc.ac.id/index.php/file/get/sis/t_cp/multi/44388237-9417-11ee-bd04-000d3ac6bafe_assignmentletter.png" TargetMode="External"/><Relationship Id="rId874" Type="http://schemas.openxmlformats.org/officeDocument/2006/relationships/hyperlink" Target="https://employee.uc.ac.id/index.php/file/get/sis/t_cp/multi/e9f29743-d848-11ed-a359-000d3ac6bafe_assignmentletter.png" TargetMode="External"/><Relationship Id="rId17" Type="http://schemas.openxmlformats.org/officeDocument/2006/relationships/hyperlink" Target="https://employee.uc.ac.id/index.php/file/get/sis/t_cp/7de2d332-8353-11ee-9c7d-000d3ac6bafe.pdf" TargetMode="External"/><Relationship Id="rId527" Type="http://schemas.openxmlformats.org/officeDocument/2006/relationships/hyperlink" Target="https://employee.uc.ac.id/index.php/file/get/sis/t_cp/multi/44388237-9417-11ee-bd04-000d3ac6bafe_assignmentletter.png" TargetMode="External"/><Relationship Id="rId734" Type="http://schemas.openxmlformats.org/officeDocument/2006/relationships/hyperlink" Target="https://employee.uc.ac.id/index.php/file/get/sis/t_cp/2a2e96d9-97b5-11ed-af4b-000d3ac6bafe.jpeg" TargetMode="External"/><Relationship Id="rId941" Type="http://schemas.openxmlformats.org/officeDocument/2006/relationships/hyperlink" Target="https://employee.uc.ac.id/index.php/file/get/sis/t_cp/multi/c77a0b11-9336-11ee-859c-000d3ac6bafe.png" TargetMode="External"/><Relationship Id="rId1157" Type="http://schemas.openxmlformats.org/officeDocument/2006/relationships/hyperlink" Target="https://employee.uc.ac.id/index.php/file/get/sis/t_cp/multi/c77a0b11-9336-11ee-859c-000d3ac6bafe.png" TargetMode="External"/><Relationship Id="rId70" Type="http://schemas.openxmlformats.org/officeDocument/2006/relationships/hyperlink" Target="https://employee.uc.ac.id/index.php/file/get/sis/t_cp/multi/c77a0b11-9336-11ee-859c-000d3ac6bafe.png" TargetMode="External"/><Relationship Id="rId166" Type="http://schemas.openxmlformats.org/officeDocument/2006/relationships/hyperlink" Target="https://employee.uc.ac.id/index.php/file/get/sis/t_cp/multi/44388237-9417-11ee-bd04-000d3ac6bafe_assignmentletter.png" TargetMode="External"/><Relationship Id="rId373" Type="http://schemas.openxmlformats.org/officeDocument/2006/relationships/hyperlink" Target="https://icoen.org/" TargetMode="External"/><Relationship Id="rId580" Type="http://schemas.openxmlformats.org/officeDocument/2006/relationships/hyperlink" Target="https://employee.uc.ac.id/index.php/file/get/sis/t_cp/multi/44388237-9417-11ee-bd04-000d3ac6bafe.png" TargetMode="External"/><Relationship Id="rId801" Type="http://schemas.openxmlformats.org/officeDocument/2006/relationships/hyperlink" Target="https://employee.uc.ac.id/index.php/file/get/sis/t_cp/64cbb0e7-6fcf-11ee-9434-000d3ac6bafe_report.pdf" TargetMode="External"/><Relationship Id="rId1017" Type="http://schemas.openxmlformats.org/officeDocument/2006/relationships/hyperlink" Target="https://employee.uc.ac.id/index.php/file/get/sis/t_cp/multi/28ba9854-8e8c-11ee-8544-000d3ac6bafe_assignmentletter.jpeg" TargetMode="External"/><Relationship Id="rId1" Type="http://schemas.openxmlformats.org/officeDocument/2006/relationships/hyperlink" Target="https://senima.conference.unesa.ac.id/" TargetMode="External"/><Relationship Id="rId233" Type="http://schemas.openxmlformats.org/officeDocument/2006/relationships/hyperlink" Target="https://employee.uc.ac.id/index.php/file/get/sis/t_cp/multi/44388237-9417-11ee-bd04-000d3ac6bafe_assignmentletter.png" TargetMode="External"/><Relationship Id="rId440" Type="http://schemas.openxmlformats.org/officeDocument/2006/relationships/hyperlink" Target="https://employee.uc.ac.id/index.php/file/get/sis/t_cp/multi/44388237-9417-11ee-bd04-000d3ac6bafe.png" TargetMode="External"/><Relationship Id="rId678" Type="http://schemas.openxmlformats.org/officeDocument/2006/relationships/hyperlink" Target="https://employee.uc.ac.id/index.php/file/get/sis/t_cp/multi/44388237-9417-11ee-bd04-000d3ac6bafe.png" TargetMode="External"/><Relationship Id="rId885" Type="http://schemas.openxmlformats.org/officeDocument/2006/relationships/hyperlink" Target="https://employee.uc.ac.id/index.php/file/get/sis/t_cp/multi/c77a0b11-9336-11ee-859c-000d3ac6bafe.png" TargetMode="External"/><Relationship Id="rId1070" Type="http://schemas.openxmlformats.org/officeDocument/2006/relationships/hyperlink" Target="https://icoen.org/" TargetMode="External"/><Relationship Id="rId28" Type="http://schemas.openxmlformats.org/officeDocument/2006/relationships/hyperlink" Target="https://icoen.org/" TargetMode="External"/><Relationship Id="rId300" Type="http://schemas.openxmlformats.org/officeDocument/2006/relationships/hyperlink" Target="https://employee.uc.ac.id/index.php/file/get/sis/t_cp/multi/44388237-9417-11ee-bd04-000d3ac6bafe.png" TargetMode="External"/><Relationship Id="rId538" Type="http://schemas.openxmlformats.org/officeDocument/2006/relationships/hyperlink" Target="https://employee.uc.ac.id/index.php/file/get/sis/t_cp/multi/44388237-9417-11ee-bd04-000d3ac6bafe.png" TargetMode="External"/><Relationship Id="rId745" Type="http://schemas.openxmlformats.org/officeDocument/2006/relationships/hyperlink" Target="https://employee.uc.ac.id/index.php/file/get/sis/t_cp/899236bd-188c-11ee-96cf-000d3ac6bafe.jpg" TargetMode="External"/><Relationship Id="rId952" Type="http://schemas.openxmlformats.org/officeDocument/2006/relationships/hyperlink" Target="https://icoen.org/" TargetMode="External"/><Relationship Id="rId1168" Type="http://schemas.openxmlformats.org/officeDocument/2006/relationships/table" Target="../tables/table1.xml"/><Relationship Id="rId81" Type="http://schemas.openxmlformats.org/officeDocument/2006/relationships/hyperlink" Target="https://employee.uc.ac.id/index.php/file/get/sis/t_cp/c622e22d-b664-11ed-aa92-000d3ac6bafe.jpg" TargetMode="External"/><Relationship Id="rId177" Type="http://schemas.openxmlformats.org/officeDocument/2006/relationships/hyperlink" Target="https://icoen.org/" TargetMode="External"/><Relationship Id="rId384" Type="http://schemas.openxmlformats.org/officeDocument/2006/relationships/hyperlink" Target="https://employee.uc.ac.id/index.php/file/get/sis/t_cp/multi/44388237-9417-11ee-bd04-000d3ac6bafe_assignmentletter.png" TargetMode="External"/><Relationship Id="rId591" Type="http://schemas.openxmlformats.org/officeDocument/2006/relationships/hyperlink" Target="https://icoen.org/" TargetMode="External"/><Relationship Id="rId605" Type="http://schemas.openxmlformats.org/officeDocument/2006/relationships/hyperlink" Target="https://icoen.org/" TargetMode="External"/><Relationship Id="rId812" Type="http://schemas.openxmlformats.org/officeDocument/2006/relationships/hyperlink" Target="https://employee.uc.ac.id/index.php/file/get/sis/t_cp/multi/c77a0b11-9336-11ee-859c-000d3ac6bafe.png" TargetMode="External"/><Relationship Id="rId1028" Type="http://schemas.openxmlformats.org/officeDocument/2006/relationships/hyperlink" Target="https://employee.uc.ac.id/index.php/file/get/sis/t_cp/multi/c77a0b11-9336-11ee-859c-000d3ac6bafe_assignmentletter.png" TargetMode="External"/><Relationship Id="rId244" Type="http://schemas.openxmlformats.org/officeDocument/2006/relationships/hyperlink" Target="https://employee.uc.ac.id/index.php/file/get/sis/t_cp/multi/44388237-9417-11ee-bd04-000d3ac6bafe.png" TargetMode="External"/><Relationship Id="rId689" Type="http://schemas.openxmlformats.org/officeDocument/2006/relationships/hyperlink" Target="https://icoen.org/" TargetMode="External"/><Relationship Id="rId896" Type="http://schemas.openxmlformats.org/officeDocument/2006/relationships/hyperlink" Target="https://employee.uc.ac.id/index.php/file/get/sis/t_cp/multi/c77a0b11-9336-11ee-859c-000d3ac6bafe.png" TargetMode="External"/><Relationship Id="rId1081" Type="http://schemas.openxmlformats.org/officeDocument/2006/relationships/hyperlink" Target="https://employee.uc.ac.id/index.php/file/get/sis/t_cp/multi/c77a0b11-9336-11ee-859c-000d3ac6bafe.png" TargetMode="External"/><Relationship Id="rId39" Type="http://schemas.openxmlformats.org/officeDocument/2006/relationships/hyperlink" Target="https://icoen.org/" TargetMode="External"/><Relationship Id="rId451" Type="http://schemas.openxmlformats.org/officeDocument/2006/relationships/hyperlink" Target="https://employee.uc.ac.id/index.php/file/get/sis/t_cp/multi/44388237-9417-11ee-bd04-000d3ac6bafe_assignmentletter.png" TargetMode="External"/><Relationship Id="rId549" Type="http://schemas.openxmlformats.org/officeDocument/2006/relationships/hyperlink" Target="https://icoen.org/" TargetMode="External"/><Relationship Id="rId756" Type="http://schemas.openxmlformats.org/officeDocument/2006/relationships/hyperlink" Target="https://employee.uc.ac.id/index.php/file/get/sis/t_cp/47a77fda-dcd7-11ed-8a0b-000d3ac6bafe.HEIC" TargetMode="External"/><Relationship Id="rId104" Type="http://schemas.openxmlformats.org/officeDocument/2006/relationships/hyperlink" Target="https://icoen.org/" TargetMode="External"/><Relationship Id="rId188" Type="http://schemas.openxmlformats.org/officeDocument/2006/relationships/hyperlink" Target="https://employee.uc.ac.id/index.php/file/get/sis/t_cp/multi/44388237-9417-11ee-bd04-000d3ac6bafe_assignmentletter.png" TargetMode="External"/><Relationship Id="rId311" Type="http://schemas.openxmlformats.org/officeDocument/2006/relationships/hyperlink" Target="https://icoen.org/" TargetMode="External"/><Relationship Id="rId395" Type="http://schemas.openxmlformats.org/officeDocument/2006/relationships/hyperlink" Target="https://employee.uc.ac.id/index.php/file/get/sis/t_cp/multi/44388237-9417-11ee-bd04-000d3ac6bafe.png" TargetMode="External"/><Relationship Id="rId409" Type="http://schemas.openxmlformats.org/officeDocument/2006/relationships/hyperlink" Target="https://icoen.org/" TargetMode="External"/><Relationship Id="rId963" Type="http://schemas.openxmlformats.org/officeDocument/2006/relationships/hyperlink" Target="https://icoen.org/" TargetMode="External"/><Relationship Id="rId1039" Type="http://schemas.openxmlformats.org/officeDocument/2006/relationships/hyperlink" Target="https://employee.uc.ac.id/index.php/file/get/sis/t_cp/8718597b-402b-11ee-a77b-000d3ac6bafe.pdf" TargetMode="External"/><Relationship Id="rId92" Type="http://schemas.openxmlformats.org/officeDocument/2006/relationships/hyperlink" Target="https://employee.uc.ac.id/index.php/file/get/sis/t_cp/multi/44388237-9417-11ee-bd04-000d3ac6bafe.png" TargetMode="External"/><Relationship Id="rId616" Type="http://schemas.openxmlformats.org/officeDocument/2006/relationships/hyperlink" Target="https://employee.uc.ac.id/index.php/file/get/sis/t_cp/multi/44388237-9417-11ee-bd04-000d3ac6bafe_assignmentletter.png" TargetMode="External"/><Relationship Id="rId823" Type="http://schemas.openxmlformats.org/officeDocument/2006/relationships/hyperlink" Target="https://employee.uc.ac.id/index.php/file/get/sis/t_cp/multi/c77a0b11-9336-11ee-859c-000d3ac6bafe.png" TargetMode="External"/><Relationship Id="rId255" Type="http://schemas.openxmlformats.org/officeDocument/2006/relationships/hyperlink" Target="https://icoen.org/" TargetMode="External"/><Relationship Id="rId462" Type="http://schemas.openxmlformats.org/officeDocument/2006/relationships/hyperlink" Target="https://icoen.org/" TargetMode="External"/><Relationship Id="rId1092" Type="http://schemas.openxmlformats.org/officeDocument/2006/relationships/hyperlink" Target="https://icoen.org/" TargetMode="External"/><Relationship Id="rId1106" Type="http://schemas.openxmlformats.org/officeDocument/2006/relationships/hyperlink" Target="https://employee.uc.ac.id/index.php/file/get/sis/t_cp/multi/c77a0b11-9336-11ee-859c-000d3ac6bafe.png" TargetMode="External"/><Relationship Id="rId115" Type="http://schemas.openxmlformats.org/officeDocument/2006/relationships/hyperlink" Target="https://employee.uc.ac.id/index.php/file/get/sis/t_cp/multi/44388237-9417-11ee-bd04-000d3ac6bafe.png" TargetMode="External"/><Relationship Id="rId322" Type="http://schemas.openxmlformats.org/officeDocument/2006/relationships/hyperlink" Target="https://employee.uc.ac.id/index.php/file/get/sis/t_cp/multi/44388237-9417-11ee-bd04-000d3ac6bafe_assignmentletter.png" TargetMode="External"/><Relationship Id="rId767" Type="http://schemas.openxmlformats.org/officeDocument/2006/relationships/hyperlink" Target="https://employee.uc.ac.id/index.php/file/get/sis/t_cp/dce2baf4-fa9c-11ed-965d-000d3ac6bafe.pdf" TargetMode="External"/><Relationship Id="rId974" Type="http://schemas.openxmlformats.org/officeDocument/2006/relationships/hyperlink" Target="https://employee.uc.ac.id/index.php/file/get/sis/t_cp/multi/c77a0b11-9336-11ee-859c-000d3ac6bafe_assignmentletter.png" TargetMode="External"/><Relationship Id="rId199" Type="http://schemas.openxmlformats.org/officeDocument/2006/relationships/hyperlink" Target="https://employee.uc.ac.id/index.php/file/get/sis/t_cp/multi/44388237-9417-11ee-bd04-000d3ac6bafe.png" TargetMode="External"/><Relationship Id="rId627" Type="http://schemas.openxmlformats.org/officeDocument/2006/relationships/hyperlink" Target="https://employee.uc.ac.id/index.php/file/get/sis/t_cp/multi/44388237-9417-11ee-bd04-000d3ac6bafe.png" TargetMode="External"/><Relationship Id="rId834" Type="http://schemas.openxmlformats.org/officeDocument/2006/relationships/hyperlink" Target="https://icoen.org/" TargetMode="External"/><Relationship Id="rId266" Type="http://schemas.openxmlformats.org/officeDocument/2006/relationships/hyperlink" Target="https://employee.uc.ac.id/index.php/file/get/sis/t_cp/multi/44388237-9417-11ee-bd04-000d3ac6bafe_assignmentletter.png" TargetMode="External"/><Relationship Id="rId473" Type="http://schemas.openxmlformats.org/officeDocument/2006/relationships/hyperlink" Target="https://employee.uc.ac.id/index.php/file/get/sis/t_cp/multi/44388237-9417-11ee-bd04-000d3ac6bafe_assignmentletter.png" TargetMode="External"/><Relationship Id="rId680" Type="http://schemas.openxmlformats.org/officeDocument/2006/relationships/hyperlink" Target="https://icoen.org/" TargetMode="External"/><Relationship Id="rId901" Type="http://schemas.openxmlformats.org/officeDocument/2006/relationships/hyperlink" Target="https://icoen.org/" TargetMode="External"/><Relationship Id="rId1117" Type="http://schemas.openxmlformats.org/officeDocument/2006/relationships/hyperlink" Target="https://employee.uc.ac.id/index.php/file/get/sis/t_cp/multi/f6c081fe-76ca-11ee-858c-000d3ac6bafe.png" TargetMode="External"/><Relationship Id="rId30" Type="http://schemas.openxmlformats.org/officeDocument/2006/relationships/hyperlink" Target="https://employee.uc.ac.id/index.php/file/get/sis/t_cp/multi/c77a0b11-9336-11ee-859c-000d3ac6bafe_assignmentletter.png" TargetMode="External"/><Relationship Id="rId126" Type="http://schemas.openxmlformats.org/officeDocument/2006/relationships/hyperlink" Target="https://icoen.org/" TargetMode="External"/><Relationship Id="rId333" Type="http://schemas.openxmlformats.org/officeDocument/2006/relationships/hyperlink" Target="https://employee.uc.ac.id/index.php/file/get/sis/t_cp/multi/c15ab80d-7c81-11ee-aca7-000d3ac6bafe_assignmentletter.png" TargetMode="External"/><Relationship Id="rId540" Type="http://schemas.openxmlformats.org/officeDocument/2006/relationships/hyperlink" Target="https://icoen.org/" TargetMode="External"/><Relationship Id="rId778" Type="http://schemas.openxmlformats.org/officeDocument/2006/relationships/hyperlink" Target="https://employee.uc.ac.id/index.php/file/get/sis/t_cp/5134f42a-5d4d-11ee-9708-000d3ac6bafe.pdf" TargetMode="External"/><Relationship Id="rId985" Type="http://schemas.openxmlformats.org/officeDocument/2006/relationships/hyperlink" Target="https://employee.uc.ac.id/index.php/file/get/sis/t_cp/8a6cbd2d-73f0-11ee-b010-000d3ac6bafe.jpeg" TargetMode="External"/><Relationship Id="rId638" Type="http://schemas.openxmlformats.org/officeDocument/2006/relationships/hyperlink" Target="https://icoen.org/" TargetMode="External"/><Relationship Id="rId845" Type="http://schemas.openxmlformats.org/officeDocument/2006/relationships/hyperlink" Target="https://employee.uc.ac.id/index.php/file/get/sis/t_cp/multi/c77a0b11-9336-11ee-859c-000d3ac6bafe_assignmentletter.png" TargetMode="External"/><Relationship Id="rId1030" Type="http://schemas.openxmlformats.org/officeDocument/2006/relationships/hyperlink" Target="https://employee.uc.ac.id/index.php/file/get/sis/t_cp/9e27b819-ad0c-11ed-87f5-000d3ac6bafe.jpg" TargetMode="External"/><Relationship Id="rId277" Type="http://schemas.openxmlformats.org/officeDocument/2006/relationships/hyperlink" Target="https://employee.uc.ac.id/index.php/file/get/sis/t_cp/multi/44388237-9417-11ee-bd04-000d3ac6bafe.png" TargetMode="External"/><Relationship Id="rId400" Type="http://schemas.openxmlformats.org/officeDocument/2006/relationships/hyperlink" Target="https://icoen.org/" TargetMode="External"/><Relationship Id="rId484" Type="http://schemas.openxmlformats.org/officeDocument/2006/relationships/hyperlink" Target="https://employee.uc.ac.id/index.php/file/get/sis/t_cp/multi/44388237-9417-11ee-bd04-000d3ac6bafe.png" TargetMode="External"/><Relationship Id="rId705" Type="http://schemas.openxmlformats.org/officeDocument/2006/relationships/hyperlink" Target="https://employee.uc.ac.id/index.php/file/get/sis/t_cp/multi/44388237-9417-11ee-bd04-000d3ac6bafe.png" TargetMode="External"/><Relationship Id="rId1128" Type="http://schemas.openxmlformats.org/officeDocument/2006/relationships/hyperlink" Target="https://www.linkedin.com/company/academia-law-rese" TargetMode="External"/><Relationship Id="rId137" Type="http://schemas.openxmlformats.org/officeDocument/2006/relationships/hyperlink" Target="https://icoen.org/" TargetMode="External"/><Relationship Id="rId344" Type="http://schemas.openxmlformats.org/officeDocument/2006/relationships/hyperlink" Target="https://employee.uc.ac.id/index.php/file/get/sis/t_cp/multi/44388237-9417-11ee-bd04-000d3ac6bafe.png" TargetMode="External"/><Relationship Id="rId691" Type="http://schemas.openxmlformats.org/officeDocument/2006/relationships/hyperlink" Target="https://employee.uc.ac.id/index.php/file/get/sis/t_cp/multi/44388237-9417-11ee-bd04-000d3ac6bafe_assignmentletter.png" TargetMode="External"/><Relationship Id="rId789" Type="http://schemas.openxmlformats.org/officeDocument/2006/relationships/hyperlink" Target="https://employee.uc.ac.id/index.php/file/get/sis/t_cp/multi/c77a0b11-9336-11ee-859c-000d3ac6bafe.png" TargetMode="External"/><Relationship Id="rId912" Type="http://schemas.openxmlformats.org/officeDocument/2006/relationships/hyperlink" Target="https://employee.uc.ac.id/index.php/file/get/sis/t_cp/multi/c77a0b11-9336-11ee-859c-000d3ac6bafe_assignmentletter.png" TargetMode="External"/><Relationship Id="rId996" Type="http://schemas.openxmlformats.org/officeDocument/2006/relationships/hyperlink" Target="https://employee.uc.ac.id/index.php/file/get/sis/t_cp/8e602f94-a07e-11ee-bdb5-000d3ac6bafe.pdf" TargetMode="External"/><Relationship Id="rId41" Type="http://schemas.openxmlformats.org/officeDocument/2006/relationships/hyperlink" Target="https://employee.uc.ac.id/index.php/file/get/sis/t_cp/multi/44388237-9417-11ee-bd04-000d3ac6bafe_assignmentletter.png" TargetMode="External"/><Relationship Id="rId551" Type="http://schemas.openxmlformats.org/officeDocument/2006/relationships/hyperlink" Target="https://employee.uc.ac.id/index.php/file/get/sis/t_cp/multi/44388237-9417-11ee-bd04-000d3ac6bafe_assignmentletter.png" TargetMode="External"/><Relationship Id="rId649" Type="http://schemas.openxmlformats.org/officeDocument/2006/relationships/hyperlink" Target="https://employee.uc.ac.id/index.php/file/get/sis/t_cp/multi/44388237-9417-11ee-bd04-000d3ac6bafe_assignmentletter.png" TargetMode="External"/><Relationship Id="rId856" Type="http://schemas.openxmlformats.org/officeDocument/2006/relationships/hyperlink" Target="https://www.uc.ac.id/puc/" TargetMode="External"/><Relationship Id="rId190" Type="http://schemas.openxmlformats.org/officeDocument/2006/relationships/hyperlink" Target="https://employee.uc.ac.id/index.php/file/get/sis/t_cp/multi/44388237-9417-11ee-bd04-000d3ac6bafe.png" TargetMode="External"/><Relationship Id="rId204" Type="http://schemas.openxmlformats.org/officeDocument/2006/relationships/hyperlink" Target="https://icoen.org/" TargetMode="External"/><Relationship Id="rId288" Type="http://schemas.openxmlformats.org/officeDocument/2006/relationships/hyperlink" Target="https://employee.uc.ac.id/index.php/file/get/sis/t_cp/multi/44388237-9417-11ee-bd04-000d3ac6bafe.png" TargetMode="External"/><Relationship Id="rId411" Type="http://schemas.openxmlformats.org/officeDocument/2006/relationships/hyperlink" Target="https://employee.uc.ac.id/index.php/file/get/sis/t_cp/multi/44388237-9417-11ee-bd04-000d3ac6bafe_assignmentletter.png" TargetMode="External"/><Relationship Id="rId509" Type="http://schemas.openxmlformats.org/officeDocument/2006/relationships/hyperlink" Target="https://employee.uc.ac.id/index.php/file/get/sis/t_cp/multi/44388237-9417-11ee-bd04-000d3ac6bafe_assignmentletter.png" TargetMode="External"/><Relationship Id="rId1041" Type="http://schemas.openxmlformats.org/officeDocument/2006/relationships/hyperlink" Target="https://employee.uc.ac.id/index.php/file/get/sis/t_cp/eba986b2-8b32-11ed-a20e-000d3ac6bafe.pdf" TargetMode="External"/><Relationship Id="rId1139" Type="http://schemas.openxmlformats.org/officeDocument/2006/relationships/hyperlink" Target="https://employee.uc.ac.id/index.php/file/get/sis/t_cp/multi/c77a0b11-9336-11ee-859c-000d3ac6bafe.png" TargetMode="External"/><Relationship Id="rId495" Type="http://schemas.openxmlformats.org/officeDocument/2006/relationships/hyperlink" Target="https://icoen.org/" TargetMode="External"/><Relationship Id="rId716" Type="http://schemas.openxmlformats.org/officeDocument/2006/relationships/hyperlink" Target="https://employee.uc.ac.id/index.php/file/get/sis/t_cp/de578adb-0c2d-11ee-825c-000d3ac6bafe.jpg" TargetMode="External"/><Relationship Id="rId923" Type="http://schemas.openxmlformats.org/officeDocument/2006/relationships/hyperlink" Target="https://employee.uc.ac.id/index.php/file/get/sis/t_cp/multi/c77a0b11-9336-11ee-859c-000d3ac6bafe.png" TargetMode="External"/><Relationship Id="rId52" Type="http://schemas.openxmlformats.org/officeDocument/2006/relationships/hyperlink" Target="https://employee.uc.ac.id/index.php/file/get/sis/t_cp/multi/1e7be259-882b-11ee-ae4d-000d3ac6bafe.png" TargetMode="External"/><Relationship Id="rId148" Type="http://schemas.openxmlformats.org/officeDocument/2006/relationships/hyperlink" Target="https://employee.uc.ac.id/index.php/file/get/sis/t_cp/multi/44388237-9417-11ee-bd04-000d3ac6bafe.png" TargetMode="External"/><Relationship Id="rId355" Type="http://schemas.openxmlformats.org/officeDocument/2006/relationships/hyperlink" Target="https://icoen.org/" TargetMode="External"/><Relationship Id="rId562" Type="http://schemas.openxmlformats.org/officeDocument/2006/relationships/hyperlink" Target="https://employee.uc.ac.id/index.php/file/get/sis/t_cp/multi/44388237-9417-11ee-bd04-000d3ac6bafe.png" TargetMode="External"/><Relationship Id="rId215" Type="http://schemas.openxmlformats.org/officeDocument/2006/relationships/hyperlink" Target="https://employee.uc.ac.id/index.php/file/get/sis/t_cp/multi/44388237-9417-11ee-bd04-000d3ac6bafe_assignmentletter.png" TargetMode="External"/><Relationship Id="rId422" Type="http://schemas.openxmlformats.org/officeDocument/2006/relationships/hyperlink" Target="https://employee.uc.ac.id/index.php/file/get/sis/t_cp/multi/44388237-9417-11ee-bd04-000d3ac6bafe.png" TargetMode="External"/><Relationship Id="rId867" Type="http://schemas.openxmlformats.org/officeDocument/2006/relationships/hyperlink" Target="https://employee.uc.ac.id/index.php/file/get/sis/t_cp/multi/1e7be259-882b-11ee-ae4d-000d3ac6bafe.png" TargetMode="External"/><Relationship Id="rId1052" Type="http://schemas.openxmlformats.org/officeDocument/2006/relationships/hyperlink" Target="https://employee.uc.ac.id/index.php/file/get/sis/t_cp/multi/c77a0b11-9336-11ee-859c-000d3ac6bafe.png" TargetMode="External"/><Relationship Id="rId299" Type="http://schemas.openxmlformats.org/officeDocument/2006/relationships/hyperlink" Target="https://icoen.org/" TargetMode="External"/><Relationship Id="rId727" Type="http://schemas.openxmlformats.org/officeDocument/2006/relationships/hyperlink" Target="https://employee.uc.ac.id/index.php/file/get/sis/t_cp/multi/c15ab80d-7c81-11ee-aca7-000d3ac6bafe_assignmentletter.png" TargetMode="External"/><Relationship Id="rId934" Type="http://schemas.openxmlformats.org/officeDocument/2006/relationships/hyperlink" Target="https://employee.uc.ac.id/index.php/file/get/sis/t_cp/299c8121-9e65-11ee-a2ac-000d3ac6bafe.pdf" TargetMode="External"/><Relationship Id="rId63" Type="http://schemas.openxmlformats.org/officeDocument/2006/relationships/hyperlink" Target="https://icoen.org/" TargetMode="External"/><Relationship Id="rId159" Type="http://schemas.openxmlformats.org/officeDocument/2006/relationships/hyperlink" Target="https://employee.uc.ac.id/index.php/file/get/sis/t_cp/multi/44388237-9417-11ee-bd04-000d3ac6bafe.png" TargetMode="External"/><Relationship Id="rId366" Type="http://schemas.openxmlformats.org/officeDocument/2006/relationships/hyperlink" Target="https://employee.uc.ac.id/index.php/file/get/sis/t_cp/multi/44388237-9417-11ee-bd04-000d3ac6bafe_assignmentletter.png" TargetMode="External"/><Relationship Id="rId573" Type="http://schemas.openxmlformats.org/officeDocument/2006/relationships/hyperlink" Target="https://icoen.org/" TargetMode="External"/><Relationship Id="rId780" Type="http://schemas.openxmlformats.org/officeDocument/2006/relationships/hyperlink" Target="https://employee.uc.ac.id/index.php/file/get/sis/t_cp/24018527-681a-11ee-876c-000d3ac6bafe.pdf" TargetMode="External"/><Relationship Id="rId226" Type="http://schemas.openxmlformats.org/officeDocument/2006/relationships/hyperlink" Target="https://employee.uc.ac.id/index.php/file/get/sis/t_cp/multi/44388237-9417-11ee-bd04-000d3ac6bafe.png" TargetMode="External"/><Relationship Id="rId433" Type="http://schemas.openxmlformats.org/officeDocument/2006/relationships/hyperlink" Target="https://icoen.org/" TargetMode="External"/><Relationship Id="rId878" Type="http://schemas.openxmlformats.org/officeDocument/2006/relationships/hyperlink" Target="https://icoen.org/" TargetMode="External"/><Relationship Id="rId1063" Type="http://schemas.openxmlformats.org/officeDocument/2006/relationships/hyperlink" Target="https://employee.uc.ac.id/index.php/file/get/sis/t_cp/62ffa310-55de-11ee-8778-000d3ac6bafe.png" TargetMode="External"/><Relationship Id="rId640" Type="http://schemas.openxmlformats.org/officeDocument/2006/relationships/hyperlink" Target="https://employee.uc.ac.id/index.php/file/get/sis/t_cp/multi/44388237-9417-11ee-bd04-000d3ac6bafe_assignmentletter.png" TargetMode="External"/><Relationship Id="rId738" Type="http://schemas.openxmlformats.org/officeDocument/2006/relationships/hyperlink" Target="https://employee.uc.ac.id/index.php/file/get/sis/t_cp/0b5997ad-14a4-11ee-bcb1-000d3ac6bafe_report.pdf" TargetMode="External"/><Relationship Id="rId945" Type="http://schemas.openxmlformats.org/officeDocument/2006/relationships/hyperlink" Target="https://employee.uc.ac.id/index.php/file/get/sis/t_cp/multi/c77a0b11-9336-11ee-859c-000d3ac6bafe_assignmentletter.png" TargetMode="External"/><Relationship Id="rId74" Type="http://schemas.openxmlformats.org/officeDocument/2006/relationships/hyperlink" Target="https://employee.uc.ac.id/index.php/file/get/sis/t_cp/multi/44388237-9417-11ee-bd04-000d3ac6bafe_assignmentletter.png" TargetMode="External"/><Relationship Id="rId377" Type="http://schemas.openxmlformats.org/officeDocument/2006/relationships/hyperlink" Target="https://employee.uc.ac.id/index.php/file/get/sis/t_cp/multi/44388237-9417-11ee-bd04-000d3ac6bafe.png" TargetMode="External"/><Relationship Id="rId500" Type="http://schemas.openxmlformats.org/officeDocument/2006/relationships/hyperlink" Target="https://employee.uc.ac.id/index.php/file/get/sis/t_cp/multi/44388237-9417-11ee-bd04-000d3ac6bafe_assignmentletter.png" TargetMode="External"/><Relationship Id="rId584" Type="http://schemas.openxmlformats.org/officeDocument/2006/relationships/hyperlink" Target="https://employee.uc.ac.id/index.php/file/get/sis/t_cp/multi/44388237-9417-11ee-bd04-000d3ac6bafe_assignmentletter.png" TargetMode="External"/><Relationship Id="rId805" Type="http://schemas.openxmlformats.org/officeDocument/2006/relationships/hyperlink" Target="https://icoen.org/" TargetMode="External"/><Relationship Id="rId1130" Type="http://schemas.openxmlformats.org/officeDocument/2006/relationships/hyperlink" Target="https://employee.uc.ac.id/index.php/file/get/sis/t_cp/7bf2a0c5-684f-11ee-86ec-000d3ac6bafe_assignmentletter.png" TargetMode="External"/><Relationship Id="rId5" Type="http://schemas.openxmlformats.org/officeDocument/2006/relationships/hyperlink" Target="https://employee.uc.ac.id/index.php/file/get/sis/t_cp/02c6cca4-0451-11ee-ba25-000d3ac6bafe.jpg" TargetMode="External"/><Relationship Id="rId237" Type="http://schemas.openxmlformats.org/officeDocument/2006/relationships/hyperlink" Target="https://icoen.org/" TargetMode="External"/><Relationship Id="rId791" Type="http://schemas.openxmlformats.org/officeDocument/2006/relationships/hyperlink" Target="https://icoen.org/" TargetMode="External"/><Relationship Id="rId889" Type="http://schemas.openxmlformats.org/officeDocument/2006/relationships/hyperlink" Target="https://icoen.org/" TargetMode="External"/><Relationship Id="rId1074" Type="http://schemas.openxmlformats.org/officeDocument/2006/relationships/hyperlink" Target="https://icoen.org/" TargetMode="External"/><Relationship Id="rId444" Type="http://schemas.openxmlformats.org/officeDocument/2006/relationships/hyperlink" Target="https://sma.pusatprestasinasional.kemdikbud.go.id/" TargetMode="External"/><Relationship Id="rId651" Type="http://schemas.openxmlformats.org/officeDocument/2006/relationships/hyperlink" Target="https://employee.uc.ac.id/index.php/file/get/sis/t_cp/multi/44388237-9417-11ee-bd04-000d3ac6bafe.png" TargetMode="External"/><Relationship Id="rId749" Type="http://schemas.openxmlformats.org/officeDocument/2006/relationships/hyperlink" Target="https://employee.uc.ac.id/index.php/file/get/sis/t_cp/73831462-be27-11ed-8a3c-000d3ac6bafe.pdf" TargetMode="External"/><Relationship Id="rId290" Type="http://schemas.openxmlformats.org/officeDocument/2006/relationships/hyperlink" Target="https://icoen.org/" TargetMode="External"/><Relationship Id="rId304" Type="http://schemas.openxmlformats.org/officeDocument/2006/relationships/hyperlink" Target="https://employee.uc.ac.id/index.php/file/get/sis/t_cp/multi/44388237-9417-11ee-bd04-000d3ac6bafe_assignmentletter.png" TargetMode="External"/><Relationship Id="rId388" Type="http://schemas.openxmlformats.org/officeDocument/2006/relationships/hyperlink" Target="https://icoen.org/" TargetMode="External"/><Relationship Id="rId511" Type="http://schemas.openxmlformats.org/officeDocument/2006/relationships/hyperlink" Target="https://employee.uc.ac.id/index.php/file/get/sis/t_cp/multi/44388237-9417-11ee-bd04-000d3ac6bafe.png" TargetMode="External"/><Relationship Id="rId609" Type="http://schemas.openxmlformats.org/officeDocument/2006/relationships/hyperlink" Target="https://employee.uc.ac.id/index.php/file/get/sis/t_cp/multi/44388237-9417-11ee-bd04-000d3ac6bafe.png" TargetMode="External"/><Relationship Id="rId956" Type="http://schemas.openxmlformats.org/officeDocument/2006/relationships/hyperlink" Target="https://employee.uc.ac.id/index.php/file/get/sis/t_cp/d2e9fbdf-97c7-11ed-af4b-000d3ac6bafe.pdf" TargetMode="External"/><Relationship Id="rId1141" Type="http://schemas.openxmlformats.org/officeDocument/2006/relationships/hyperlink" Target="https://icoen.org/" TargetMode="External"/><Relationship Id="rId85" Type="http://schemas.openxmlformats.org/officeDocument/2006/relationships/hyperlink" Target="https://icoen.org/" TargetMode="External"/><Relationship Id="rId150" Type="http://schemas.openxmlformats.org/officeDocument/2006/relationships/hyperlink" Target="https://modelunitednation.org/offline" TargetMode="External"/><Relationship Id="rId595" Type="http://schemas.openxmlformats.org/officeDocument/2006/relationships/hyperlink" Target="https://employee.uc.ac.id/index.php/file/get/sis/t_cp/multi/44388237-9417-11ee-bd04-000d3ac6bafe.png" TargetMode="External"/><Relationship Id="rId816" Type="http://schemas.openxmlformats.org/officeDocument/2006/relationships/hyperlink" Target="https://employee.uc.ac.id/index.php/file/get/sis/t_cp/multi/c77a0b11-9336-11ee-859c-000d3ac6bafe_assignmentletter.png" TargetMode="External"/><Relationship Id="rId1001" Type="http://schemas.openxmlformats.org/officeDocument/2006/relationships/hyperlink" Target="https://employee.uc.ac.id/index.php/file/get/sis/t_cp/0f7e76e8-fa9f-11ed-965d-000d3ac6bafe.png" TargetMode="External"/><Relationship Id="rId248" Type="http://schemas.openxmlformats.org/officeDocument/2006/relationships/hyperlink" Target="https://employee.uc.ac.id/index.php/file/get/sis/t_cp/multi/44388237-9417-11ee-bd04-000d3ac6bafe_assignmentletter.png" TargetMode="External"/><Relationship Id="rId455" Type="http://schemas.openxmlformats.org/officeDocument/2006/relationships/hyperlink" Target="https://employee.uc.ac.id/index.php/file/get/sis/t_cp/multi/44388237-9417-11ee-bd04-000d3ac6bafe_assignmentletter.png" TargetMode="External"/><Relationship Id="rId662" Type="http://schemas.openxmlformats.org/officeDocument/2006/relationships/hyperlink" Target="https://icoen.org/" TargetMode="External"/><Relationship Id="rId1085" Type="http://schemas.openxmlformats.org/officeDocument/2006/relationships/hyperlink" Target="https://employee.uc.ac.id/index.php/file/get/sis/t_cp/multi/c77a0b11-9336-11ee-859c-000d3ac6bafe_assignmentletter.png" TargetMode="External"/><Relationship Id="rId12" Type="http://schemas.openxmlformats.org/officeDocument/2006/relationships/hyperlink" Target="https://employee.uc.ac.id/index.php/file/get/sis/t_cp/7a9befb4-97e1-11ed-af4b-000d3ac6bafe.jpg" TargetMode="External"/><Relationship Id="rId108" Type="http://schemas.openxmlformats.org/officeDocument/2006/relationships/hyperlink" Target="https://employee.uc.ac.id/index.php/file/get/sis/t_cp/multi/44388237-9417-11ee-bd04-000d3ac6bafe.png" TargetMode="External"/><Relationship Id="rId315" Type="http://schemas.openxmlformats.org/officeDocument/2006/relationships/hyperlink" Target="https://employee.uc.ac.id/index.php/file/get/sis/t_cp/multi/44388237-9417-11ee-bd04-000d3ac6bafe.png" TargetMode="External"/><Relationship Id="rId522" Type="http://schemas.openxmlformats.org/officeDocument/2006/relationships/hyperlink" Target="https://icoen.org/" TargetMode="External"/><Relationship Id="rId967" Type="http://schemas.openxmlformats.org/officeDocument/2006/relationships/hyperlink" Target="https://employee.uc.ac.id/index.php/file/get/sis/t_cp/multi/c77a0b11-9336-11ee-859c-000d3ac6bafe.png" TargetMode="External"/><Relationship Id="rId1152" Type="http://schemas.openxmlformats.org/officeDocument/2006/relationships/hyperlink" Target="https://employee.uc.ac.id/index.php/file/get/sis/t_cp/d1148a30-b670-11ed-aa92-000d3ac6bafe.jpg" TargetMode="External"/><Relationship Id="rId96" Type="http://schemas.openxmlformats.org/officeDocument/2006/relationships/hyperlink" Target="https://employee.uc.ac.id/index.php/file/get/sis/t_cp/cea351eb-b3eb-11ed-9a6a-000d3ac6bafe.jpg" TargetMode="External"/><Relationship Id="rId161" Type="http://schemas.openxmlformats.org/officeDocument/2006/relationships/hyperlink" Target="https://icoen.org/" TargetMode="External"/><Relationship Id="rId399" Type="http://schemas.openxmlformats.org/officeDocument/2006/relationships/hyperlink" Target="https://employee.uc.ac.id/index.php/file/get/sis/t_cp/multi/44388237-9417-11ee-bd04-000d3ac6bafe_assignmentletter.png" TargetMode="External"/><Relationship Id="rId827" Type="http://schemas.openxmlformats.org/officeDocument/2006/relationships/hyperlink" Target="https://employee.uc.ac.id/index.php/file/get/sis/t_cp/multi/c77a0b11-9336-11ee-859c-000d3ac6bafe_assignmentletter.png" TargetMode="External"/><Relationship Id="rId1012" Type="http://schemas.openxmlformats.org/officeDocument/2006/relationships/hyperlink" Target="https://employee.uc.ac.id/index.php/file/get/sis/t_cp/1843d263-307a-11ee-b2c1-000d3ac6bafe_report.png" TargetMode="External"/><Relationship Id="rId259" Type="http://schemas.openxmlformats.org/officeDocument/2006/relationships/hyperlink" Target="https://employee.uc.ac.id/index.php/file/get/sis/t_cp/multi/44388237-9417-11ee-bd04-000d3ac6bafe.png" TargetMode="External"/><Relationship Id="rId466" Type="http://schemas.openxmlformats.org/officeDocument/2006/relationships/hyperlink" Target="https://employee.uc.ac.id/index.php/file/get/sis/t_cp/multi/44388237-9417-11ee-bd04-000d3ac6bafe.png" TargetMode="External"/><Relationship Id="rId673" Type="http://schemas.openxmlformats.org/officeDocument/2006/relationships/hyperlink" Target="https://employee.uc.ac.id/index.php/file/get/sis/t_cp/multi/44388237-9417-11ee-bd04-000d3ac6bafe_assignmentletter.png" TargetMode="External"/><Relationship Id="rId880" Type="http://schemas.openxmlformats.org/officeDocument/2006/relationships/hyperlink" Target="https://employee.uc.ac.id/index.php/file/get/sis/t_cp/multi/c77a0b11-9336-11ee-859c-000d3ac6bafe_assignmentletter.png" TargetMode="External"/><Relationship Id="rId1096" Type="http://schemas.openxmlformats.org/officeDocument/2006/relationships/hyperlink" Target="https://employee.uc.ac.id/index.php/file/get/sis/t_cp/378ab227-02ee-11ee-a50e-000d3ac6bafe.jpg" TargetMode="External"/><Relationship Id="rId23" Type="http://schemas.openxmlformats.org/officeDocument/2006/relationships/hyperlink" Target="https://icoen.org/" TargetMode="External"/><Relationship Id="rId119" Type="http://schemas.openxmlformats.org/officeDocument/2006/relationships/hyperlink" Target="https://employee.uc.ac.id/index.php/file/get/sis/t_cp/multi/44388237-9417-11ee-bd04-000d3ac6bafe_assignmentletter.png" TargetMode="External"/><Relationship Id="rId326" Type="http://schemas.openxmlformats.org/officeDocument/2006/relationships/hyperlink" Target="https://icoen.org/" TargetMode="External"/><Relationship Id="rId533" Type="http://schemas.openxmlformats.org/officeDocument/2006/relationships/hyperlink" Target="https://employee.uc.ac.id/index.php/file/get/sis/t_cp/multi/44388237-9417-11ee-bd04-000d3ac6bafe_assignmentletter.png" TargetMode="External"/><Relationship Id="rId978" Type="http://schemas.openxmlformats.org/officeDocument/2006/relationships/hyperlink" Target="https://employee.uc.ac.id/index.php/file/get/sis/t_cp/multi/c77a0b11-9336-11ee-859c-000d3ac6bafe.png" TargetMode="External"/><Relationship Id="rId1163" Type="http://schemas.openxmlformats.org/officeDocument/2006/relationships/hyperlink" Target="https://employee.uc.ac.id/index.php/file/get/sis/t_cp/129fbc7f-bdbb-11ed-afa1-000d3ac6bafe.png" TargetMode="External"/><Relationship Id="rId740" Type="http://schemas.openxmlformats.org/officeDocument/2006/relationships/hyperlink" Target="https://employee.uc.ac.id/index.php/file/get/sis/t_cp/17182534-034d-11ee-9899-000d3ac6bafe.jpg" TargetMode="External"/><Relationship Id="rId838" Type="http://schemas.openxmlformats.org/officeDocument/2006/relationships/hyperlink" Target="https://employee.uc.ac.id/index.php/file/get/sis/t_cp/multi/c77a0b11-9336-11ee-859c-000d3ac6bafe.png" TargetMode="External"/><Relationship Id="rId1023" Type="http://schemas.openxmlformats.org/officeDocument/2006/relationships/hyperlink" Target="https://employee.uc.ac.id/index.php/file/get/sis/t_cp/multi/9966d465-8828-11ee-ae4d-000d3ac6bafe.png" TargetMode="External"/><Relationship Id="rId172" Type="http://schemas.openxmlformats.org/officeDocument/2006/relationships/hyperlink" Target="https://employee.uc.ac.id/index.php/file/get/sis/t_cp/multi/44388237-9417-11ee-bd04-000d3ac6bafe.png" TargetMode="External"/><Relationship Id="rId477" Type="http://schemas.openxmlformats.org/officeDocument/2006/relationships/hyperlink" Target="https://icoen.org/" TargetMode="External"/><Relationship Id="rId600" Type="http://schemas.openxmlformats.org/officeDocument/2006/relationships/hyperlink" Target="https://employee.uc.ac.id/index.php/file/get/sis/t_cp/multi/44388237-9417-11ee-bd04-000d3ac6bafe.png" TargetMode="External"/><Relationship Id="rId684" Type="http://schemas.openxmlformats.org/officeDocument/2006/relationships/hyperlink" Target="https://employee.uc.ac.id/index.php/file/get/sis/t_cp/multi/44388237-9417-11ee-bd04-000d3ac6bafe.png" TargetMode="External"/><Relationship Id="rId337" Type="http://schemas.openxmlformats.org/officeDocument/2006/relationships/hyperlink" Target="https://icoen.org/" TargetMode="External"/><Relationship Id="rId891" Type="http://schemas.openxmlformats.org/officeDocument/2006/relationships/hyperlink" Target="https://employee.uc.ac.id/index.php/file/get/sis/t_cp/multi/c77a0b11-9336-11ee-859c-000d3ac6bafe_assignmentletter.png" TargetMode="External"/><Relationship Id="rId905" Type="http://schemas.openxmlformats.org/officeDocument/2006/relationships/hyperlink" Target="https://employee.uc.ac.id/index.php/file/get/sis/t_cp/multi/c77a0b11-9336-11ee-859c-000d3ac6bafe.png" TargetMode="External"/><Relationship Id="rId989" Type="http://schemas.openxmlformats.org/officeDocument/2006/relationships/hyperlink" Target="https://icoen.org/" TargetMode="External"/><Relationship Id="rId34" Type="http://schemas.openxmlformats.org/officeDocument/2006/relationships/hyperlink" Target="https://employee.uc.ac.id/index.php/file/get/sis/t_cp/multi/c77a0b11-9336-11ee-859c-000d3ac6bafe.png" TargetMode="External"/><Relationship Id="rId544" Type="http://schemas.openxmlformats.org/officeDocument/2006/relationships/hyperlink" Target="https://employee.uc.ac.id/index.php/file/get/sis/t_cp/multi/44388237-9417-11ee-bd04-000d3ac6bafe.png" TargetMode="External"/><Relationship Id="rId751" Type="http://schemas.openxmlformats.org/officeDocument/2006/relationships/hyperlink" Target="https://employee.uc.ac.id/index.php/file/get/sis/t_cp/89710f9d-194f-11ee-a5c3-000d3ac6bafe.pdf" TargetMode="External"/><Relationship Id="rId849" Type="http://schemas.openxmlformats.org/officeDocument/2006/relationships/hyperlink" Target="https://employee.uc.ac.id/index.php/file/get/sis/t_cp/c85aa59c-70fa-11ee-a572-000d3ac6bafe_assignmentletter.jpg" TargetMode="External"/><Relationship Id="rId183" Type="http://schemas.openxmlformats.org/officeDocument/2006/relationships/hyperlink" Target="https://icoen.org/" TargetMode="External"/><Relationship Id="rId390" Type="http://schemas.openxmlformats.org/officeDocument/2006/relationships/hyperlink" Target="https://employee.uc.ac.id/index.php/file/get/sis/t_cp/multi/44388237-9417-11ee-bd04-000d3ac6bafe_assignmentletter.png" TargetMode="External"/><Relationship Id="rId404" Type="http://schemas.openxmlformats.org/officeDocument/2006/relationships/hyperlink" Target="https://employee.uc.ac.id/index.php/file/get/sis/t_cp/multi/44388237-9417-11ee-bd04-000d3ac6bafe.png" TargetMode="External"/><Relationship Id="rId611" Type="http://schemas.openxmlformats.org/officeDocument/2006/relationships/hyperlink" Target="https://icoen.org/" TargetMode="External"/><Relationship Id="rId1034" Type="http://schemas.openxmlformats.org/officeDocument/2006/relationships/hyperlink" Target="https://employee.uc.ac.id/index.php/file/get/sis/t_cp/multi/9966d465-8828-11ee-ae4d-000d3ac6bafe.png" TargetMode="External"/><Relationship Id="rId250" Type="http://schemas.openxmlformats.org/officeDocument/2006/relationships/hyperlink" Target="https://employee.uc.ac.id/index.php/file/get/sis/t_cp/multi/44388237-9417-11ee-bd04-000d3ac6bafe.png" TargetMode="External"/><Relationship Id="rId488" Type="http://schemas.openxmlformats.org/officeDocument/2006/relationships/hyperlink" Target="https://employee.uc.ac.id/index.php/file/get/sis/t_cp/multi/44388237-9417-11ee-bd04-000d3ac6bafe_assignmentletter.png" TargetMode="External"/><Relationship Id="rId695" Type="http://schemas.openxmlformats.org/officeDocument/2006/relationships/hyperlink" Target="https://icoen.org/" TargetMode="External"/><Relationship Id="rId709" Type="http://schemas.openxmlformats.org/officeDocument/2006/relationships/hyperlink" Target="https://employee.uc.ac.id/index.php/file/get/sis/t_cp/multi/44388237-9417-11ee-bd04-000d3ac6bafe_assignmentletter.png" TargetMode="External"/><Relationship Id="rId916" Type="http://schemas.openxmlformats.org/officeDocument/2006/relationships/hyperlink" Target="https://employee.uc.ac.id/index.php/file/get/sis/t_cp/b2337fd2-82b8-11ee-8a78-000d3ac6bafe.pdf" TargetMode="External"/><Relationship Id="rId1101" Type="http://schemas.openxmlformats.org/officeDocument/2006/relationships/hyperlink" Target="https://employee.uc.ac.id/index.php/file/get/sis/t_cp/ae0e8160-2553-11ee-9325-000d3ac6bafe.jpg" TargetMode="External"/><Relationship Id="rId45" Type="http://schemas.openxmlformats.org/officeDocument/2006/relationships/hyperlink" Target="https://employee.uc.ac.id/index.php/file/get/sis/t_cp/multi/36efe3c6-76cb-11ee-858c-000d3ac6bafe.png" TargetMode="External"/><Relationship Id="rId110" Type="http://schemas.openxmlformats.org/officeDocument/2006/relationships/hyperlink" Target="https://employee.uc.ac.id/index.php/file/get/sis/t_cp/multi/c15ab80d-7c81-11ee-aca7-000d3ac6bafe.png" TargetMode="External"/><Relationship Id="rId348" Type="http://schemas.openxmlformats.org/officeDocument/2006/relationships/hyperlink" Target="https://employee.uc.ac.id/index.php/file/get/sis/t_cp/multi/44388237-9417-11ee-bd04-000d3ac6bafe_assignmentletter.png" TargetMode="External"/><Relationship Id="rId555" Type="http://schemas.openxmlformats.org/officeDocument/2006/relationships/hyperlink" Target="https://icoen.org/" TargetMode="External"/><Relationship Id="rId762" Type="http://schemas.openxmlformats.org/officeDocument/2006/relationships/hyperlink" Target="https://employee.uc.ac.id/index.php/file/get/sis/t_cp/a6856538-d1f0-11ed-a759-000d3ac6bafe_assignmentletter.jpg" TargetMode="External"/><Relationship Id="rId194" Type="http://schemas.openxmlformats.org/officeDocument/2006/relationships/hyperlink" Target="https://employee.uc.ac.id/index.php/file/get/sis/t_cp/multi/44388237-9417-11ee-bd04-000d3ac6bafe_assignmentletter.png" TargetMode="External"/><Relationship Id="rId208" Type="http://schemas.openxmlformats.org/officeDocument/2006/relationships/hyperlink" Target="https://employee.uc.ac.id/index.php/file/get/sis/t_cp/multi/44388237-9417-11ee-bd04-000d3ac6bafe.png" TargetMode="External"/><Relationship Id="rId415" Type="http://schemas.openxmlformats.org/officeDocument/2006/relationships/hyperlink" Target="https://icoen.org/" TargetMode="External"/><Relationship Id="rId622" Type="http://schemas.openxmlformats.org/officeDocument/2006/relationships/hyperlink" Target="https://employee.uc.ac.id/index.php/file/get/sis/t_cp/multi/44388237-9417-11ee-bd04-000d3ac6bafe_assignmentletter.png" TargetMode="External"/><Relationship Id="rId1045" Type="http://schemas.openxmlformats.org/officeDocument/2006/relationships/hyperlink" Target="https://employee.uc.ac.id/index.php/file/get/sis/t_cp/40407e8d-0696-11ee-b92f-000d3ac6bafe.pdf" TargetMode="External"/><Relationship Id="rId261" Type="http://schemas.openxmlformats.org/officeDocument/2006/relationships/hyperlink" Target="https://icoen.org/" TargetMode="External"/><Relationship Id="rId499" Type="http://schemas.openxmlformats.org/officeDocument/2006/relationships/hyperlink" Target="https://employee.uc.ac.id/index.php/file/get/sis/t_cp/multi/44388237-9417-11ee-bd04-000d3ac6bafe.png" TargetMode="External"/><Relationship Id="rId927" Type="http://schemas.openxmlformats.org/officeDocument/2006/relationships/hyperlink" Target="https://employee.uc.ac.id/index.php/file/get/sis/t_cp/multi/c77a0b11-9336-11ee-859c-000d3ac6bafe_assignmentletter.png" TargetMode="External"/><Relationship Id="rId1112" Type="http://schemas.openxmlformats.org/officeDocument/2006/relationships/hyperlink" Target="https://employee.uc.ac.id/index.php/file/get/sis/t_cp/multi/c77a0b11-9336-11ee-859c-000d3ac6bafe.png" TargetMode="External"/><Relationship Id="rId56" Type="http://schemas.openxmlformats.org/officeDocument/2006/relationships/hyperlink" Target="https://employee.uc.ac.id/index.php/file/get/sis/t_cp/multi/44388237-9417-11ee-bd04-000d3ac6bafe_assignmentletter.png" TargetMode="External"/><Relationship Id="rId359" Type="http://schemas.openxmlformats.org/officeDocument/2006/relationships/hyperlink" Target="https://employee.uc.ac.id/index.php/file/get/sis/t_cp/multi/44388237-9417-11ee-bd04-000d3ac6bafe.png" TargetMode="External"/><Relationship Id="rId566" Type="http://schemas.openxmlformats.org/officeDocument/2006/relationships/hyperlink" Target="https://employee.uc.ac.id/index.php/file/get/sis/t_cp/multi/44388237-9417-11ee-bd04-000d3ac6bafe_assignmentletter.png" TargetMode="External"/><Relationship Id="rId773" Type="http://schemas.openxmlformats.org/officeDocument/2006/relationships/hyperlink" Target="https://employee.uc.ac.id/index.php/file/get/sis/t_cp/47b6e505-6bf7-11ee-a25e-000d3ac6bafe.pdf" TargetMode="External"/><Relationship Id="rId121" Type="http://schemas.openxmlformats.org/officeDocument/2006/relationships/hyperlink" Target="https://employee.uc.ac.id/index.php/file/get/sis/t_cp/multi/44388237-9417-11ee-bd04-000d3ac6bafe.png" TargetMode="External"/><Relationship Id="rId219" Type="http://schemas.openxmlformats.org/officeDocument/2006/relationships/hyperlink" Target="https://icoen.org/" TargetMode="External"/><Relationship Id="rId426" Type="http://schemas.openxmlformats.org/officeDocument/2006/relationships/hyperlink" Target="https://employee.uc.ac.id/index.php/file/get/sis/t_cp/multi/44388237-9417-11ee-bd04-000d3ac6bafe_assignmentletter.png" TargetMode="External"/><Relationship Id="rId633" Type="http://schemas.openxmlformats.org/officeDocument/2006/relationships/hyperlink" Target="https://employee.uc.ac.id/index.php/file/get/sis/t_cp/multi/44388237-9417-11ee-bd04-000d3ac6bafe.png" TargetMode="External"/><Relationship Id="rId980" Type="http://schemas.openxmlformats.org/officeDocument/2006/relationships/hyperlink" Target="https://www.instagram.com/p/CwJvySzB8-C/?igshid=Mz" TargetMode="External"/><Relationship Id="rId1056" Type="http://schemas.openxmlformats.org/officeDocument/2006/relationships/hyperlink" Target="https://employee.uc.ac.id/index.php/file/get/sis/t_cp/multi/c77a0b11-9336-11ee-859c-000d3ac6bafe_assignmentletter.png" TargetMode="External"/><Relationship Id="rId840" Type="http://schemas.openxmlformats.org/officeDocument/2006/relationships/hyperlink" Target="https://icoen.org/" TargetMode="External"/><Relationship Id="rId938" Type="http://schemas.openxmlformats.org/officeDocument/2006/relationships/hyperlink" Target="https://employee.uc.ac.id/index.php/file/get/sis/t_cp/multi/c15ab80d-7c81-11ee-aca7-000d3ac6bafe.png" TargetMode="External"/><Relationship Id="rId67" Type="http://schemas.openxmlformats.org/officeDocument/2006/relationships/hyperlink" Target="https://employee.uc.ac.id/index.php/file/get/sis/t_cp/multi/44388237-9417-11ee-bd04-000d3ac6bafe.png" TargetMode="External"/><Relationship Id="rId272" Type="http://schemas.openxmlformats.org/officeDocument/2006/relationships/hyperlink" Target="https://employee.uc.ac.id/index.php/file/get/sis/t_cp/multi/44388237-9417-11ee-bd04-000d3ac6bafe_assignmentletter.png" TargetMode="External"/><Relationship Id="rId577" Type="http://schemas.openxmlformats.org/officeDocument/2006/relationships/hyperlink" Target="https://employee.uc.ac.id/index.php/file/get/sis/t_cp/multi/44388237-9417-11ee-bd04-000d3ac6bafe.png" TargetMode="External"/><Relationship Id="rId700" Type="http://schemas.openxmlformats.org/officeDocument/2006/relationships/hyperlink" Target="https://employee.uc.ac.id/index.php/file/get/sis/t_cp/multi/44388237-9417-11ee-bd04-000d3ac6bafe_assignmentletter.png" TargetMode="External"/><Relationship Id="rId1123" Type="http://schemas.openxmlformats.org/officeDocument/2006/relationships/hyperlink" Target="https://www.mecs-press.org/ijieeb/ijieeb-v15-n6/v1" TargetMode="External"/><Relationship Id="rId132" Type="http://schemas.openxmlformats.org/officeDocument/2006/relationships/hyperlink" Target="https://employee.uc.ac.id/index.php/file/get/sis/t_cp/multi/44388237-9417-11ee-bd04-000d3ac6bafe.png" TargetMode="External"/><Relationship Id="rId784" Type="http://schemas.openxmlformats.org/officeDocument/2006/relationships/hyperlink" Target="https://employee.uc.ac.id/index.php/file/get/sis/t_cp/multi/c77a0b11-9336-11ee-859c-000d3ac6bafe_assignmentletter.png" TargetMode="External"/><Relationship Id="rId991" Type="http://schemas.openxmlformats.org/officeDocument/2006/relationships/hyperlink" Target="https://employee.uc.ac.id/index.php/file/get/sis/t_cp/multi/c77a0b11-9336-11ee-859c-000d3ac6bafe_assignmentletter.png" TargetMode="External"/><Relationship Id="rId1067" Type="http://schemas.openxmlformats.org/officeDocument/2006/relationships/hyperlink" Target="https://icoen.org/" TargetMode="External"/><Relationship Id="rId437" Type="http://schemas.openxmlformats.org/officeDocument/2006/relationships/hyperlink" Target="https://employee.uc.ac.id/index.php/file/get/sis/t_cp/multi/44388237-9417-11ee-bd04-000d3ac6bafe.png" TargetMode="External"/><Relationship Id="rId644" Type="http://schemas.openxmlformats.org/officeDocument/2006/relationships/hyperlink" Target="https://icoen.org/" TargetMode="External"/><Relationship Id="rId851" Type="http://schemas.openxmlformats.org/officeDocument/2006/relationships/hyperlink" Target="https://www.instagram.com/tv/CZ1XugjqLoM/?igshid=Y" TargetMode="External"/><Relationship Id="rId283" Type="http://schemas.openxmlformats.org/officeDocument/2006/relationships/hyperlink" Target="https://employee.uc.ac.id/index.php/file/get/sis/t_cp/multi/44388237-9417-11ee-bd04-000d3ac6bafe.png" TargetMode="External"/><Relationship Id="rId490" Type="http://schemas.openxmlformats.org/officeDocument/2006/relationships/hyperlink" Target="https://employee.uc.ac.id/index.php/file/get/sis/t_cp/multi/44388237-9417-11ee-bd04-000d3ac6bafe.png" TargetMode="External"/><Relationship Id="rId504" Type="http://schemas.openxmlformats.org/officeDocument/2006/relationships/hyperlink" Target="https://icoen.org/" TargetMode="External"/><Relationship Id="rId711" Type="http://schemas.openxmlformats.org/officeDocument/2006/relationships/hyperlink" Target="https://employee.uc.ac.id/index.php/file/get/sis/t_cp/multi/44388237-9417-11ee-bd04-000d3ac6bafe.png" TargetMode="External"/><Relationship Id="rId949" Type="http://schemas.openxmlformats.org/officeDocument/2006/relationships/hyperlink" Target="https://icoen.org/" TargetMode="External"/><Relationship Id="rId1134" Type="http://schemas.openxmlformats.org/officeDocument/2006/relationships/hyperlink" Target="https://employee.uc.ac.id/index.php/file/get/sis/t_cp/ebe901cd-7935-11ee-8973-000d3ac6bafe_assignmentletter.pdf" TargetMode="External"/><Relationship Id="rId78" Type="http://schemas.openxmlformats.org/officeDocument/2006/relationships/hyperlink" Target="https://icoen.org/" TargetMode="External"/><Relationship Id="rId143" Type="http://schemas.openxmlformats.org/officeDocument/2006/relationships/hyperlink" Target="https://employee.uc.ac.id/index.php/file/get/sis/t_cp/41901f15-27c5-11ee-84e6-000d3ac6bafe.pdf" TargetMode="External"/><Relationship Id="rId350" Type="http://schemas.openxmlformats.org/officeDocument/2006/relationships/hyperlink" Target="https://employee.uc.ac.id/index.php/file/get/sis/t_cp/multi/44388237-9417-11ee-bd04-000d3ac6bafe.png" TargetMode="External"/><Relationship Id="rId588" Type="http://schemas.openxmlformats.org/officeDocument/2006/relationships/hyperlink" Target="https://icoen.org/" TargetMode="External"/><Relationship Id="rId795" Type="http://schemas.openxmlformats.org/officeDocument/2006/relationships/hyperlink" Target="https://employee.uc.ac.id/index.php/file/get/sis/t_cp/multi/c77a0b11-9336-11ee-859c-000d3ac6bafe.png" TargetMode="External"/><Relationship Id="rId809" Type="http://schemas.openxmlformats.org/officeDocument/2006/relationships/hyperlink" Target="https://employee.uc.ac.id/index.php/file/get/sis/t_cp/multi/c77a0b11-9336-11ee-859c-000d3ac6bafe.png" TargetMode="External"/><Relationship Id="rId9" Type="http://schemas.openxmlformats.org/officeDocument/2006/relationships/hyperlink" Target="https://employee.uc.ac.id/index.php/file/get/sis/t_cp/efcfc3d4-9c68-11ed-90bc-000d3ac6bafe.jpeg" TargetMode="External"/><Relationship Id="rId210" Type="http://schemas.openxmlformats.org/officeDocument/2006/relationships/hyperlink" Target="https://icoen.org/" TargetMode="External"/><Relationship Id="rId448" Type="http://schemas.openxmlformats.org/officeDocument/2006/relationships/hyperlink" Target="https://employee.uc.ac.id/index.php/file/get/sis/t_cp/multi/44388237-9417-11ee-bd04-000d3ac6bafe_assignmentletter.png" TargetMode="External"/><Relationship Id="rId655" Type="http://schemas.openxmlformats.org/officeDocument/2006/relationships/hyperlink" Target="https://employee.uc.ac.id/index.php/file/get/sis/t_cp/multi/44388237-9417-11ee-bd04-000d3ac6bafe_assignmentletter.png" TargetMode="External"/><Relationship Id="rId862" Type="http://schemas.openxmlformats.org/officeDocument/2006/relationships/hyperlink" Target="https://employee.uc.ac.id/index.php/file/get/sis/t_cp/multi/c77a0b11-9336-11ee-859c-000d3ac6bafe_assignmentletter.png" TargetMode="External"/><Relationship Id="rId1078" Type="http://schemas.openxmlformats.org/officeDocument/2006/relationships/hyperlink" Target="https://employee.uc.ac.id/index.php/file/get/sis/t_cp/multi/c77a0b11-9336-11ee-859c-000d3ac6bafe.png" TargetMode="External"/><Relationship Id="rId294" Type="http://schemas.openxmlformats.org/officeDocument/2006/relationships/hyperlink" Target="https://employee.uc.ac.id/index.php/file/get/sis/t_cp/multi/44388237-9417-11ee-bd04-000d3ac6bafe.png" TargetMode="External"/><Relationship Id="rId308" Type="http://schemas.openxmlformats.org/officeDocument/2006/relationships/hyperlink" Target="https://icoen.org/" TargetMode="External"/><Relationship Id="rId515" Type="http://schemas.openxmlformats.org/officeDocument/2006/relationships/hyperlink" Target="https://employee.uc.ac.id/index.php/file/get/sis/t_cp/multi/44388237-9417-11ee-bd04-000d3ac6bafe_assignmentletter.png" TargetMode="External"/><Relationship Id="rId722" Type="http://schemas.openxmlformats.org/officeDocument/2006/relationships/hyperlink" Target="https://play.google.com/store/books/details?id=_pG" TargetMode="External"/><Relationship Id="rId1145" Type="http://schemas.openxmlformats.org/officeDocument/2006/relationships/hyperlink" Target="https://icoen.org/" TargetMode="External"/><Relationship Id="rId89" Type="http://schemas.openxmlformats.org/officeDocument/2006/relationships/hyperlink" Target="https://employee.uc.ac.id/index.php/file/get/sis/t_cp/multi/1e7be259-882b-11ee-ae4d-000d3ac6bafe.png" TargetMode="External"/><Relationship Id="rId154" Type="http://schemas.openxmlformats.org/officeDocument/2006/relationships/hyperlink" Target="https://employee.uc.ac.id/index.php/file/get/sis/t_cp/69fa4a78-6c24-11ee-a25e-000d3ac6bafe.png" TargetMode="External"/><Relationship Id="rId361" Type="http://schemas.openxmlformats.org/officeDocument/2006/relationships/hyperlink" Target="https://icoen.org/" TargetMode="External"/><Relationship Id="rId599" Type="http://schemas.openxmlformats.org/officeDocument/2006/relationships/hyperlink" Target="https://icoen.org/" TargetMode="External"/><Relationship Id="rId1005" Type="http://schemas.openxmlformats.org/officeDocument/2006/relationships/hyperlink" Target="https://icoen.org/" TargetMode="External"/><Relationship Id="rId459" Type="http://schemas.openxmlformats.org/officeDocument/2006/relationships/hyperlink" Target="https://icoen.org/" TargetMode="External"/><Relationship Id="rId666" Type="http://schemas.openxmlformats.org/officeDocument/2006/relationships/hyperlink" Target="https://employee.uc.ac.id/index.php/file/get/sis/t_cp/multi/44388237-9417-11ee-bd04-000d3ac6bafe.png" TargetMode="External"/><Relationship Id="rId873" Type="http://schemas.openxmlformats.org/officeDocument/2006/relationships/hyperlink" Target="https://employee.uc.ac.id/index.php/file/get/sis/t_cp/multi/e9f29743-d848-11ed-a359-000d3ac6bafe.png" TargetMode="External"/><Relationship Id="rId1089" Type="http://schemas.openxmlformats.org/officeDocument/2006/relationships/hyperlink" Target="https://icoen.org/" TargetMode="External"/><Relationship Id="rId16" Type="http://schemas.openxmlformats.org/officeDocument/2006/relationships/hyperlink" Target="https://doi.org/10.37715/consortium.v3i2.4268." TargetMode="External"/><Relationship Id="rId221" Type="http://schemas.openxmlformats.org/officeDocument/2006/relationships/hyperlink" Target="https://employee.uc.ac.id/index.php/file/get/sis/t_cp/multi/44388237-9417-11ee-bd04-000d3ac6bafe_assignmentletter.png" TargetMode="External"/><Relationship Id="rId319" Type="http://schemas.openxmlformats.org/officeDocument/2006/relationships/hyperlink" Target="https://employee.uc.ac.id/index.php/file/get/sis/t_cp/multi/44388237-9417-11ee-bd04-000d3ac6bafe_assignmentletter.png" TargetMode="External"/><Relationship Id="rId526" Type="http://schemas.openxmlformats.org/officeDocument/2006/relationships/hyperlink" Target="https://employee.uc.ac.id/index.php/file/get/sis/t_cp/multi/44388237-9417-11ee-bd04-000d3ac6bafe.png" TargetMode="External"/><Relationship Id="rId1156" Type="http://schemas.openxmlformats.org/officeDocument/2006/relationships/hyperlink" Target="https://icoen.org/" TargetMode="External"/><Relationship Id="rId733" Type="http://schemas.openxmlformats.org/officeDocument/2006/relationships/hyperlink" Target="https://employee.uc.ac.id/index.php/file/get/sis/t_cp/7ebdf27d-97b4-11ed-af4b-000d3ac6bafe_assignmentletter.jpeg" TargetMode="External"/><Relationship Id="rId940" Type="http://schemas.openxmlformats.org/officeDocument/2006/relationships/hyperlink" Target="https://icoen.org/" TargetMode="External"/><Relationship Id="rId1016" Type="http://schemas.openxmlformats.org/officeDocument/2006/relationships/hyperlink" Target="https://employee.uc.ac.id/index.php/file/get/sis/t_cp/multi/28ba9854-8e8c-11ee-8544-000d3ac6bafe.jpeg" TargetMode="External"/><Relationship Id="rId165" Type="http://schemas.openxmlformats.org/officeDocument/2006/relationships/hyperlink" Target="https://employee.uc.ac.id/index.php/file/get/sis/t_cp/multi/44388237-9417-11ee-bd04-000d3ac6bafe.png" TargetMode="External"/><Relationship Id="rId372" Type="http://schemas.openxmlformats.org/officeDocument/2006/relationships/hyperlink" Target="https://employee.uc.ac.id/index.php/file/get/sis/t_cp/multi/44388237-9417-11ee-bd04-000d3ac6bafe_assignmentletter.png" TargetMode="External"/><Relationship Id="rId677" Type="http://schemas.openxmlformats.org/officeDocument/2006/relationships/hyperlink" Target="https://icoen.org/" TargetMode="External"/><Relationship Id="rId800" Type="http://schemas.openxmlformats.org/officeDocument/2006/relationships/hyperlink" Target="https://employee.uc.ac.id/index.php/file/get/sis/t_cp/de55c315-6bfe-11ee-a25e-000d3ac6bafe_report.pdf" TargetMode="External"/><Relationship Id="rId232" Type="http://schemas.openxmlformats.org/officeDocument/2006/relationships/hyperlink" Target="https://employee.uc.ac.id/index.php/file/get/sis/t_cp/multi/44388237-9417-11ee-bd04-000d3ac6bafe.png" TargetMode="External"/><Relationship Id="rId884" Type="http://schemas.openxmlformats.org/officeDocument/2006/relationships/hyperlink" Target="https://icoen.org/" TargetMode="External"/><Relationship Id="rId27" Type="http://schemas.openxmlformats.org/officeDocument/2006/relationships/hyperlink" Target="https://employee.uc.ac.id/index.php/file/get/sis/t_cp/ed0ed558-d81d-11ed-a359-000d3ac6bafe_assignmentletter.pdf" TargetMode="External"/><Relationship Id="rId537" Type="http://schemas.openxmlformats.org/officeDocument/2006/relationships/hyperlink" Target="https://icoen.org/" TargetMode="External"/><Relationship Id="rId744" Type="http://schemas.openxmlformats.org/officeDocument/2006/relationships/hyperlink" Target="https://employee.uc.ac.id/index.php/file/get/sis/t_cp/2c3a32ff-188c-11ee-96cf-000d3ac6bafe.jpg" TargetMode="External"/><Relationship Id="rId951" Type="http://schemas.openxmlformats.org/officeDocument/2006/relationships/hyperlink" Target="https://employee.uc.ac.id/index.php/file/get/sis/t_cp/multi/c77a0b11-9336-11ee-859c-000d3ac6bafe_assignmentletter.png" TargetMode="External"/><Relationship Id="rId1167" Type="http://schemas.openxmlformats.org/officeDocument/2006/relationships/hyperlink" Target="https://employee.uc.ac.id/index.php/file/get/sis/t_cp/96b93c94-c20f-11ed-aeb7-000d3ac6bafe.pdf" TargetMode="External"/><Relationship Id="rId80" Type="http://schemas.openxmlformats.org/officeDocument/2006/relationships/hyperlink" Target="https://employee.uc.ac.id/index.php/file/get/sis/t_cp/multi/44388237-9417-11ee-bd04-000d3ac6bafe_assignmentletter.png" TargetMode="External"/><Relationship Id="rId176" Type="http://schemas.openxmlformats.org/officeDocument/2006/relationships/hyperlink" Target="https://employee.uc.ac.id/index.php/file/get/sis/t_cp/multi/44388237-9417-11ee-bd04-000d3ac6bafe_assignmentletter.png" TargetMode="External"/><Relationship Id="rId383" Type="http://schemas.openxmlformats.org/officeDocument/2006/relationships/hyperlink" Target="https://employee.uc.ac.id/index.php/file/get/sis/t_cp/multi/44388237-9417-11ee-bd04-000d3ac6bafe.png" TargetMode="External"/><Relationship Id="rId590" Type="http://schemas.openxmlformats.org/officeDocument/2006/relationships/hyperlink" Target="https://employee.uc.ac.id/index.php/file/get/sis/t_cp/multi/44388237-9417-11ee-bd04-000d3ac6bafe_assignmentletter.png" TargetMode="External"/><Relationship Id="rId604" Type="http://schemas.openxmlformats.org/officeDocument/2006/relationships/hyperlink" Target="https://employee.uc.ac.id/index.php/file/get/sis/t_cp/multi/44388237-9417-11ee-bd04-000d3ac6bafe_assignmentletter.png" TargetMode="External"/><Relationship Id="rId811" Type="http://schemas.openxmlformats.org/officeDocument/2006/relationships/hyperlink" Target="https://icoen.org/" TargetMode="External"/><Relationship Id="rId1027" Type="http://schemas.openxmlformats.org/officeDocument/2006/relationships/hyperlink" Target="https://employee.uc.ac.id/index.php/file/get/sis/t_cp/multi/c77a0b11-9336-11ee-859c-000d3ac6bafe.png" TargetMode="External"/><Relationship Id="rId243" Type="http://schemas.openxmlformats.org/officeDocument/2006/relationships/hyperlink" Target="https://icoen.org/" TargetMode="External"/><Relationship Id="rId450" Type="http://schemas.openxmlformats.org/officeDocument/2006/relationships/hyperlink" Target="https://employee.uc.ac.id/index.php/file/get/sis/t_cp/multi/44388237-9417-11ee-bd04-000d3ac6bafe.png" TargetMode="External"/><Relationship Id="rId688" Type="http://schemas.openxmlformats.org/officeDocument/2006/relationships/hyperlink" Target="https://employee.uc.ac.id/index.php/file/get/sis/t_cp/multi/44388237-9417-11ee-bd04-000d3ac6bafe_assignmentletter.png" TargetMode="External"/><Relationship Id="rId895" Type="http://schemas.openxmlformats.org/officeDocument/2006/relationships/hyperlink" Target="https://icoen.org/" TargetMode="External"/><Relationship Id="rId909" Type="http://schemas.openxmlformats.org/officeDocument/2006/relationships/hyperlink" Target="https://employee.uc.ac.id/index.php/file/get/sis/t_cp/multi/c77a0b11-9336-11ee-859c-000d3ac6bafe_assignmentletter.png" TargetMode="External"/><Relationship Id="rId1080" Type="http://schemas.openxmlformats.org/officeDocument/2006/relationships/hyperlink" Target="https://icoen.org/" TargetMode="External"/><Relationship Id="rId38" Type="http://schemas.openxmlformats.org/officeDocument/2006/relationships/hyperlink" Target="https://employee.uc.ac.id/index.php/file/get/sis/t_cp/multi/44388237-9417-11ee-bd04-000d3ac6bafe_assignmentletter.png" TargetMode="External"/><Relationship Id="rId103" Type="http://schemas.openxmlformats.org/officeDocument/2006/relationships/hyperlink" Target="https://employee.uc.ac.id/index.php/file/get/sis/t_cp/multi/44388237-9417-11ee-bd04-000d3ac6bafe_assignmentletter.png" TargetMode="External"/><Relationship Id="rId310" Type="http://schemas.openxmlformats.org/officeDocument/2006/relationships/hyperlink" Target="https://employee.uc.ac.id/index.php/file/get/sis/t_cp/multi/44388237-9417-11ee-bd04-000d3ac6bafe_assignmentletter.png" TargetMode="External"/><Relationship Id="rId548" Type="http://schemas.openxmlformats.org/officeDocument/2006/relationships/hyperlink" Target="https://employee.uc.ac.id/index.php/file/get/sis/t_cp/multi/44388237-9417-11ee-bd04-000d3ac6bafe_assignmentletter.png" TargetMode="External"/><Relationship Id="rId755" Type="http://schemas.openxmlformats.org/officeDocument/2006/relationships/hyperlink" Target="https://employee.uc.ac.id/index.php/file/get/sis/t_cp/57aa62ea-be55-11ed-8a3c-000d3ac6bafe.pdf" TargetMode="External"/><Relationship Id="rId962" Type="http://schemas.openxmlformats.org/officeDocument/2006/relationships/hyperlink" Target="https://employee.uc.ac.id/index.php/file/get/sis/t_cp/multi/c77a0b11-9336-11ee-859c-000d3ac6bafe_assignmentletter.png" TargetMode="External"/><Relationship Id="rId91" Type="http://schemas.openxmlformats.org/officeDocument/2006/relationships/hyperlink" Target="https://icoen.org/" TargetMode="External"/><Relationship Id="rId187" Type="http://schemas.openxmlformats.org/officeDocument/2006/relationships/hyperlink" Target="https://employee.uc.ac.id/index.php/file/get/sis/t_cp/multi/44388237-9417-11ee-bd04-000d3ac6bafe.png" TargetMode="External"/><Relationship Id="rId394" Type="http://schemas.openxmlformats.org/officeDocument/2006/relationships/hyperlink" Target="https://icoen.org/" TargetMode="External"/><Relationship Id="rId408" Type="http://schemas.openxmlformats.org/officeDocument/2006/relationships/hyperlink" Target="https://employee.uc.ac.id/index.php/file/get/sis/t_cp/multi/44388237-9417-11ee-bd04-000d3ac6bafe_assignmentletter.png" TargetMode="External"/><Relationship Id="rId615" Type="http://schemas.openxmlformats.org/officeDocument/2006/relationships/hyperlink" Target="https://employee.uc.ac.id/index.php/file/get/sis/t_cp/multi/44388237-9417-11ee-bd04-000d3ac6bafe.png" TargetMode="External"/><Relationship Id="rId822" Type="http://schemas.openxmlformats.org/officeDocument/2006/relationships/hyperlink" Target="https://icoen.org/" TargetMode="External"/><Relationship Id="rId1038" Type="http://schemas.openxmlformats.org/officeDocument/2006/relationships/hyperlink" Target="https://employee.uc.ac.id/index.php/file/get/sis/t_cp/3b29a2fa-55da-11ee-8778-000d3ac6bafe.jpg" TargetMode="External"/><Relationship Id="rId254" Type="http://schemas.openxmlformats.org/officeDocument/2006/relationships/hyperlink" Target="https://employee.uc.ac.id/index.php/file/get/sis/t_cp/multi/44388237-9417-11ee-bd04-000d3ac6bafe_assignmentletter.png" TargetMode="External"/><Relationship Id="rId699" Type="http://schemas.openxmlformats.org/officeDocument/2006/relationships/hyperlink" Target="https://employee.uc.ac.id/index.php/file/get/sis/t_cp/multi/44388237-9417-11ee-bd04-000d3ac6bafe.png" TargetMode="External"/><Relationship Id="rId1091" Type="http://schemas.openxmlformats.org/officeDocument/2006/relationships/hyperlink" Target="https://employee.uc.ac.id/index.php/file/get/sis/t_cp/multi/c77a0b11-9336-11ee-859c-000d3ac6bafe_assignmentletter.png" TargetMode="External"/><Relationship Id="rId1105" Type="http://schemas.openxmlformats.org/officeDocument/2006/relationships/hyperlink" Target="https://icoen.org/" TargetMode="External"/><Relationship Id="rId49" Type="http://schemas.openxmlformats.org/officeDocument/2006/relationships/hyperlink" Target="https://icoen.org/" TargetMode="External"/><Relationship Id="rId114" Type="http://schemas.openxmlformats.org/officeDocument/2006/relationships/hyperlink" Target="https://icoen.org/" TargetMode="External"/><Relationship Id="rId461" Type="http://schemas.openxmlformats.org/officeDocument/2006/relationships/hyperlink" Target="https://employee.uc.ac.id/index.php/file/get/sis/t_cp/multi/44388237-9417-11ee-bd04-000d3ac6bafe_assignmentletter.png" TargetMode="External"/><Relationship Id="rId559" Type="http://schemas.openxmlformats.org/officeDocument/2006/relationships/hyperlink" Target="https://employee.uc.ac.id/index.php/file/get/sis/t_cp/multi/44388237-9417-11ee-bd04-000d3ac6bafe.png" TargetMode="External"/><Relationship Id="rId766" Type="http://schemas.openxmlformats.org/officeDocument/2006/relationships/hyperlink" Target="https://employee.uc.ac.id/index.php/file/get/sis/t_cp/e5018742-efe2-11ed-8d6d-000d3ac6bafe.pdf" TargetMode="External"/><Relationship Id="rId198" Type="http://schemas.openxmlformats.org/officeDocument/2006/relationships/hyperlink" Target="https://icoen.org/" TargetMode="External"/><Relationship Id="rId321" Type="http://schemas.openxmlformats.org/officeDocument/2006/relationships/hyperlink" Target="https://employee.uc.ac.id/index.php/file/get/sis/t_cp/multi/44388237-9417-11ee-bd04-000d3ac6bafe.png" TargetMode="External"/><Relationship Id="rId419" Type="http://schemas.openxmlformats.org/officeDocument/2006/relationships/hyperlink" Target="https://employee.uc.ac.id/index.php/file/get/sis/t_cp/multi/44388237-9417-11ee-bd04-000d3ac6bafe.png" TargetMode="External"/><Relationship Id="rId626" Type="http://schemas.openxmlformats.org/officeDocument/2006/relationships/hyperlink" Target="https://icoen.org/" TargetMode="External"/><Relationship Id="rId973" Type="http://schemas.openxmlformats.org/officeDocument/2006/relationships/hyperlink" Target="https://employee.uc.ac.id/index.php/file/get/sis/t_cp/multi/c77a0b11-9336-11ee-859c-000d3ac6bafe.png" TargetMode="External"/><Relationship Id="rId1049" Type="http://schemas.openxmlformats.org/officeDocument/2006/relationships/hyperlink" Target="https://employee.uc.ac.id/index.php/file/get/sis/t_cp/multi/c77a0b11-9336-11ee-859c-000d3ac6bafe.png" TargetMode="External"/><Relationship Id="rId833" Type="http://schemas.openxmlformats.org/officeDocument/2006/relationships/hyperlink" Target="https://employee.uc.ac.id/index.php/file/get/sis/t_cp/multi/c77a0b11-9336-11ee-859c-000d3ac6bafe_assignmentletter.png" TargetMode="External"/><Relationship Id="rId1116" Type="http://schemas.openxmlformats.org/officeDocument/2006/relationships/hyperlink" Target="https://employee.uc.ac.id/index.php/file/get/sis/t_cp/multi/c77a0b11-9336-11ee-859c-000d3ac6bafe_assignmentletter.png" TargetMode="External"/><Relationship Id="rId265" Type="http://schemas.openxmlformats.org/officeDocument/2006/relationships/hyperlink" Target="https://employee.uc.ac.id/index.php/file/get/sis/t_cp/multi/44388237-9417-11ee-bd04-000d3ac6bafe.png" TargetMode="External"/><Relationship Id="rId472" Type="http://schemas.openxmlformats.org/officeDocument/2006/relationships/hyperlink" Target="https://employee.uc.ac.id/index.php/file/get/sis/t_cp/multi/44388237-9417-11ee-bd04-000d3ac6bafe.png" TargetMode="External"/><Relationship Id="rId900" Type="http://schemas.openxmlformats.org/officeDocument/2006/relationships/hyperlink" Target="https://employee.uc.ac.id/index.php/file/get/sis/t_cp/multi/c77a0b11-9336-11ee-859c-000d3ac6bafe_assignmentletter.png" TargetMode="External"/><Relationship Id="rId125" Type="http://schemas.openxmlformats.org/officeDocument/2006/relationships/hyperlink" Target="https://employee.uc.ac.id/index.php/file/get/sis/t_cp/multi/44388237-9417-11ee-bd04-000d3ac6bafe_assignmentletter.png" TargetMode="External"/><Relationship Id="rId332" Type="http://schemas.openxmlformats.org/officeDocument/2006/relationships/hyperlink" Target="https://employee.uc.ac.id/index.php/file/get/sis/t_cp/multi/c15ab80d-7c81-11ee-aca7-000d3ac6bafe.png" TargetMode="External"/><Relationship Id="rId777" Type="http://schemas.openxmlformats.org/officeDocument/2006/relationships/hyperlink" Target="http://disbudpar.jatimprov.go.id/" TargetMode="External"/><Relationship Id="rId984" Type="http://schemas.openxmlformats.org/officeDocument/2006/relationships/hyperlink" Target="https://employee.uc.ac.id/index.php/file/get/sis/t_cp/a755ca97-1960-11ee-9863-000d3ac6bafe_report.jpg" TargetMode="External"/><Relationship Id="rId637" Type="http://schemas.openxmlformats.org/officeDocument/2006/relationships/hyperlink" Target="https://employee.uc.ac.id/index.php/file/get/sis/t_cp/multi/44388237-9417-11ee-bd04-000d3ac6bafe_assignmentletter.png" TargetMode="External"/><Relationship Id="rId844" Type="http://schemas.openxmlformats.org/officeDocument/2006/relationships/hyperlink" Target="https://employee.uc.ac.id/index.php/file/get/sis/t_cp/multi/c77a0b11-9336-11ee-859c-000d3ac6bafe.png" TargetMode="External"/><Relationship Id="rId276" Type="http://schemas.openxmlformats.org/officeDocument/2006/relationships/hyperlink" Target="https://icoen.org/" TargetMode="External"/><Relationship Id="rId483" Type="http://schemas.openxmlformats.org/officeDocument/2006/relationships/hyperlink" Target="https://icoen.org/" TargetMode="External"/><Relationship Id="rId690" Type="http://schemas.openxmlformats.org/officeDocument/2006/relationships/hyperlink" Target="https://employee.uc.ac.id/index.php/file/get/sis/t_cp/multi/44388237-9417-11ee-bd04-000d3ac6bafe.png" TargetMode="External"/><Relationship Id="rId704" Type="http://schemas.openxmlformats.org/officeDocument/2006/relationships/hyperlink" Target="https://icoen.org/" TargetMode="External"/><Relationship Id="rId911" Type="http://schemas.openxmlformats.org/officeDocument/2006/relationships/hyperlink" Target="https://employee.uc.ac.id/index.php/file/get/sis/t_cp/multi/c77a0b11-9336-11ee-859c-000d3ac6bafe.png" TargetMode="External"/><Relationship Id="rId1127" Type="http://schemas.openxmlformats.org/officeDocument/2006/relationships/hyperlink" Target="https://employee.uc.ac.id/index.php/file/get/sis/t_cp/multi/c77a0b11-9336-11ee-859c-000d3ac6bafe_assignmentletter.png" TargetMode="External"/><Relationship Id="rId40" Type="http://schemas.openxmlformats.org/officeDocument/2006/relationships/hyperlink" Target="https://employee.uc.ac.id/index.php/file/get/sis/t_cp/multi/44388237-9417-11ee-bd04-000d3ac6bafe.png" TargetMode="External"/><Relationship Id="rId136" Type="http://schemas.openxmlformats.org/officeDocument/2006/relationships/hyperlink" Target="https://employee.uc.ac.id/index.php/file/get/sis/t_cp/multi/44388237-9417-11ee-bd04-000d3ac6bafe_assignmentletter.png" TargetMode="External"/><Relationship Id="rId343" Type="http://schemas.openxmlformats.org/officeDocument/2006/relationships/hyperlink" Target="https://icoen.org/" TargetMode="External"/><Relationship Id="rId550" Type="http://schemas.openxmlformats.org/officeDocument/2006/relationships/hyperlink" Target="https://employee.uc.ac.id/index.php/file/get/sis/t_cp/multi/44388237-9417-11ee-bd04-000d3ac6bafe.png" TargetMode="External"/><Relationship Id="rId788" Type="http://schemas.openxmlformats.org/officeDocument/2006/relationships/hyperlink" Target="https://icoen.org/" TargetMode="External"/><Relationship Id="rId995" Type="http://schemas.openxmlformats.org/officeDocument/2006/relationships/hyperlink" Target="https://www.unika.ac.id/en/fakultas/ftp/food-scien" TargetMode="External"/><Relationship Id="rId203" Type="http://schemas.openxmlformats.org/officeDocument/2006/relationships/hyperlink" Target="https://employee.uc.ac.id/index.php/file/get/sis/t_cp/multi/44388237-9417-11ee-bd04-000d3ac6bafe_assignmentletter.png" TargetMode="External"/><Relationship Id="rId648" Type="http://schemas.openxmlformats.org/officeDocument/2006/relationships/hyperlink" Target="https://employee.uc.ac.id/index.php/file/get/sis/t_cp/multi/44388237-9417-11ee-bd04-000d3ac6bafe.png" TargetMode="External"/><Relationship Id="rId855" Type="http://schemas.openxmlformats.org/officeDocument/2006/relationships/hyperlink" Target="https://employee.uc.ac.id/index.php/file/get/sis/t_cp/229ca450-b197-11ed-8338-000d3ac6bafe_report.pdf" TargetMode="External"/><Relationship Id="rId1040" Type="http://schemas.openxmlformats.org/officeDocument/2006/relationships/hyperlink" Target="https://instagram.com/fistaora.art?igshid=YmMyMTA2" TargetMode="External"/><Relationship Id="rId287" Type="http://schemas.openxmlformats.org/officeDocument/2006/relationships/hyperlink" Target="https://icoen.org/" TargetMode="External"/><Relationship Id="rId410" Type="http://schemas.openxmlformats.org/officeDocument/2006/relationships/hyperlink" Target="https://employee.uc.ac.id/index.php/file/get/sis/t_cp/multi/44388237-9417-11ee-bd04-000d3ac6bafe.png" TargetMode="External"/><Relationship Id="rId494" Type="http://schemas.openxmlformats.org/officeDocument/2006/relationships/hyperlink" Target="https://employee.uc.ac.id/index.php/file/get/sis/t_cp/multi/44388237-9417-11ee-bd04-000d3ac6bafe_assignmentletter.png" TargetMode="External"/><Relationship Id="rId508" Type="http://schemas.openxmlformats.org/officeDocument/2006/relationships/hyperlink" Target="https://employee.uc.ac.id/index.php/file/get/sis/t_cp/multi/44388237-9417-11ee-bd04-000d3ac6bafe.png" TargetMode="External"/><Relationship Id="rId715" Type="http://schemas.openxmlformats.org/officeDocument/2006/relationships/hyperlink" Target="https://employee.uc.ac.id/index.php/file/get/sis/t_cp/multi/44388237-9417-11ee-bd04-000d3ac6bafe_assignmentletter.png" TargetMode="External"/><Relationship Id="rId922" Type="http://schemas.openxmlformats.org/officeDocument/2006/relationships/hyperlink" Target="https://icoen.org/" TargetMode="External"/><Relationship Id="rId1138" Type="http://schemas.openxmlformats.org/officeDocument/2006/relationships/hyperlink" Target="https://icoen.org/" TargetMode="External"/><Relationship Id="rId147" Type="http://schemas.openxmlformats.org/officeDocument/2006/relationships/hyperlink" Target="https://icoen.org/" TargetMode="External"/><Relationship Id="rId354" Type="http://schemas.openxmlformats.org/officeDocument/2006/relationships/hyperlink" Target="https://employee.uc.ac.id/index.php/file/get/sis/t_cp/multi/44388237-9417-11ee-bd04-000d3ac6bafe_assignmentletter.png" TargetMode="External"/><Relationship Id="rId799" Type="http://schemas.openxmlformats.org/officeDocument/2006/relationships/hyperlink" Target="https://employee.uc.ac.id/index.php/file/get/sis/t_cp/multi/c77a0b11-9336-11ee-859c-000d3ac6bafe_assignmentletter.png" TargetMode="External"/><Relationship Id="rId51" Type="http://schemas.openxmlformats.org/officeDocument/2006/relationships/hyperlink" Target="https://employee.uc.ac.id/index.php/file/get/sis/t_cp/multi/44388237-9417-11ee-bd04-000d3ac6bafe_assignmentletter.png" TargetMode="External"/><Relationship Id="rId561" Type="http://schemas.openxmlformats.org/officeDocument/2006/relationships/hyperlink" Target="https://icoen.org/" TargetMode="External"/><Relationship Id="rId659" Type="http://schemas.openxmlformats.org/officeDocument/2006/relationships/hyperlink" Target="https://icoen.org/" TargetMode="External"/><Relationship Id="rId866" Type="http://schemas.openxmlformats.org/officeDocument/2006/relationships/hyperlink" Target="https://employee.uc.ac.id/index.php/file/get/sis/t_cp/multi/1e7be259-882b-11ee-ae4d-000d3ac6bafe_assignmentletter.png" TargetMode="External"/><Relationship Id="rId214" Type="http://schemas.openxmlformats.org/officeDocument/2006/relationships/hyperlink" Target="https://employee.uc.ac.id/index.php/file/get/sis/t_cp/multi/44388237-9417-11ee-bd04-000d3ac6bafe.png" TargetMode="External"/><Relationship Id="rId298" Type="http://schemas.openxmlformats.org/officeDocument/2006/relationships/hyperlink" Target="https://employee.uc.ac.id/index.php/file/get/sis/t_cp/multi/44388237-9417-11ee-bd04-000d3ac6bafe_assignmentletter.png" TargetMode="External"/><Relationship Id="rId421" Type="http://schemas.openxmlformats.org/officeDocument/2006/relationships/hyperlink" Target="https://icoen.org/" TargetMode="External"/><Relationship Id="rId519" Type="http://schemas.openxmlformats.org/officeDocument/2006/relationships/hyperlink" Target="https://icoen.org/" TargetMode="External"/><Relationship Id="rId1051" Type="http://schemas.openxmlformats.org/officeDocument/2006/relationships/hyperlink" Target="https://icoen.org/" TargetMode="External"/><Relationship Id="rId1149" Type="http://schemas.openxmlformats.org/officeDocument/2006/relationships/hyperlink" Target="https://employee.uc.ac.id/index.php/file/get/sis/t_cp/multi/c77a0b11-9336-11ee-859c-000d3ac6bafe.png" TargetMode="External"/><Relationship Id="rId158" Type="http://schemas.openxmlformats.org/officeDocument/2006/relationships/hyperlink" Target="https://icoen.org/" TargetMode="External"/><Relationship Id="rId726" Type="http://schemas.openxmlformats.org/officeDocument/2006/relationships/hyperlink" Target="https://employee.uc.ac.id/index.php/file/get/sis/t_cp/multi/c15ab80d-7c81-11ee-aca7-000d3ac6bafe.png" TargetMode="External"/><Relationship Id="rId933" Type="http://schemas.openxmlformats.org/officeDocument/2006/relationships/hyperlink" Target="https://employee.uc.ac.id/index.php/file/get/sis/t_cp/multi/1e7be259-882b-11ee-ae4d-000d3ac6bafe_assignmentletter.png" TargetMode="External"/><Relationship Id="rId1009" Type="http://schemas.openxmlformats.org/officeDocument/2006/relationships/hyperlink" Target="https://employee.uc.ac.id/index.php/file/get/sis/t_cp/8cf91672-434d-11ee-a2ef-000d3ac6bafe.pdf" TargetMode="External"/><Relationship Id="rId62" Type="http://schemas.openxmlformats.org/officeDocument/2006/relationships/hyperlink" Target="https://employee.uc.ac.id/index.php/file/get/sis/t_cp/multi/44388237-9417-11ee-bd04-000d3ac6bafe_assignmentletter.png" TargetMode="External"/><Relationship Id="rId365" Type="http://schemas.openxmlformats.org/officeDocument/2006/relationships/hyperlink" Target="https://employee.uc.ac.id/index.php/file/get/sis/t_cp/multi/44388237-9417-11ee-bd04-000d3ac6bafe.png" TargetMode="External"/><Relationship Id="rId572" Type="http://schemas.openxmlformats.org/officeDocument/2006/relationships/hyperlink" Target="https://employee.uc.ac.id/index.php/file/get/sis/t_cp/multi/44388237-9417-11ee-bd04-000d3ac6bafe_assignmentletter.png" TargetMode="External"/><Relationship Id="rId225" Type="http://schemas.openxmlformats.org/officeDocument/2006/relationships/hyperlink" Target="https://icoen.org/" TargetMode="External"/><Relationship Id="rId432" Type="http://schemas.openxmlformats.org/officeDocument/2006/relationships/hyperlink" Target="https://employee.uc.ac.id/index.php/file/get/sis/t_cp/multi/44388237-9417-11ee-bd04-000d3ac6bafe_assignmentletter.png" TargetMode="External"/><Relationship Id="rId877" Type="http://schemas.openxmlformats.org/officeDocument/2006/relationships/hyperlink" Target="https://employee.uc.ac.id/index.php/file/get/sis/t_cp/8143bad7-0380-11ee-9899-000d3ac6bafe.pdf" TargetMode="External"/><Relationship Id="rId1062" Type="http://schemas.openxmlformats.org/officeDocument/2006/relationships/hyperlink" Target="https://employee.uc.ac.id/index.php/file/get/sis/t_cp/0b050e58-08de-11ee-9976-000d3ac6bafe.png" TargetMode="External"/><Relationship Id="rId737" Type="http://schemas.openxmlformats.org/officeDocument/2006/relationships/hyperlink" Target="https://employee.uc.ac.id/index.php/file/get/sis/t_cp/0b5997ad-14a4-11ee-bcb1-000d3ac6bafe_assignmentletter.pdf" TargetMode="External"/><Relationship Id="rId944" Type="http://schemas.openxmlformats.org/officeDocument/2006/relationships/hyperlink" Target="https://employee.uc.ac.id/index.php/file/get/sis/t_cp/multi/c77a0b11-9336-11ee-859c-000d3ac6bafe.png" TargetMode="External"/><Relationship Id="rId73" Type="http://schemas.openxmlformats.org/officeDocument/2006/relationships/hyperlink" Target="https://employee.uc.ac.id/index.php/file/get/sis/t_cp/multi/44388237-9417-11ee-bd04-000d3ac6bafe.png" TargetMode="External"/><Relationship Id="rId169" Type="http://schemas.openxmlformats.org/officeDocument/2006/relationships/hyperlink" Target="https://employee.uc.ac.id/index.php/file/get/sis/t_cp/multi/44388237-9417-11ee-bd04-000d3ac6bafe.png" TargetMode="External"/><Relationship Id="rId376" Type="http://schemas.openxmlformats.org/officeDocument/2006/relationships/hyperlink" Target="https://icoen.org/" TargetMode="External"/><Relationship Id="rId583" Type="http://schemas.openxmlformats.org/officeDocument/2006/relationships/hyperlink" Target="https://employee.uc.ac.id/index.php/file/get/sis/t_cp/multi/44388237-9417-11ee-bd04-000d3ac6bafe.png" TargetMode="External"/><Relationship Id="rId790" Type="http://schemas.openxmlformats.org/officeDocument/2006/relationships/hyperlink" Target="https://employee.uc.ac.id/index.php/file/get/sis/t_cp/multi/c77a0b11-9336-11ee-859c-000d3ac6bafe_assignmentletter.png" TargetMode="External"/><Relationship Id="rId804" Type="http://schemas.openxmlformats.org/officeDocument/2006/relationships/hyperlink" Target="https://employee.uc.ac.id/index.php/file/get/sis/t_cp/multi/c77a0b11-9336-11ee-859c-000d3ac6bafe_assignmentletter.png" TargetMode="External"/><Relationship Id="rId4" Type="http://schemas.openxmlformats.org/officeDocument/2006/relationships/hyperlink" Target="https://employee.uc.ac.id/index.php/file/get/sis/t_cp/a2c5ec47-0b1b-11ee-80dd-000d3ac6bafe.jpg" TargetMode="External"/><Relationship Id="rId236" Type="http://schemas.openxmlformats.org/officeDocument/2006/relationships/hyperlink" Target="https://employee.uc.ac.id/index.php/file/get/sis/t_cp/multi/44388237-9417-11ee-bd04-000d3ac6bafe_assignmentletter.png" TargetMode="External"/><Relationship Id="rId443" Type="http://schemas.openxmlformats.org/officeDocument/2006/relationships/hyperlink" Target="https://employee.uc.ac.id/index.php/file/get/sis/t_cp/de3727e4-1dab-11ee-ab97-000d3ac6bafe.pdf" TargetMode="External"/><Relationship Id="rId650" Type="http://schemas.openxmlformats.org/officeDocument/2006/relationships/hyperlink" Target="https://icoen.org/" TargetMode="External"/><Relationship Id="rId888" Type="http://schemas.openxmlformats.org/officeDocument/2006/relationships/hyperlink" Target="https://employee.uc.ac.id/index.php/file/get/sis/t_cp/9c20db1d-9fe5-11ee-9e96-000d3ac6bafe_assignmentletter.pdf" TargetMode="External"/><Relationship Id="rId1073" Type="http://schemas.openxmlformats.org/officeDocument/2006/relationships/hyperlink" Target="https://employee.uc.ac.id/index.php/file/get/sis/t_cp/b2dbd518-0543-11ee-8e8c-000d3ac6bafe.pdf" TargetMode="External"/><Relationship Id="rId303" Type="http://schemas.openxmlformats.org/officeDocument/2006/relationships/hyperlink" Target="https://employee.uc.ac.id/index.php/file/get/sis/t_cp/multi/44388237-9417-11ee-bd04-000d3ac6bafe.png" TargetMode="External"/><Relationship Id="rId748" Type="http://schemas.openxmlformats.org/officeDocument/2006/relationships/hyperlink" Target="https://employee.uc.ac.id/index.php/file/get/sis/t_cp/e5d519dc-188d-11ee-96cf-000d3ac6bafe.pdf" TargetMode="External"/><Relationship Id="rId955" Type="http://schemas.openxmlformats.org/officeDocument/2006/relationships/hyperlink" Target="https://employee.uc.ac.id/index.php/file/get/sis/t_cp/5b8f1e6e-97d2-11ed-af4b-000d3ac6bafe.JPG" TargetMode="External"/><Relationship Id="rId1140" Type="http://schemas.openxmlformats.org/officeDocument/2006/relationships/hyperlink" Target="https://employee.uc.ac.id/index.php/file/get/sis/t_cp/multi/c77a0b11-9336-11ee-859c-000d3ac6bafe_assignmentletter.png" TargetMode="External"/><Relationship Id="rId84" Type="http://schemas.openxmlformats.org/officeDocument/2006/relationships/hyperlink" Target="https://employee.uc.ac.id/index.php/file/get/sis/t_cp/multi/44388237-9417-11ee-bd04-000d3ac6bafe_assignmentletter.png" TargetMode="External"/><Relationship Id="rId387" Type="http://schemas.openxmlformats.org/officeDocument/2006/relationships/hyperlink" Target="https://employee.uc.ac.id/index.php/file/get/sis/t_cp/multi/44388237-9417-11ee-bd04-000d3ac6bafe_assignmentletter.png" TargetMode="External"/><Relationship Id="rId510" Type="http://schemas.openxmlformats.org/officeDocument/2006/relationships/hyperlink" Target="https://icoen.org/" TargetMode="External"/><Relationship Id="rId594" Type="http://schemas.openxmlformats.org/officeDocument/2006/relationships/hyperlink" Target="https://icoen.org/" TargetMode="External"/><Relationship Id="rId608" Type="http://schemas.openxmlformats.org/officeDocument/2006/relationships/hyperlink" Target="https://icoen.org/" TargetMode="External"/><Relationship Id="rId815" Type="http://schemas.openxmlformats.org/officeDocument/2006/relationships/hyperlink" Target="https://employee.uc.ac.id/index.php/file/get/sis/t_cp/multi/c77a0b11-9336-11ee-859c-000d3ac6bafe.png" TargetMode="External"/><Relationship Id="rId247" Type="http://schemas.openxmlformats.org/officeDocument/2006/relationships/hyperlink" Target="https://employee.uc.ac.id/index.php/file/get/sis/t_cp/multi/44388237-9417-11ee-bd04-000d3ac6bafe.png" TargetMode="External"/><Relationship Id="rId899" Type="http://schemas.openxmlformats.org/officeDocument/2006/relationships/hyperlink" Target="https://employee.uc.ac.id/index.php/file/get/sis/t_cp/multi/c77a0b11-9336-11ee-859c-000d3ac6bafe.png" TargetMode="External"/><Relationship Id="rId1000" Type="http://schemas.openxmlformats.org/officeDocument/2006/relationships/hyperlink" Target="https://employee.uc.ac.id/index.php/file/get/sis/t_cp/86dcce45-f9f6-11ed-84c7-000d3ac6bafe.jpg" TargetMode="External"/><Relationship Id="rId1084" Type="http://schemas.openxmlformats.org/officeDocument/2006/relationships/hyperlink" Target="https://employee.uc.ac.id/index.php/file/get/sis/t_cp/multi/c77a0b11-9336-11ee-859c-000d3ac6bafe.png" TargetMode="External"/><Relationship Id="rId107" Type="http://schemas.openxmlformats.org/officeDocument/2006/relationships/hyperlink" Target="https://icoen.org/" TargetMode="External"/><Relationship Id="rId454" Type="http://schemas.openxmlformats.org/officeDocument/2006/relationships/hyperlink" Target="https://employee.uc.ac.id/index.php/file/get/sis/t_cp/multi/44388237-9417-11ee-bd04-000d3ac6bafe.png" TargetMode="External"/><Relationship Id="rId661" Type="http://schemas.openxmlformats.org/officeDocument/2006/relationships/hyperlink" Target="https://employee.uc.ac.id/index.php/file/get/sis/t_cp/multi/44388237-9417-11ee-bd04-000d3ac6bafe_assignmentletter.png" TargetMode="External"/><Relationship Id="rId759" Type="http://schemas.openxmlformats.org/officeDocument/2006/relationships/hyperlink" Target="https://employee.uc.ac.id/index.php/file/get/sis/t_cp/1775fc14-0428-11ee-ba25-000d3ac6bafe_assignmentletter.jpeg" TargetMode="External"/><Relationship Id="rId966" Type="http://schemas.openxmlformats.org/officeDocument/2006/relationships/hyperlink" Target="https://icoen.org/" TargetMode="External"/><Relationship Id="rId11" Type="http://schemas.openxmlformats.org/officeDocument/2006/relationships/hyperlink" Target="https://employee.uc.ac.id/index.php/file/get/sis/t_cp/multi/e9f29743-d848-11ed-a359-000d3ac6bafe_assignmentletter.png" TargetMode="External"/><Relationship Id="rId314" Type="http://schemas.openxmlformats.org/officeDocument/2006/relationships/hyperlink" Target="https://icoen.org/" TargetMode="External"/><Relationship Id="rId398" Type="http://schemas.openxmlformats.org/officeDocument/2006/relationships/hyperlink" Target="https://employee.uc.ac.id/index.php/file/get/sis/t_cp/multi/44388237-9417-11ee-bd04-000d3ac6bafe.png" TargetMode="External"/><Relationship Id="rId521" Type="http://schemas.openxmlformats.org/officeDocument/2006/relationships/hyperlink" Target="https://employee.uc.ac.id/index.php/file/get/sis/t_cp/multi/44388237-9417-11ee-bd04-000d3ac6bafe_assignmentletter.png" TargetMode="External"/><Relationship Id="rId619" Type="http://schemas.openxmlformats.org/officeDocument/2006/relationships/hyperlink" Target="https://employee.uc.ac.id/index.php/file/get/sis/t_cp/multi/44388237-9417-11ee-bd04-000d3ac6bafe_assignmentletter.png" TargetMode="External"/><Relationship Id="rId1151" Type="http://schemas.openxmlformats.org/officeDocument/2006/relationships/hyperlink" Target="https://jsju.org/index.php/journal/article/view/13" TargetMode="External"/><Relationship Id="rId95" Type="http://schemas.openxmlformats.org/officeDocument/2006/relationships/hyperlink" Target="https://employee.uc.ac.id/index.php/file/get/sis/t_cp/aae61e4a-ac9b-11ed-ae71-000d3ac6bafe_assignmentletter.png" TargetMode="External"/><Relationship Id="rId160" Type="http://schemas.openxmlformats.org/officeDocument/2006/relationships/hyperlink" Target="https://employee.uc.ac.id/index.php/file/get/sis/t_cp/multi/44388237-9417-11ee-bd04-000d3ac6bafe_assignmentletter.png" TargetMode="External"/><Relationship Id="rId826" Type="http://schemas.openxmlformats.org/officeDocument/2006/relationships/hyperlink" Target="https://employee.uc.ac.id/index.php/file/get/sis/t_cp/multi/c77a0b11-9336-11ee-859c-000d3ac6bafe.png" TargetMode="External"/><Relationship Id="rId1011" Type="http://schemas.openxmlformats.org/officeDocument/2006/relationships/hyperlink" Target="https://books.google.co.id/books/about/TERDEKAT_TE" TargetMode="External"/><Relationship Id="rId1109" Type="http://schemas.openxmlformats.org/officeDocument/2006/relationships/hyperlink" Target="https://employee.uc.ac.id/index.php/file/get/sis/t_cp/multi/c77a0b11-9336-11ee-859c-000d3ac6bafe.png" TargetMode="External"/><Relationship Id="rId258" Type="http://schemas.openxmlformats.org/officeDocument/2006/relationships/hyperlink" Target="https://icoen.org/" TargetMode="External"/><Relationship Id="rId465" Type="http://schemas.openxmlformats.org/officeDocument/2006/relationships/hyperlink" Target="https://icoen.org/" TargetMode="External"/><Relationship Id="rId672" Type="http://schemas.openxmlformats.org/officeDocument/2006/relationships/hyperlink" Target="https://employee.uc.ac.id/index.php/file/get/sis/t_cp/multi/44388237-9417-11ee-bd04-000d3ac6bafe.png" TargetMode="External"/><Relationship Id="rId1095" Type="http://schemas.openxmlformats.org/officeDocument/2006/relationships/hyperlink" Target="https://www.instagram.com/tv/CtEnr1TKhzv/?igshid=M" TargetMode="External"/><Relationship Id="rId22" Type="http://schemas.openxmlformats.org/officeDocument/2006/relationships/hyperlink" Target="https://employee.uc.ac.id/index.php/file/get/sis/t_cp/b284c4f1-8d80-11ed-811b-000d3ac6bafe_report.png" TargetMode="External"/><Relationship Id="rId118" Type="http://schemas.openxmlformats.org/officeDocument/2006/relationships/hyperlink" Target="https://employee.uc.ac.id/index.php/file/get/sis/t_cp/multi/44388237-9417-11ee-bd04-000d3ac6bafe.png" TargetMode="External"/><Relationship Id="rId325" Type="http://schemas.openxmlformats.org/officeDocument/2006/relationships/hyperlink" Target="https://employee.uc.ac.id/index.php/file/get/sis/t_cp/multi/44388237-9417-11ee-bd04-000d3ac6bafe_assignmentletter.png" TargetMode="External"/><Relationship Id="rId532" Type="http://schemas.openxmlformats.org/officeDocument/2006/relationships/hyperlink" Target="https://employee.uc.ac.id/index.php/file/get/sis/t_cp/multi/44388237-9417-11ee-bd04-000d3ac6bafe.png" TargetMode="External"/><Relationship Id="rId977" Type="http://schemas.openxmlformats.org/officeDocument/2006/relationships/hyperlink" Target="https://icoen.org/" TargetMode="External"/><Relationship Id="rId1162" Type="http://schemas.openxmlformats.org/officeDocument/2006/relationships/hyperlink" Target="https://www.temjournal.com/content/121/TEMJournalF" TargetMode="External"/><Relationship Id="rId171" Type="http://schemas.openxmlformats.org/officeDocument/2006/relationships/hyperlink" Target="https://icoen.org/" TargetMode="External"/><Relationship Id="rId837" Type="http://schemas.openxmlformats.org/officeDocument/2006/relationships/hyperlink" Target="https://icoen.org/" TargetMode="External"/><Relationship Id="rId1022" Type="http://schemas.openxmlformats.org/officeDocument/2006/relationships/hyperlink" Target="https://employee.uc.ac.id/index.php/file/get/sis/t_cp/multi/c77a0b11-9336-11ee-859c-000d3ac6bafe_assignmentletter.png" TargetMode="External"/><Relationship Id="rId269" Type="http://schemas.openxmlformats.org/officeDocument/2006/relationships/hyperlink" Target="https://employee.uc.ac.id/index.php/file/get/sis/t_cp/multi/c77a0b11-9336-11ee-859c-000d3ac6bafe_assignmentletter.png" TargetMode="External"/><Relationship Id="rId476" Type="http://schemas.openxmlformats.org/officeDocument/2006/relationships/hyperlink" Target="https://employee.uc.ac.id/index.php/file/get/sis/t_cp/multi/44388237-9417-11ee-bd04-000d3ac6bafe_assignmentletter.png" TargetMode="External"/><Relationship Id="rId683" Type="http://schemas.openxmlformats.org/officeDocument/2006/relationships/hyperlink" Target="https://icoen.org/" TargetMode="External"/><Relationship Id="rId890" Type="http://schemas.openxmlformats.org/officeDocument/2006/relationships/hyperlink" Target="https://employee.uc.ac.id/index.php/file/get/sis/t_cp/multi/c77a0b11-9336-11ee-859c-000d3ac6bafe.png" TargetMode="External"/><Relationship Id="rId904" Type="http://schemas.openxmlformats.org/officeDocument/2006/relationships/hyperlink" Target="https://icoen.org/" TargetMode="External"/><Relationship Id="rId33" Type="http://schemas.openxmlformats.org/officeDocument/2006/relationships/hyperlink" Target="https://icoen.org/" TargetMode="External"/><Relationship Id="rId129" Type="http://schemas.openxmlformats.org/officeDocument/2006/relationships/hyperlink" Target="https://employee.uc.ac.id/index.php/file/get/sis/t_cp/861dd44d-a37c-11ed-85df-000d3ac6bafe.jpg" TargetMode="External"/><Relationship Id="rId336" Type="http://schemas.openxmlformats.org/officeDocument/2006/relationships/hyperlink" Target="https://employee.uc.ac.id/index.php/file/get/sis/t_cp/multi/44388237-9417-11ee-bd04-000d3ac6bafe_assignmentletter.png" TargetMode="External"/><Relationship Id="rId543" Type="http://schemas.openxmlformats.org/officeDocument/2006/relationships/hyperlink" Target="https://icoen.org/" TargetMode="External"/><Relationship Id="rId988" Type="http://schemas.openxmlformats.org/officeDocument/2006/relationships/hyperlink" Target="https://employee.uc.ac.id/index.php/file/get/sis/t_cp/e7b0e200-b843-11ed-b290-000d3ac6bafe.jpg" TargetMode="External"/><Relationship Id="rId182" Type="http://schemas.openxmlformats.org/officeDocument/2006/relationships/hyperlink" Target="https://employee.uc.ac.id/index.php/file/get/sis/t_cp/multi/44388237-9417-11ee-bd04-000d3ac6bafe_assignmentletter.png" TargetMode="External"/><Relationship Id="rId403" Type="http://schemas.openxmlformats.org/officeDocument/2006/relationships/hyperlink" Target="https://icoen.org/" TargetMode="External"/><Relationship Id="rId750" Type="http://schemas.openxmlformats.org/officeDocument/2006/relationships/hyperlink" Target="https://employee.uc.ac.id/index.php/file/get/sis/t_cp/73831462-be27-11ed-8a3c-000d3ac6bafe_assignmentletter.pdf" TargetMode="External"/><Relationship Id="rId848" Type="http://schemas.openxmlformats.org/officeDocument/2006/relationships/hyperlink" Target="https://employee.uc.ac.id/index.php/file/get/sis/t_cp/c386679e-70fa-11ee-a572-000d3ac6bafe.jpg" TargetMode="External"/><Relationship Id="rId1033" Type="http://schemas.openxmlformats.org/officeDocument/2006/relationships/hyperlink" Target="https://employee.uc.ac.id/index.php/file/get/sis/t_cp/4e8dccb7-1590-11ee-9279-000d3ac6bafe_assignmentletter.jpg" TargetMode="External"/><Relationship Id="rId487" Type="http://schemas.openxmlformats.org/officeDocument/2006/relationships/hyperlink" Target="https://employee.uc.ac.id/index.php/file/get/sis/t_cp/multi/44388237-9417-11ee-bd04-000d3ac6bafe.png" TargetMode="External"/><Relationship Id="rId610" Type="http://schemas.openxmlformats.org/officeDocument/2006/relationships/hyperlink" Target="https://employee.uc.ac.id/index.php/file/get/sis/t_cp/multi/44388237-9417-11ee-bd04-000d3ac6bafe_assignmentletter.png" TargetMode="External"/><Relationship Id="rId694" Type="http://schemas.openxmlformats.org/officeDocument/2006/relationships/hyperlink" Target="https://employee.uc.ac.id/index.php/file/get/sis/t_cp/multi/44388237-9417-11ee-bd04-000d3ac6bafe_assignmentletter.png" TargetMode="External"/><Relationship Id="rId708" Type="http://schemas.openxmlformats.org/officeDocument/2006/relationships/hyperlink" Target="https://employee.uc.ac.id/index.php/file/get/sis/t_cp/multi/44388237-9417-11ee-bd04-000d3ac6bafe.png" TargetMode="External"/><Relationship Id="rId915" Type="http://schemas.openxmlformats.org/officeDocument/2006/relationships/hyperlink" Target="https://employee.uc.ac.id/index.php/file/get/sis/t_cp/multi/c77a0b11-9336-11ee-859c-000d3ac6bafe_assignmentletter.png" TargetMode="External"/><Relationship Id="rId347" Type="http://schemas.openxmlformats.org/officeDocument/2006/relationships/hyperlink" Target="https://employee.uc.ac.id/index.php/file/get/sis/t_cp/multi/44388237-9417-11ee-bd04-000d3ac6bafe.png" TargetMode="External"/><Relationship Id="rId999" Type="http://schemas.openxmlformats.org/officeDocument/2006/relationships/hyperlink" Target="https://employee.uc.ac.id/index.php/file/get/sis/t_cp/multi/c15ab80d-7c81-11ee-aca7-000d3ac6bafe_assignmentletter.png" TargetMode="External"/><Relationship Id="rId1100" Type="http://schemas.openxmlformats.org/officeDocument/2006/relationships/hyperlink" Target="https://employee.uc.ac.id/index.php/file/get/sis/t_cp/multi/c77a0b11-9336-11ee-859c-000d3ac6bafe_assignmentletter.png" TargetMode="External"/><Relationship Id="rId44" Type="http://schemas.openxmlformats.org/officeDocument/2006/relationships/hyperlink" Target="https://employee.uc.ac.id/index.php/file/get/sis/t_cp/multi/44388237-9417-11ee-bd04-000d3ac6bafe_assignmentletter.png" TargetMode="External"/><Relationship Id="rId554" Type="http://schemas.openxmlformats.org/officeDocument/2006/relationships/hyperlink" Target="https://employee.uc.ac.id/index.php/file/get/sis/t_cp/multi/44388237-9417-11ee-bd04-000d3ac6bafe_assignmentletter.png" TargetMode="External"/><Relationship Id="rId761" Type="http://schemas.openxmlformats.org/officeDocument/2006/relationships/hyperlink" Target="https://employee.uc.ac.id/index.php/file/get/sis/t_cp/a48e719c-d1f0-11ed-a759-000d3ac6bafe.jpg" TargetMode="External"/><Relationship Id="rId859" Type="http://schemas.openxmlformats.org/officeDocument/2006/relationships/hyperlink" Target="https://employee.uc.ac.id/index.php/file/get/sis/t_cp/f9bc4af0-9815-11ed-af4b-000d3ac6bafe.pdf" TargetMode="External"/><Relationship Id="rId193" Type="http://schemas.openxmlformats.org/officeDocument/2006/relationships/hyperlink" Target="https://employee.uc.ac.id/index.php/file/get/sis/t_cp/multi/44388237-9417-11ee-bd04-000d3ac6bafe.png" TargetMode="External"/><Relationship Id="rId207" Type="http://schemas.openxmlformats.org/officeDocument/2006/relationships/hyperlink" Target="https://icoen.org/" TargetMode="External"/><Relationship Id="rId414" Type="http://schemas.openxmlformats.org/officeDocument/2006/relationships/hyperlink" Target="https://employee.uc.ac.id/index.php/file/get/sis/t_cp/multi/44388237-9417-11ee-bd04-000d3ac6bafe_assignmentletter.png" TargetMode="External"/><Relationship Id="rId498" Type="http://schemas.openxmlformats.org/officeDocument/2006/relationships/hyperlink" Target="https://icoen.org/" TargetMode="External"/><Relationship Id="rId621" Type="http://schemas.openxmlformats.org/officeDocument/2006/relationships/hyperlink" Target="https://employee.uc.ac.id/index.php/file/get/sis/t_cp/multi/44388237-9417-11ee-bd04-000d3ac6bafe.png" TargetMode="External"/><Relationship Id="rId1044" Type="http://schemas.openxmlformats.org/officeDocument/2006/relationships/hyperlink" Target="https://employee.uc.ac.id/index.php/file/get/sis/t_cp/ae44ae32-1964-11ee-9863-000d3ac6bafe.jpg" TargetMode="External"/><Relationship Id="rId260" Type="http://schemas.openxmlformats.org/officeDocument/2006/relationships/hyperlink" Target="https://employee.uc.ac.id/index.php/file/get/sis/t_cp/multi/44388237-9417-11ee-bd04-000d3ac6bafe_assignmentletter.png" TargetMode="External"/><Relationship Id="rId719" Type="http://schemas.openxmlformats.org/officeDocument/2006/relationships/hyperlink" Target="https://employee.uc.ac.id/index.php/file/get/sis/t_cp/multi/1e7be259-882b-11ee-ae4d-000d3ac6bafe_assignmentletter.png" TargetMode="External"/><Relationship Id="rId926" Type="http://schemas.openxmlformats.org/officeDocument/2006/relationships/hyperlink" Target="https://employee.uc.ac.id/index.php/file/get/sis/t_cp/multi/c77a0b11-9336-11ee-859c-000d3ac6bafe.png" TargetMode="External"/><Relationship Id="rId1111" Type="http://schemas.openxmlformats.org/officeDocument/2006/relationships/hyperlink" Target="https://icoen.org/" TargetMode="External"/><Relationship Id="rId55" Type="http://schemas.openxmlformats.org/officeDocument/2006/relationships/hyperlink" Target="https://employee.uc.ac.id/index.php/file/get/sis/t_cp/multi/44388237-9417-11ee-bd04-000d3ac6bafe.png" TargetMode="External"/><Relationship Id="rId120" Type="http://schemas.openxmlformats.org/officeDocument/2006/relationships/hyperlink" Target="https://icoen.org/" TargetMode="External"/><Relationship Id="rId358" Type="http://schemas.openxmlformats.org/officeDocument/2006/relationships/hyperlink" Target="https://icoen.org/" TargetMode="External"/><Relationship Id="rId565" Type="http://schemas.openxmlformats.org/officeDocument/2006/relationships/hyperlink" Target="https://employee.uc.ac.id/index.php/file/get/sis/t_cp/multi/44388237-9417-11ee-bd04-000d3ac6bafe.png" TargetMode="External"/><Relationship Id="rId772" Type="http://schemas.openxmlformats.org/officeDocument/2006/relationships/hyperlink" Target="https://pasca.unair.ac.id/" TargetMode="External"/><Relationship Id="rId218" Type="http://schemas.openxmlformats.org/officeDocument/2006/relationships/hyperlink" Target="https://employee.uc.ac.id/index.php/file/get/sis/t_cp/multi/44388237-9417-11ee-bd04-000d3ac6bafe_assignmentletter.png" TargetMode="External"/><Relationship Id="rId425" Type="http://schemas.openxmlformats.org/officeDocument/2006/relationships/hyperlink" Target="https://employee.uc.ac.id/index.php/file/get/sis/t_cp/multi/44388237-9417-11ee-bd04-000d3ac6bafe.png" TargetMode="External"/><Relationship Id="rId632" Type="http://schemas.openxmlformats.org/officeDocument/2006/relationships/hyperlink" Target="https://icoen.org/" TargetMode="External"/><Relationship Id="rId1055" Type="http://schemas.openxmlformats.org/officeDocument/2006/relationships/hyperlink" Target="https://employee.uc.ac.id/index.php/file/get/sis/t_cp/multi/c77a0b11-9336-11ee-859c-000d3ac6bafe.png" TargetMode="External"/><Relationship Id="rId271" Type="http://schemas.openxmlformats.org/officeDocument/2006/relationships/hyperlink" Target="https://employee.uc.ac.id/index.php/file/get/sis/t_cp/multi/44388237-9417-11ee-bd04-000d3ac6bafe.png" TargetMode="External"/><Relationship Id="rId937" Type="http://schemas.openxmlformats.org/officeDocument/2006/relationships/hyperlink" Target="https://employee.uc.ac.id/index.php/file/get/sis/t_cp/multi/1e7be259-882b-11ee-ae4d-000d3ac6bafe_assignmentletter.png" TargetMode="External"/><Relationship Id="rId1122" Type="http://schemas.openxmlformats.org/officeDocument/2006/relationships/hyperlink" Target="https://employee.uc.ac.id/index.php/file/get/sis/t_cp/multi/22a9f18e-0412-11ee-ba25-000d3ac6bafe_assignmentletter.png" TargetMode="External"/><Relationship Id="rId66" Type="http://schemas.openxmlformats.org/officeDocument/2006/relationships/hyperlink" Target="https://icoen.org/" TargetMode="External"/><Relationship Id="rId131" Type="http://schemas.openxmlformats.org/officeDocument/2006/relationships/hyperlink" Target="https://icoen.org/" TargetMode="External"/><Relationship Id="rId369" Type="http://schemas.openxmlformats.org/officeDocument/2006/relationships/hyperlink" Target="https://employee.uc.ac.id/index.php/file/get/sis/t_cp/multi/44388237-9417-11ee-bd04-000d3ac6bafe_assignmentletter.png" TargetMode="External"/><Relationship Id="rId576" Type="http://schemas.openxmlformats.org/officeDocument/2006/relationships/hyperlink" Target="https://icoen.org/" TargetMode="External"/><Relationship Id="rId783" Type="http://schemas.openxmlformats.org/officeDocument/2006/relationships/hyperlink" Target="https://employee.uc.ac.id/index.php/file/get/sis/t_cp/multi/c77a0b11-9336-11ee-859c-000d3ac6bafe.png" TargetMode="External"/><Relationship Id="rId990" Type="http://schemas.openxmlformats.org/officeDocument/2006/relationships/hyperlink" Target="https://employee.uc.ac.id/index.php/file/get/sis/t_cp/multi/c77a0b11-9336-11ee-859c-000d3ac6bafe.png" TargetMode="External"/><Relationship Id="rId229" Type="http://schemas.openxmlformats.org/officeDocument/2006/relationships/hyperlink" Target="https://employee.uc.ac.id/index.php/file/get/sis/t_cp/multi/44388237-9417-11ee-bd04-000d3ac6bafe.png" TargetMode="External"/><Relationship Id="rId436" Type="http://schemas.openxmlformats.org/officeDocument/2006/relationships/hyperlink" Target="https://icoen.org/" TargetMode="External"/><Relationship Id="rId643" Type="http://schemas.openxmlformats.org/officeDocument/2006/relationships/hyperlink" Target="https://employee.uc.ac.id/index.php/file/get/sis/t_cp/multi/44388237-9417-11ee-bd04-000d3ac6bafe_assignmentletter.png" TargetMode="External"/><Relationship Id="rId1066" Type="http://schemas.openxmlformats.org/officeDocument/2006/relationships/hyperlink" Target="https://employee.uc.ac.id/index.php/file/get/sis/t_cp/multi/c77a0b11-9336-11ee-859c-000d3ac6bafe_assignmentletter.png" TargetMode="External"/><Relationship Id="rId850" Type="http://schemas.openxmlformats.org/officeDocument/2006/relationships/hyperlink" Target="https://employee.uc.ac.id/index.php/file/get/sis/t_cp/08cc39e1-bb64-11ed-8264-000d3ac6bafe.png" TargetMode="External"/><Relationship Id="rId948" Type="http://schemas.openxmlformats.org/officeDocument/2006/relationships/hyperlink" Target="https://employee.uc.ac.id/index.php/file/get/sis/t_cp/multi/c77a0b11-9336-11ee-859c-000d3ac6bafe_assignmentletter.png" TargetMode="External"/><Relationship Id="rId1133" Type="http://schemas.openxmlformats.org/officeDocument/2006/relationships/hyperlink" Target="https://employee.uc.ac.id/index.php/file/get/sis/t_cp/ebe901cd-7935-11ee-8973-000d3ac6bafe.jpg" TargetMode="External"/><Relationship Id="rId77" Type="http://schemas.openxmlformats.org/officeDocument/2006/relationships/hyperlink" Target="https://employee.uc.ac.id/index.php/file/get/sis/t_cp/multi/44388237-9417-11ee-bd04-000d3ac6bafe_assignmentletter.png" TargetMode="External"/><Relationship Id="rId282" Type="http://schemas.openxmlformats.org/officeDocument/2006/relationships/hyperlink" Target="https://icoen.org/" TargetMode="External"/><Relationship Id="rId503" Type="http://schemas.openxmlformats.org/officeDocument/2006/relationships/hyperlink" Target="https://employee.uc.ac.id/index.php/file/get/sis/t_cp/multi/44388237-9417-11ee-bd04-000d3ac6bafe_assignmentletter.png" TargetMode="External"/><Relationship Id="rId587" Type="http://schemas.openxmlformats.org/officeDocument/2006/relationships/hyperlink" Target="https://employee.uc.ac.id/index.php/file/get/sis/t_cp/multi/44388237-9417-11ee-bd04-000d3ac6bafe_assignmentletter.png" TargetMode="External"/><Relationship Id="rId710" Type="http://schemas.openxmlformats.org/officeDocument/2006/relationships/hyperlink" Target="https://icoen.org/" TargetMode="External"/><Relationship Id="rId808" Type="http://schemas.openxmlformats.org/officeDocument/2006/relationships/hyperlink" Target="https://icoen.org/" TargetMode="External"/><Relationship Id="rId8" Type="http://schemas.openxmlformats.org/officeDocument/2006/relationships/hyperlink" Target="https://employee.uc.ac.id/index.php/file/get/sis/t_cp/33fc8288-b39d-11ed-ae8d-000d3ac6bafe_assignmentletter.pdf" TargetMode="External"/><Relationship Id="rId142" Type="http://schemas.openxmlformats.org/officeDocument/2006/relationships/hyperlink" Target="https://employee.uc.ac.id/index.php/file/get/sis/t_cp/multi/44388237-9417-11ee-bd04-000d3ac6bafe_assignmentletter.png" TargetMode="External"/><Relationship Id="rId447" Type="http://schemas.openxmlformats.org/officeDocument/2006/relationships/hyperlink" Target="https://employee.uc.ac.id/index.php/file/get/sis/t_cp/multi/44388237-9417-11ee-bd04-000d3ac6bafe.png" TargetMode="External"/><Relationship Id="rId794" Type="http://schemas.openxmlformats.org/officeDocument/2006/relationships/hyperlink" Target="https://icoen.org/" TargetMode="External"/><Relationship Id="rId1077" Type="http://schemas.openxmlformats.org/officeDocument/2006/relationships/hyperlink" Target="https://icoen.org/" TargetMode="External"/><Relationship Id="rId654" Type="http://schemas.openxmlformats.org/officeDocument/2006/relationships/hyperlink" Target="https://employee.uc.ac.id/index.php/file/get/sis/t_cp/multi/44388237-9417-11ee-bd04-000d3ac6bafe.png" TargetMode="External"/><Relationship Id="rId861" Type="http://schemas.openxmlformats.org/officeDocument/2006/relationships/hyperlink" Target="https://employee.uc.ac.id/index.php/file/get/sis/t_cp/multi/c77a0b11-9336-11ee-859c-000d3ac6bafe.png" TargetMode="External"/><Relationship Id="rId959" Type="http://schemas.openxmlformats.org/officeDocument/2006/relationships/hyperlink" Target="https://employee.uc.ac.id/index.php/file/get/sis/t_cp/967e7cfa-0119-11ee-b6e3-000d3ac6bafe_assignmentletter.jpg" TargetMode="External"/><Relationship Id="rId293" Type="http://schemas.openxmlformats.org/officeDocument/2006/relationships/hyperlink" Target="https://icoen.org/" TargetMode="External"/><Relationship Id="rId307" Type="http://schemas.openxmlformats.org/officeDocument/2006/relationships/hyperlink" Target="https://employee.uc.ac.id/index.php/file/get/sis/t_cp/multi/44388237-9417-11ee-bd04-000d3ac6bafe_assignmentletter.png" TargetMode="External"/><Relationship Id="rId514" Type="http://schemas.openxmlformats.org/officeDocument/2006/relationships/hyperlink" Target="https://employee.uc.ac.id/index.php/file/get/sis/t_cp/multi/44388237-9417-11ee-bd04-000d3ac6bafe.png" TargetMode="External"/><Relationship Id="rId721" Type="http://schemas.openxmlformats.org/officeDocument/2006/relationships/hyperlink" Target="https://employee.uc.ac.id/index.php/file/get/sis/t_cp/multi/1e7be259-882b-11ee-ae4d-000d3ac6bafe_assignmentletter.png" TargetMode="External"/><Relationship Id="rId1144" Type="http://schemas.openxmlformats.org/officeDocument/2006/relationships/hyperlink" Target="https://employee.uc.ac.id/index.php/file/get/sis/t_cp/a4438ff3-8f69-11ed-bca6-000d3ac6bafe.pdf" TargetMode="External"/><Relationship Id="rId88" Type="http://schemas.openxmlformats.org/officeDocument/2006/relationships/hyperlink" Target="https://employee.uc.ac.id/index.php/file/get/sis/t_cp/2f0b4a74-97f8-11ed-af4b-000d3ac6bafe.jpg" TargetMode="External"/><Relationship Id="rId153" Type="http://schemas.openxmlformats.org/officeDocument/2006/relationships/hyperlink" Target="https://employee.uc.ac.id/index.php/file/get/sis/t_cp/multi/c15ab80d-7c81-11ee-aca7-000d3ac6bafe_assignmentletter.png" TargetMode="External"/><Relationship Id="rId360" Type="http://schemas.openxmlformats.org/officeDocument/2006/relationships/hyperlink" Target="https://employee.uc.ac.id/index.php/file/get/sis/t_cp/multi/44388237-9417-11ee-bd04-000d3ac6bafe_assignmentletter.png" TargetMode="External"/><Relationship Id="rId598" Type="http://schemas.openxmlformats.org/officeDocument/2006/relationships/hyperlink" Target="https://employee.uc.ac.id/index.php/file/get/sis/t_cp/multi/c15ab80d-7c81-11ee-aca7-000d3ac6bafe_assignmentletter.png" TargetMode="External"/><Relationship Id="rId819" Type="http://schemas.openxmlformats.org/officeDocument/2006/relationships/hyperlink" Target="https://icoen.org/" TargetMode="External"/><Relationship Id="rId1004" Type="http://schemas.openxmlformats.org/officeDocument/2006/relationships/hyperlink" Target="https://employee.uc.ac.id/index.php/file/get/sis/t_cp/multi/c77a0b11-9336-11ee-859c-000d3ac6bafe_assignmentletter.png" TargetMode="External"/><Relationship Id="rId220" Type="http://schemas.openxmlformats.org/officeDocument/2006/relationships/hyperlink" Target="https://employee.uc.ac.id/index.php/file/get/sis/t_cp/multi/44388237-9417-11ee-bd04-000d3ac6bafe.png" TargetMode="External"/><Relationship Id="rId458" Type="http://schemas.openxmlformats.org/officeDocument/2006/relationships/hyperlink" Target="https://employee.uc.ac.id/index.php/file/get/sis/t_cp/multi/44388237-9417-11ee-bd04-000d3ac6bafe_assignmentletter.png" TargetMode="External"/><Relationship Id="rId665" Type="http://schemas.openxmlformats.org/officeDocument/2006/relationships/hyperlink" Target="https://icoen.org/" TargetMode="External"/><Relationship Id="rId872" Type="http://schemas.openxmlformats.org/officeDocument/2006/relationships/hyperlink" Target="https://employee.uc.ac.id/index.php/file/get/sis/t_cp/multi/e9f29743-d848-11ed-a359-000d3ac6bafe_assignmentletter.png" TargetMode="External"/><Relationship Id="rId1088" Type="http://schemas.openxmlformats.org/officeDocument/2006/relationships/hyperlink" Target="https://employee.uc.ac.id/index.php/file/get/sis/t_cp/multi/c77a0b11-9336-11ee-859c-000d3ac6bafe_assignmentletter.png" TargetMode="External"/><Relationship Id="rId15" Type="http://schemas.openxmlformats.org/officeDocument/2006/relationships/hyperlink" Target="https://employee.uc.ac.id/index.php/file/get/sis/t_cp/2f373225-4e1c-11ee-b77c-000d3ac6bafe_report.jpg" TargetMode="External"/><Relationship Id="rId318" Type="http://schemas.openxmlformats.org/officeDocument/2006/relationships/hyperlink" Target="https://employee.uc.ac.id/index.php/file/get/sis/t_cp/multi/44388237-9417-11ee-bd04-000d3ac6bafe.png" TargetMode="External"/><Relationship Id="rId525" Type="http://schemas.openxmlformats.org/officeDocument/2006/relationships/hyperlink" Target="https://icoen.org/" TargetMode="External"/><Relationship Id="rId732" Type="http://schemas.openxmlformats.org/officeDocument/2006/relationships/hyperlink" Target="https://employee.uc.ac.id/index.php/file/get/sis/t_cp/7ebdf27d-97b4-11ed-af4b-000d3ac6bafe.jpeg" TargetMode="External"/><Relationship Id="rId1155" Type="http://schemas.openxmlformats.org/officeDocument/2006/relationships/hyperlink" Target="https://employee.uc.ac.id/index.php/file/get/sis/t_cp/052bab7d-829d-11ee-8a78-000d3ac6bafe.png" TargetMode="External"/><Relationship Id="rId99" Type="http://schemas.openxmlformats.org/officeDocument/2006/relationships/hyperlink" Target="https://employee.uc.ac.id/index.php/file/get/sis/t_cp/3233d227-a489-11ed-b2de-000d3ac6bafe.pdf" TargetMode="External"/><Relationship Id="rId164" Type="http://schemas.openxmlformats.org/officeDocument/2006/relationships/hyperlink" Target="https://icoen.org/" TargetMode="External"/><Relationship Id="rId371" Type="http://schemas.openxmlformats.org/officeDocument/2006/relationships/hyperlink" Target="https://employee.uc.ac.id/index.php/file/get/sis/t_cp/multi/44388237-9417-11ee-bd04-000d3ac6bafe.png" TargetMode="External"/><Relationship Id="rId1015" Type="http://schemas.openxmlformats.org/officeDocument/2006/relationships/hyperlink" Target="https://employee.uc.ac.id/index.php/file/get/sis/t_cp/650c210e-ac1c-11ed-ae71-000d3ac6bafe.pdf" TargetMode="External"/><Relationship Id="rId469" Type="http://schemas.openxmlformats.org/officeDocument/2006/relationships/hyperlink" Target="https://employee.uc.ac.id/index.php/file/get/sis/t_cp/multi/44388237-9417-11ee-bd04-000d3ac6bafe.png" TargetMode="External"/><Relationship Id="rId676" Type="http://schemas.openxmlformats.org/officeDocument/2006/relationships/hyperlink" Target="https://employee.uc.ac.id/index.php/file/get/sis/t_cp/multi/44388237-9417-11ee-bd04-000d3ac6bafe_assignmentletter.png" TargetMode="External"/><Relationship Id="rId883" Type="http://schemas.openxmlformats.org/officeDocument/2006/relationships/hyperlink" Target="https://employee.uc.ac.id/index.php/file/get/sis/t_cp/multi/c77a0b11-9336-11ee-859c-000d3ac6bafe_assignmentletter.png" TargetMode="External"/><Relationship Id="rId1099" Type="http://schemas.openxmlformats.org/officeDocument/2006/relationships/hyperlink" Target="https://employee.uc.ac.id/index.php/file/get/sis/t_cp/multi/c77a0b11-9336-11ee-859c-000d3ac6bafe.png" TargetMode="External"/><Relationship Id="rId26" Type="http://schemas.openxmlformats.org/officeDocument/2006/relationships/hyperlink" Target="https://employee.uc.ac.id/index.php/file/get/sis/t_cp/ed0ed558-d81d-11ed-a359-000d3ac6bafe.jpeg" TargetMode="External"/><Relationship Id="rId231" Type="http://schemas.openxmlformats.org/officeDocument/2006/relationships/hyperlink" Target="https://icoen.org/" TargetMode="External"/><Relationship Id="rId329" Type="http://schemas.openxmlformats.org/officeDocument/2006/relationships/hyperlink" Target="https://icoen.org/" TargetMode="External"/><Relationship Id="rId536" Type="http://schemas.openxmlformats.org/officeDocument/2006/relationships/hyperlink" Target="https://employee.uc.ac.id/index.php/file/get/sis/t_cp/multi/44388237-9417-11ee-bd04-000d3ac6bafe_assignmentletter.png" TargetMode="External"/><Relationship Id="rId1166" Type="http://schemas.openxmlformats.org/officeDocument/2006/relationships/hyperlink" Target="https://employee.uc.ac.id/index.php/file/get/sis/t_cp/multi/c77a0b11-9336-11ee-859c-000d3ac6bafe_assignmentletter.png" TargetMode="External"/><Relationship Id="rId175" Type="http://schemas.openxmlformats.org/officeDocument/2006/relationships/hyperlink" Target="https://employee.uc.ac.id/index.php/file/get/sis/t_cp/multi/44388237-9417-11ee-bd04-000d3ac6bafe.png" TargetMode="External"/><Relationship Id="rId743" Type="http://schemas.openxmlformats.org/officeDocument/2006/relationships/hyperlink" Target="https://employee.uc.ac.id/index.php/file/get/sis/t_cp/3a119bd8-9b1d-11ed-bfe8-000d3ac6bafe.pdf" TargetMode="External"/><Relationship Id="rId950" Type="http://schemas.openxmlformats.org/officeDocument/2006/relationships/hyperlink" Target="https://employee.uc.ac.id/index.php/file/get/sis/t_cp/multi/c77a0b11-9336-11ee-859c-000d3ac6bafe.png" TargetMode="External"/><Relationship Id="rId1026" Type="http://schemas.openxmlformats.org/officeDocument/2006/relationships/hyperlink" Target="https://icoen.org/" TargetMode="External"/><Relationship Id="rId382" Type="http://schemas.openxmlformats.org/officeDocument/2006/relationships/hyperlink" Target="https://icoen.org/" TargetMode="External"/><Relationship Id="rId603" Type="http://schemas.openxmlformats.org/officeDocument/2006/relationships/hyperlink" Target="https://employee.uc.ac.id/index.php/file/get/sis/t_cp/multi/44388237-9417-11ee-bd04-000d3ac6bafe.png" TargetMode="External"/><Relationship Id="rId687" Type="http://schemas.openxmlformats.org/officeDocument/2006/relationships/hyperlink" Target="https://employee.uc.ac.id/index.php/file/get/sis/t_cp/multi/44388237-9417-11ee-bd04-000d3ac6bafe.png" TargetMode="External"/><Relationship Id="rId810" Type="http://schemas.openxmlformats.org/officeDocument/2006/relationships/hyperlink" Target="https://employee.uc.ac.id/index.php/file/get/sis/t_cp/multi/c77a0b11-9336-11ee-859c-000d3ac6bafe_assignmentletter.png" TargetMode="External"/><Relationship Id="rId908" Type="http://schemas.openxmlformats.org/officeDocument/2006/relationships/hyperlink" Target="https://employee.uc.ac.id/index.php/file/get/sis/t_cp/multi/c77a0b11-9336-11ee-859c-000d3ac6bafe.png" TargetMode="External"/><Relationship Id="rId242" Type="http://schemas.openxmlformats.org/officeDocument/2006/relationships/hyperlink" Target="https://employee.uc.ac.id/index.php/file/get/sis/t_cp/multi/44388237-9417-11ee-bd04-000d3ac6bafe_assignmentletter.png" TargetMode="External"/><Relationship Id="rId894" Type="http://schemas.openxmlformats.org/officeDocument/2006/relationships/hyperlink" Target="https://employee.uc.ac.id/index.php/file/get/sis/t_cp/multi/c77a0b11-9336-11ee-859c-000d3ac6bafe_assignmentletter.png" TargetMode="External"/><Relationship Id="rId37" Type="http://schemas.openxmlformats.org/officeDocument/2006/relationships/hyperlink" Target="https://employee.uc.ac.id/index.php/file/get/sis/t_cp/multi/44388237-9417-11ee-bd04-000d3ac6bafe.png" TargetMode="External"/><Relationship Id="rId102" Type="http://schemas.openxmlformats.org/officeDocument/2006/relationships/hyperlink" Target="https://employee.uc.ac.id/index.php/file/get/sis/t_cp/multi/44388237-9417-11ee-bd04-000d3ac6bafe.png" TargetMode="External"/><Relationship Id="rId547" Type="http://schemas.openxmlformats.org/officeDocument/2006/relationships/hyperlink" Target="https://employee.uc.ac.id/index.php/file/get/sis/t_cp/multi/44388237-9417-11ee-bd04-000d3ac6bafe.png" TargetMode="External"/><Relationship Id="rId754" Type="http://schemas.openxmlformats.org/officeDocument/2006/relationships/hyperlink" Target="https://employee.uc.ac.id/index.php/file/get/sis/t_cp/7e2f4f19-9c68-11ed-90bc-000d3ac6bafe.pdf" TargetMode="External"/><Relationship Id="rId961" Type="http://schemas.openxmlformats.org/officeDocument/2006/relationships/hyperlink" Target="https://employee.uc.ac.id/index.php/file/get/sis/t_cp/multi/c77a0b11-9336-11ee-859c-000d3ac6bafe.png" TargetMode="External"/><Relationship Id="rId90" Type="http://schemas.openxmlformats.org/officeDocument/2006/relationships/hyperlink" Target="https://employee.uc.ac.id/index.php/file/get/sis/t_cp/multi/1e7be259-882b-11ee-ae4d-000d3ac6bafe_assignmentletter.png" TargetMode="External"/><Relationship Id="rId186" Type="http://schemas.openxmlformats.org/officeDocument/2006/relationships/hyperlink" Target="https://icoen.org/" TargetMode="External"/><Relationship Id="rId393" Type="http://schemas.openxmlformats.org/officeDocument/2006/relationships/hyperlink" Target="https://employee.uc.ac.id/index.php/file/get/sis/t_cp/multi/44388237-9417-11ee-bd04-000d3ac6bafe_assignmentletter.png" TargetMode="External"/><Relationship Id="rId407" Type="http://schemas.openxmlformats.org/officeDocument/2006/relationships/hyperlink" Target="https://employee.uc.ac.id/index.php/file/get/sis/t_cp/multi/44388237-9417-11ee-bd04-000d3ac6bafe.png" TargetMode="External"/><Relationship Id="rId614" Type="http://schemas.openxmlformats.org/officeDocument/2006/relationships/hyperlink" Target="https://icoen.org/" TargetMode="External"/><Relationship Id="rId821" Type="http://schemas.openxmlformats.org/officeDocument/2006/relationships/hyperlink" Target="https://employee.uc.ac.id/index.php/file/get/sis/t_cp/multi/c77a0b11-9336-11ee-859c-000d3ac6bafe_assignmentletter.png" TargetMode="External"/><Relationship Id="rId1037" Type="http://schemas.openxmlformats.org/officeDocument/2006/relationships/hyperlink" Target="https://employee.uc.ac.id/index.php/file/get/sis/t_cp/multi/c15ab80d-7c81-11ee-aca7-000d3ac6bafe_assignmentletter.png" TargetMode="External"/><Relationship Id="rId253" Type="http://schemas.openxmlformats.org/officeDocument/2006/relationships/hyperlink" Target="https://employee.uc.ac.id/index.php/file/get/sis/t_cp/multi/44388237-9417-11ee-bd04-000d3ac6bafe.png" TargetMode="External"/><Relationship Id="rId460" Type="http://schemas.openxmlformats.org/officeDocument/2006/relationships/hyperlink" Target="https://employee.uc.ac.id/index.php/file/get/sis/t_cp/multi/44388237-9417-11ee-bd04-000d3ac6bafe.png" TargetMode="External"/><Relationship Id="rId698" Type="http://schemas.openxmlformats.org/officeDocument/2006/relationships/hyperlink" Target="https://icoen.org/" TargetMode="External"/><Relationship Id="rId919" Type="http://schemas.openxmlformats.org/officeDocument/2006/relationships/hyperlink" Target="https://icoen.org/" TargetMode="External"/><Relationship Id="rId1090" Type="http://schemas.openxmlformats.org/officeDocument/2006/relationships/hyperlink" Target="https://employee.uc.ac.id/index.php/file/get/sis/t_cp/multi/c77a0b11-9336-11ee-859c-000d3ac6bafe.png" TargetMode="External"/><Relationship Id="rId1104" Type="http://schemas.openxmlformats.org/officeDocument/2006/relationships/hyperlink" Target="https://employee.uc.ac.id/index.php/file/get/sis/t_cp/193ac5f1-7489-11ee-bbde-000d3ac6bafe_assignmentletter.jpg" TargetMode="External"/><Relationship Id="rId48" Type="http://schemas.openxmlformats.org/officeDocument/2006/relationships/hyperlink" Target="https://employee.uc.ac.id/index.php/file/get/sis/t_cp/multi/e7681b35-0411-11ee-ba25-000d3ac6bafe_assignmentletter.png" TargetMode="External"/><Relationship Id="rId113" Type="http://schemas.openxmlformats.org/officeDocument/2006/relationships/hyperlink" Target="https://employee.uc.ac.id/index.php/file/get/sis/t_cp/81730dff-5c2f-11ee-aac5-000d3ac6bafe.jpg" TargetMode="External"/><Relationship Id="rId320" Type="http://schemas.openxmlformats.org/officeDocument/2006/relationships/hyperlink" Target="https://icoen.org/" TargetMode="External"/><Relationship Id="rId558" Type="http://schemas.openxmlformats.org/officeDocument/2006/relationships/hyperlink" Target="https://icoen.org/" TargetMode="External"/><Relationship Id="rId765" Type="http://schemas.openxmlformats.org/officeDocument/2006/relationships/hyperlink" Target="https://employee.uc.ac.id/index.php/file/get/sis/t_cp/2eb32b47-f3b9-11ed-b513-000d3ac6bafe.pdf" TargetMode="External"/><Relationship Id="rId972" Type="http://schemas.openxmlformats.org/officeDocument/2006/relationships/hyperlink" Target="https://icoen.org/" TargetMode="External"/><Relationship Id="rId197" Type="http://schemas.openxmlformats.org/officeDocument/2006/relationships/hyperlink" Target="https://employee.uc.ac.id/index.php/file/get/sis/t_cp/multi/44388237-9417-11ee-bd04-000d3ac6bafe_assignmentletter.png" TargetMode="External"/><Relationship Id="rId418" Type="http://schemas.openxmlformats.org/officeDocument/2006/relationships/hyperlink" Target="https://icoen.org/" TargetMode="External"/><Relationship Id="rId625" Type="http://schemas.openxmlformats.org/officeDocument/2006/relationships/hyperlink" Target="https://employee.uc.ac.id/index.php/file/get/sis/t_cp/multi/44388237-9417-11ee-bd04-000d3ac6bafe_assignmentletter.png" TargetMode="External"/><Relationship Id="rId832" Type="http://schemas.openxmlformats.org/officeDocument/2006/relationships/hyperlink" Target="https://employee.uc.ac.id/index.php/file/get/sis/t_cp/multi/c77a0b11-9336-11ee-859c-000d3ac6bafe.png" TargetMode="External"/><Relationship Id="rId1048" Type="http://schemas.openxmlformats.org/officeDocument/2006/relationships/hyperlink" Target="https://icoen.org/" TargetMode="External"/><Relationship Id="rId264" Type="http://schemas.openxmlformats.org/officeDocument/2006/relationships/hyperlink" Target="https://icoen.org/" TargetMode="External"/><Relationship Id="rId471" Type="http://schemas.openxmlformats.org/officeDocument/2006/relationships/hyperlink" Target="https://icoen.org/" TargetMode="External"/><Relationship Id="rId1115" Type="http://schemas.openxmlformats.org/officeDocument/2006/relationships/hyperlink" Target="https://employee.uc.ac.id/index.php/file/get/sis/t_cp/multi/c77a0b11-9336-11ee-859c-000d3ac6bafe.png" TargetMode="External"/><Relationship Id="rId59" Type="http://schemas.openxmlformats.org/officeDocument/2006/relationships/hyperlink" Target="https://employee.uc.ac.id/index.php/file/get/sis/t_cp/7a74415d-b675-11ed-aa92-000d3ac6bafe.pdf" TargetMode="External"/><Relationship Id="rId124" Type="http://schemas.openxmlformats.org/officeDocument/2006/relationships/hyperlink" Target="https://employee.uc.ac.id/index.php/file/get/sis/t_cp/multi/44388237-9417-11ee-bd04-000d3ac6bafe.png" TargetMode="External"/><Relationship Id="rId569" Type="http://schemas.openxmlformats.org/officeDocument/2006/relationships/hyperlink" Target="https://employee.uc.ac.id/index.php/file/get/sis/t_cp/multi/44388237-9417-11ee-bd04-000d3ac6bafe_assignmentletter.png" TargetMode="External"/><Relationship Id="rId776" Type="http://schemas.openxmlformats.org/officeDocument/2006/relationships/hyperlink" Target="https://employee.uc.ac.id/index.php/file/get/sis/t_cp/1e9785bb-5a06-11ee-8d80-000d3ac6bafe.pdf" TargetMode="External"/><Relationship Id="rId983" Type="http://schemas.openxmlformats.org/officeDocument/2006/relationships/hyperlink" Target="https://employee.uc.ac.id/index.php/file/get/sis/t_cp/04c81a75-faad-11ed-965d-000d3ac6bafe.jpg" TargetMode="External"/><Relationship Id="rId331" Type="http://schemas.openxmlformats.org/officeDocument/2006/relationships/hyperlink" Target="https://employee.uc.ac.id/index.php/file/get/sis/t_cp/multi/44388237-9417-11ee-bd04-000d3ac6bafe_assignmentletter.png" TargetMode="External"/><Relationship Id="rId429" Type="http://schemas.openxmlformats.org/officeDocument/2006/relationships/hyperlink" Target="https://employee.uc.ac.id/index.php/file/get/sis/t_cp/multi/44388237-9417-11ee-bd04-000d3ac6bafe_assignmentletter.png" TargetMode="External"/><Relationship Id="rId636" Type="http://schemas.openxmlformats.org/officeDocument/2006/relationships/hyperlink" Target="https://employee.uc.ac.id/index.php/file/get/sis/t_cp/multi/44388237-9417-11ee-bd04-000d3ac6bafe.png" TargetMode="External"/><Relationship Id="rId1059" Type="http://schemas.openxmlformats.org/officeDocument/2006/relationships/hyperlink" Target="https://icoen.org/" TargetMode="External"/><Relationship Id="rId843" Type="http://schemas.openxmlformats.org/officeDocument/2006/relationships/hyperlink" Target="https://icoen.org/" TargetMode="External"/><Relationship Id="rId1126" Type="http://schemas.openxmlformats.org/officeDocument/2006/relationships/hyperlink" Target="https://employee.uc.ac.id/index.php/file/get/sis/t_cp/multi/c77a0b11-9336-11ee-859c-000d3ac6bafe.png" TargetMode="External"/><Relationship Id="rId275" Type="http://schemas.openxmlformats.org/officeDocument/2006/relationships/hyperlink" Target="https://employee.uc.ac.id/index.php/file/get/sis/t_cp/multi/44388237-9417-11ee-bd04-000d3ac6bafe_assignmentletter.png" TargetMode="External"/><Relationship Id="rId482" Type="http://schemas.openxmlformats.org/officeDocument/2006/relationships/hyperlink" Target="https://employee.uc.ac.id/index.php/file/get/sis/t_cp/multi/44388237-9417-11ee-bd04-000d3ac6bafe_assignmentletter.png" TargetMode="External"/><Relationship Id="rId703" Type="http://schemas.openxmlformats.org/officeDocument/2006/relationships/hyperlink" Target="https://employee.uc.ac.id/index.php/file/get/sis/t_cp/multi/44388237-9417-11ee-bd04-000d3ac6bafe_assignmentletter.png" TargetMode="External"/><Relationship Id="rId910" Type="http://schemas.openxmlformats.org/officeDocument/2006/relationships/hyperlink" Target="https://icoen.org/" TargetMode="External"/><Relationship Id="rId135" Type="http://schemas.openxmlformats.org/officeDocument/2006/relationships/hyperlink" Target="https://employee.uc.ac.id/index.php/file/get/sis/t_cp/multi/44388237-9417-11ee-bd04-000d3ac6bafe.png" TargetMode="External"/><Relationship Id="rId342" Type="http://schemas.openxmlformats.org/officeDocument/2006/relationships/hyperlink" Target="https://employee.uc.ac.id/index.php/file/get/sis/t_cp/multi/44388237-9417-11ee-bd04-000d3ac6bafe_assignmentletter.png" TargetMode="External"/><Relationship Id="rId787" Type="http://schemas.openxmlformats.org/officeDocument/2006/relationships/hyperlink" Target="https://employee.uc.ac.id/index.php/file/get/sis/t_cp/multi/c77a0b11-9336-11ee-859c-000d3ac6bafe_assignmentletter.png" TargetMode="External"/><Relationship Id="rId994" Type="http://schemas.openxmlformats.org/officeDocument/2006/relationships/hyperlink" Target="https://employee.uc.ac.id/index.php/file/get/sis/t_cp/multi/c15ab80d-7c81-11ee-aca7-000d3ac6bafe_assignmentletter.png" TargetMode="External"/><Relationship Id="rId202" Type="http://schemas.openxmlformats.org/officeDocument/2006/relationships/hyperlink" Target="https://employee.uc.ac.id/index.php/file/get/sis/t_cp/multi/44388237-9417-11ee-bd04-000d3ac6bafe.png" TargetMode="External"/><Relationship Id="rId647" Type="http://schemas.openxmlformats.org/officeDocument/2006/relationships/hyperlink" Target="https://icoen.org/" TargetMode="External"/><Relationship Id="rId854" Type="http://schemas.openxmlformats.org/officeDocument/2006/relationships/hyperlink" Target="https://www.uc.ac.id/puc/" TargetMode="External"/><Relationship Id="rId286" Type="http://schemas.openxmlformats.org/officeDocument/2006/relationships/hyperlink" Target="https://employee.uc.ac.id/index.php/file/get/sis/t_cp/multi/c15ab80d-7c81-11ee-aca7-000d3ac6bafe_assignmentletter.png" TargetMode="External"/><Relationship Id="rId493" Type="http://schemas.openxmlformats.org/officeDocument/2006/relationships/hyperlink" Target="https://employee.uc.ac.id/index.php/file/get/sis/t_cp/multi/44388237-9417-11ee-bd04-000d3ac6bafe.png" TargetMode="External"/><Relationship Id="rId507" Type="http://schemas.openxmlformats.org/officeDocument/2006/relationships/hyperlink" Target="https://icoen.org/" TargetMode="External"/><Relationship Id="rId714" Type="http://schemas.openxmlformats.org/officeDocument/2006/relationships/hyperlink" Target="https://employee.uc.ac.id/index.php/file/get/sis/t_cp/multi/44388237-9417-11ee-bd04-000d3ac6bafe.png" TargetMode="External"/><Relationship Id="rId921" Type="http://schemas.openxmlformats.org/officeDocument/2006/relationships/hyperlink" Target="https://employee.uc.ac.id/index.php/file/get/sis/t_cp/multi/c77a0b11-9336-11ee-859c-000d3ac6bafe_assignmentletter.png" TargetMode="External"/><Relationship Id="rId1137" Type="http://schemas.openxmlformats.org/officeDocument/2006/relationships/hyperlink" Target="https://employee.uc.ac.id/index.php/file/get/sis/t_cp/multi/c77a0b11-9336-11ee-859c-000d3ac6bafe_assignmentletter.png" TargetMode="External"/><Relationship Id="rId50" Type="http://schemas.openxmlformats.org/officeDocument/2006/relationships/hyperlink" Target="https://employee.uc.ac.id/index.php/file/get/sis/t_cp/multi/44388237-9417-11ee-bd04-000d3ac6bafe.png" TargetMode="External"/><Relationship Id="rId146" Type="http://schemas.openxmlformats.org/officeDocument/2006/relationships/hyperlink" Target="https://employee.uc.ac.id/index.php/file/get/sis/t_cp/multi/44388237-9417-11ee-bd04-000d3ac6bafe_assignmentletter.png" TargetMode="External"/><Relationship Id="rId353" Type="http://schemas.openxmlformats.org/officeDocument/2006/relationships/hyperlink" Target="https://employee.uc.ac.id/index.php/file/get/sis/t_cp/multi/44388237-9417-11ee-bd04-000d3ac6bafe.png" TargetMode="External"/><Relationship Id="rId560" Type="http://schemas.openxmlformats.org/officeDocument/2006/relationships/hyperlink" Target="https://employee.uc.ac.id/index.php/file/get/sis/t_cp/multi/44388237-9417-11ee-bd04-000d3ac6bafe_assignmentletter.png" TargetMode="External"/><Relationship Id="rId798" Type="http://schemas.openxmlformats.org/officeDocument/2006/relationships/hyperlink" Target="https://employee.uc.ac.id/index.php/file/get/sis/t_cp/multi/c77a0b11-9336-11ee-859c-000d3ac6bafe.png" TargetMode="External"/><Relationship Id="rId213" Type="http://schemas.openxmlformats.org/officeDocument/2006/relationships/hyperlink" Target="https://icoen.org/" TargetMode="External"/><Relationship Id="rId420" Type="http://schemas.openxmlformats.org/officeDocument/2006/relationships/hyperlink" Target="https://employee.uc.ac.id/index.php/file/get/sis/t_cp/multi/44388237-9417-11ee-bd04-000d3ac6bafe_assignmentletter.png" TargetMode="External"/><Relationship Id="rId658" Type="http://schemas.openxmlformats.org/officeDocument/2006/relationships/hyperlink" Target="https://employee.uc.ac.id/index.php/file/get/sis/t_cp/multi/44388237-9417-11ee-bd04-000d3ac6bafe_assignmentletter.png" TargetMode="External"/><Relationship Id="rId865" Type="http://schemas.openxmlformats.org/officeDocument/2006/relationships/hyperlink" Target="https://employee.uc.ac.id/index.php/file/get/sis/t_cp/multi/1e7be259-882b-11ee-ae4d-000d3ac6bafe.png" TargetMode="External"/><Relationship Id="rId1050" Type="http://schemas.openxmlformats.org/officeDocument/2006/relationships/hyperlink" Target="https://employee.uc.ac.id/index.php/file/get/sis/t_cp/multi/c77a0b11-9336-11ee-859c-000d3ac6bafe_assignmentletter.png" TargetMode="External"/><Relationship Id="rId297" Type="http://schemas.openxmlformats.org/officeDocument/2006/relationships/hyperlink" Target="https://employee.uc.ac.id/index.php/file/get/sis/t_cp/multi/44388237-9417-11ee-bd04-000d3ac6bafe.png" TargetMode="External"/><Relationship Id="rId518" Type="http://schemas.openxmlformats.org/officeDocument/2006/relationships/hyperlink" Target="https://employee.uc.ac.id/index.php/file/get/sis/t_cp/multi/44388237-9417-11ee-bd04-000d3ac6bafe_assignmentletter.png" TargetMode="External"/><Relationship Id="rId725" Type="http://schemas.openxmlformats.org/officeDocument/2006/relationships/hyperlink" Target="https://employee.uc.ac.id/index.php/file/get/sis/t_cp/fff8698e-f615-11ed-a8bb-000d3ac6bafe.jpg" TargetMode="External"/><Relationship Id="rId932" Type="http://schemas.openxmlformats.org/officeDocument/2006/relationships/hyperlink" Target="https://employee.uc.ac.id/index.php/file/get/sis/t_cp/multi/1e7be259-882b-11ee-ae4d-000d3ac6bafe.png" TargetMode="External"/><Relationship Id="rId1148" Type="http://schemas.openxmlformats.org/officeDocument/2006/relationships/hyperlink" Target="https://icoen.org/" TargetMode="External"/><Relationship Id="rId157" Type="http://schemas.openxmlformats.org/officeDocument/2006/relationships/hyperlink" Target="https://employee.uc.ac.id/index.php/file/get/sis/t_cp/multi/44388237-9417-11ee-bd04-000d3ac6bafe_assignmentletter.png" TargetMode="External"/><Relationship Id="rId364" Type="http://schemas.openxmlformats.org/officeDocument/2006/relationships/hyperlink" Target="https://icoen.org/" TargetMode="External"/><Relationship Id="rId1008" Type="http://schemas.openxmlformats.org/officeDocument/2006/relationships/hyperlink" Target="https://namibian-studies.com/index.php/JNS/article" TargetMode="External"/><Relationship Id="rId61" Type="http://schemas.openxmlformats.org/officeDocument/2006/relationships/hyperlink" Target="https://employee.uc.ac.id/index.php/file/get/sis/t_cp/multi/44388237-9417-11ee-bd04-000d3ac6bafe.png" TargetMode="External"/><Relationship Id="rId571" Type="http://schemas.openxmlformats.org/officeDocument/2006/relationships/hyperlink" Target="https://employee.uc.ac.id/index.php/file/get/sis/t_cp/multi/44388237-9417-11ee-bd04-000d3ac6bafe.png" TargetMode="External"/><Relationship Id="rId669" Type="http://schemas.openxmlformats.org/officeDocument/2006/relationships/hyperlink" Target="https://employee.uc.ac.id/index.php/file/get/sis/t_cp/multi/44388237-9417-11ee-bd04-000d3ac6bafe.png" TargetMode="External"/><Relationship Id="rId876" Type="http://schemas.openxmlformats.org/officeDocument/2006/relationships/hyperlink" Target="https://employee.uc.ac.id/index.php/file/get/sis/t_cp/multi/e9f29743-d848-11ed-a359-000d3ac6bafe_assignmentletter.png" TargetMode="External"/><Relationship Id="rId19" Type="http://schemas.openxmlformats.org/officeDocument/2006/relationships/hyperlink" Target="https://employee.uc.ac.id/index.php/file/get/sis/t_cp/multi/44388237-9417-11ee-bd04-000d3ac6bafe.png" TargetMode="External"/><Relationship Id="rId224" Type="http://schemas.openxmlformats.org/officeDocument/2006/relationships/hyperlink" Target="https://employee.uc.ac.id/index.php/file/get/sis/t_cp/multi/44388237-9417-11ee-bd04-000d3ac6bafe_assignmentletter.png" TargetMode="External"/><Relationship Id="rId431" Type="http://schemas.openxmlformats.org/officeDocument/2006/relationships/hyperlink" Target="https://employee.uc.ac.id/index.php/file/get/sis/t_cp/multi/44388237-9417-11ee-bd04-000d3ac6bafe.png" TargetMode="External"/><Relationship Id="rId529" Type="http://schemas.openxmlformats.org/officeDocument/2006/relationships/hyperlink" Target="https://employee.uc.ac.id/index.php/file/get/sis/t_cp/multi/44388237-9417-11ee-bd04-000d3ac6bafe.png" TargetMode="External"/><Relationship Id="rId736" Type="http://schemas.openxmlformats.org/officeDocument/2006/relationships/hyperlink" Target="https://employee.uc.ac.id/index.php/file/get/sis/t_cp/2f92d11b-97db-11ed-af4b-000d3ac6bafe.jpeg" TargetMode="External"/><Relationship Id="rId1061" Type="http://schemas.openxmlformats.org/officeDocument/2006/relationships/hyperlink" Target="https://employee.uc.ac.id/index.php/file/get/sis/t_cp/multi/c77a0b11-9336-11ee-859c-000d3ac6bafe_assignmentletter.png" TargetMode="External"/><Relationship Id="rId1159" Type="http://schemas.openxmlformats.org/officeDocument/2006/relationships/hyperlink" Target="https://icoen.org/" TargetMode="External"/><Relationship Id="rId168" Type="http://schemas.openxmlformats.org/officeDocument/2006/relationships/hyperlink" Target="https://icoen.org/" TargetMode="External"/><Relationship Id="rId943" Type="http://schemas.openxmlformats.org/officeDocument/2006/relationships/hyperlink" Target="https://icoen.org/" TargetMode="External"/><Relationship Id="rId1019" Type="http://schemas.openxmlformats.org/officeDocument/2006/relationships/hyperlink" Target="https://employee.uc.ac.id/index.php/file/get/sis/t_cp/multi/252a0c59-2084-11ee-ac37-000d3ac6bafe_assignmentletter.png" TargetMode="External"/><Relationship Id="rId72" Type="http://schemas.openxmlformats.org/officeDocument/2006/relationships/hyperlink" Target="https://icoen.org/" TargetMode="External"/><Relationship Id="rId375" Type="http://schemas.openxmlformats.org/officeDocument/2006/relationships/hyperlink" Target="https://employee.uc.ac.id/index.php/file/get/sis/t_cp/multi/44388237-9417-11ee-bd04-000d3ac6bafe_assignmentletter.png" TargetMode="External"/><Relationship Id="rId582" Type="http://schemas.openxmlformats.org/officeDocument/2006/relationships/hyperlink" Target="https://icoen.org/" TargetMode="External"/><Relationship Id="rId803" Type="http://schemas.openxmlformats.org/officeDocument/2006/relationships/hyperlink" Target="https://employee.uc.ac.id/index.php/file/get/sis/t_cp/multi/c77a0b11-9336-11ee-859c-000d3ac6bafe.png" TargetMode="External"/><Relationship Id="rId3" Type="http://schemas.openxmlformats.org/officeDocument/2006/relationships/hyperlink" Target="https://employee.uc.ac.id/index.php/file/get/sis/t_cp/e3d619b7-9728-11ed-b71c-000d3ac6bafe_assignmentletter.pdf" TargetMode="External"/><Relationship Id="rId235" Type="http://schemas.openxmlformats.org/officeDocument/2006/relationships/hyperlink" Target="https://employee.uc.ac.id/index.php/file/get/sis/t_cp/multi/44388237-9417-11ee-bd04-000d3ac6bafe.png" TargetMode="External"/><Relationship Id="rId442" Type="http://schemas.openxmlformats.org/officeDocument/2006/relationships/hyperlink" Target="https://sma.pusatprestasinasional.kemdikbud.go.id/" TargetMode="External"/><Relationship Id="rId887" Type="http://schemas.openxmlformats.org/officeDocument/2006/relationships/hyperlink" Target="https://employee.uc.ac.id/index.php/file/get/sis/t_cp/9c20db1d-9fe5-11ee-9e96-000d3ac6bafe.pdf" TargetMode="External"/><Relationship Id="rId1072" Type="http://schemas.openxmlformats.org/officeDocument/2006/relationships/hyperlink" Target="https://employee.uc.ac.id/index.php/file/get/sis/t_cp/multi/c77a0b11-9336-11ee-859c-000d3ac6bafe_assignmentletter.png" TargetMode="External"/><Relationship Id="rId302" Type="http://schemas.openxmlformats.org/officeDocument/2006/relationships/hyperlink" Target="https://icoen.org/" TargetMode="External"/><Relationship Id="rId747" Type="http://schemas.openxmlformats.org/officeDocument/2006/relationships/hyperlink" Target="https://employee.uc.ac.id/index.php/file/get/sis/t_cp/15132e10-188d-11ee-96cf-000d3ac6bafe.jpg" TargetMode="External"/><Relationship Id="rId954" Type="http://schemas.openxmlformats.org/officeDocument/2006/relationships/hyperlink" Target="https://employee.uc.ac.id/index.php/file/get/sis/t_cp/multi/c77a0b11-9336-11ee-859c-000d3ac6bafe_assignmentletter.png" TargetMode="External"/><Relationship Id="rId83" Type="http://schemas.openxmlformats.org/officeDocument/2006/relationships/hyperlink" Target="https://employee.uc.ac.id/index.php/file/get/sis/t_cp/multi/44388237-9417-11ee-bd04-000d3ac6bafe.png" TargetMode="External"/><Relationship Id="rId179" Type="http://schemas.openxmlformats.org/officeDocument/2006/relationships/hyperlink" Target="https://employee.uc.ac.id/index.php/file/get/sis/t_cp/multi/44388237-9417-11ee-bd04-000d3ac6bafe_assignmentletter.png" TargetMode="External"/><Relationship Id="rId386" Type="http://schemas.openxmlformats.org/officeDocument/2006/relationships/hyperlink" Target="https://employee.uc.ac.id/index.php/file/get/sis/t_cp/multi/44388237-9417-11ee-bd04-000d3ac6bafe.png" TargetMode="External"/><Relationship Id="rId593" Type="http://schemas.openxmlformats.org/officeDocument/2006/relationships/hyperlink" Target="https://employee.uc.ac.id/index.php/file/get/sis/t_cp/multi/44388237-9417-11ee-bd04-000d3ac6bafe_assignmentletter.png" TargetMode="External"/><Relationship Id="rId607" Type="http://schemas.openxmlformats.org/officeDocument/2006/relationships/hyperlink" Target="https://employee.uc.ac.id/index.php/file/get/sis/t_cp/multi/44388237-9417-11ee-bd04-000d3ac6bafe_assignmentletter.png" TargetMode="External"/><Relationship Id="rId814" Type="http://schemas.openxmlformats.org/officeDocument/2006/relationships/hyperlink" Target="https://icoen.org/" TargetMode="External"/><Relationship Id="rId246" Type="http://schemas.openxmlformats.org/officeDocument/2006/relationships/hyperlink" Target="https://icoen.org/" TargetMode="External"/><Relationship Id="rId453" Type="http://schemas.openxmlformats.org/officeDocument/2006/relationships/hyperlink" Target="https://icoen.org/" TargetMode="External"/><Relationship Id="rId660" Type="http://schemas.openxmlformats.org/officeDocument/2006/relationships/hyperlink" Target="https://employee.uc.ac.id/index.php/file/get/sis/t_cp/multi/44388237-9417-11ee-bd04-000d3ac6bafe.png" TargetMode="External"/><Relationship Id="rId898" Type="http://schemas.openxmlformats.org/officeDocument/2006/relationships/hyperlink" Target="https://icoen.org/" TargetMode="External"/><Relationship Id="rId1083" Type="http://schemas.openxmlformats.org/officeDocument/2006/relationships/hyperlink" Target="https://icoen.org/" TargetMode="External"/><Relationship Id="rId106" Type="http://schemas.openxmlformats.org/officeDocument/2006/relationships/hyperlink" Target="https://employee.uc.ac.id/index.php/file/get/sis/t_cp/multi/44388237-9417-11ee-bd04-000d3ac6bafe_assignmentletter.png" TargetMode="External"/><Relationship Id="rId313" Type="http://schemas.openxmlformats.org/officeDocument/2006/relationships/hyperlink" Target="https://employee.uc.ac.id/index.php/file/get/sis/t_cp/multi/44388237-9417-11ee-bd04-000d3ac6bafe_assignmentletter.png" TargetMode="External"/><Relationship Id="rId758" Type="http://schemas.openxmlformats.org/officeDocument/2006/relationships/hyperlink" Target="https://employee.uc.ac.id/index.php/file/get/sis/t_cp/1775fc14-0428-11ee-ba25-000d3ac6bafe.pdf" TargetMode="External"/><Relationship Id="rId965" Type="http://schemas.openxmlformats.org/officeDocument/2006/relationships/hyperlink" Target="https://employee.uc.ac.id/index.php/file/get/sis/t_cp/multi/c77a0b11-9336-11ee-859c-000d3ac6bafe_assignmentletter.png" TargetMode="External"/><Relationship Id="rId1150" Type="http://schemas.openxmlformats.org/officeDocument/2006/relationships/hyperlink" Target="https://employee.uc.ac.id/index.php/file/get/sis/t_cp/multi/c77a0b11-9336-11ee-859c-000d3ac6bafe_assignmentletter.png" TargetMode="External"/><Relationship Id="rId10" Type="http://schemas.openxmlformats.org/officeDocument/2006/relationships/hyperlink" Target="https://employee.uc.ac.id/index.php/file/get/sis/t_cp/multi/e9f29743-d848-11ed-a359-000d3ac6bafe.png" TargetMode="External"/><Relationship Id="rId94" Type="http://schemas.openxmlformats.org/officeDocument/2006/relationships/hyperlink" Target="https://employee.uc.ac.id/index.php/file/get/sis/t_cp/881f0abc-ac9b-11ed-ae71-000d3ac6bafe.jpg" TargetMode="External"/><Relationship Id="rId397" Type="http://schemas.openxmlformats.org/officeDocument/2006/relationships/hyperlink" Target="https://icoen.org/" TargetMode="External"/><Relationship Id="rId520" Type="http://schemas.openxmlformats.org/officeDocument/2006/relationships/hyperlink" Target="https://employee.uc.ac.id/index.php/file/get/sis/t_cp/multi/44388237-9417-11ee-bd04-000d3ac6bafe.png" TargetMode="External"/><Relationship Id="rId618" Type="http://schemas.openxmlformats.org/officeDocument/2006/relationships/hyperlink" Target="https://employee.uc.ac.id/index.php/file/get/sis/t_cp/multi/44388237-9417-11ee-bd04-000d3ac6bafe.png" TargetMode="External"/><Relationship Id="rId825" Type="http://schemas.openxmlformats.org/officeDocument/2006/relationships/hyperlink" Target="https://icoen.org/" TargetMode="External"/><Relationship Id="rId257" Type="http://schemas.openxmlformats.org/officeDocument/2006/relationships/hyperlink" Target="https://employee.uc.ac.id/index.php/file/get/sis/t_cp/multi/44388237-9417-11ee-bd04-000d3ac6bafe_assignmentletter.png" TargetMode="External"/><Relationship Id="rId464" Type="http://schemas.openxmlformats.org/officeDocument/2006/relationships/hyperlink" Target="https://employee.uc.ac.id/index.php/file/get/sis/t_cp/multi/44388237-9417-11ee-bd04-000d3ac6bafe_assignmentletter.png" TargetMode="External"/><Relationship Id="rId1010" Type="http://schemas.openxmlformats.org/officeDocument/2006/relationships/hyperlink" Target="https://employee.uc.ac.id/index.php/file/get/sis/t_cp/650986bc-a929-11ed-a95e-000d3ac6bafe.pdf" TargetMode="External"/><Relationship Id="rId1094" Type="http://schemas.openxmlformats.org/officeDocument/2006/relationships/hyperlink" Target="https://employee.uc.ac.id/index.php/file/get/sis/t_cp/multi/c77a0b11-9336-11ee-859c-000d3ac6bafe_assignmentletter.png" TargetMode="External"/><Relationship Id="rId1108" Type="http://schemas.openxmlformats.org/officeDocument/2006/relationships/hyperlink" Target="https://icoen.org/" TargetMode="External"/><Relationship Id="rId117" Type="http://schemas.openxmlformats.org/officeDocument/2006/relationships/hyperlink" Target="https://icoen.org/" TargetMode="External"/><Relationship Id="rId671" Type="http://schemas.openxmlformats.org/officeDocument/2006/relationships/hyperlink" Target="https://icoen.org/" TargetMode="External"/><Relationship Id="rId769" Type="http://schemas.openxmlformats.org/officeDocument/2006/relationships/hyperlink" Target="https://employee.uc.ac.id/index.php/file/get/sis/t_cp/a8912cca-0e63-11ee-849f-000d3ac6bafe.docx" TargetMode="External"/><Relationship Id="rId976" Type="http://schemas.openxmlformats.org/officeDocument/2006/relationships/hyperlink" Target="https://employee.uc.ac.id/index.php/file/get/sis/t_cp/4bfa7a3c-8b6b-11ed-a20e-000d3ac6bafe_report.jpg" TargetMode="External"/><Relationship Id="rId324" Type="http://schemas.openxmlformats.org/officeDocument/2006/relationships/hyperlink" Target="https://employee.uc.ac.id/index.php/file/get/sis/t_cp/multi/44388237-9417-11ee-bd04-000d3ac6bafe.png" TargetMode="External"/><Relationship Id="rId531" Type="http://schemas.openxmlformats.org/officeDocument/2006/relationships/hyperlink" Target="https://icoen.org/" TargetMode="External"/><Relationship Id="rId629" Type="http://schemas.openxmlformats.org/officeDocument/2006/relationships/hyperlink" Target="https://icoen.org/" TargetMode="External"/><Relationship Id="rId1161" Type="http://schemas.openxmlformats.org/officeDocument/2006/relationships/hyperlink" Target="https://employee.uc.ac.id/index.php/file/get/sis/t_cp/multi/c77a0b11-9336-11ee-859c-000d3ac6bafe_assignmentletter.png" TargetMode="External"/><Relationship Id="rId836" Type="http://schemas.openxmlformats.org/officeDocument/2006/relationships/hyperlink" Target="https://employee.uc.ac.id/index.php/file/get/sis/t_cp/multi/c77a0b11-9336-11ee-859c-000d3ac6bafe_assignmentletter.png" TargetMode="External"/><Relationship Id="rId1021" Type="http://schemas.openxmlformats.org/officeDocument/2006/relationships/hyperlink" Target="https://employee.uc.ac.id/index.php/file/get/sis/t_cp/multi/c77a0b11-9336-11ee-859c-000d3ac6bafe.png" TargetMode="External"/><Relationship Id="rId1119" Type="http://schemas.openxmlformats.org/officeDocument/2006/relationships/hyperlink" Target="https://employee.uc.ac.id/index.php/file/get/sis/t_cp/multi/dea5331c-ed7e-11ed-894a-000d3ac6bafe.png" TargetMode="External"/><Relationship Id="rId903" Type="http://schemas.openxmlformats.org/officeDocument/2006/relationships/hyperlink" Target="https://employee.uc.ac.id/index.php/file/get/sis/t_cp/multi/c77a0b11-9336-11ee-859c-000d3ac6bafe_assignmentletter.png" TargetMode="External"/><Relationship Id="rId32" Type="http://schemas.openxmlformats.org/officeDocument/2006/relationships/hyperlink" Target="https://employee.uc.ac.id/index.php/file/get/sis/t_cp/multi/e9f29743-d848-11ed-a359-000d3ac6bafe_assignmentletter.png" TargetMode="External"/><Relationship Id="rId181" Type="http://schemas.openxmlformats.org/officeDocument/2006/relationships/hyperlink" Target="https://employee.uc.ac.id/index.php/file/get/sis/t_cp/multi/44388237-9417-11ee-bd04-000d3ac6bafe.png" TargetMode="External"/><Relationship Id="rId279" Type="http://schemas.openxmlformats.org/officeDocument/2006/relationships/hyperlink" Target="https://icoen.org/" TargetMode="External"/><Relationship Id="rId486" Type="http://schemas.openxmlformats.org/officeDocument/2006/relationships/hyperlink" Target="https://icoen.org/" TargetMode="External"/><Relationship Id="rId693" Type="http://schemas.openxmlformats.org/officeDocument/2006/relationships/hyperlink" Target="https://employee.uc.ac.id/index.php/file/get/sis/t_cp/multi/44388237-9417-11ee-bd04-000d3ac6bafe.png" TargetMode="External"/><Relationship Id="rId139" Type="http://schemas.openxmlformats.org/officeDocument/2006/relationships/hyperlink" Target="https://employee.uc.ac.id/index.php/file/get/sis/t_cp/multi/44388237-9417-11ee-bd04-000d3ac6bafe_assignmentletter.png" TargetMode="External"/><Relationship Id="rId346" Type="http://schemas.openxmlformats.org/officeDocument/2006/relationships/hyperlink" Target="https://icoen.org/" TargetMode="External"/><Relationship Id="rId553" Type="http://schemas.openxmlformats.org/officeDocument/2006/relationships/hyperlink" Target="https://employee.uc.ac.id/index.php/file/get/sis/t_cp/multi/44388237-9417-11ee-bd04-000d3ac6bafe.png" TargetMode="External"/><Relationship Id="rId760" Type="http://schemas.openxmlformats.org/officeDocument/2006/relationships/hyperlink" Target="https://employee.uc.ac.id/index.php/file/get/sis/t_cp/926b4e63-3e9d-11ee-9179-000d3ac6bafe_report.jpg" TargetMode="External"/><Relationship Id="rId998" Type="http://schemas.openxmlformats.org/officeDocument/2006/relationships/hyperlink" Target="https://employee.uc.ac.id/index.php/file/get/sis/t_cp/multi/c15ab80d-7c81-11ee-aca7-000d3ac6bafe.png" TargetMode="External"/><Relationship Id="rId206" Type="http://schemas.openxmlformats.org/officeDocument/2006/relationships/hyperlink" Target="https://employee.uc.ac.id/index.php/file/get/sis/t_cp/multi/44388237-9417-11ee-bd04-000d3ac6bafe_assignmentletter.png" TargetMode="External"/><Relationship Id="rId413" Type="http://schemas.openxmlformats.org/officeDocument/2006/relationships/hyperlink" Target="https://employee.uc.ac.id/index.php/file/get/sis/t_cp/multi/44388237-9417-11ee-bd04-000d3ac6bafe.png" TargetMode="External"/><Relationship Id="rId858" Type="http://schemas.openxmlformats.org/officeDocument/2006/relationships/hyperlink" Target="https://employee.uc.ac.id/index.php/file/get/sis/t_cp/35bb035c-c6fd-11ed-8a70-000d3ac6bafe.jpeg" TargetMode="External"/><Relationship Id="rId1043" Type="http://schemas.openxmlformats.org/officeDocument/2006/relationships/hyperlink" Target="https://employee.uc.ac.id/index.php/file/get/sis/t_cp/70919db2-06c9-11ee-b92f-000d3ac6bafe.pdf" TargetMode="External"/><Relationship Id="rId620" Type="http://schemas.openxmlformats.org/officeDocument/2006/relationships/hyperlink" Target="https://icoen.org/" TargetMode="External"/><Relationship Id="rId718" Type="http://schemas.openxmlformats.org/officeDocument/2006/relationships/hyperlink" Target="https://employee.uc.ac.id/index.php/file/get/sis/t_cp/multi/1e7be259-882b-11ee-ae4d-000d3ac6bafe.png" TargetMode="External"/><Relationship Id="rId925" Type="http://schemas.openxmlformats.org/officeDocument/2006/relationships/hyperlink" Target="https://icoen.org/" TargetMode="External"/><Relationship Id="rId1110" Type="http://schemas.openxmlformats.org/officeDocument/2006/relationships/hyperlink" Target="https://employee.uc.ac.id/index.php/file/get/sis/t_cp/multi/c77a0b11-9336-11ee-859c-000d3ac6bafe_assignmentletter.png" TargetMode="External"/><Relationship Id="rId54" Type="http://schemas.openxmlformats.org/officeDocument/2006/relationships/hyperlink" Target="https://icoen.org/" TargetMode="External"/><Relationship Id="rId270" Type="http://schemas.openxmlformats.org/officeDocument/2006/relationships/hyperlink" Target="https://icoen.org/" TargetMode="External"/><Relationship Id="rId130" Type="http://schemas.openxmlformats.org/officeDocument/2006/relationships/hyperlink" Target="https://employee.uc.ac.id/index.php/file/get/sis/t_cp/842a5a62-a37c-11ed-85df-000d3ac6bafe_assignmentletter.jpg" TargetMode="External"/><Relationship Id="rId368" Type="http://schemas.openxmlformats.org/officeDocument/2006/relationships/hyperlink" Target="https://employee.uc.ac.id/index.php/file/get/sis/t_cp/multi/44388237-9417-11ee-bd04-000d3ac6bafe.png" TargetMode="External"/><Relationship Id="rId575" Type="http://schemas.openxmlformats.org/officeDocument/2006/relationships/hyperlink" Target="https://employee.uc.ac.id/index.php/file/get/sis/t_cp/multi/44388237-9417-11ee-bd04-000d3ac6bafe_assignmentletter.png" TargetMode="External"/><Relationship Id="rId782" Type="http://schemas.openxmlformats.org/officeDocument/2006/relationships/hyperlink" Target="https://icoen.org/" TargetMode="External"/><Relationship Id="rId228" Type="http://schemas.openxmlformats.org/officeDocument/2006/relationships/hyperlink" Target="https://icoen.org/" TargetMode="External"/><Relationship Id="rId435" Type="http://schemas.openxmlformats.org/officeDocument/2006/relationships/hyperlink" Target="https://employee.uc.ac.id/index.php/file/get/sis/t_cp/multi/44388237-9417-11ee-bd04-000d3ac6bafe_assignmentletter.png" TargetMode="External"/><Relationship Id="rId642" Type="http://schemas.openxmlformats.org/officeDocument/2006/relationships/hyperlink" Target="https://employee.uc.ac.id/index.php/file/get/sis/t_cp/multi/44388237-9417-11ee-bd04-000d3ac6bafe.png" TargetMode="External"/><Relationship Id="rId1065" Type="http://schemas.openxmlformats.org/officeDocument/2006/relationships/hyperlink" Target="https://employee.uc.ac.id/index.php/file/get/sis/t_cp/multi/c77a0b11-9336-11ee-859c-000d3ac6bafe.png" TargetMode="External"/><Relationship Id="rId502" Type="http://schemas.openxmlformats.org/officeDocument/2006/relationships/hyperlink" Target="https://employee.uc.ac.id/index.php/file/get/sis/t_cp/multi/44388237-9417-11ee-bd04-000d3ac6bafe.png" TargetMode="External"/><Relationship Id="rId947" Type="http://schemas.openxmlformats.org/officeDocument/2006/relationships/hyperlink" Target="https://employee.uc.ac.id/index.php/file/get/sis/t_cp/multi/c77a0b11-9336-11ee-859c-000d3ac6bafe.png" TargetMode="External"/><Relationship Id="rId1132" Type="http://schemas.openxmlformats.org/officeDocument/2006/relationships/hyperlink" Target="https://employee.uc.ac.id/index.php/file/get/sis/t_cp/e8bec7da-9048-11ee-9103-000d3ac6bafe_assignmentletter.pdf" TargetMode="External"/><Relationship Id="rId76" Type="http://schemas.openxmlformats.org/officeDocument/2006/relationships/hyperlink" Target="https://employee.uc.ac.id/index.php/file/get/sis/t_cp/multi/44388237-9417-11ee-bd04-000d3ac6bafe.png" TargetMode="External"/><Relationship Id="rId807" Type="http://schemas.openxmlformats.org/officeDocument/2006/relationships/hyperlink" Target="https://employee.uc.ac.id/index.php/file/get/sis/t_cp/multi/c77a0b11-9336-11ee-859c-000d3ac6bafe_assignmentletter.png" TargetMode="External"/><Relationship Id="rId292" Type="http://schemas.openxmlformats.org/officeDocument/2006/relationships/hyperlink" Target="https://employee.uc.ac.id/index.php/file/get/sis/t_cp/multi/44388237-9417-11ee-bd04-000d3ac6bafe_assignmentletter.png" TargetMode="External"/><Relationship Id="rId597" Type="http://schemas.openxmlformats.org/officeDocument/2006/relationships/hyperlink" Target="https://employee.uc.ac.id/index.php/file/get/sis/t_cp/multi/c15ab80d-7c81-11ee-aca7-000d3ac6bafe.png" TargetMode="External"/><Relationship Id="rId152" Type="http://schemas.openxmlformats.org/officeDocument/2006/relationships/hyperlink" Target="https://employee.uc.ac.id/index.php/file/get/sis/t_cp/multi/c15ab80d-7c81-11ee-aca7-000d3ac6bafe.png" TargetMode="External"/><Relationship Id="rId457" Type="http://schemas.openxmlformats.org/officeDocument/2006/relationships/hyperlink" Target="https://employee.uc.ac.id/index.php/file/get/sis/t_cp/multi/44388237-9417-11ee-bd04-000d3ac6bafe.png" TargetMode="External"/><Relationship Id="rId1087" Type="http://schemas.openxmlformats.org/officeDocument/2006/relationships/hyperlink" Target="https://employee.uc.ac.id/index.php/file/get/sis/t_cp/multi/c77a0b11-9336-11ee-859c-000d3ac6bafe.png" TargetMode="External"/><Relationship Id="rId664" Type="http://schemas.openxmlformats.org/officeDocument/2006/relationships/hyperlink" Target="https://employee.uc.ac.id/index.php/file/get/sis/t_cp/multi/44388237-9417-11ee-bd04-000d3ac6bafe_assignmentletter.png" TargetMode="External"/><Relationship Id="rId871" Type="http://schemas.openxmlformats.org/officeDocument/2006/relationships/hyperlink" Target="https://employee.uc.ac.id/index.php/file/get/sis/t_cp/multi/e9f29743-d848-11ed-a359-000d3ac6bafe.png" TargetMode="External"/><Relationship Id="rId969" Type="http://schemas.openxmlformats.org/officeDocument/2006/relationships/hyperlink" Target="https://icoen.org/" TargetMode="External"/><Relationship Id="rId317" Type="http://schemas.openxmlformats.org/officeDocument/2006/relationships/hyperlink" Target="https://icoen.org/" TargetMode="External"/><Relationship Id="rId524" Type="http://schemas.openxmlformats.org/officeDocument/2006/relationships/hyperlink" Target="https://employee.uc.ac.id/index.php/file/get/sis/t_cp/multi/44388237-9417-11ee-bd04-000d3ac6bafe_assignmentletter.png" TargetMode="External"/><Relationship Id="rId731" Type="http://schemas.openxmlformats.org/officeDocument/2006/relationships/hyperlink" Target="https://employee.uc.ac.id/index.php/file/get/sis/t_cp/3b0a7413-96ed-11ed-b71c-000d3ac6bafe.jpg" TargetMode="External"/><Relationship Id="rId1154" Type="http://schemas.openxmlformats.org/officeDocument/2006/relationships/hyperlink" Target="http://bright-journal.org/Journal/index.php/JADS/a" TargetMode="External"/><Relationship Id="rId98" Type="http://schemas.openxmlformats.org/officeDocument/2006/relationships/hyperlink" Target="https://employee.uc.ac.id/index.php/file/get/sis/t_cp/2238ff23-97df-11ed-af4b-000d3ac6bafe_assignmentletter.pdf" TargetMode="External"/><Relationship Id="rId829" Type="http://schemas.openxmlformats.org/officeDocument/2006/relationships/hyperlink" Target="https://employee.uc.ac.id/index.php/file/get/sis/t_cp/multi/c77a0b11-9336-11ee-859c-000d3ac6bafe.png" TargetMode="External"/><Relationship Id="rId1014" Type="http://schemas.openxmlformats.org/officeDocument/2006/relationships/hyperlink" Target="https://employee.uc.ac.id/index.php/file/get/sis/t_cp/multi/1e7be259-882b-11ee-ae4d-000d3ac6bafe_assignmentletter.png" TargetMode="External"/><Relationship Id="rId25" Type="http://schemas.openxmlformats.org/officeDocument/2006/relationships/hyperlink" Target="https://employee.uc.ac.id/index.php/file/get/sis/t_cp/multi/44388237-9417-11ee-bd04-000d3ac6bafe_assignmentletter.png" TargetMode="External"/><Relationship Id="rId174" Type="http://schemas.openxmlformats.org/officeDocument/2006/relationships/hyperlink" Target="https://icoen.org/" TargetMode="External"/><Relationship Id="rId381" Type="http://schemas.openxmlformats.org/officeDocument/2006/relationships/hyperlink" Target="https://employee.uc.ac.id/index.php/file/get/sis/t_cp/multi/44388237-9417-11ee-bd04-000d3ac6bafe_assignmentletter.png" TargetMode="External"/><Relationship Id="rId241" Type="http://schemas.openxmlformats.org/officeDocument/2006/relationships/hyperlink" Target="https://employee.uc.ac.id/index.php/file/get/sis/t_cp/multi/44388237-9417-11ee-bd04-000d3ac6bafe.png" TargetMode="External"/><Relationship Id="rId479" Type="http://schemas.openxmlformats.org/officeDocument/2006/relationships/hyperlink" Target="https://employee.uc.ac.id/index.php/file/get/sis/t_cp/multi/44388237-9417-11ee-bd04-000d3ac6bafe_assignmentletter.png" TargetMode="External"/><Relationship Id="rId686" Type="http://schemas.openxmlformats.org/officeDocument/2006/relationships/hyperlink" Target="https://icoen.org/" TargetMode="External"/><Relationship Id="rId893" Type="http://schemas.openxmlformats.org/officeDocument/2006/relationships/hyperlink" Target="https://employee.uc.ac.id/index.php/file/get/sis/t_cp/multi/c77a0b11-9336-11ee-859c-000d3ac6bafe.png" TargetMode="External"/><Relationship Id="rId339" Type="http://schemas.openxmlformats.org/officeDocument/2006/relationships/hyperlink" Target="https://employee.uc.ac.id/index.php/file/get/sis/t_cp/multi/44388237-9417-11ee-bd04-000d3ac6bafe_assignmentletter.png" TargetMode="External"/><Relationship Id="rId546" Type="http://schemas.openxmlformats.org/officeDocument/2006/relationships/hyperlink" Target="https://icoen.org/" TargetMode="External"/><Relationship Id="rId753" Type="http://schemas.openxmlformats.org/officeDocument/2006/relationships/hyperlink" Target="https://employee.uc.ac.id/index.php/file/get/sis/t_cp/d366aaf9-9961-11ed-8629-000d3ac6bafe.jpg" TargetMode="External"/><Relationship Id="rId101" Type="http://schemas.openxmlformats.org/officeDocument/2006/relationships/hyperlink" Target="https://icoen.org/" TargetMode="External"/><Relationship Id="rId406" Type="http://schemas.openxmlformats.org/officeDocument/2006/relationships/hyperlink" Target="https://icoen.org/" TargetMode="External"/><Relationship Id="rId960" Type="http://schemas.openxmlformats.org/officeDocument/2006/relationships/hyperlink" Target="https://icoen.org/" TargetMode="External"/><Relationship Id="rId1036" Type="http://schemas.openxmlformats.org/officeDocument/2006/relationships/hyperlink" Target="https://employee.uc.ac.id/index.php/file/get/sis/t_cp/multi/c15ab80d-7c81-11ee-aca7-000d3ac6bafe.png" TargetMode="External"/><Relationship Id="rId613" Type="http://schemas.openxmlformats.org/officeDocument/2006/relationships/hyperlink" Target="https://employee.uc.ac.id/index.php/file/get/sis/t_cp/multi/44388237-9417-11ee-bd04-000d3ac6bafe_assignmentletter.png" TargetMode="External"/><Relationship Id="rId820" Type="http://schemas.openxmlformats.org/officeDocument/2006/relationships/hyperlink" Target="https://employee.uc.ac.id/index.php/file/get/sis/t_cp/multi/c77a0b11-9336-11ee-859c-000d3ac6bafe.png" TargetMode="External"/><Relationship Id="rId918" Type="http://schemas.openxmlformats.org/officeDocument/2006/relationships/hyperlink" Target="https://employee.uc.ac.id/index.php/file/get/sis/t_cp/multi/e9f29743-d848-11ed-a359-000d3ac6bafe_assignmentletter.png" TargetMode="External"/><Relationship Id="rId1103" Type="http://schemas.openxmlformats.org/officeDocument/2006/relationships/hyperlink" Target="https://employee.uc.ac.id/index.php/file/get/sis/t_cp/152de914-7489-11ee-bbde-000d3ac6bafe.jpg" TargetMode="External"/><Relationship Id="rId47" Type="http://schemas.openxmlformats.org/officeDocument/2006/relationships/hyperlink" Target="https://employee.uc.ac.id/index.php/file/get/sis/t_cp/multi/e7681b35-0411-11ee-ba25-000d3ac6bafe.png" TargetMode="External"/><Relationship Id="rId196" Type="http://schemas.openxmlformats.org/officeDocument/2006/relationships/hyperlink" Target="https://employee.uc.ac.id/index.php/file/get/sis/t_cp/multi/44388237-9417-11ee-bd04-000d3ac6bafe.png" TargetMode="External"/><Relationship Id="rId263" Type="http://schemas.openxmlformats.org/officeDocument/2006/relationships/hyperlink" Target="https://employee.uc.ac.id/index.php/file/get/sis/t_cp/multi/44388237-9417-11ee-bd04-000d3ac6bafe_assignmentletter.png" TargetMode="External"/><Relationship Id="rId470" Type="http://schemas.openxmlformats.org/officeDocument/2006/relationships/hyperlink" Target="https://employee.uc.ac.id/index.php/file/get/sis/t_cp/multi/44388237-9417-11ee-bd04-000d3ac6bafe_assignmentletter.png" TargetMode="External"/></Relationships>
</file>

<file path=xl/worksheets/_rels/sheet5.xml.rels><?xml version="1.0" encoding="UTF-8" standalone="yes"?>
<Relationships xmlns="http://schemas.openxmlformats.org/package/2006/relationships"><Relationship Id="rId21" Type="http://schemas.openxmlformats.org/officeDocument/2006/relationships/hyperlink" Target="https://journal.unesa.ac.id/index.php/bisma/articl" TargetMode="External"/><Relationship Id="rId170" Type="http://schemas.openxmlformats.org/officeDocument/2006/relationships/hyperlink" Target="https://employee.uc.ac.id/index.php/file/get/sis/t_cp/multi/44388237-9417-11ee-bd04-000d3ac6bafe_assignmentletter.png" TargetMode="External"/><Relationship Id="rId268" Type="http://schemas.openxmlformats.org/officeDocument/2006/relationships/hyperlink" Target="https://employee.uc.ac.id/index.php/file/get/sis/t_cp/multi/c77a0b11-9336-11ee-859c-000d3ac6bafe.png" TargetMode="External"/><Relationship Id="rId475" Type="http://schemas.openxmlformats.org/officeDocument/2006/relationships/hyperlink" Target="https://employee.uc.ac.id/index.php/file/get/sis/t_cp/multi/44388237-9417-11ee-bd04-000d3ac6bafe.png" TargetMode="External"/><Relationship Id="rId682" Type="http://schemas.openxmlformats.org/officeDocument/2006/relationships/hyperlink" Target="https://employee.uc.ac.id/index.php/file/get/sis/t_cp/multi/44388237-9417-11ee-bd04-000d3ac6bafe_assignmentletter.png" TargetMode="External"/><Relationship Id="rId128" Type="http://schemas.openxmlformats.org/officeDocument/2006/relationships/hyperlink" Target="https://employee.uc.ac.id/index.php/file/get/sis/t_cp/multi/44388237-9417-11ee-bd04-000d3ac6bafe_assignmentletter.png" TargetMode="External"/><Relationship Id="rId335" Type="http://schemas.openxmlformats.org/officeDocument/2006/relationships/hyperlink" Target="https://employee.uc.ac.id/index.php/file/get/sis/t_cp/multi/44388237-9417-11ee-bd04-000d3ac6bafe.png" TargetMode="External"/><Relationship Id="rId542" Type="http://schemas.openxmlformats.org/officeDocument/2006/relationships/hyperlink" Target="https://employee.uc.ac.id/index.php/file/get/sis/t_cp/multi/44388237-9417-11ee-bd04-000d3ac6bafe_assignmentletter.png" TargetMode="External"/><Relationship Id="rId987" Type="http://schemas.openxmlformats.org/officeDocument/2006/relationships/hyperlink" Target="https://employee.uc.ac.id/index.php/file/get/sis/t_cp/588bfc93-42f9-11ee-a2ef-000d3ac6bafe_assignmentletter.jpg" TargetMode="External"/><Relationship Id="rId402" Type="http://schemas.openxmlformats.org/officeDocument/2006/relationships/hyperlink" Target="https://employee.uc.ac.id/index.php/file/get/sis/t_cp/multi/44388237-9417-11ee-bd04-000d3ac6bafe_assignmentletter.png" TargetMode="External"/><Relationship Id="rId847" Type="http://schemas.openxmlformats.org/officeDocument/2006/relationships/hyperlink" Target="https://employee.uc.ac.id/index.php/file/get/sis/t_cp/82340ecc-baf1-11ed-8264-000d3ac6bafe_assignmentletter.jpg" TargetMode="External"/><Relationship Id="rId1032" Type="http://schemas.openxmlformats.org/officeDocument/2006/relationships/hyperlink" Target="https://employee.uc.ac.id/index.php/file/get/sis/t_cp/481197d4-1590-11ee-9279-000d3ac6bafe.jpg" TargetMode="External"/><Relationship Id="rId707" Type="http://schemas.openxmlformats.org/officeDocument/2006/relationships/hyperlink" Target="https://icoen.org/" TargetMode="External"/><Relationship Id="rId914" Type="http://schemas.openxmlformats.org/officeDocument/2006/relationships/hyperlink" Target="https://employee.uc.ac.id/index.php/file/get/sis/t_cp/multi/c77a0b11-9336-11ee-859c-000d3ac6bafe.png" TargetMode="External"/><Relationship Id="rId43" Type="http://schemas.openxmlformats.org/officeDocument/2006/relationships/hyperlink" Target="https://employee.uc.ac.id/index.php/file/get/sis/t_cp/multi/44388237-9417-11ee-bd04-000d3ac6bafe.png" TargetMode="External"/><Relationship Id="rId192" Type="http://schemas.openxmlformats.org/officeDocument/2006/relationships/hyperlink" Target="https://icoen.org/" TargetMode="External"/><Relationship Id="rId497" Type="http://schemas.openxmlformats.org/officeDocument/2006/relationships/hyperlink" Target="https://employee.uc.ac.id/index.php/file/get/sis/t_cp/multi/44388237-9417-11ee-bd04-000d3ac6bafe_assignmentletter.png" TargetMode="External"/><Relationship Id="rId357" Type="http://schemas.openxmlformats.org/officeDocument/2006/relationships/hyperlink" Target="https://employee.uc.ac.id/index.php/file/get/sis/t_cp/multi/44388237-9417-11ee-bd04-000d3ac6bafe_assignmentletter.png" TargetMode="External"/><Relationship Id="rId217" Type="http://schemas.openxmlformats.org/officeDocument/2006/relationships/hyperlink" Target="https://employee.uc.ac.id/index.php/file/get/sis/t_cp/multi/44388237-9417-11ee-bd04-000d3ac6bafe.png" TargetMode="External"/><Relationship Id="rId564" Type="http://schemas.openxmlformats.org/officeDocument/2006/relationships/hyperlink" Target="https://icoen.org/" TargetMode="External"/><Relationship Id="rId771" Type="http://schemas.openxmlformats.org/officeDocument/2006/relationships/hyperlink" Target="https://employee.uc.ac.id/index.php/file/get/sis/t_cp/606f6fdd-14aa-11ee-bcb1-000d3ac6bafe.pdf" TargetMode="External"/><Relationship Id="rId869" Type="http://schemas.openxmlformats.org/officeDocument/2006/relationships/hyperlink" Target="https://employee.uc.ac.id/index.php/file/get/sis/t_cp/multi/1e7be259-882b-11ee-ae4d-000d3ac6bafe.png" TargetMode="External"/><Relationship Id="rId424" Type="http://schemas.openxmlformats.org/officeDocument/2006/relationships/hyperlink" Target="https://icoen.org/" TargetMode="External"/><Relationship Id="rId631" Type="http://schemas.openxmlformats.org/officeDocument/2006/relationships/hyperlink" Target="https://employee.uc.ac.id/index.php/file/get/sis/t_cp/multi/44388237-9417-11ee-bd04-000d3ac6bafe_assignmentletter.png" TargetMode="External"/><Relationship Id="rId729" Type="http://schemas.openxmlformats.org/officeDocument/2006/relationships/hyperlink" Target="https://employee.uc.ac.id/index.php/file/get/sis/t_cp/b76c3473-f7e7-11ed-bf96-000d3ac6bafe_assignmentletter.png" TargetMode="External"/><Relationship Id="rId1054" Type="http://schemas.openxmlformats.org/officeDocument/2006/relationships/hyperlink" Target="https://icoen.org/" TargetMode="External"/><Relationship Id="rId936" Type="http://schemas.openxmlformats.org/officeDocument/2006/relationships/hyperlink" Target="https://employee.uc.ac.id/index.php/file/get/sis/t_cp/multi/1e7be259-882b-11ee-ae4d-000d3ac6bafe.png" TargetMode="External"/><Relationship Id="rId1121" Type="http://schemas.openxmlformats.org/officeDocument/2006/relationships/hyperlink" Target="https://employee.uc.ac.id/index.php/file/get/sis/t_cp/multi/22a9f18e-0412-11ee-ba25-000d3ac6bafe.png" TargetMode="External"/><Relationship Id="rId65" Type="http://schemas.openxmlformats.org/officeDocument/2006/relationships/hyperlink" Target="https://employee.uc.ac.id/index.php/file/get/sis/t_cp/multi/44388237-9417-11ee-bd04-000d3ac6bafe_assignmentletter.png" TargetMode="External"/><Relationship Id="rId281" Type="http://schemas.openxmlformats.org/officeDocument/2006/relationships/hyperlink" Target="https://employee.uc.ac.id/index.php/file/get/sis/t_cp/multi/44388237-9417-11ee-bd04-000d3ac6bafe_assignmentletter.png" TargetMode="External"/><Relationship Id="rId141" Type="http://schemas.openxmlformats.org/officeDocument/2006/relationships/hyperlink" Target="https://employee.uc.ac.id/index.php/file/get/sis/t_cp/multi/44388237-9417-11ee-bd04-000d3ac6bafe.png" TargetMode="External"/><Relationship Id="rId379" Type="http://schemas.openxmlformats.org/officeDocument/2006/relationships/hyperlink" Target="https://icoen.org/" TargetMode="External"/><Relationship Id="rId586" Type="http://schemas.openxmlformats.org/officeDocument/2006/relationships/hyperlink" Target="https://employee.uc.ac.id/index.php/file/get/sis/t_cp/multi/44388237-9417-11ee-bd04-000d3ac6bafe.png" TargetMode="External"/><Relationship Id="rId793" Type="http://schemas.openxmlformats.org/officeDocument/2006/relationships/hyperlink" Target="https://employee.uc.ac.id/index.php/file/get/sis/t_cp/multi/c77a0b11-9336-11ee-859c-000d3ac6bafe_assignmentletter.png" TargetMode="External"/><Relationship Id="rId7" Type="http://schemas.openxmlformats.org/officeDocument/2006/relationships/hyperlink" Target="https://employee.uc.ac.id/index.php/file/get/sis/t_cp/e5d917f3-b39c-11ed-ae8d-000d3ac6bafe.jpg" TargetMode="External"/><Relationship Id="rId239" Type="http://schemas.openxmlformats.org/officeDocument/2006/relationships/hyperlink" Target="https://employee.uc.ac.id/index.php/file/get/sis/t_cp/multi/44388237-9417-11ee-bd04-000d3ac6bafe_assignmentletter.png" TargetMode="External"/><Relationship Id="rId446" Type="http://schemas.openxmlformats.org/officeDocument/2006/relationships/hyperlink" Target="https://icoen.org/" TargetMode="External"/><Relationship Id="rId653" Type="http://schemas.openxmlformats.org/officeDocument/2006/relationships/hyperlink" Target="https://icoen.org/" TargetMode="External"/><Relationship Id="rId1076" Type="http://schemas.openxmlformats.org/officeDocument/2006/relationships/hyperlink" Target="https://employee.uc.ac.id/index.php/file/get/sis/t_cp/multi/c77a0b11-9336-11ee-859c-000d3ac6bafe_assignmentletter.png" TargetMode="External"/><Relationship Id="rId306" Type="http://schemas.openxmlformats.org/officeDocument/2006/relationships/hyperlink" Target="https://employee.uc.ac.id/index.php/file/get/sis/t_cp/multi/44388237-9417-11ee-bd04-000d3ac6bafe.png" TargetMode="External"/><Relationship Id="rId860" Type="http://schemas.openxmlformats.org/officeDocument/2006/relationships/hyperlink" Target="https://icoen.org/" TargetMode="External"/><Relationship Id="rId958" Type="http://schemas.openxmlformats.org/officeDocument/2006/relationships/hyperlink" Target="https://employee.uc.ac.id/index.php/file/get/sis/t_cp/967e7cfa-0119-11ee-b6e3-000d3ac6bafe.jpg" TargetMode="External"/><Relationship Id="rId1143" Type="http://schemas.openxmlformats.org/officeDocument/2006/relationships/hyperlink" Target="https://employee.uc.ac.id/index.php/file/get/sis/t_cp/multi/c77a0b11-9336-11ee-859c-000d3ac6bafe_assignmentletter.png" TargetMode="External"/><Relationship Id="rId87" Type="http://schemas.openxmlformats.org/officeDocument/2006/relationships/hyperlink" Target="https://employee.uc.ac.id/index.php/file/get/sis/t_cp/multi/44388237-9417-11ee-bd04-000d3ac6bafe_assignmentletter.png" TargetMode="External"/><Relationship Id="rId513" Type="http://schemas.openxmlformats.org/officeDocument/2006/relationships/hyperlink" Target="https://icoen.org/" TargetMode="External"/><Relationship Id="rId720" Type="http://schemas.openxmlformats.org/officeDocument/2006/relationships/hyperlink" Target="https://employee.uc.ac.id/index.php/file/get/sis/t_cp/multi/1e7be259-882b-11ee-ae4d-000d3ac6bafe.png" TargetMode="External"/><Relationship Id="rId818" Type="http://schemas.openxmlformats.org/officeDocument/2006/relationships/hyperlink" Target="https://employee.uc.ac.id/index.php/file/get/sis/t_cp/d6b337ad-91ec-11ee-ab5b-000d3ac6bafe_assignmentletter.jpg" TargetMode="External"/><Relationship Id="rId1003" Type="http://schemas.openxmlformats.org/officeDocument/2006/relationships/hyperlink" Target="https://employee.uc.ac.id/index.php/file/get/sis/t_cp/multi/c77a0b11-9336-11ee-859c-000d3ac6bafe.png" TargetMode="External"/><Relationship Id="rId14" Type="http://schemas.openxmlformats.org/officeDocument/2006/relationships/hyperlink" Target="https://scholar.google.co.id/citations?user=ka0E86" TargetMode="External"/><Relationship Id="rId163" Type="http://schemas.openxmlformats.org/officeDocument/2006/relationships/hyperlink" Target="https://employee.uc.ac.id/index.php/file/get/sis/t_cp/multi/44388237-9417-11ee-bd04-000d3ac6bafe_assignmentletter.png" TargetMode="External"/><Relationship Id="rId370" Type="http://schemas.openxmlformats.org/officeDocument/2006/relationships/hyperlink" Target="https://icoen.org/" TargetMode="External"/><Relationship Id="rId230" Type="http://schemas.openxmlformats.org/officeDocument/2006/relationships/hyperlink" Target="https://employee.uc.ac.id/index.php/file/get/sis/t_cp/multi/44388237-9417-11ee-bd04-000d3ac6bafe_assignmentletter.png" TargetMode="External"/><Relationship Id="rId468" Type="http://schemas.openxmlformats.org/officeDocument/2006/relationships/hyperlink" Target="https://icoen.org/" TargetMode="External"/><Relationship Id="rId675" Type="http://schemas.openxmlformats.org/officeDocument/2006/relationships/hyperlink" Target="https://employee.uc.ac.id/index.php/file/get/sis/t_cp/multi/44388237-9417-11ee-bd04-000d3ac6bafe.png" TargetMode="External"/><Relationship Id="rId882" Type="http://schemas.openxmlformats.org/officeDocument/2006/relationships/hyperlink" Target="https://employee.uc.ac.id/index.php/file/get/sis/t_cp/multi/c77a0b11-9336-11ee-859c-000d3ac6bafe.png" TargetMode="External"/><Relationship Id="rId1098" Type="http://schemas.openxmlformats.org/officeDocument/2006/relationships/hyperlink" Target="https://icoen.org/" TargetMode="External"/><Relationship Id="rId328" Type="http://schemas.openxmlformats.org/officeDocument/2006/relationships/hyperlink" Target="https://employee.uc.ac.id/index.php/file/get/sis/t_cp/multi/44388237-9417-11ee-bd04-000d3ac6bafe_assignmentletter.png" TargetMode="External"/><Relationship Id="rId535" Type="http://schemas.openxmlformats.org/officeDocument/2006/relationships/hyperlink" Target="https://employee.uc.ac.id/index.php/file/get/sis/t_cp/multi/44388237-9417-11ee-bd04-000d3ac6bafe.png" TargetMode="External"/><Relationship Id="rId742" Type="http://schemas.openxmlformats.org/officeDocument/2006/relationships/hyperlink" Target="https://employee.uc.ac.id/index.php/file/get/sis/t_cp/7bdce055-97d5-11ed-af4b-000d3ac6bafe.jpg" TargetMode="External"/><Relationship Id="rId1165" Type="http://schemas.openxmlformats.org/officeDocument/2006/relationships/hyperlink" Target="https://employee.uc.ac.id/index.php/file/get/sis/t_cp/multi/c77a0b11-9336-11ee-859c-000d3ac6bafe.png" TargetMode="External"/><Relationship Id="rId602" Type="http://schemas.openxmlformats.org/officeDocument/2006/relationships/hyperlink" Target="https://icoen.org/" TargetMode="External"/><Relationship Id="rId1025" Type="http://schemas.openxmlformats.org/officeDocument/2006/relationships/hyperlink" Target="https://employee.uc.ac.id/index.php/file/get/sis/t_cp/1248c4a1-7201-11ee-b231-000d3ac6bafe.jpg" TargetMode="External"/><Relationship Id="rId907" Type="http://schemas.openxmlformats.org/officeDocument/2006/relationships/hyperlink" Target="https://icoen.org/" TargetMode="External"/><Relationship Id="rId36" Type="http://schemas.openxmlformats.org/officeDocument/2006/relationships/hyperlink" Target="https://icoen.org/" TargetMode="External"/><Relationship Id="rId185" Type="http://schemas.openxmlformats.org/officeDocument/2006/relationships/hyperlink" Target="https://employee.uc.ac.id/index.php/file/get/sis/t_cp/multi/44388237-9417-11ee-bd04-000d3ac6bafe_assignmentletter.png" TargetMode="External"/><Relationship Id="rId392" Type="http://schemas.openxmlformats.org/officeDocument/2006/relationships/hyperlink" Target="https://employee.uc.ac.id/index.php/file/get/sis/t_cp/multi/44388237-9417-11ee-bd04-000d3ac6bafe.png" TargetMode="External"/><Relationship Id="rId697" Type="http://schemas.openxmlformats.org/officeDocument/2006/relationships/hyperlink" Target="https://employee.uc.ac.id/index.php/file/get/sis/t_cp/multi/44388237-9417-11ee-bd04-000d3ac6bafe_assignmentletter.png" TargetMode="External"/><Relationship Id="rId252" Type="http://schemas.openxmlformats.org/officeDocument/2006/relationships/hyperlink" Target="https://icoen.org/" TargetMode="External"/><Relationship Id="rId112" Type="http://schemas.openxmlformats.org/officeDocument/2006/relationships/hyperlink" Target="https://www.instagram.com/p/CwPUGNyvIf8/?igshid=MW" TargetMode="External"/><Relationship Id="rId557" Type="http://schemas.openxmlformats.org/officeDocument/2006/relationships/hyperlink" Target="https://employee.uc.ac.id/index.php/file/get/sis/t_cp/multi/44388237-9417-11ee-bd04-000d3ac6bafe_assignmentletter.png" TargetMode="External"/><Relationship Id="rId764" Type="http://schemas.openxmlformats.org/officeDocument/2006/relationships/hyperlink" Target="https://employee.uc.ac.id/index.php/file/get/sis/t_cp/b23ec435-4fdf-11ee-8859-000d3ac6bafe.jpg" TargetMode="External"/><Relationship Id="rId971" Type="http://schemas.openxmlformats.org/officeDocument/2006/relationships/hyperlink" Target="https://employee.uc.ac.id/index.php/file/get/sis/t_cp/multi/c77a0b11-9336-11ee-859c-000d3ac6bafe_assignmentletter.png" TargetMode="External"/><Relationship Id="rId417" Type="http://schemas.openxmlformats.org/officeDocument/2006/relationships/hyperlink" Target="https://employee.uc.ac.id/index.php/file/get/sis/t_cp/multi/44388237-9417-11ee-bd04-000d3ac6bafe_assignmentletter.png" TargetMode="External"/><Relationship Id="rId624" Type="http://schemas.openxmlformats.org/officeDocument/2006/relationships/hyperlink" Target="https://employee.uc.ac.id/index.php/file/get/sis/t_cp/multi/44388237-9417-11ee-bd04-000d3ac6bafe.png" TargetMode="External"/><Relationship Id="rId831" Type="http://schemas.openxmlformats.org/officeDocument/2006/relationships/hyperlink" Target="https://icoen.org/" TargetMode="External"/><Relationship Id="rId1047" Type="http://schemas.openxmlformats.org/officeDocument/2006/relationships/hyperlink" Target="https://employee.uc.ac.id/index.php/file/get/sis/t_cp/1284ec59-6678-11ee-817b-000d3ac6bafe_assignmentletter.JPG" TargetMode="External"/><Relationship Id="rId929" Type="http://schemas.openxmlformats.org/officeDocument/2006/relationships/hyperlink" Target="https://icoen.org/" TargetMode="External"/><Relationship Id="rId1114" Type="http://schemas.openxmlformats.org/officeDocument/2006/relationships/hyperlink" Target="https://icoen.org/" TargetMode="External"/><Relationship Id="rId58" Type="http://schemas.openxmlformats.org/officeDocument/2006/relationships/hyperlink" Target="https://employee.uc.ac.id/index.php/file/get/sis/t_cp/2391b445-8dc2-11ed-811b-000d3ac6bafe_assignmentletter.jpg" TargetMode="External"/><Relationship Id="rId123" Type="http://schemas.openxmlformats.org/officeDocument/2006/relationships/hyperlink" Target="https://icoen.org/" TargetMode="External"/><Relationship Id="rId330" Type="http://schemas.openxmlformats.org/officeDocument/2006/relationships/hyperlink" Target="https://employee.uc.ac.id/index.php/file/get/sis/t_cp/multi/44388237-9417-11ee-bd04-000d3ac6bafe.png" TargetMode="External"/><Relationship Id="rId568" Type="http://schemas.openxmlformats.org/officeDocument/2006/relationships/hyperlink" Target="https://employee.uc.ac.id/index.php/file/get/sis/t_cp/multi/44388237-9417-11ee-bd04-000d3ac6bafe.png" TargetMode="External"/><Relationship Id="rId775" Type="http://schemas.openxmlformats.org/officeDocument/2006/relationships/hyperlink" Target="https://dprd.surabaya.go.id/" TargetMode="External"/><Relationship Id="rId982" Type="http://schemas.openxmlformats.org/officeDocument/2006/relationships/hyperlink" Target="https://sekolahmusikindonesia.id/" TargetMode="External"/><Relationship Id="rId428" Type="http://schemas.openxmlformats.org/officeDocument/2006/relationships/hyperlink" Target="https://employee.uc.ac.id/index.php/file/get/sis/t_cp/multi/44388237-9417-11ee-bd04-000d3ac6bafe.png" TargetMode="External"/><Relationship Id="rId635" Type="http://schemas.openxmlformats.org/officeDocument/2006/relationships/hyperlink" Target="https://icoen.org/" TargetMode="External"/><Relationship Id="rId842" Type="http://schemas.openxmlformats.org/officeDocument/2006/relationships/hyperlink" Target="https://employee.uc.ac.id/index.php/file/get/sis/t_cp/multi/c77a0b11-9336-11ee-859c-000d3ac6bafe_assignmentletter.png" TargetMode="External"/><Relationship Id="rId1058" Type="http://schemas.openxmlformats.org/officeDocument/2006/relationships/hyperlink" Target="https://employee.uc.ac.id/index.php/file/get/sis/t_cp/b0e701a8-6677-11ee-817b-000d3ac6bafe_assignmentletter.jpg" TargetMode="External"/><Relationship Id="rId274" Type="http://schemas.openxmlformats.org/officeDocument/2006/relationships/hyperlink" Target="https://employee.uc.ac.id/index.php/file/get/sis/t_cp/multi/44388237-9417-11ee-bd04-000d3ac6bafe.png" TargetMode="External"/><Relationship Id="rId481" Type="http://schemas.openxmlformats.org/officeDocument/2006/relationships/hyperlink" Target="https://employee.uc.ac.id/index.php/file/get/sis/t_cp/multi/44388237-9417-11ee-bd04-000d3ac6bafe.png" TargetMode="External"/><Relationship Id="rId702" Type="http://schemas.openxmlformats.org/officeDocument/2006/relationships/hyperlink" Target="https://employee.uc.ac.id/index.php/file/get/sis/t_cp/multi/44388237-9417-11ee-bd04-000d3ac6bafe.png" TargetMode="External"/><Relationship Id="rId1125" Type="http://schemas.openxmlformats.org/officeDocument/2006/relationships/hyperlink" Target="https://icoen.org/" TargetMode="External"/><Relationship Id="rId69" Type="http://schemas.openxmlformats.org/officeDocument/2006/relationships/hyperlink" Target="https://icoen.org/" TargetMode="External"/><Relationship Id="rId134" Type="http://schemas.openxmlformats.org/officeDocument/2006/relationships/hyperlink" Target="https://icoen.org/" TargetMode="External"/><Relationship Id="rId579" Type="http://schemas.openxmlformats.org/officeDocument/2006/relationships/hyperlink" Target="https://icoen.org/" TargetMode="External"/><Relationship Id="rId786" Type="http://schemas.openxmlformats.org/officeDocument/2006/relationships/hyperlink" Target="https://employee.uc.ac.id/index.php/file/get/sis/t_cp/multi/c77a0b11-9336-11ee-859c-000d3ac6bafe.png" TargetMode="External"/><Relationship Id="rId993" Type="http://schemas.openxmlformats.org/officeDocument/2006/relationships/hyperlink" Target="https://employee.uc.ac.id/index.php/file/get/sis/t_cp/multi/c15ab80d-7c81-11ee-aca7-000d3ac6bafe.png" TargetMode="External"/><Relationship Id="rId341" Type="http://schemas.openxmlformats.org/officeDocument/2006/relationships/hyperlink" Target="https://employee.uc.ac.id/index.php/file/get/sis/t_cp/multi/44388237-9417-11ee-bd04-000d3ac6bafe.png" TargetMode="External"/><Relationship Id="rId439" Type="http://schemas.openxmlformats.org/officeDocument/2006/relationships/hyperlink" Target="https://icoen.org/" TargetMode="External"/><Relationship Id="rId646" Type="http://schemas.openxmlformats.org/officeDocument/2006/relationships/hyperlink" Target="https://employee.uc.ac.id/index.php/file/get/sis/t_cp/multi/44388237-9417-11ee-bd04-000d3ac6bafe_assignmentletter.png" TargetMode="External"/><Relationship Id="rId1069" Type="http://schemas.openxmlformats.org/officeDocument/2006/relationships/hyperlink" Target="https://employee.uc.ac.id/index.php/file/get/sis/t_cp/multi/c77a0b11-9336-11ee-859c-000d3ac6bafe_assignmentletter.png" TargetMode="External"/><Relationship Id="rId201" Type="http://schemas.openxmlformats.org/officeDocument/2006/relationships/hyperlink" Target="https://icoen.org/" TargetMode="External"/><Relationship Id="rId285" Type="http://schemas.openxmlformats.org/officeDocument/2006/relationships/hyperlink" Target="https://employee.uc.ac.id/index.php/file/get/sis/t_cp/multi/c15ab80d-7c81-11ee-aca7-000d3ac6bafe.png" TargetMode="External"/><Relationship Id="rId506" Type="http://schemas.openxmlformats.org/officeDocument/2006/relationships/hyperlink" Target="https://employee.uc.ac.id/index.php/file/get/sis/t_cp/multi/44388237-9417-11ee-bd04-000d3ac6bafe_assignmentletter.png" TargetMode="External"/><Relationship Id="rId853" Type="http://schemas.openxmlformats.org/officeDocument/2006/relationships/hyperlink" Target="https://employee.uc.ac.id/index.php/file/get/sis/t_cp/a522fdc4-8c94-11ed-8644-000d3ac6bafe_report.pdf" TargetMode="External"/><Relationship Id="rId1136" Type="http://schemas.openxmlformats.org/officeDocument/2006/relationships/hyperlink" Target="https://employee.uc.ac.id/index.php/file/get/sis/t_cp/multi/c77a0b11-9336-11ee-859c-000d3ac6bafe.png" TargetMode="External"/><Relationship Id="rId492" Type="http://schemas.openxmlformats.org/officeDocument/2006/relationships/hyperlink" Target="https://icoen.org/" TargetMode="External"/><Relationship Id="rId713" Type="http://schemas.openxmlformats.org/officeDocument/2006/relationships/hyperlink" Target="https://icoen.org/" TargetMode="External"/><Relationship Id="rId797" Type="http://schemas.openxmlformats.org/officeDocument/2006/relationships/hyperlink" Target="https://icoen.org/" TargetMode="External"/><Relationship Id="rId920" Type="http://schemas.openxmlformats.org/officeDocument/2006/relationships/hyperlink" Target="https://employee.uc.ac.id/index.php/file/get/sis/t_cp/multi/c77a0b11-9336-11ee-859c-000d3ac6bafe.png" TargetMode="External"/><Relationship Id="rId145" Type="http://schemas.openxmlformats.org/officeDocument/2006/relationships/hyperlink" Target="https://employee.uc.ac.id/index.php/file/get/sis/t_cp/multi/44388237-9417-11ee-bd04-000d3ac6bafe.png" TargetMode="External"/><Relationship Id="rId352" Type="http://schemas.openxmlformats.org/officeDocument/2006/relationships/hyperlink" Target="https://icoen.org/" TargetMode="External"/><Relationship Id="rId212" Type="http://schemas.openxmlformats.org/officeDocument/2006/relationships/hyperlink" Target="https://employee.uc.ac.id/index.php/file/get/sis/t_cp/multi/44388237-9417-11ee-bd04-000d3ac6bafe_assignmentletter.png" TargetMode="External"/><Relationship Id="rId657" Type="http://schemas.openxmlformats.org/officeDocument/2006/relationships/hyperlink" Target="https://employee.uc.ac.id/index.php/file/get/sis/t_cp/multi/44388237-9417-11ee-bd04-000d3ac6bafe.png" TargetMode="External"/><Relationship Id="rId864" Type="http://schemas.openxmlformats.org/officeDocument/2006/relationships/hyperlink" Target="https://employee.uc.ac.id/index.php/file/get/sis/t_cp/multi/e9f29743-d848-11ed-a359-000d3ac6bafe_assignmentletter.png" TargetMode="External"/><Relationship Id="rId296" Type="http://schemas.openxmlformats.org/officeDocument/2006/relationships/hyperlink" Target="https://icoen.org/" TargetMode="External"/><Relationship Id="rId517" Type="http://schemas.openxmlformats.org/officeDocument/2006/relationships/hyperlink" Target="https://employee.uc.ac.id/index.php/file/get/sis/t_cp/multi/44388237-9417-11ee-bd04-000d3ac6bafe.png" TargetMode="External"/><Relationship Id="rId724" Type="http://schemas.openxmlformats.org/officeDocument/2006/relationships/hyperlink" Target="https://employee.uc.ac.id/index.php/file/get/sis/t_cp/d012c403-90b2-11ed-a139-000d3ac6bafe_report.jpg" TargetMode="External"/><Relationship Id="rId931" Type="http://schemas.openxmlformats.org/officeDocument/2006/relationships/hyperlink" Target="https://employee.uc.ac.id/index.php/file/get/sis/t_cp/multi/c77a0b11-9336-11ee-859c-000d3ac6bafe_assignmentletter.png" TargetMode="External"/><Relationship Id="rId1147" Type="http://schemas.openxmlformats.org/officeDocument/2006/relationships/hyperlink" Target="https://employee.uc.ac.id/index.php/file/get/sis/t_cp/multi/c77a0b11-9336-11ee-859c-000d3ac6bafe_assignmentletter.png" TargetMode="External"/><Relationship Id="rId60" Type="http://schemas.openxmlformats.org/officeDocument/2006/relationships/hyperlink" Target="https://icoen.org/" TargetMode="External"/><Relationship Id="rId156" Type="http://schemas.openxmlformats.org/officeDocument/2006/relationships/hyperlink" Target="https://employee.uc.ac.id/index.php/file/get/sis/t_cp/multi/44388237-9417-11ee-bd04-000d3ac6bafe.png" TargetMode="External"/><Relationship Id="rId363" Type="http://schemas.openxmlformats.org/officeDocument/2006/relationships/hyperlink" Target="https://employee.uc.ac.id/index.php/file/get/sis/t_cp/multi/44388237-9417-11ee-bd04-000d3ac6bafe_assignmentletter.png" TargetMode="External"/><Relationship Id="rId570" Type="http://schemas.openxmlformats.org/officeDocument/2006/relationships/hyperlink" Target="https://icoen.org/" TargetMode="External"/><Relationship Id="rId1007" Type="http://schemas.openxmlformats.org/officeDocument/2006/relationships/hyperlink" Target="https://employee.uc.ac.id/index.php/file/get/sis/t_cp/multi/c77a0b11-9336-11ee-859c-000d3ac6bafe_assignmentletter.png" TargetMode="External"/><Relationship Id="rId223" Type="http://schemas.openxmlformats.org/officeDocument/2006/relationships/hyperlink" Target="https://employee.uc.ac.id/index.php/file/get/sis/t_cp/multi/44388237-9417-11ee-bd04-000d3ac6bafe.png" TargetMode="External"/><Relationship Id="rId430" Type="http://schemas.openxmlformats.org/officeDocument/2006/relationships/hyperlink" Target="https://icoen.org/" TargetMode="External"/><Relationship Id="rId668" Type="http://schemas.openxmlformats.org/officeDocument/2006/relationships/hyperlink" Target="https://icoen.org/" TargetMode="External"/><Relationship Id="rId875" Type="http://schemas.openxmlformats.org/officeDocument/2006/relationships/hyperlink" Target="https://employee.uc.ac.id/index.php/file/get/sis/t_cp/multi/e9f29743-d848-11ed-a359-000d3ac6bafe.png" TargetMode="External"/><Relationship Id="rId1060" Type="http://schemas.openxmlformats.org/officeDocument/2006/relationships/hyperlink" Target="https://employee.uc.ac.id/index.php/file/get/sis/t_cp/multi/c77a0b11-9336-11ee-859c-000d3ac6bafe.png" TargetMode="External"/><Relationship Id="rId18" Type="http://schemas.openxmlformats.org/officeDocument/2006/relationships/hyperlink" Target="https://icoen.org/" TargetMode="External"/><Relationship Id="rId528" Type="http://schemas.openxmlformats.org/officeDocument/2006/relationships/hyperlink" Target="https://icoen.org/" TargetMode="External"/><Relationship Id="rId735" Type="http://schemas.openxmlformats.org/officeDocument/2006/relationships/hyperlink" Target="https://employee.uc.ac.id/index.php/file/get/sis/t_cp/2a2e96d9-97b5-11ed-af4b-000d3ac6bafe_assignmentletter.jpeg" TargetMode="External"/><Relationship Id="rId942" Type="http://schemas.openxmlformats.org/officeDocument/2006/relationships/hyperlink" Target="https://employee.uc.ac.id/index.php/file/get/sis/t_cp/multi/c77a0b11-9336-11ee-859c-000d3ac6bafe_assignmentletter.png" TargetMode="External"/><Relationship Id="rId1158" Type="http://schemas.openxmlformats.org/officeDocument/2006/relationships/hyperlink" Target="https://employee.uc.ac.id/index.php/file/get/sis/t_cp/multi/c77a0b11-9336-11ee-859c-000d3ac6bafe_assignmentletter.png" TargetMode="External"/><Relationship Id="rId167" Type="http://schemas.openxmlformats.org/officeDocument/2006/relationships/hyperlink" Target="https://employee.uc.ac.id/index.php/file/get/sis/t_cp/af441088-9998-11ee-ad3c-000d3ac6bafe_report.jpeg" TargetMode="External"/><Relationship Id="rId374" Type="http://schemas.openxmlformats.org/officeDocument/2006/relationships/hyperlink" Target="https://employee.uc.ac.id/index.php/file/get/sis/t_cp/multi/44388237-9417-11ee-bd04-000d3ac6bafe.png" TargetMode="External"/><Relationship Id="rId581" Type="http://schemas.openxmlformats.org/officeDocument/2006/relationships/hyperlink" Target="https://employee.uc.ac.id/index.php/file/get/sis/t_cp/multi/44388237-9417-11ee-bd04-000d3ac6bafe_assignmentletter.png" TargetMode="External"/><Relationship Id="rId1018" Type="http://schemas.openxmlformats.org/officeDocument/2006/relationships/hyperlink" Target="https://employee.uc.ac.id/index.php/file/get/sis/t_cp/multi/252a0c59-2084-11ee-ac37-000d3ac6bafe.png" TargetMode="External"/><Relationship Id="rId71" Type="http://schemas.openxmlformats.org/officeDocument/2006/relationships/hyperlink" Target="https://employee.uc.ac.id/index.php/file/get/sis/t_cp/multi/c77a0b11-9336-11ee-859c-000d3ac6bafe_assignmentletter.png" TargetMode="External"/><Relationship Id="rId234" Type="http://schemas.openxmlformats.org/officeDocument/2006/relationships/hyperlink" Target="https://icoen.org/" TargetMode="External"/><Relationship Id="rId679" Type="http://schemas.openxmlformats.org/officeDocument/2006/relationships/hyperlink" Target="https://employee.uc.ac.id/index.php/file/get/sis/t_cp/multi/44388237-9417-11ee-bd04-000d3ac6bafe_assignmentletter.png" TargetMode="External"/><Relationship Id="rId802" Type="http://schemas.openxmlformats.org/officeDocument/2006/relationships/hyperlink" Target="https://icoen.org/" TargetMode="External"/><Relationship Id="rId886" Type="http://schemas.openxmlformats.org/officeDocument/2006/relationships/hyperlink" Target="https://employee.uc.ac.id/index.php/file/get/sis/t_cp/multi/c77a0b11-9336-11ee-859c-000d3ac6bafe_assignmentletter.png" TargetMode="External"/><Relationship Id="rId2" Type="http://schemas.openxmlformats.org/officeDocument/2006/relationships/hyperlink" Target="https://employee.uc.ac.id/index.php/file/get/sis/t_cp/e3d619b7-9728-11ed-b71c-000d3ac6bafe.pdf" TargetMode="External"/><Relationship Id="rId29" Type="http://schemas.openxmlformats.org/officeDocument/2006/relationships/hyperlink" Target="https://employee.uc.ac.id/index.php/file/get/sis/t_cp/multi/c77a0b11-9336-11ee-859c-000d3ac6bafe.png" TargetMode="External"/><Relationship Id="rId441" Type="http://schemas.openxmlformats.org/officeDocument/2006/relationships/hyperlink" Target="https://employee.uc.ac.id/index.php/file/get/sis/t_cp/multi/44388237-9417-11ee-bd04-000d3ac6bafe_assignmentletter.png" TargetMode="External"/><Relationship Id="rId539" Type="http://schemas.openxmlformats.org/officeDocument/2006/relationships/hyperlink" Target="https://employee.uc.ac.id/index.php/file/get/sis/t_cp/multi/44388237-9417-11ee-bd04-000d3ac6bafe_assignmentletter.png" TargetMode="External"/><Relationship Id="rId746" Type="http://schemas.openxmlformats.org/officeDocument/2006/relationships/hyperlink" Target="https://employee.uc.ac.id/index.php/file/get/sis/t_cp/657224b7-188d-11ee-96cf-000d3ac6bafe.jpg" TargetMode="External"/><Relationship Id="rId1071" Type="http://schemas.openxmlformats.org/officeDocument/2006/relationships/hyperlink" Target="https://employee.uc.ac.id/index.php/file/get/sis/t_cp/multi/c77a0b11-9336-11ee-859c-000d3ac6bafe.png" TargetMode="External"/><Relationship Id="rId178" Type="http://schemas.openxmlformats.org/officeDocument/2006/relationships/hyperlink" Target="https://employee.uc.ac.id/index.php/file/get/sis/t_cp/multi/44388237-9417-11ee-bd04-000d3ac6bafe.png" TargetMode="External"/><Relationship Id="rId301" Type="http://schemas.openxmlformats.org/officeDocument/2006/relationships/hyperlink" Target="https://employee.uc.ac.id/index.php/file/get/sis/t_cp/multi/44388237-9417-11ee-bd04-000d3ac6bafe_assignmentletter.png" TargetMode="External"/><Relationship Id="rId953" Type="http://schemas.openxmlformats.org/officeDocument/2006/relationships/hyperlink" Target="https://employee.uc.ac.id/index.php/file/get/sis/t_cp/multi/c77a0b11-9336-11ee-859c-000d3ac6bafe.png" TargetMode="External"/><Relationship Id="rId1029" Type="http://schemas.openxmlformats.org/officeDocument/2006/relationships/hyperlink" Target="https://instagram.com/lkmmcrista11?igshid=YmMyMTA2" TargetMode="External"/><Relationship Id="rId82" Type="http://schemas.openxmlformats.org/officeDocument/2006/relationships/hyperlink" Target="https://icoen.org/" TargetMode="External"/><Relationship Id="rId385" Type="http://schemas.openxmlformats.org/officeDocument/2006/relationships/hyperlink" Target="https://icoen.org/" TargetMode="External"/><Relationship Id="rId592" Type="http://schemas.openxmlformats.org/officeDocument/2006/relationships/hyperlink" Target="https://employee.uc.ac.id/index.php/file/get/sis/t_cp/multi/44388237-9417-11ee-bd04-000d3ac6bafe.png" TargetMode="External"/><Relationship Id="rId606" Type="http://schemas.openxmlformats.org/officeDocument/2006/relationships/hyperlink" Target="https://employee.uc.ac.id/index.php/file/get/sis/t_cp/multi/44388237-9417-11ee-bd04-000d3ac6bafe.png" TargetMode="External"/><Relationship Id="rId813" Type="http://schemas.openxmlformats.org/officeDocument/2006/relationships/hyperlink" Target="https://employee.uc.ac.id/index.php/file/get/sis/t_cp/multi/c77a0b11-9336-11ee-859c-000d3ac6bafe_assignmentletter.png" TargetMode="External"/><Relationship Id="rId245" Type="http://schemas.openxmlformats.org/officeDocument/2006/relationships/hyperlink" Target="https://employee.uc.ac.id/index.php/file/get/sis/t_cp/multi/44388237-9417-11ee-bd04-000d3ac6bafe_assignmentletter.png" TargetMode="External"/><Relationship Id="rId452" Type="http://schemas.openxmlformats.org/officeDocument/2006/relationships/hyperlink" Target="https://employee.uc.ac.id/index.php/file/get/sis/t_cp/1ed06314-9900-11ee-96bc-000d3ac6bafe.jpg" TargetMode="External"/><Relationship Id="rId897" Type="http://schemas.openxmlformats.org/officeDocument/2006/relationships/hyperlink" Target="https://employee.uc.ac.id/index.php/file/get/sis/t_cp/multi/c77a0b11-9336-11ee-859c-000d3ac6bafe_assignmentletter.png" TargetMode="External"/><Relationship Id="rId1082" Type="http://schemas.openxmlformats.org/officeDocument/2006/relationships/hyperlink" Target="https://employee.uc.ac.id/index.php/file/get/sis/t_cp/multi/c77a0b11-9336-11ee-859c-000d3ac6bafe_assignmentletter.png" TargetMode="External"/><Relationship Id="rId105" Type="http://schemas.openxmlformats.org/officeDocument/2006/relationships/hyperlink" Target="https://employee.uc.ac.id/index.php/file/get/sis/t_cp/multi/44388237-9417-11ee-bd04-000d3ac6bafe.png" TargetMode="External"/><Relationship Id="rId312" Type="http://schemas.openxmlformats.org/officeDocument/2006/relationships/hyperlink" Target="https://employee.uc.ac.id/index.php/file/get/sis/t_cp/multi/44388237-9417-11ee-bd04-000d3ac6bafe.png" TargetMode="External"/><Relationship Id="rId757" Type="http://schemas.openxmlformats.org/officeDocument/2006/relationships/hyperlink" Target="https://employee.uc.ac.id/index.php/file/get/sis/t_cp/47a77fda-dcd7-11ed-8a0b-000d3ac6bafe_assignmentletter.pdf" TargetMode="External"/><Relationship Id="rId964" Type="http://schemas.openxmlformats.org/officeDocument/2006/relationships/hyperlink" Target="https://employee.uc.ac.id/index.php/file/get/sis/t_cp/multi/c77a0b11-9336-11ee-859c-000d3ac6bafe.png" TargetMode="External"/><Relationship Id="rId93" Type="http://schemas.openxmlformats.org/officeDocument/2006/relationships/hyperlink" Target="https://employee.uc.ac.id/index.php/file/get/sis/t_cp/multi/44388237-9417-11ee-bd04-000d3ac6bafe_assignmentletter.png" TargetMode="External"/><Relationship Id="rId189" Type="http://schemas.openxmlformats.org/officeDocument/2006/relationships/hyperlink" Target="https://icoen.org/" TargetMode="External"/><Relationship Id="rId396" Type="http://schemas.openxmlformats.org/officeDocument/2006/relationships/hyperlink" Target="https://employee.uc.ac.id/index.php/file/get/sis/t_cp/multi/44388237-9417-11ee-bd04-000d3ac6bafe_assignmentletter.png" TargetMode="External"/><Relationship Id="rId617" Type="http://schemas.openxmlformats.org/officeDocument/2006/relationships/hyperlink" Target="https://icoen.org/" TargetMode="External"/><Relationship Id="rId824" Type="http://schemas.openxmlformats.org/officeDocument/2006/relationships/hyperlink" Target="https://employee.uc.ac.id/index.php/file/get/sis/t_cp/multi/c77a0b11-9336-11ee-859c-000d3ac6bafe_assignmentletter.png" TargetMode="External"/><Relationship Id="rId256" Type="http://schemas.openxmlformats.org/officeDocument/2006/relationships/hyperlink" Target="https://employee.uc.ac.id/index.php/file/get/sis/t_cp/multi/44388237-9417-11ee-bd04-000d3ac6bafe.png" TargetMode="External"/><Relationship Id="rId463" Type="http://schemas.openxmlformats.org/officeDocument/2006/relationships/hyperlink" Target="https://employee.uc.ac.id/index.php/file/get/sis/t_cp/multi/44388237-9417-11ee-bd04-000d3ac6bafe.png" TargetMode="External"/><Relationship Id="rId670" Type="http://schemas.openxmlformats.org/officeDocument/2006/relationships/hyperlink" Target="https://employee.uc.ac.id/index.php/file/get/sis/t_cp/multi/44388237-9417-11ee-bd04-000d3ac6bafe_assignmentletter.png" TargetMode="External"/><Relationship Id="rId1093" Type="http://schemas.openxmlformats.org/officeDocument/2006/relationships/hyperlink" Target="https://employee.uc.ac.id/index.php/file/get/sis/t_cp/multi/c77a0b11-9336-11ee-859c-000d3ac6bafe.png" TargetMode="External"/><Relationship Id="rId1107" Type="http://schemas.openxmlformats.org/officeDocument/2006/relationships/hyperlink" Target="https://employee.uc.ac.id/index.php/file/get/sis/t_cp/multi/c77a0b11-9336-11ee-859c-000d3ac6bafe_assignmentletter.png" TargetMode="External"/><Relationship Id="rId116" Type="http://schemas.openxmlformats.org/officeDocument/2006/relationships/hyperlink" Target="https://employee.uc.ac.id/index.php/file/get/sis/t_cp/multi/44388237-9417-11ee-bd04-000d3ac6bafe_assignmentletter.png" TargetMode="External"/><Relationship Id="rId323" Type="http://schemas.openxmlformats.org/officeDocument/2006/relationships/hyperlink" Target="https://icoen.org/" TargetMode="External"/><Relationship Id="rId530" Type="http://schemas.openxmlformats.org/officeDocument/2006/relationships/hyperlink" Target="https://employee.uc.ac.id/index.php/file/get/sis/t_cp/multi/44388237-9417-11ee-bd04-000d3ac6bafe_assignmentletter.png" TargetMode="External"/><Relationship Id="rId768" Type="http://schemas.openxmlformats.org/officeDocument/2006/relationships/hyperlink" Target="https://employee.uc.ac.id/index.php/file/get/sis/t_cp/8d3ad991-0441-11ee-ba25-000d3ac6bafe.pdf" TargetMode="External"/><Relationship Id="rId975" Type="http://schemas.openxmlformats.org/officeDocument/2006/relationships/hyperlink" Target="https://employee.uc.ac.id/index.php/file/get/sis/t_cp/4907658c-8b6b-11ed-a20e-000d3ac6bafe.jpg" TargetMode="External"/><Relationship Id="rId1160" Type="http://schemas.openxmlformats.org/officeDocument/2006/relationships/hyperlink" Target="https://employee.uc.ac.id/index.php/file/get/sis/t_cp/multi/c77a0b11-9336-11ee-859c-000d3ac6bafe.png" TargetMode="External"/><Relationship Id="rId20" Type="http://schemas.openxmlformats.org/officeDocument/2006/relationships/hyperlink" Target="https://employee.uc.ac.id/index.php/file/get/sis/t_cp/multi/44388237-9417-11ee-bd04-000d3ac6bafe_assignmentletter.png" TargetMode="External"/><Relationship Id="rId628" Type="http://schemas.openxmlformats.org/officeDocument/2006/relationships/hyperlink" Target="https://employee.uc.ac.id/index.php/file/get/sis/t_cp/multi/44388237-9417-11ee-bd04-000d3ac6bafe_assignmentletter.png" TargetMode="External"/><Relationship Id="rId835" Type="http://schemas.openxmlformats.org/officeDocument/2006/relationships/hyperlink" Target="https://employee.uc.ac.id/index.php/file/get/sis/t_cp/multi/c77a0b11-9336-11ee-859c-000d3ac6bafe.png" TargetMode="External"/><Relationship Id="rId267" Type="http://schemas.openxmlformats.org/officeDocument/2006/relationships/hyperlink" Target="https://icoen.org/" TargetMode="External"/><Relationship Id="rId474" Type="http://schemas.openxmlformats.org/officeDocument/2006/relationships/hyperlink" Target="https://icoen.org/" TargetMode="External"/><Relationship Id="rId1020" Type="http://schemas.openxmlformats.org/officeDocument/2006/relationships/hyperlink" Target="https://icoen.org/" TargetMode="External"/><Relationship Id="rId1118" Type="http://schemas.openxmlformats.org/officeDocument/2006/relationships/hyperlink" Target="https://employee.uc.ac.id/index.php/file/get/sis/t_cp/multi/f6c081fe-76ca-11ee-858c-000d3ac6bafe_assignmentletter.png" TargetMode="External"/><Relationship Id="rId127" Type="http://schemas.openxmlformats.org/officeDocument/2006/relationships/hyperlink" Target="https://employee.uc.ac.id/index.php/file/get/sis/t_cp/multi/44388237-9417-11ee-bd04-000d3ac6bafe.png" TargetMode="External"/><Relationship Id="rId681" Type="http://schemas.openxmlformats.org/officeDocument/2006/relationships/hyperlink" Target="https://employee.uc.ac.id/index.php/file/get/sis/t_cp/multi/44388237-9417-11ee-bd04-000d3ac6bafe.png" TargetMode="External"/><Relationship Id="rId779" Type="http://schemas.openxmlformats.org/officeDocument/2006/relationships/hyperlink" Target="https://kemenparekraf.go.id/" TargetMode="External"/><Relationship Id="rId902" Type="http://schemas.openxmlformats.org/officeDocument/2006/relationships/hyperlink" Target="https://employee.uc.ac.id/index.php/file/get/sis/t_cp/multi/c77a0b11-9336-11ee-859c-000d3ac6bafe.png" TargetMode="External"/><Relationship Id="rId986" Type="http://schemas.openxmlformats.org/officeDocument/2006/relationships/hyperlink" Target="https://employee.uc.ac.id/index.php/file/get/sis/t_cp/328a7cd0-42f9-11ee-a2ef-000d3ac6bafe.jpg" TargetMode="External"/><Relationship Id="rId31" Type="http://schemas.openxmlformats.org/officeDocument/2006/relationships/hyperlink" Target="https://employee.uc.ac.id/index.php/file/get/sis/t_cp/multi/e9f29743-d848-11ed-a359-000d3ac6bafe.png" TargetMode="External"/><Relationship Id="rId334" Type="http://schemas.openxmlformats.org/officeDocument/2006/relationships/hyperlink" Target="https://icoen.org/" TargetMode="External"/><Relationship Id="rId541" Type="http://schemas.openxmlformats.org/officeDocument/2006/relationships/hyperlink" Target="https://employee.uc.ac.id/index.php/file/get/sis/t_cp/multi/44388237-9417-11ee-bd04-000d3ac6bafe.png" TargetMode="External"/><Relationship Id="rId639" Type="http://schemas.openxmlformats.org/officeDocument/2006/relationships/hyperlink" Target="https://employee.uc.ac.id/index.php/file/get/sis/t_cp/multi/44388237-9417-11ee-bd04-000d3ac6bafe.png" TargetMode="External"/><Relationship Id="rId180" Type="http://schemas.openxmlformats.org/officeDocument/2006/relationships/hyperlink" Target="https://icoen.org/" TargetMode="External"/><Relationship Id="rId278" Type="http://schemas.openxmlformats.org/officeDocument/2006/relationships/hyperlink" Target="https://employee.uc.ac.id/index.php/file/get/sis/t_cp/multi/44388237-9417-11ee-bd04-000d3ac6bafe_assignmentletter.png" TargetMode="External"/><Relationship Id="rId401" Type="http://schemas.openxmlformats.org/officeDocument/2006/relationships/hyperlink" Target="https://employee.uc.ac.id/index.php/file/get/sis/t_cp/multi/44388237-9417-11ee-bd04-000d3ac6bafe.png" TargetMode="External"/><Relationship Id="rId846" Type="http://schemas.openxmlformats.org/officeDocument/2006/relationships/hyperlink" Target="https://employee.uc.ac.id/index.php/file/get/sis/t_cp/6dc825e6-baf1-11ed-8264-000d3ac6bafe.jpg" TargetMode="External"/><Relationship Id="rId1031" Type="http://schemas.openxmlformats.org/officeDocument/2006/relationships/hyperlink" Target="https://www.instagram.com/p/CrmvDj4r9j0/?igshid=Y2" TargetMode="External"/><Relationship Id="rId1129" Type="http://schemas.openxmlformats.org/officeDocument/2006/relationships/hyperlink" Target="https://employee.uc.ac.id/index.php/file/get/sis/t_cp/7bf2a0c5-684f-11ee-86ec-000d3ac6bafe.pdf" TargetMode="External"/><Relationship Id="rId485" Type="http://schemas.openxmlformats.org/officeDocument/2006/relationships/hyperlink" Target="https://employee.uc.ac.id/index.php/file/get/sis/t_cp/multi/44388237-9417-11ee-bd04-000d3ac6bafe_assignmentletter.png" TargetMode="External"/><Relationship Id="rId692" Type="http://schemas.openxmlformats.org/officeDocument/2006/relationships/hyperlink" Target="https://icoen.org/" TargetMode="External"/><Relationship Id="rId706" Type="http://schemas.openxmlformats.org/officeDocument/2006/relationships/hyperlink" Target="https://employee.uc.ac.id/index.php/file/get/sis/t_cp/multi/44388237-9417-11ee-bd04-000d3ac6bafe_assignmentletter.png" TargetMode="External"/><Relationship Id="rId913" Type="http://schemas.openxmlformats.org/officeDocument/2006/relationships/hyperlink" Target="https://icoen.org/" TargetMode="External"/><Relationship Id="rId42" Type="http://schemas.openxmlformats.org/officeDocument/2006/relationships/hyperlink" Target="https://icoen.org/" TargetMode="External"/><Relationship Id="rId138" Type="http://schemas.openxmlformats.org/officeDocument/2006/relationships/hyperlink" Target="https://employee.uc.ac.id/index.php/file/get/sis/t_cp/multi/44388237-9417-11ee-bd04-000d3ac6bafe.png" TargetMode="External"/><Relationship Id="rId345" Type="http://schemas.openxmlformats.org/officeDocument/2006/relationships/hyperlink" Target="https://employee.uc.ac.id/index.php/file/get/sis/t_cp/multi/44388237-9417-11ee-bd04-000d3ac6bafe_assignmentletter.png" TargetMode="External"/><Relationship Id="rId552" Type="http://schemas.openxmlformats.org/officeDocument/2006/relationships/hyperlink" Target="https://icoen.org/" TargetMode="External"/><Relationship Id="rId997" Type="http://schemas.openxmlformats.org/officeDocument/2006/relationships/hyperlink" Target="https://employee.uc.ac.id/index.php/file/get/sis/t_cp/8e602f94-a07e-11ee-bdb5-000d3ac6bafe_assignmentletter.pdf" TargetMode="External"/><Relationship Id="rId191" Type="http://schemas.openxmlformats.org/officeDocument/2006/relationships/hyperlink" Target="https://employee.uc.ac.id/index.php/file/get/sis/t_cp/multi/44388237-9417-11ee-bd04-000d3ac6bafe_assignmentletter.png" TargetMode="External"/><Relationship Id="rId205" Type="http://schemas.openxmlformats.org/officeDocument/2006/relationships/hyperlink" Target="https://employee.uc.ac.id/index.php/file/get/sis/t_cp/multi/44388237-9417-11ee-bd04-000d3ac6bafe.png" TargetMode="External"/><Relationship Id="rId412" Type="http://schemas.openxmlformats.org/officeDocument/2006/relationships/hyperlink" Target="https://icoen.org/" TargetMode="External"/><Relationship Id="rId857" Type="http://schemas.openxmlformats.org/officeDocument/2006/relationships/hyperlink" Target="https://employee.uc.ac.id/index.php/file/get/sis/t_cp/60db7e5e-b195-11ed-8338-000d3ac6bafe_report.pdf" TargetMode="External"/><Relationship Id="rId1042" Type="http://schemas.openxmlformats.org/officeDocument/2006/relationships/hyperlink" Target="https://employee.uc.ac.id/index.php/file/get/sis/t_cp/47bff96f-9693-11ee-b118-000d3ac6bafe.pdf" TargetMode="External"/><Relationship Id="rId289" Type="http://schemas.openxmlformats.org/officeDocument/2006/relationships/hyperlink" Target="https://employee.uc.ac.id/index.php/file/get/sis/t_cp/multi/44388237-9417-11ee-bd04-000d3ac6bafe_assignmentletter.png" TargetMode="External"/><Relationship Id="rId496" Type="http://schemas.openxmlformats.org/officeDocument/2006/relationships/hyperlink" Target="https://employee.uc.ac.id/index.php/file/get/sis/t_cp/multi/44388237-9417-11ee-bd04-000d3ac6bafe.png" TargetMode="External"/><Relationship Id="rId717" Type="http://schemas.openxmlformats.org/officeDocument/2006/relationships/hyperlink" Target="https://employee.uc.ac.id/index.php/file/get/sis/t_cp/193eca2e-0c2e-11ee-825c-000d3ac6bafe_assignmentletter.jpg" TargetMode="External"/><Relationship Id="rId924" Type="http://schemas.openxmlformats.org/officeDocument/2006/relationships/hyperlink" Target="https://employee.uc.ac.id/index.php/file/get/sis/t_cp/multi/c77a0b11-9336-11ee-859c-000d3ac6bafe_assignmentletter.png" TargetMode="External"/><Relationship Id="rId53" Type="http://schemas.openxmlformats.org/officeDocument/2006/relationships/hyperlink" Target="https://employee.uc.ac.id/index.php/file/get/sis/t_cp/multi/1e7be259-882b-11ee-ae4d-000d3ac6bafe_assignmentletter.png" TargetMode="External"/><Relationship Id="rId149" Type="http://schemas.openxmlformats.org/officeDocument/2006/relationships/hyperlink" Target="https://employee.uc.ac.id/index.php/file/get/sis/t_cp/multi/44388237-9417-11ee-bd04-000d3ac6bafe_assignmentletter.png" TargetMode="External"/><Relationship Id="rId356" Type="http://schemas.openxmlformats.org/officeDocument/2006/relationships/hyperlink" Target="https://employee.uc.ac.id/index.php/file/get/sis/t_cp/multi/44388237-9417-11ee-bd04-000d3ac6bafe.png" TargetMode="External"/><Relationship Id="rId563" Type="http://schemas.openxmlformats.org/officeDocument/2006/relationships/hyperlink" Target="https://employee.uc.ac.id/index.php/file/get/sis/t_cp/multi/44388237-9417-11ee-bd04-000d3ac6bafe_assignmentletter.png" TargetMode="External"/><Relationship Id="rId770" Type="http://schemas.openxmlformats.org/officeDocument/2006/relationships/hyperlink" Target="https://employee.uc.ac.id/index.php/file/get/sis/t_cp/8a6df53c-148b-11ee-bcb1-000d3ac6bafe.pdf" TargetMode="External"/><Relationship Id="rId216" Type="http://schemas.openxmlformats.org/officeDocument/2006/relationships/hyperlink" Target="https://icoen.org/" TargetMode="External"/><Relationship Id="rId423" Type="http://schemas.openxmlformats.org/officeDocument/2006/relationships/hyperlink" Target="https://employee.uc.ac.id/index.php/file/get/sis/t_cp/multi/44388237-9417-11ee-bd04-000d3ac6bafe_assignmentletter.png" TargetMode="External"/><Relationship Id="rId868" Type="http://schemas.openxmlformats.org/officeDocument/2006/relationships/hyperlink" Target="https://employee.uc.ac.id/index.php/file/get/sis/t_cp/multi/1e7be259-882b-11ee-ae4d-000d3ac6bafe_assignmentletter.png" TargetMode="External"/><Relationship Id="rId1053" Type="http://schemas.openxmlformats.org/officeDocument/2006/relationships/hyperlink" Target="https://employee.uc.ac.id/index.php/file/get/sis/t_cp/multi/c77a0b11-9336-11ee-859c-000d3ac6bafe_assignmentletter.png" TargetMode="External"/><Relationship Id="rId630" Type="http://schemas.openxmlformats.org/officeDocument/2006/relationships/hyperlink" Target="https://employee.uc.ac.id/index.php/file/get/sis/t_cp/multi/44388237-9417-11ee-bd04-000d3ac6bafe.png" TargetMode="External"/><Relationship Id="rId728" Type="http://schemas.openxmlformats.org/officeDocument/2006/relationships/hyperlink" Target="https://employee.uc.ac.id/index.php/file/get/sis/t_cp/b76c3473-f7e7-11ed-bf96-000d3ac6bafe.png" TargetMode="External"/><Relationship Id="rId935" Type="http://schemas.openxmlformats.org/officeDocument/2006/relationships/hyperlink" Target="https://employee.uc.ac.id/index.php/file/get/sis/t_cp/299c8121-9e65-11ee-a2ac-000d3ac6bafe_assignmentletter.pdf" TargetMode="External"/><Relationship Id="rId64" Type="http://schemas.openxmlformats.org/officeDocument/2006/relationships/hyperlink" Target="https://employee.uc.ac.id/index.php/file/get/sis/t_cp/multi/44388237-9417-11ee-bd04-000d3ac6bafe.png" TargetMode="External"/><Relationship Id="rId367" Type="http://schemas.openxmlformats.org/officeDocument/2006/relationships/hyperlink" Target="https://icoen.org/" TargetMode="External"/><Relationship Id="rId574" Type="http://schemas.openxmlformats.org/officeDocument/2006/relationships/hyperlink" Target="https://employee.uc.ac.id/index.php/file/get/sis/t_cp/multi/44388237-9417-11ee-bd04-000d3ac6bafe.png" TargetMode="External"/><Relationship Id="rId1120" Type="http://schemas.openxmlformats.org/officeDocument/2006/relationships/hyperlink" Target="https://employee.uc.ac.id/index.php/file/get/sis/t_cp/multi/dea5331c-ed7e-11ed-894a-000d3ac6bafe_assignmentletter.png" TargetMode="External"/><Relationship Id="rId227" Type="http://schemas.openxmlformats.org/officeDocument/2006/relationships/hyperlink" Target="https://employee.uc.ac.id/index.php/file/get/sis/t_cp/multi/44388237-9417-11ee-bd04-000d3ac6bafe_assignmentletter.png" TargetMode="External"/><Relationship Id="rId781" Type="http://schemas.openxmlformats.org/officeDocument/2006/relationships/hyperlink" Target="https://employee.uc.ac.id/index.php/file/get/sis/t_cp/24018527-681a-11ee-876c-000d3ac6bafe_assignmentletter.pdf" TargetMode="External"/><Relationship Id="rId879" Type="http://schemas.openxmlformats.org/officeDocument/2006/relationships/hyperlink" Target="https://employee.uc.ac.id/index.php/file/get/sis/t_cp/multi/c77a0b11-9336-11ee-859c-000d3ac6bafe.png" TargetMode="External"/><Relationship Id="rId434" Type="http://schemas.openxmlformats.org/officeDocument/2006/relationships/hyperlink" Target="https://employee.uc.ac.id/index.php/file/get/sis/t_cp/multi/44388237-9417-11ee-bd04-000d3ac6bafe.png" TargetMode="External"/><Relationship Id="rId641" Type="http://schemas.openxmlformats.org/officeDocument/2006/relationships/hyperlink" Target="https://icoen.org/" TargetMode="External"/><Relationship Id="rId739" Type="http://schemas.openxmlformats.org/officeDocument/2006/relationships/hyperlink" Target="https://employee.uc.ac.id/index.php/file/get/sis/t_cp/500c96de-034c-11ee-9899-000d3ac6bafe.jpg" TargetMode="External"/><Relationship Id="rId1064" Type="http://schemas.openxmlformats.org/officeDocument/2006/relationships/hyperlink" Target="https://icoen.org/" TargetMode="External"/><Relationship Id="rId280" Type="http://schemas.openxmlformats.org/officeDocument/2006/relationships/hyperlink" Target="https://employee.uc.ac.id/index.php/file/get/sis/t_cp/multi/44388237-9417-11ee-bd04-000d3ac6bafe.png" TargetMode="External"/><Relationship Id="rId501" Type="http://schemas.openxmlformats.org/officeDocument/2006/relationships/hyperlink" Target="https://icoen.org/" TargetMode="External"/><Relationship Id="rId946" Type="http://schemas.openxmlformats.org/officeDocument/2006/relationships/hyperlink" Target="https://icoen.org/" TargetMode="External"/><Relationship Id="rId1131" Type="http://schemas.openxmlformats.org/officeDocument/2006/relationships/hyperlink" Target="https://employee.uc.ac.id/index.php/file/get/sis/t_cp/e8bec7da-9048-11ee-9103-000d3ac6bafe.pdf" TargetMode="External"/><Relationship Id="rId75" Type="http://schemas.openxmlformats.org/officeDocument/2006/relationships/hyperlink" Target="https://icoen.org/" TargetMode="External"/><Relationship Id="rId140" Type="http://schemas.openxmlformats.org/officeDocument/2006/relationships/hyperlink" Target="https://icoen.org/" TargetMode="External"/><Relationship Id="rId378" Type="http://schemas.openxmlformats.org/officeDocument/2006/relationships/hyperlink" Target="https://employee.uc.ac.id/index.php/file/get/sis/t_cp/multi/44388237-9417-11ee-bd04-000d3ac6bafe_assignmentletter.png" TargetMode="External"/><Relationship Id="rId585" Type="http://schemas.openxmlformats.org/officeDocument/2006/relationships/hyperlink" Target="https://icoen.org/" TargetMode="External"/><Relationship Id="rId792" Type="http://schemas.openxmlformats.org/officeDocument/2006/relationships/hyperlink" Target="https://employee.uc.ac.id/index.php/file/get/sis/t_cp/multi/c77a0b11-9336-11ee-859c-000d3ac6bafe.png" TargetMode="External"/><Relationship Id="rId806" Type="http://schemas.openxmlformats.org/officeDocument/2006/relationships/hyperlink" Target="https://employee.uc.ac.id/index.php/file/get/sis/t_cp/multi/c77a0b11-9336-11ee-859c-000d3ac6bafe.png" TargetMode="External"/><Relationship Id="rId6" Type="http://schemas.openxmlformats.org/officeDocument/2006/relationships/hyperlink" Target="https://employee.uc.ac.id/index.php/file/get/sis/t_cp/18a78d9a-9ee8-11ed-b9cf-000d3ac6bafe.jpg" TargetMode="External"/><Relationship Id="rId238" Type="http://schemas.openxmlformats.org/officeDocument/2006/relationships/hyperlink" Target="https://employee.uc.ac.id/index.php/file/get/sis/t_cp/multi/44388237-9417-11ee-bd04-000d3ac6bafe.png" TargetMode="External"/><Relationship Id="rId445" Type="http://schemas.openxmlformats.org/officeDocument/2006/relationships/hyperlink" Target="https://employee.uc.ac.id/index.php/file/get/sis/t_cp/e42e6661-f715-11ed-9687-000d3ac6bafe.pdf" TargetMode="External"/><Relationship Id="rId652" Type="http://schemas.openxmlformats.org/officeDocument/2006/relationships/hyperlink" Target="https://employee.uc.ac.id/index.php/file/get/sis/t_cp/multi/44388237-9417-11ee-bd04-000d3ac6bafe_assignmentletter.png" TargetMode="External"/><Relationship Id="rId1075" Type="http://schemas.openxmlformats.org/officeDocument/2006/relationships/hyperlink" Target="https://employee.uc.ac.id/index.php/file/get/sis/t_cp/multi/c77a0b11-9336-11ee-859c-000d3ac6bafe.png" TargetMode="External"/><Relationship Id="rId291" Type="http://schemas.openxmlformats.org/officeDocument/2006/relationships/hyperlink" Target="https://employee.uc.ac.id/index.php/file/get/sis/t_cp/multi/44388237-9417-11ee-bd04-000d3ac6bafe.png" TargetMode="External"/><Relationship Id="rId305" Type="http://schemas.openxmlformats.org/officeDocument/2006/relationships/hyperlink" Target="https://icoen.org/" TargetMode="External"/><Relationship Id="rId512" Type="http://schemas.openxmlformats.org/officeDocument/2006/relationships/hyperlink" Target="https://employee.uc.ac.id/index.php/file/get/sis/t_cp/multi/44388237-9417-11ee-bd04-000d3ac6bafe_assignmentletter.png" TargetMode="External"/><Relationship Id="rId957" Type="http://schemas.openxmlformats.org/officeDocument/2006/relationships/hyperlink" Target="https://employee.uc.ac.id/index.php/file/get/sis/t_cp/135889e7-fa0c-11ed-84c7-000d3ac6bafe.pdf" TargetMode="External"/><Relationship Id="rId1142" Type="http://schemas.openxmlformats.org/officeDocument/2006/relationships/hyperlink" Target="https://employee.uc.ac.id/index.php/file/get/sis/t_cp/multi/c77a0b11-9336-11ee-859c-000d3ac6bafe.png" TargetMode="External"/><Relationship Id="rId86" Type="http://schemas.openxmlformats.org/officeDocument/2006/relationships/hyperlink" Target="https://employee.uc.ac.id/index.php/file/get/sis/t_cp/multi/44388237-9417-11ee-bd04-000d3ac6bafe.png" TargetMode="External"/><Relationship Id="rId151" Type="http://schemas.openxmlformats.org/officeDocument/2006/relationships/hyperlink" Target="https://employee.uc.ac.id/index.php/file/get/sis/t_cp/736e4d76-4226-11ee-b836-000d3ac6bafe.jpeg" TargetMode="External"/><Relationship Id="rId389" Type="http://schemas.openxmlformats.org/officeDocument/2006/relationships/hyperlink" Target="https://employee.uc.ac.id/index.php/file/get/sis/t_cp/multi/44388237-9417-11ee-bd04-000d3ac6bafe.png" TargetMode="External"/><Relationship Id="rId596" Type="http://schemas.openxmlformats.org/officeDocument/2006/relationships/hyperlink" Target="https://employee.uc.ac.id/index.php/file/get/sis/t_cp/multi/44388237-9417-11ee-bd04-000d3ac6bafe_assignmentletter.png" TargetMode="External"/><Relationship Id="rId817" Type="http://schemas.openxmlformats.org/officeDocument/2006/relationships/hyperlink" Target="https://employee.uc.ac.id/index.php/file/get/sis/t_cp/d6b337ad-91ec-11ee-ab5b-000d3ac6bafe.png" TargetMode="External"/><Relationship Id="rId1002" Type="http://schemas.openxmlformats.org/officeDocument/2006/relationships/hyperlink" Target="https://icoen.org/" TargetMode="External"/><Relationship Id="rId249" Type="http://schemas.openxmlformats.org/officeDocument/2006/relationships/hyperlink" Target="https://icoen.org/" TargetMode="External"/><Relationship Id="rId456" Type="http://schemas.openxmlformats.org/officeDocument/2006/relationships/hyperlink" Target="https://icoen.org/" TargetMode="External"/><Relationship Id="rId663" Type="http://schemas.openxmlformats.org/officeDocument/2006/relationships/hyperlink" Target="https://employee.uc.ac.id/index.php/file/get/sis/t_cp/multi/44388237-9417-11ee-bd04-000d3ac6bafe.png" TargetMode="External"/><Relationship Id="rId870" Type="http://schemas.openxmlformats.org/officeDocument/2006/relationships/hyperlink" Target="https://employee.uc.ac.id/index.php/file/get/sis/t_cp/multi/1e7be259-882b-11ee-ae4d-000d3ac6bafe_assignmentletter.png" TargetMode="External"/><Relationship Id="rId1086" Type="http://schemas.openxmlformats.org/officeDocument/2006/relationships/hyperlink" Target="https://icoen.org/" TargetMode="External"/><Relationship Id="rId13" Type="http://schemas.openxmlformats.org/officeDocument/2006/relationships/hyperlink" Target="https://employee.uc.ac.id/index.php/file/get/sis/t_cp/7a9befb4-97e1-11ed-af4b-000d3ac6bafe_assignmentletter.jpg" TargetMode="External"/><Relationship Id="rId109" Type="http://schemas.openxmlformats.org/officeDocument/2006/relationships/hyperlink" Target="https://employee.uc.ac.id/index.php/file/get/sis/t_cp/multi/44388237-9417-11ee-bd04-000d3ac6bafe_assignmentletter.png" TargetMode="External"/><Relationship Id="rId316" Type="http://schemas.openxmlformats.org/officeDocument/2006/relationships/hyperlink" Target="https://employee.uc.ac.id/index.php/file/get/sis/t_cp/multi/44388237-9417-11ee-bd04-000d3ac6bafe_assignmentletter.png" TargetMode="External"/><Relationship Id="rId523" Type="http://schemas.openxmlformats.org/officeDocument/2006/relationships/hyperlink" Target="https://employee.uc.ac.id/index.php/file/get/sis/t_cp/multi/44388237-9417-11ee-bd04-000d3ac6bafe.png" TargetMode="External"/><Relationship Id="rId968" Type="http://schemas.openxmlformats.org/officeDocument/2006/relationships/hyperlink" Target="https://employee.uc.ac.id/index.php/file/get/sis/t_cp/multi/c77a0b11-9336-11ee-859c-000d3ac6bafe_assignmentletter.png" TargetMode="External"/><Relationship Id="rId1153" Type="http://schemas.openxmlformats.org/officeDocument/2006/relationships/hyperlink" Target="https://employee.uc.ac.id/index.php/file/get/sis/t_cp/497dd414-a7b8-11ed-9a52-000d3ac6bafe.jpg" TargetMode="External"/><Relationship Id="rId97" Type="http://schemas.openxmlformats.org/officeDocument/2006/relationships/hyperlink" Target="https://employee.uc.ac.id/index.php/file/get/sis/t_cp/2238ff23-97df-11ed-af4b-000d3ac6bafe.pdf" TargetMode="External"/><Relationship Id="rId730" Type="http://schemas.openxmlformats.org/officeDocument/2006/relationships/hyperlink" Target="https://employee.uc.ac.id/index.php/file/get/sis/t_cp/e35010cc-efff-11ed-8d6d-000d3ac6bafe.png" TargetMode="External"/><Relationship Id="rId828" Type="http://schemas.openxmlformats.org/officeDocument/2006/relationships/hyperlink" Target="https://icoen.org/" TargetMode="External"/><Relationship Id="rId1013" Type="http://schemas.openxmlformats.org/officeDocument/2006/relationships/hyperlink" Target="https://employee.uc.ac.id/index.php/file/get/sis/t_cp/multi/1e7be259-882b-11ee-ae4d-000d3ac6bafe.png" TargetMode="External"/><Relationship Id="rId162" Type="http://schemas.openxmlformats.org/officeDocument/2006/relationships/hyperlink" Target="https://employee.uc.ac.id/index.php/file/get/sis/t_cp/multi/44388237-9417-11ee-bd04-000d3ac6bafe.png" TargetMode="External"/><Relationship Id="rId467" Type="http://schemas.openxmlformats.org/officeDocument/2006/relationships/hyperlink" Target="https://employee.uc.ac.id/index.php/file/get/sis/t_cp/multi/44388237-9417-11ee-bd04-000d3ac6bafe_assignmentletter.png" TargetMode="External"/><Relationship Id="rId1097" Type="http://schemas.openxmlformats.org/officeDocument/2006/relationships/hyperlink" Target="https://employee.uc.ac.id/index.php/file/get/sis/t_cp/378ab227-02ee-11ee-a50e-000d3ac6bafe_assignmentletter.pdf" TargetMode="External"/><Relationship Id="rId674" Type="http://schemas.openxmlformats.org/officeDocument/2006/relationships/hyperlink" Target="https://icoen.org/" TargetMode="External"/><Relationship Id="rId881" Type="http://schemas.openxmlformats.org/officeDocument/2006/relationships/hyperlink" Target="https://icoen.org/" TargetMode="External"/><Relationship Id="rId979" Type="http://schemas.openxmlformats.org/officeDocument/2006/relationships/hyperlink" Target="https://employee.uc.ac.id/index.php/file/get/sis/t_cp/multi/c77a0b11-9336-11ee-859c-000d3ac6bafe_assignmentletter.png" TargetMode="External"/><Relationship Id="rId24" Type="http://schemas.openxmlformats.org/officeDocument/2006/relationships/hyperlink" Target="https://employee.uc.ac.id/index.php/file/get/sis/t_cp/multi/44388237-9417-11ee-bd04-000d3ac6bafe.png" TargetMode="External"/><Relationship Id="rId327" Type="http://schemas.openxmlformats.org/officeDocument/2006/relationships/hyperlink" Target="https://employee.uc.ac.id/index.php/file/get/sis/t_cp/multi/44388237-9417-11ee-bd04-000d3ac6bafe.png" TargetMode="External"/><Relationship Id="rId534" Type="http://schemas.openxmlformats.org/officeDocument/2006/relationships/hyperlink" Target="https://icoen.org/" TargetMode="External"/><Relationship Id="rId741" Type="http://schemas.openxmlformats.org/officeDocument/2006/relationships/hyperlink" Target="https://employee.uc.ac.id/index.php/file/get/sis/t_cp/f51d40c6-037a-11ee-9899-000d3ac6bafe.jpg" TargetMode="External"/><Relationship Id="rId839" Type="http://schemas.openxmlformats.org/officeDocument/2006/relationships/hyperlink" Target="https://employee.uc.ac.id/index.php/file/get/sis/t_cp/multi/c77a0b11-9336-11ee-859c-000d3ac6bafe_assignmentletter.png" TargetMode="External"/><Relationship Id="rId1164" Type="http://schemas.openxmlformats.org/officeDocument/2006/relationships/hyperlink" Target="https://icoen.org/" TargetMode="External"/><Relationship Id="rId173" Type="http://schemas.openxmlformats.org/officeDocument/2006/relationships/hyperlink" Target="https://employee.uc.ac.id/index.php/file/get/sis/t_cp/multi/44388237-9417-11ee-bd04-000d3ac6bafe_assignmentletter.png" TargetMode="External"/><Relationship Id="rId380" Type="http://schemas.openxmlformats.org/officeDocument/2006/relationships/hyperlink" Target="https://employee.uc.ac.id/index.php/file/get/sis/t_cp/multi/44388237-9417-11ee-bd04-000d3ac6bafe.png" TargetMode="External"/><Relationship Id="rId601" Type="http://schemas.openxmlformats.org/officeDocument/2006/relationships/hyperlink" Target="https://employee.uc.ac.id/index.php/file/get/sis/t_cp/multi/44388237-9417-11ee-bd04-000d3ac6bafe_assignmentletter.png" TargetMode="External"/><Relationship Id="rId1024" Type="http://schemas.openxmlformats.org/officeDocument/2006/relationships/hyperlink" Target="https://employee.uc.ac.id/index.php/file/get/sis/t_cp/multi/9966d465-8828-11ee-ae4d-000d3ac6bafe_assignmentletter.png" TargetMode="External"/><Relationship Id="rId240" Type="http://schemas.openxmlformats.org/officeDocument/2006/relationships/hyperlink" Target="https://icoen.org/" TargetMode="External"/><Relationship Id="rId478" Type="http://schemas.openxmlformats.org/officeDocument/2006/relationships/hyperlink" Target="https://employee.uc.ac.id/index.php/file/get/sis/t_cp/multi/44388237-9417-11ee-bd04-000d3ac6bafe.png" TargetMode="External"/><Relationship Id="rId685" Type="http://schemas.openxmlformats.org/officeDocument/2006/relationships/hyperlink" Target="https://employee.uc.ac.id/index.php/file/get/sis/t_cp/multi/44388237-9417-11ee-bd04-000d3ac6bafe_assignmentletter.png" TargetMode="External"/><Relationship Id="rId892" Type="http://schemas.openxmlformats.org/officeDocument/2006/relationships/hyperlink" Target="https://icoen.org/" TargetMode="External"/><Relationship Id="rId906" Type="http://schemas.openxmlformats.org/officeDocument/2006/relationships/hyperlink" Target="https://employee.uc.ac.id/index.php/file/get/sis/t_cp/multi/c77a0b11-9336-11ee-859c-000d3ac6bafe_assignmentletter.png" TargetMode="External"/><Relationship Id="rId35" Type="http://schemas.openxmlformats.org/officeDocument/2006/relationships/hyperlink" Target="https://employee.uc.ac.id/index.php/file/get/sis/t_cp/multi/c77a0b11-9336-11ee-859c-000d3ac6bafe_assignmentletter.png" TargetMode="External"/><Relationship Id="rId100" Type="http://schemas.openxmlformats.org/officeDocument/2006/relationships/hyperlink" Target="https://employee.uc.ac.id/index.php/file/get/sis/t_cp/3233d227-a489-11ed-b2de-000d3ac6bafe_assignmentletter.pdf" TargetMode="External"/><Relationship Id="rId338" Type="http://schemas.openxmlformats.org/officeDocument/2006/relationships/hyperlink" Target="https://employee.uc.ac.id/index.php/file/get/sis/t_cp/multi/44388237-9417-11ee-bd04-000d3ac6bafe.png" TargetMode="External"/><Relationship Id="rId545" Type="http://schemas.openxmlformats.org/officeDocument/2006/relationships/hyperlink" Target="https://employee.uc.ac.id/index.php/file/get/sis/t_cp/multi/44388237-9417-11ee-bd04-000d3ac6bafe_assignmentletter.png" TargetMode="External"/><Relationship Id="rId752" Type="http://schemas.openxmlformats.org/officeDocument/2006/relationships/hyperlink" Target="https://employee.uc.ac.id/index.php/file/get/sis/t_cp/89710f9d-194f-11ee-a5c3-000d3ac6bafe_assignmentletter.jpeg" TargetMode="External"/><Relationship Id="rId184" Type="http://schemas.openxmlformats.org/officeDocument/2006/relationships/hyperlink" Target="https://employee.uc.ac.id/index.php/file/get/sis/t_cp/multi/44388237-9417-11ee-bd04-000d3ac6bafe.png" TargetMode="External"/><Relationship Id="rId391" Type="http://schemas.openxmlformats.org/officeDocument/2006/relationships/hyperlink" Target="https://icoen.org/" TargetMode="External"/><Relationship Id="rId405" Type="http://schemas.openxmlformats.org/officeDocument/2006/relationships/hyperlink" Target="https://employee.uc.ac.id/index.php/file/get/sis/t_cp/multi/44388237-9417-11ee-bd04-000d3ac6bafe_assignmentletter.png" TargetMode="External"/><Relationship Id="rId612" Type="http://schemas.openxmlformats.org/officeDocument/2006/relationships/hyperlink" Target="https://employee.uc.ac.id/index.php/file/get/sis/t_cp/multi/44388237-9417-11ee-bd04-000d3ac6bafe.png" TargetMode="External"/><Relationship Id="rId1035" Type="http://schemas.openxmlformats.org/officeDocument/2006/relationships/hyperlink" Target="https://employee.uc.ac.id/index.php/file/get/sis/t_cp/multi/9966d465-8828-11ee-ae4d-000d3ac6bafe_assignmentletter.png" TargetMode="External"/><Relationship Id="rId251" Type="http://schemas.openxmlformats.org/officeDocument/2006/relationships/hyperlink" Target="https://employee.uc.ac.id/index.php/file/get/sis/t_cp/multi/44388237-9417-11ee-bd04-000d3ac6bafe_assignmentletter.png" TargetMode="External"/><Relationship Id="rId489" Type="http://schemas.openxmlformats.org/officeDocument/2006/relationships/hyperlink" Target="https://icoen.org/" TargetMode="External"/><Relationship Id="rId696" Type="http://schemas.openxmlformats.org/officeDocument/2006/relationships/hyperlink" Target="https://employee.uc.ac.id/index.php/file/get/sis/t_cp/multi/44388237-9417-11ee-bd04-000d3ac6bafe.png" TargetMode="External"/><Relationship Id="rId917" Type="http://schemas.openxmlformats.org/officeDocument/2006/relationships/hyperlink" Target="https://employee.uc.ac.id/index.php/file/get/sis/t_cp/multi/e9f29743-d848-11ed-a359-000d3ac6bafe.png" TargetMode="External"/><Relationship Id="rId1102" Type="http://schemas.openxmlformats.org/officeDocument/2006/relationships/hyperlink" Target="https://pusatprestasinasional.kemdikbud.go.id/even" TargetMode="External"/><Relationship Id="rId46" Type="http://schemas.openxmlformats.org/officeDocument/2006/relationships/hyperlink" Target="https://employee.uc.ac.id/index.php/file/get/sis/t_cp/multi/36efe3c6-76cb-11ee-858c-000d3ac6bafe_assignmentletter.png" TargetMode="External"/><Relationship Id="rId349" Type="http://schemas.openxmlformats.org/officeDocument/2006/relationships/hyperlink" Target="https://icoen.org/" TargetMode="External"/><Relationship Id="rId556" Type="http://schemas.openxmlformats.org/officeDocument/2006/relationships/hyperlink" Target="https://employee.uc.ac.id/index.php/file/get/sis/t_cp/multi/44388237-9417-11ee-bd04-000d3ac6bafe.png" TargetMode="External"/><Relationship Id="rId763" Type="http://schemas.openxmlformats.org/officeDocument/2006/relationships/hyperlink" Target="https://employee.uc.ac.id/index.php/file/get/sis/t_cp/b067652e-8b36-11ee-a0af-000d3ac6bafe.jpg" TargetMode="External"/><Relationship Id="rId111" Type="http://schemas.openxmlformats.org/officeDocument/2006/relationships/hyperlink" Target="https://employee.uc.ac.id/index.php/file/get/sis/t_cp/multi/c15ab80d-7c81-11ee-aca7-000d3ac6bafe_assignmentletter.png" TargetMode="External"/><Relationship Id="rId195" Type="http://schemas.openxmlformats.org/officeDocument/2006/relationships/hyperlink" Target="https://icoen.org/" TargetMode="External"/><Relationship Id="rId209" Type="http://schemas.openxmlformats.org/officeDocument/2006/relationships/hyperlink" Target="https://employee.uc.ac.id/index.php/file/get/sis/t_cp/multi/44388237-9417-11ee-bd04-000d3ac6bafe_assignmentletter.png" TargetMode="External"/><Relationship Id="rId416" Type="http://schemas.openxmlformats.org/officeDocument/2006/relationships/hyperlink" Target="https://employee.uc.ac.id/index.php/file/get/sis/t_cp/multi/44388237-9417-11ee-bd04-000d3ac6bafe.png" TargetMode="External"/><Relationship Id="rId970" Type="http://schemas.openxmlformats.org/officeDocument/2006/relationships/hyperlink" Target="https://employee.uc.ac.id/index.php/file/get/sis/t_cp/multi/c77a0b11-9336-11ee-859c-000d3ac6bafe.png" TargetMode="External"/><Relationship Id="rId1046" Type="http://schemas.openxmlformats.org/officeDocument/2006/relationships/hyperlink" Target="https://employee.uc.ac.id/index.php/file/get/sis/t_cp/1284ec59-6678-11ee-817b-000d3ac6bafe.jpg" TargetMode="External"/><Relationship Id="rId623" Type="http://schemas.openxmlformats.org/officeDocument/2006/relationships/hyperlink" Target="https://icoen.org/" TargetMode="External"/><Relationship Id="rId830" Type="http://schemas.openxmlformats.org/officeDocument/2006/relationships/hyperlink" Target="https://employee.uc.ac.id/index.php/file/get/sis/t_cp/multi/c77a0b11-9336-11ee-859c-000d3ac6bafe_assignmentletter.png" TargetMode="External"/><Relationship Id="rId928" Type="http://schemas.openxmlformats.org/officeDocument/2006/relationships/hyperlink" Target="https://employee.uc.ac.id/index.php/file/get/sis/t_cp/8adae2d2-a9f1-11ed-ba27-000d3ac6bafe_report.pdf" TargetMode="External"/><Relationship Id="rId57" Type="http://schemas.openxmlformats.org/officeDocument/2006/relationships/hyperlink" Target="https://employee.uc.ac.id/index.php/file/get/sis/t_cp/145956ce-8dc2-11ed-811b-000d3ac6bafe.jpg" TargetMode="External"/><Relationship Id="rId262" Type="http://schemas.openxmlformats.org/officeDocument/2006/relationships/hyperlink" Target="https://employee.uc.ac.id/index.php/file/get/sis/t_cp/multi/44388237-9417-11ee-bd04-000d3ac6bafe.png" TargetMode="External"/><Relationship Id="rId567" Type="http://schemas.openxmlformats.org/officeDocument/2006/relationships/hyperlink" Target="https://icoen.org/" TargetMode="External"/><Relationship Id="rId1113" Type="http://schemas.openxmlformats.org/officeDocument/2006/relationships/hyperlink" Target="https://employee.uc.ac.id/index.php/file/get/sis/t_cp/multi/c77a0b11-9336-11ee-859c-000d3ac6bafe_assignmentletter.png" TargetMode="External"/><Relationship Id="rId122" Type="http://schemas.openxmlformats.org/officeDocument/2006/relationships/hyperlink" Target="https://employee.uc.ac.id/index.php/file/get/sis/t_cp/multi/44388237-9417-11ee-bd04-000d3ac6bafe_assignmentletter.png" TargetMode="External"/><Relationship Id="rId774" Type="http://schemas.openxmlformats.org/officeDocument/2006/relationships/hyperlink" Target="https://employee.uc.ac.id/index.php/file/get/sis/t_cp/47b6e505-6bf7-11ee-a25e-000d3ac6bafe_assignmentletter.pdf" TargetMode="External"/><Relationship Id="rId981" Type="http://schemas.openxmlformats.org/officeDocument/2006/relationships/hyperlink" Target="https://employee.uc.ac.id/index.php/file/get/sis/t_cp/b3c91462-81d7-11ee-8546-000d3ac6bafe.jpeg" TargetMode="External"/><Relationship Id="rId1057" Type="http://schemas.openxmlformats.org/officeDocument/2006/relationships/hyperlink" Target="https://employee.uc.ac.id/index.php/file/get/sis/t_cp/b0e701a8-6677-11ee-817b-000d3ac6bafe.pdf" TargetMode="External"/><Relationship Id="rId427" Type="http://schemas.openxmlformats.org/officeDocument/2006/relationships/hyperlink" Target="https://icoen.org/" TargetMode="External"/><Relationship Id="rId634" Type="http://schemas.openxmlformats.org/officeDocument/2006/relationships/hyperlink" Target="https://employee.uc.ac.id/index.php/file/get/sis/t_cp/multi/44388237-9417-11ee-bd04-000d3ac6bafe_assignmentletter.png" TargetMode="External"/><Relationship Id="rId841" Type="http://schemas.openxmlformats.org/officeDocument/2006/relationships/hyperlink" Target="https://employee.uc.ac.id/index.php/file/get/sis/t_cp/multi/c77a0b11-9336-11ee-859c-000d3ac6bafe.png" TargetMode="External"/><Relationship Id="rId273" Type="http://schemas.openxmlformats.org/officeDocument/2006/relationships/hyperlink" Target="https://icoen.org/" TargetMode="External"/><Relationship Id="rId480" Type="http://schemas.openxmlformats.org/officeDocument/2006/relationships/hyperlink" Target="https://icoen.org/" TargetMode="External"/><Relationship Id="rId701" Type="http://schemas.openxmlformats.org/officeDocument/2006/relationships/hyperlink" Target="https://icoen.org/" TargetMode="External"/><Relationship Id="rId939" Type="http://schemas.openxmlformats.org/officeDocument/2006/relationships/hyperlink" Target="https://employee.uc.ac.id/index.php/file/get/sis/t_cp/multi/c15ab80d-7c81-11ee-aca7-000d3ac6bafe_assignmentletter.png" TargetMode="External"/><Relationship Id="rId1124" Type="http://schemas.openxmlformats.org/officeDocument/2006/relationships/hyperlink" Target="https://employee.uc.ac.id/index.php/file/get/sis/t_cp/9918f8a7-8dc4-11ee-b8fc-000d3ac6bafe.pdf" TargetMode="External"/><Relationship Id="rId68" Type="http://schemas.openxmlformats.org/officeDocument/2006/relationships/hyperlink" Target="https://employee.uc.ac.id/index.php/file/get/sis/t_cp/multi/44388237-9417-11ee-bd04-000d3ac6bafe_assignmentletter.png" TargetMode="External"/><Relationship Id="rId133" Type="http://schemas.openxmlformats.org/officeDocument/2006/relationships/hyperlink" Target="https://employee.uc.ac.id/index.php/file/get/sis/t_cp/multi/44388237-9417-11ee-bd04-000d3ac6bafe_assignmentletter.png" TargetMode="External"/><Relationship Id="rId340" Type="http://schemas.openxmlformats.org/officeDocument/2006/relationships/hyperlink" Target="https://icoen.org/" TargetMode="External"/><Relationship Id="rId578" Type="http://schemas.openxmlformats.org/officeDocument/2006/relationships/hyperlink" Target="https://employee.uc.ac.id/index.php/file/get/sis/t_cp/multi/44388237-9417-11ee-bd04-000d3ac6bafe_assignmentletter.png" TargetMode="External"/><Relationship Id="rId785" Type="http://schemas.openxmlformats.org/officeDocument/2006/relationships/hyperlink" Target="https://icoen.org/" TargetMode="External"/><Relationship Id="rId992" Type="http://schemas.openxmlformats.org/officeDocument/2006/relationships/hyperlink" Target="https://employee.uc.ac.id/index.php/file/get/sis/t_cp/f4dec291-61a9-11ee-bb53-000d3ac6bafe.pdf" TargetMode="External"/><Relationship Id="rId200" Type="http://schemas.openxmlformats.org/officeDocument/2006/relationships/hyperlink" Target="https://employee.uc.ac.id/index.php/file/get/sis/t_cp/multi/44388237-9417-11ee-bd04-000d3ac6bafe_assignmentletter.png" TargetMode="External"/><Relationship Id="rId438" Type="http://schemas.openxmlformats.org/officeDocument/2006/relationships/hyperlink" Target="https://employee.uc.ac.id/index.php/file/get/sis/t_cp/multi/44388237-9417-11ee-bd04-000d3ac6bafe_assignmentletter.png" TargetMode="External"/><Relationship Id="rId645" Type="http://schemas.openxmlformats.org/officeDocument/2006/relationships/hyperlink" Target="https://employee.uc.ac.id/index.php/file/get/sis/t_cp/multi/44388237-9417-11ee-bd04-000d3ac6bafe.png" TargetMode="External"/><Relationship Id="rId852" Type="http://schemas.openxmlformats.org/officeDocument/2006/relationships/hyperlink" Target="https://employee.uc.ac.id/index.php/file/get/sis/t_cp/f3778db1-8e7c-11ed-acce-000d3ac6bafe.jpg" TargetMode="External"/><Relationship Id="rId1068" Type="http://schemas.openxmlformats.org/officeDocument/2006/relationships/hyperlink" Target="https://employee.uc.ac.id/index.php/file/get/sis/t_cp/multi/c77a0b11-9336-11ee-859c-000d3ac6bafe.png" TargetMode="External"/><Relationship Id="rId284" Type="http://schemas.openxmlformats.org/officeDocument/2006/relationships/hyperlink" Target="https://employee.uc.ac.id/index.php/file/get/sis/t_cp/multi/44388237-9417-11ee-bd04-000d3ac6bafe_assignmentletter.png" TargetMode="External"/><Relationship Id="rId491" Type="http://schemas.openxmlformats.org/officeDocument/2006/relationships/hyperlink" Target="https://employee.uc.ac.id/index.php/file/get/sis/t_cp/multi/44388237-9417-11ee-bd04-000d3ac6bafe_assignmentletter.png" TargetMode="External"/><Relationship Id="rId505" Type="http://schemas.openxmlformats.org/officeDocument/2006/relationships/hyperlink" Target="https://employee.uc.ac.id/index.php/file/get/sis/t_cp/multi/44388237-9417-11ee-bd04-000d3ac6bafe.png" TargetMode="External"/><Relationship Id="rId712" Type="http://schemas.openxmlformats.org/officeDocument/2006/relationships/hyperlink" Target="https://employee.uc.ac.id/index.php/file/get/sis/t_cp/multi/44388237-9417-11ee-bd04-000d3ac6bafe_assignmentletter.png" TargetMode="External"/><Relationship Id="rId1135" Type="http://schemas.openxmlformats.org/officeDocument/2006/relationships/hyperlink" Target="https://icoen.org/" TargetMode="External"/><Relationship Id="rId79" Type="http://schemas.openxmlformats.org/officeDocument/2006/relationships/hyperlink" Target="https://employee.uc.ac.id/index.php/file/get/sis/t_cp/multi/44388237-9417-11ee-bd04-000d3ac6bafe.png" TargetMode="External"/><Relationship Id="rId144" Type="http://schemas.openxmlformats.org/officeDocument/2006/relationships/hyperlink" Target="https://icoen.org/" TargetMode="External"/><Relationship Id="rId589" Type="http://schemas.openxmlformats.org/officeDocument/2006/relationships/hyperlink" Target="https://employee.uc.ac.id/index.php/file/get/sis/t_cp/multi/44388237-9417-11ee-bd04-000d3ac6bafe.png" TargetMode="External"/><Relationship Id="rId796" Type="http://schemas.openxmlformats.org/officeDocument/2006/relationships/hyperlink" Target="https://employee.uc.ac.id/index.php/file/get/sis/t_cp/multi/c77a0b11-9336-11ee-859c-000d3ac6bafe_assignmentletter.png" TargetMode="External"/><Relationship Id="rId351" Type="http://schemas.openxmlformats.org/officeDocument/2006/relationships/hyperlink" Target="https://employee.uc.ac.id/index.php/file/get/sis/t_cp/multi/44388237-9417-11ee-bd04-000d3ac6bafe_assignmentletter.png" TargetMode="External"/><Relationship Id="rId449" Type="http://schemas.openxmlformats.org/officeDocument/2006/relationships/hyperlink" Target="https://icoen.org/" TargetMode="External"/><Relationship Id="rId656" Type="http://schemas.openxmlformats.org/officeDocument/2006/relationships/hyperlink" Target="https://icoen.org/" TargetMode="External"/><Relationship Id="rId863" Type="http://schemas.openxmlformats.org/officeDocument/2006/relationships/hyperlink" Target="https://employee.uc.ac.id/index.php/file/get/sis/t_cp/multi/e9f29743-d848-11ed-a359-000d3ac6bafe.png" TargetMode="External"/><Relationship Id="rId1079" Type="http://schemas.openxmlformats.org/officeDocument/2006/relationships/hyperlink" Target="https://employee.uc.ac.id/index.php/file/get/sis/t_cp/multi/c77a0b11-9336-11ee-859c-000d3ac6bafe_assignmentletter.png" TargetMode="External"/><Relationship Id="rId211" Type="http://schemas.openxmlformats.org/officeDocument/2006/relationships/hyperlink" Target="https://employee.uc.ac.id/index.php/file/get/sis/t_cp/multi/44388237-9417-11ee-bd04-000d3ac6bafe.png" TargetMode="External"/><Relationship Id="rId295" Type="http://schemas.openxmlformats.org/officeDocument/2006/relationships/hyperlink" Target="https://employee.uc.ac.id/index.php/file/get/sis/t_cp/multi/44388237-9417-11ee-bd04-000d3ac6bafe_assignmentletter.png" TargetMode="External"/><Relationship Id="rId309" Type="http://schemas.openxmlformats.org/officeDocument/2006/relationships/hyperlink" Target="https://employee.uc.ac.id/index.php/file/get/sis/t_cp/multi/44388237-9417-11ee-bd04-000d3ac6bafe.png" TargetMode="External"/><Relationship Id="rId516" Type="http://schemas.openxmlformats.org/officeDocument/2006/relationships/hyperlink" Target="https://icoen.org/" TargetMode="External"/><Relationship Id="rId1146" Type="http://schemas.openxmlformats.org/officeDocument/2006/relationships/hyperlink" Target="https://employee.uc.ac.id/index.php/file/get/sis/t_cp/multi/c77a0b11-9336-11ee-859c-000d3ac6bafe.png" TargetMode="External"/><Relationship Id="rId723" Type="http://schemas.openxmlformats.org/officeDocument/2006/relationships/hyperlink" Target="https://employee.uc.ac.id/index.php/file/get/sis/t_cp/b032e33b-90b2-11ed-a139-000d3ac6bafe.jpg" TargetMode="External"/><Relationship Id="rId930" Type="http://schemas.openxmlformats.org/officeDocument/2006/relationships/hyperlink" Target="https://employee.uc.ac.id/index.php/file/get/sis/t_cp/multi/c77a0b11-9336-11ee-859c-000d3ac6bafe.png" TargetMode="External"/><Relationship Id="rId1006" Type="http://schemas.openxmlformats.org/officeDocument/2006/relationships/hyperlink" Target="https://employee.uc.ac.id/index.php/file/get/sis/t_cp/multi/c77a0b11-9336-11ee-859c-000d3ac6bafe.png" TargetMode="External"/><Relationship Id="rId155" Type="http://schemas.openxmlformats.org/officeDocument/2006/relationships/hyperlink" Target="https://icoen.org/" TargetMode="External"/><Relationship Id="rId362" Type="http://schemas.openxmlformats.org/officeDocument/2006/relationships/hyperlink" Target="https://employee.uc.ac.id/index.php/file/get/sis/t_cp/multi/44388237-9417-11ee-bd04-000d3ac6bafe.png" TargetMode="External"/><Relationship Id="rId222" Type="http://schemas.openxmlformats.org/officeDocument/2006/relationships/hyperlink" Target="https://icoen.org/" TargetMode="External"/><Relationship Id="rId667" Type="http://schemas.openxmlformats.org/officeDocument/2006/relationships/hyperlink" Target="https://employee.uc.ac.id/index.php/file/get/sis/t_cp/multi/44388237-9417-11ee-bd04-000d3ac6bafe_assignmentletter.png" TargetMode="External"/><Relationship Id="rId874" Type="http://schemas.openxmlformats.org/officeDocument/2006/relationships/hyperlink" Target="https://employee.uc.ac.id/index.php/file/get/sis/t_cp/multi/e9f29743-d848-11ed-a359-000d3ac6bafe_assignmentletter.png" TargetMode="External"/><Relationship Id="rId17" Type="http://schemas.openxmlformats.org/officeDocument/2006/relationships/hyperlink" Target="https://employee.uc.ac.id/index.php/file/get/sis/t_cp/7de2d332-8353-11ee-9c7d-000d3ac6bafe.pdf" TargetMode="External"/><Relationship Id="rId527" Type="http://schemas.openxmlformats.org/officeDocument/2006/relationships/hyperlink" Target="https://employee.uc.ac.id/index.php/file/get/sis/t_cp/multi/44388237-9417-11ee-bd04-000d3ac6bafe_assignmentletter.png" TargetMode="External"/><Relationship Id="rId734" Type="http://schemas.openxmlformats.org/officeDocument/2006/relationships/hyperlink" Target="https://employee.uc.ac.id/index.php/file/get/sis/t_cp/2a2e96d9-97b5-11ed-af4b-000d3ac6bafe.jpeg" TargetMode="External"/><Relationship Id="rId941" Type="http://schemas.openxmlformats.org/officeDocument/2006/relationships/hyperlink" Target="https://employee.uc.ac.id/index.php/file/get/sis/t_cp/multi/c77a0b11-9336-11ee-859c-000d3ac6bafe.png" TargetMode="External"/><Relationship Id="rId1157" Type="http://schemas.openxmlformats.org/officeDocument/2006/relationships/hyperlink" Target="https://employee.uc.ac.id/index.php/file/get/sis/t_cp/multi/c77a0b11-9336-11ee-859c-000d3ac6bafe.png" TargetMode="External"/><Relationship Id="rId70" Type="http://schemas.openxmlformats.org/officeDocument/2006/relationships/hyperlink" Target="https://employee.uc.ac.id/index.php/file/get/sis/t_cp/multi/c77a0b11-9336-11ee-859c-000d3ac6bafe.png" TargetMode="External"/><Relationship Id="rId166" Type="http://schemas.openxmlformats.org/officeDocument/2006/relationships/hyperlink" Target="https://employee.uc.ac.id/index.php/file/get/sis/t_cp/multi/44388237-9417-11ee-bd04-000d3ac6bafe_assignmentletter.png" TargetMode="External"/><Relationship Id="rId373" Type="http://schemas.openxmlformats.org/officeDocument/2006/relationships/hyperlink" Target="https://icoen.org/" TargetMode="External"/><Relationship Id="rId580" Type="http://schemas.openxmlformats.org/officeDocument/2006/relationships/hyperlink" Target="https://employee.uc.ac.id/index.php/file/get/sis/t_cp/multi/44388237-9417-11ee-bd04-000d3ac6bafe.png" TargetMode="External"/><Relationship Id="rId801" Type="http://schemas.openxmlformats.org/officeDocument/2006/relationships/hyperlink" Target="https://employee.uc.ac.id/index.php/file/get/sis/t_cp/64cbb0e7-6fcf-11ee-9434-000d3ac6bafe_report.pdf" TargetMode="External"/><Relationship Id="rId1017" Type="http://schemas.openxmlformats.org/officeDocument/2006/relationships/hyperlink" Target="https://employee.uc.ac.id/index.php/file/get/sis/t_cp/multi/28ba9854-8e8c-11ee-8544-000d3ac6bafe_assignmentletter.jpeg" TargetMode="External"/><Relationship Id="rId1" Type="http://schemas.openxmlformats.org/officeDocument/2006/relationships/hyperlink" Target="https://senima.conference.unesa.ac.id/" TargetMode="External"/><Relationship Id="rId233" Type="http://schemas.openxmlformats.org/officeDocument/2006/relationships/hyperlink" Target="https://employee.uc.ac.id/index.php/file/get/sis/t_cp/multi/44388237-9417-11ee-bd04-000d3ac6bafe_assignmentletter.png" TargetMode="External"/><Relationship Id="rId440" Type="http://schemas.openxmlformats.org/officeDocument/2006/relationships/hyperlink" Target="https://employee.uc.ac.id/index.php/file/get/sis/t_cp/multi/44388237-9417-11ee-bd04-000d3ac6bafe.png" TargetMode="External"/><Relationship Id="rId678" Type="http://schemas.openxmlformats.org/officeDocument/2006/relationships/hyperlink" Target="https://employee.uc.ac.id/index.php/file/get/sis/t_cp/multi/44388237-9417-11ee-bd04-000d3ac6bafe.png" TargetMode="External"/><Relationship Id="rId885" Type="http://schemas.openxmlformats.org/officeDocument/2006/relationships/hyperlink" Target="https://employee.uc.ac.id/index.php/file/get/sis/t_cp/multi/c77a0b11-9336-11ee-859c-000d3ac6bafe.png" TargetMode="External"/><Relationship Id="rId1070" Type="http://schemas.openxmlformats.org/officeDocument/2006/relationships/hyperlink" Target="https://icoen.org/" TargetMode="External"/><Relationship Id="rId28" Type="http://schemas.openxmlformats.org/officeDocument/2006/relationships/hyperlink" Target="https://icoen.org/" TargetMode="External"/><Relationship Id="rId300" Type="http://schemas.openxmlformats.org/officeDocument/2006/relationships/hyperlink" Target="https://employee.uc.ac.id/index.php/file/get/sis/t_cp/multi/44388237-9417-11ee-bd04-000d3ac6bafe.png" TargetMode="External"/><Relationship Id="rId538" Type="http://schemas.openxmlformats.org/officeDocument/2006/relationships/hyperlink" Target="https://employee.uc.ac.id/index.php/file/get/sis/t_cp/multi/44388237-9417-11ee-bd04-000d3ac6bafe.png" TargetMode="External"/><Relationship Id="rId745" Type="http://schemas.openxmlformats.org/officeDocument/2006/relationships/hyperlink" Target="https://employee.uc.ac.id/index.php/file/get/sis/t_cp/899236bd-188c-11ee-96cf-000d3ac6bafe.jpg" TargetMode="External"/><Relationship Id="rId952" Type="http://schemas.openxmlformats.org/officeDocument/2006/relationships/hyperlink" Target="https://icoen.org/" TargetMode="External"/><Relationship Id="rId1168" Type="http://schemas.openxmlformats.org/officeDocument/2006/relationships/table" Target="../tables/table2.xml"/><Relationship Id="rId81" Type="http://schemas.openxmlformats.org/officeDocument/2006/relationships/hyperlink" Target="https://employee.uc.ac.id/index.php/file/get/sis/t_cp/c622e22d-b664-11ed-aa92-000d3ac6bafe.jpg" TargetMode="External"/><Relationship Id="rId177" Type="http://schemas.openxmlformats.org/officeDocument/2006/relationships/hyperlink" Target="https://icoen.org/" TargetMode="External"/><Relationship Id="rId384" Type="http://schemas.openxmlformats.org/officeDocument/2006/relationships/hyperlink" Target="https://employee.uc.ac.id/index.php/file/get/sis/t_cp/multi/44388237-9417-11ee-bd04-000d3ac6bafe_assignmentletter.png" TargetMode="External"/><Relationship Id="rId591" Type="http://schemas.openxmlformats.org/officeDocument/2006/relationships/hyperlink" Target="https://icoen.org/" TargetMode="External"/><Relationship Id="rId605" Type="http://schemas.openxmlformats.org/officeDocument/2006/relationships/hyperlink" Target="https://icoen.org/" TargetMode="External"/><Relationship Id="rId812" Type="http://schemas.openxmlformats.org/officeDocument/2006/relationships/hyperlink" Target="https://employee.uc.ac.id/index.php/file/get/sis/t_cp/multi/c77a0b11-9336-11ee-859c-000d3ac6bafe.png" TargetMode="External"/><Relationship Id="rId1028" Type="http://schemas.openxmlformats.org/officeDocument/2006/relationships/hyperlink" Target="https://employee.uc.ac.id/index.php/file/get/sis/t_cp/multi/c77a0b11-9336-11ee-859c-000d3ac6bafe_assignmentletter.png" TargetMode="External"/><Relationship Id="rId244" Type="http://schemas.openxmlformats.org/officeDocument/2006/relationships/hyperlink" Target="https://employee.uc.ac.id/index.php/file/get/sis/t_cp/multi/44388237-9417-11ee-bd04-000d3ac6bafe.png" TargetMode="External"/><Relationship Id="rId689" Type="http://schemas.openxmlformats.org/officeDocument/2006/relationships/hyperlink" Target="https://icoen.org/" TargetMode="External"/><Relationship Id="rId896" Type="http://schemas.openxmlformats.org/officeDocument/2006/relationships/hyperlink" Target="https://employee.uc.ac.id/index.php/file/get/sis/t_cp/multi/c77a0b11-9336-11ee-859c-000d3ac6bafe.png" TargetMode="External"/><Relationship Id="rId1081" Type="http://schemas.openxmlformats.org/officeDocument/2006/relationships/hyperlink" Target="https://employee.uc.ac.id/index.php/file/get/sis/t_cp/multi/c77a0b11-9336-11ee-859c-000d3ac6bafe.png" TargetMode="External"/><Relationship Id="rId39" Type="http://schemas.openxmlformats.org/officeDocument/2006/relationships/hyperlink" Target="https://icoen.org/" TargetMode="External"/><Relationship Id="rId451" Type="http://schemas.openxmlformats.org/officeDocument/2006/relationships/hyperlink" Target="https://employee.uc.ac.id/index.php/file/get/sis/t_cp/multi/44388237-9417-11ee-bd04-000d3ac6bafe_assignmentletter.png" TargetMode="External"/><Relationship Id="rId549" Type="http://schemas.openxmlformats.org/officeDocument/2006/relationships/hyperlink" Target="https://icoen.org/" TargetMode="External"/><Relationship Id="rId756" Type="http://schemas.openxmlformats.org/officeDocument/2006/relationships/hyperlink" Target="https://employee.uc.ac.id/index.php/file/get/sis/t_cp/47a77fda-dcd7-11ed-8a0b-000d3ac6bafe.HEIC" TargetMode="External"/><Relationship Id="rId104" Type="http://schemas.openxmlformats.org/officeDocument/2006/relationships/hyperlink" Target="https://icoen.org/" TargetMode="External"/><Relationship Id="rId188" Type="http://schemas.openxmlformats.org/officeDocument/2006/relationships/hyperlink" Target="https://employee.uc.ac.id/index.php/file/get/sis/t_cp/multi/44388237-9417-11ee-bd04-000d3ac6bafe_assignmentletter.png" TargetMode="External"/><Relationship Id="rId311" Type="http://schemas.openxmlformats.org/officeDocument/2006/relationships/hyperlink" Target="https://icoen.org/" TargetMode="External"/><Relationship Id="rId395" Type="http://schemas.openxmlformats.org/officeDocument/2006/relationships/hyperlink" Target="https://employee.uc.ac.id/index.php/file/get/sis/t_cp/multi/44388237-9417-11ee-bd04-000d3ac6bafe.png" TargetMode="External"/><Relationship Id="rId409" Type="http://schemas.openxmlformats.org/officeDocument/2006/relationships/hyperlink" Target="https://icoen.org/" TargetMode="External"/><Relationship Id="rId963" Type="http://schemas.openxmlformats.org/officeDocument/2006/relationships/hyperlink" Target="https://icoen.org/" TargetMode="External"/><Relationship Id="rId1039" Type="http://schemas.openxmlformats.org/officeDocument/2006/relationships/hyperlink" Target="https://employee.uc.ac.id/index.php/file/get/sis/t_cp/8718597b-402b-11ee-a77b-000d3ac6bafe.pdf" TargetMode="External"/><Relationship Id="rId92" Type="http://schemas.openxmlformats.org/officeDocument/2006/relationships/hyperlink" Target="https://employee.uc.ac.id/index.php/file/get/sis/t_cp/multi/44388237-9417-11ee-bd04-000d3ac6bafe.png" TargetMode="External"/><Relationship Id="rId616" Type="http://schemas.openxmlformats.org/officeDocument/2006/relationships/hyperlink" Target="https://employee.uc.ac.id/index.php/file/get/sis/t_cp/multi/44388237-9417-11ee-bd04-000d3ac6bafe_assignmentletter.png" TargetMode="External"/><Relationship Id="rId823" Type="http://schemas.openxmlformats.org/officeDocument/2006/relationships/hyperlink" Target="https://employee.uc.ac.id/index.php/file/get/sis/t_cp/multi/c77a0b11-9336-11ee-859c-000d3ac6bafe.png" TargetMode="External"/><Relationship Id="rId255" Type="http://schemas.openxmlformats.org/officeDocument/2006/relationships/hyperlink" Target="https://icoen.org/" TargetMode="External"/><Relationship Id="rId462" Type="http://schemas.openxmlformats.org/officeDocument/2006/relationships/hyperlink" Target="https://icoen.org/" TargetMode="External"/><Relationship Id="rId1092" Type="http://schemas.openxmlformats.org/officeDocument/2006/relationships/hyperlink" Target="https://icoen.org/" TargetMode="External"/><Relationship Id="rId1106" Type="http://schemas.openxmlformats.org/officeDocument/2006/relationships/hyperlink" Target="https://employee.uc.ac.id/index.php/file/get/sis/t_cp/multi/c77a0b11-9336-11ee-859c-000d3ac6bafe.png" TargetMode="External"/><Relationship Id="rId115" Type="http://schemas.openxmlformats.org/officeDocument/2006/relationships/hyperlink" Target="https://employee.uc.ac.id/index.php/file/get/sis/t_cp/multi/44388237-9417-11ee-bd04-000d3ac6bafe.png" TargetMode="External"/><Relationship Id="rId322" Type="http://schemas.openxmlformats.org/officeDocument/2006/relationships/hyperlink" Target="https://employee.uc.ac.id/index.php/file/get/sis/t_cp/multi/44388237-9417-11ee-bd04-000d3ac6bafe_assignmentletter.png" TargetMode="External"/><Relationship Id="rId767" Type="http://schemas.openxmlformats.org/officeDocument/2006/relationships/hyperlink" Target="https://employee.uc.ac.id/index.php/file/get/sis/t_cp/dce2baf4-fa9c-11ed-965d-000d3ac6bafe.pdf" TargetMode="External"/><Relationship Id="rId974" Type="http://schemas.openxmlformats.org/officeDocument/2006/relationships/hyperlink" Target="https://employee.uc.ac.id/index.php/file/get/sis/t_cp/multi/c77a0b11-9336-11ee-859c-000d3ac6bafe_assignmentletter.png" TargetMode="External"/><Relationship Id="rId199" Type="http://schemas.openxmlformats.org/officeDocument/2006/relationships/hyperlink" Target="https://employee.uc.ac.id/index.php/file/get/sis/t_cp/multi/44388237-9417-11ee-bd04-000d3ac6bafe.png" TargetMode="External"/><Relationship Id="rId627" Type="http://schemas.openxmlformats.org/officeDocument/2006/relationships/hyperlink" Target="https://employee.uc.ac.id/index.php/file/get/sis/t_cp/multi/44388237-9417-11ee-bd04-000d3ac6bafe.png" TargetMode="External"/><Relationship Id="rId834" Type="http://schemas.openxmlformats.org/officeDocument/2006/relationships/hyperlink" Target="https://icoen.org/" TargetMode="External"/><Relationship Id="rId266" Type="http://schemas.openxmlformats.org/officeDocument/2006/relationships/hyperlink" Target="https://employee.uc.ac.id/index.php/file/get/sis/t_cp/multi/44388237-9417-11ee-bd04-000d3ac6bafe_assignmentletter.png" TargetMode="External"/><Relationship Id="rId473" Type="http://schemas.openxmlformats.org/officeDocument/2006/relationships/hyperlink" Target="https://employee.uc.ac.id/index.php/file/get/sis/t_cp/multi/44388237-9417-11ee-bd04-000d3ac6bafe_assignmentletter.png" TargetMode="External"/><Relationship Id="rId680" Type="http://schemas.openxmlformats.org/officeDocument/2006/relationships/hyperlink" Target="https://icoen.org/" TargetMode="External"/><Relationship Id="rId901" Type="http://schemas.openxmlformats.org/officeDocument/2006/relationships/hyperlink" Target="https://icoen.org/" TargetMode="External"/><Relationship Id="rId1117" Type="http://schemas.openxmlformats.org/officeDocument/2006/relationships/hyperlink" Target="https://employee.uc.ac.id/index.php/file/get/sis/t_cp/multi/f6c081fe-76ca-11ee-858c-000d3ac6bafe.png" TargetMode="External"/><Relationship Id="rId30" Type="http://schemas.openxmlformats.org/officeDocument/2006/relationships/hyperlink" Target="https://employee.uc.ac.id/index.php/file/get/sis/t_cp/multi/c77a0b11-9336-11ee-859c-000d3ac6bafe_assignmentletter.png" TargetMode="External"/><Relationship Id="rId126" Type="http://schemas.openxmlformats.org/officeDocument/2006/relationships/hyperlink" Target="https://icoen.org/" TargetMode="External"/><Relationship Id="rId333" Type="http://schemas.openxmlformats.org/officeDocument/2006/relationships/hyperlink" Target="https://employee.uc.ac.id/index.php/file/get/sis/t_cp/multi/c15ab80d-7c81-11ee-aca7-000d3ac6bafe_assignmentletter.png" TargetMode="External"/><Relationship Id="rId540" Type="http://schemas.openxmlformats.org/officeDocument/2006/relationships/hyperlink" Target="https://icoen.org/" TargetMode="External"/><Relationship Id="rId778" Type="http://schemas.openxmlformats.org/officeDocument/2006/relationships/hyperlink" Target="https://employee.uc.ac.id/index.php/file/get/sis/t_cp/5134f42a-5d4d-11ee-9708-000d3ac6bafe.pdf" TargetMode="External"/><Relationship Id="rId985" Type="http://schemas.openxmlformats.org/officeDocument/2006/relationships/hyperlink" Target="https://employee.uc.ac.id/index.php/file/get/sis/t_cp/8a6cbd2d-73f0-11ee-b010-000d3ac6bafe.jpeg" TargetMode="External"/><Relationship Id="rId638" Type="http://schemas.openxmlformats.org/officeDocument/2006/relationships/hyperlink" Target="https://icoen.org/" TargetMode="External"/><Relationship Id="rId845" Type="http://schemas.openxmlformats.org/officeDocument/2006/relationships/hyperlink" Target="https://employee.uc.ac.id/index.php/file/get/sis/t_cp/multi/c77a0b11-9336-11ee-859c-000d3ac6bafe_assignmentletter.png" TargetMode="External"/><Relationship Id="rId1030" Type="http://schemas.openxmlformats.org/officeDocument/2006/relationships/hyperlink" Target="https://employee.uc.ac.id/index.php/file/get/sis/t_cp/9e27b819-ad0c-11ed-87f5-000d3ac6bafe.jpg" TargetMode="External"/><Relationship Id="rId277" Type="http://schemas.openxmlformats.org/officeDocument/2006/relationships/hyperlink" Target="https://employee.uc.ac.id/index.php/file/get/sis/t_cp/multi/44388237-9417-11ee-bd04-000d3ac6bafe.png" TargetMode="External"/><Relationship Id="rId400" Type="http://schemas.openxmlformats.org/officeDocument/2006/relationships/hyperlink" Target="https://icoen.org/" TargetMode="External"/><Relationship Id="rId484" Type="http://schemas.openxmlformats.org/officeDocument/2006/relationships/hyperlink" Target="https://employee.uc.ac.id/index.php/file/get/sis/t_cp/multi/44388237-9417-11ee-bd04-000d3ac6bafe.png" TargetMode="External"/><Relationship Id="rId705" Type="http://schemas.openxmlformats.org/officeDocument/2006/relationships/hyperlink" Target="https://employee.uc.ac.id/index.php/file/get/sis/t_cp/multi/44388237-9417-11ee-bd04-000d3ac6bafe.png" TargetMode="External"/><Relationship Id="rId1128" Type="http://schemas.openxmlformats.org/officeDocument/2006/relationships/hyperlink" Target="https://www.linkedin.com/company/academia-law-rese" TargetMode="External"/><Relationship Id="rId137" Type="http://schemas.openxmlformats.org/officeDocument/2006/relationships/hyperlink" Target="https://icoen.org/" TargetMode="External"/><Relationship Id="rId344" Type="http://schemas.openxmlformats.org/officeDocument/2006/relationships/hyperlink" Target="https://employee.uc.ac.id/index.php/file/get/sis/t_cp/multi/44388237-9417-11ee-bd04-000d3ac6bafe.png" TargetMode="External"/><Relationship Id="rId691" Type="http://schemas.openxmlformats.org/officeDocument/2006/relationships/hyperlink" Target="https://employee.uc.ac.id/index.php/file/get/sis/t_cp/multi/44388237-9417-11ee-bd04-000d3ac6bafe_assignmentletter.png" TargetMode="External"/><Relationship Id="rId789" Type="http://schemas.openxmlformats.org/officeDocument/2006/relationships/hyperlink" Target="https://employee.uc.ac.id/index.php/file/get/sis/t_cp/multi/c77a0b11-9336-11ee-859c-000d3ac6bafe.png" TargetMode="External"/><Relationship Id="rId912" Type="http://schemas.openxmlformats.org/officeDocument/2006/relationships/hyperlink" Target="https://employee.uc.ac.id/index.php/file/get/sis/t_cp/multi/c77a0b11-9336-11ee-859c-000d3ac6bafe_assignmentletter.png" TargetMode="External"/><Relationship Id="rId996" Type="http://schemas.openxmlformats.org/officeDocument/2006/relationships/hyperlink" Target="https://employee.uc.ac.id/index.php/file/get/sis/t_cp/8e602f94-a07e-11ee-bdb5-000d3ac6bafe.pdf" TargetMode="External"/><Relationship Id="rId41" Type="http://schemas.openxmlformats.org/officeDocument/2006/relationships/hyperlink" Target="https://employee.uc.ac.id/index.php/file/get/sis/t_cp/multi/44388237-9417-11ee-bd04-000d3ac6bafe_assignmentletter.png" TargetMode="External"/><Relationship Id="rId551" Type="http://schemas.openxmlformats.org/officeDocument/2006/relationships/hyperlink" Target="https://employee.uc.ac.id/index.php/file/get/sis/t_cp/multi/44388237-9417-11ee-bd04-000d3ac6bafe_assignmentletter.png" TargetMode="External"/><Relationship Id="rId649" Type="http://schemas.openxmlformats.org/officeDocument/2006/relationships/hyperlink" Target="https://employee.uc.ac.id/index.php/file/get/sis/t_cp/multi/44388237-9417-11ee-bd04-000d3ac6bafe_assignmentletter.png" TargetMode="External"/><Relationship Id="rId856" Type="http://schemas.openxmlformats.org/officeDocument/2006/relationships/hyperlink" Target="https://www.uc.ac.id/puc/" TargetMode="External"/><Relationship Id="rId190" Type="http://schemas.openxmlformats.org/officeDocument/2006/relationships/hyperlink" Target="https://employee.uc.ac.id/index.php/file/get/sis/t_cp/multi/44388237-9417-11ee-bd04-000d3ac6bafe.png" TargetMode="External"/><Relationship Id="rId204" Type="http://schemas.openxmlformats.org/officeDocument/2006/relationships/hyperlink" Target="https://icoen.org/" TargetMode="External"/><Relationship Id="rId288" Type="http://schemas.openxmlformats.org/officeDocument/2006/relationships/hyperlink" Target="https://employee.uc.ac.id/index.php/file/get/sis/t_cp/multi/44388237-9417-11ee-bd04-000d3ac6bafe.png" TargetMode="External"/><Relationship Id="rId411" Type="http://schemas.openxmlformats.org/officeDocument/2006/relationships/hyperlink" Target="https://employee.uc.ac.id/index.php/file/get/sis/t_cp/multi/44388237-9417-11ee-bd04-000d3ac6bafe_assignmentletter.png" TargetMode="External"/><Relationship Id="rId509" Type="http://schemas.openxmlformats.org/officeDocument/2006/relationships/hyperlink" Target="https://employee.uc.ac.id/index.php/file/get/sis/t_cp/multi/44388237-9417-11ee-bd04-000d3ac6bafe_assignmentletter.png" TargetMode="External"/><Relationship Id="rId1041" Type="http://schemas.openxmlformats.org/officeDocument/2006/relationships/hyperlink" Target="https://employee.uc.ac.id/index.php/file/get/sis/t_cp/eba986b2-8b32-11ed-a20e-000d3ac6bafe.pdf" TargetMode="External"/><Relationship Id="rId1139" Type="http://schemas.openxmlformats.org/officeDocument/2006/relationships/hyperlink" Target="https://employee.uc.ac.id/index.php/file/get/sis/t_cp/multi/c77a0b11-9336-11ee-859c-000d3ac6bafe.png" TargetMode="External"/><Relationship Id="rId495" Type="http://schemas.openxmlformats.org/officeDocument/2006/relationships/hyperlink" Target="https://icoen.org/" TargetMode="External"/><Relationship Id="rId716" Type="http://schemas.openxmlformats.org/officeDocument/2006/relationships/hyperlink" Target="https://employee.uc.ac.id/index.php/file/get/sis/t_cp/de578adb-0c2d-11ee-825c-000d3ac6bafe.jpg" TargetMode="External"/><Relationship Id="rId923" Type="http://schemas.openxmlformats.org/officeDocument/2006/relationships/hyperlink" Target="https://employee.uc.ac.id/index.php/file/get/sis/t_cp/multi/c77a0b11-9336-11ee-859c-000d3ac6bafe.png" TargetMode="External"/><Relationship Id="rId52" Type="http://schemas.openxmlformats.org/officeDocument/2006/relationships/hyperlink" Target="https://employee.uc.ac.id/index.php/file/get/sis/t_cp/multi/1e7be259-882b-11ee-ae4d-000d3ac6bafe.png" TargetMode="External"/><Relationship Id="rId148" Type="http://schemas.openxmlformats.org/officeDocument/2006/relationships/hyperlink" Target="https://employee.uc.ac.id/index.php/file/get/sis/t_cp/multi/44388237-9417-11ee-bd04-000d3ac6bafe.png" TargetMode="External"/><Relationship Id="rId355" Type="http://schemas.openxmlformats.org/officeDocument/2006/relationships/hyperlink" Target="https://icoen.org/" TargetMode="External"/><Relationship Id="rId562" Type="http://schemas.openxmlformats.org/officeDocument/2006/relationships/hyperlink" Target="https://employee.uc.ac.id/index.php/file/get/sis/t_cp/multi/44388237-9417-11ee-bd04-000d3ac6bafe.png" TargetMode="External"/><Relationship Id="rId215" Type="http://schemas.openxmlformats.org/officeDocument/2006/relationships/hyperlink" Target="https://employee.uc.ac.id/index.php/file/get/sis/t_cp/multi/44388237-9417-11ee-bd04-000d3ac6bafe_assignmentletter.png" TargetMode="External"/><Relationship Id="rId422" Type="http://schemas.openxmlformats.org/officeDocument/2006/relationships/hyperlink" Target="https://employee.uc.ac.id/index.php/file/get/sis/t_cp/multi/44388237-9417-11ee-bd04-000d3ac6bafe.png" TargetMode="External"/><Relationship Id="rId867" Type="http://schemas.openxmlformats.org/officeDocument/2006/relationships/hyperlink" Target="https://employee.uc.ac.id/index.php/file/get/sis/t_cp/multi/1e7be259-882b-11ee-ae4d-000d3ac6bafe.png" TargetMode="External"/><Relationship Id="rId1052" Type="http://schemas.openxmlformats.org/officeDocument/2006/relationships/hyperlink" Target="https://employee.uc.ac.id/index.php/file/get/sis/t_cp/multi/c77a0b11-9336-11ee-859c-000d3ac6bafe.png" TargetMode="External"/><Relationship Id="rId299" Type="http://schemas.openxmlformats.org/officeDocument/2006/relationships/hyperlink" Target="https://icoen.org/" TargetMode="External"/><Relationship Id="rId727" Type="http://schemas.openxmlformats.org/officeDocument/2006/relationships/hyperlink" Target="https://employee.uc.ac.id/index.php/file/get/sis/t_cp/multi/c15ab80d-7c81-11ee-aca7-000d3ac6bafe_assignmentletter.png" TargetMode="External"/><Relationship Id="rId934" Type="http://schemas.openxmlformats.org/officeDocument/2006/relationships/hyperlink" Target="https://employee.uc.ac.id/index.php/file/get/sis/t_cp/299c8121-9e65-11ee-a2ac-000d3ac6bafe.pdf" TargetMode="External"/><Relationship Id="rId63" Type="http://schemas.openxmlformats.org/officeDocument/2006/relationships/hyperlink" Target="https://icoen.org/" TargetMode="External"/><Relationship Id="rId159" Type="http://schemas.openxmlformats.org/officeDocument/2006/relationships/hyperlink" Target="https://employee.uc.ac.id/index.php/file/get/sis/t_cp/multi/44388237-9417-11ee-bd04-000d3ac6bafe.png" TargetMode="External"/><Relationship Id="rId366" Type="http://schemas.openxmlformats.org/officeDocument/2006/relationships/hyperlink" Target="https://employee.uc.ac.id/index.php/file/get/sis/t_cp/multi/44388237-9417-11ee-bd04-000d3ac6bafe_assignmentletter.png" TargetMode="External"/><Relationship Id="rId573" Type="http://schemas.openxmlformats.org/officeDocument/2006/relationships/hyperlink" Target="https://icoen.org/" TargetMode="External"/><Relationship Id="rId780" Type="http://schemas.openxmlformats.org/officeDocument/2006/relationships/hyperlink" Target="https://employee.uc.ac.id/index.php/file/get/sis/t_cp/24018527-681a-11ee-876c-000d3ac6bafe.pdf" TargetMode="External"/><Relationship Id="rId226" Type="http://schemas.openxmlformats.org/officeDocument/2006/relationships/hyperlink" Target="https://employee.uc.ac.id/index.php/file/get/sis/t_cp/multi/44388237-9417-11ee-bd04-000d3ac6bafe.png" TargetMode="External"/><Relationship Id="rId433" Type="http://schemas.openxmlformats.org/officeDocument/2006/relationships/hyperlink" Target="https://icoen.org/" TargetMode="External"/><Relationship Id="rId878" Type="http://schemas.openxmlformats.org/officeDocument/2006/relationships/hyperlink" Target="https://icoen.org/" TargetMode="External"/><Relationship Id="rId1063" Type="http://schemas.openxmlformats.org/officeDocument/2006/relationships/hyperlink" Target="https://employee.uc.ac.id/index.php/file/get/sis/t_cp/62ffa310-55de-11ee-8778-000d3ac6bafe.png" TargetMode="External"/><Relationship Id="rId640" Type="http://schemas.openxmlformats.org/officeDocument/2006/relationships/hyperlink" Target="https://employee.uc.ac.id/index.php/file/get/sis/t_cp/multi/44388237-9417-11ee-bd04-000d3ac6bafe_assignmentletter.png" TargetMode="External"/><Relationship Id="rId738" Type="http://schemas.openxmlformats.org/officeDocument/2006/relationships/hyperlink" Target="https://employee.uc.ac.id/index.php/file/get/sis/t_cp/0b5997ad-14a4-11ee-bcb1-000d3ac6bafe_report.pdf" TargetMode="External"/><Relationship Id="rId945" Type="http://schemas.openxmlformats.org/officeDocument/2006/relationships/hyperlink" Target="https://employee.uc.ac.id/index.php/file/get/sis/t_cp/multi/c77a0b11-9336-11ee-859c-000d3ac6bafe_assignmentletter.png" TargetMode="External"/><Relationship Id="rId74" Type="http://schemas.openxmlformats.org/officeDocument/2006/relationships/hyperlink" Target="https://employee.uc.ac.id/index.php/file/get/sis/t_cp/multi/44388237-9417-11ee-bd04-000d3ac6bafe_assignmentletter.png" TargetMode="External"/><Relationship Id="rId377" Type="http://schemas.openxmlformats.org/officeDocument/2006/relationships/hyperlink" Target="https://employee.uc.ac.id/index.php/file/get/sis/t_cp/multi/44388237-9417-11ee-bd04-000d3ac6bafe.png" TargetMode="External"/><Relationship Id="rId500" Type="http://schemas.openxmlformats.org/officeDocument/2006/relationships/hyperlink" Target="https://employee.uc.ac.id/index.php/file/get/sis/t_cp/multi/44388237-9417-11ee-bd04-000d3ac6bafe_assignmentletter.png" TargetMode="External"/><Relationship Id="rId584" Type="http://schemas.openxmlformats.org/officeDocument/2006/relationships/hyperlink" Target="https://employee.uc.ac.id/index.php/file/get/sis/t_cp/multi/44388237-9417-11ee-bd04-000d3ac6bafe_assignmentletter.png" TargetMode="External"/><Relationship Id="rId805" Type="http://schemas.openxmlformats.org/officeDocument/2006/relationships/hyperlink" Target="https://icoen.org/" TargetMode="External"/><Relationship Id="rId1130" Type="http://schemas.openxmlformats.org/officeDocument/2006/relationships/hyperlink" Target="https://employee.uc.ac.id/index.php/file/get/sis/t_cp/7bf2a0c5-684f-11ee-86ec-000d3ac6bafe_assignmentletter.png" TargetMode="External"/><Relationship Id="rId5" Type="http://schemas.openxmlformats.org/officeDocument/2006/relationships/hyperlink" Target="https://employee.uc.ac.id/index.php/file/get/sis/t_cp/02c6cca4-0451-11ee-ba25-000d3ac6bafe.jpg" TargetMode="External"/><Relationship Id="rId237" Type="http://schemas.openxmlformats.org/officeDocument/2006/relationships/hyperlink" Target="https://icoen.org/" TargetMode="External"/><Relationship Id="rId791" Type="http://schemas.openxmlformats.org/officeDocument/2006/relationships/hyperlink" Target="https://icoen.org/" TargetMode="External"/><Relationship Id="rId889" Type="http://schemas.openxmlformats.org/officeDocument/2006/relationships/hyperlink" Target="https://icoen.org/" TargetMode="External"/><Relationship Id="rId1074" Type="http://schemas.openxmlformats.org/officeDocument/2006/relationships/hyperlink" Target="https://icoen.org/" TargetMode="External"/><Relationship Id="rId444" Type="http://schemas.openxmlformats.org/officeDocument/2006/relationships/hyperlink" Target="https://sma.pusatprestasinasional.kemdikbud.go.id/" TargetMode="External"/><Relationship Id="rId651" Type="http://schemas.openxmlformats.org/officeDocument/2006/relationships/hyperlink" Target="https://employee.uc.ac.id/index.php/file/get/sis/t_cp/multi/44388237-9417-11ee-bd04-000d3ac6bafe.png" TargetMode="External"/><Relationship Id="rId749" Type="http://schemas.openxmlformats.org/officeDocument/2006/relationships/hyperlink" Target="https://employee.uc.ac.id/index.php/file/get/sis/t_cp/73831462-be27-11ed-8a3c-000d3ac6bafe.pdf" TargetMode="External"/><Relationship Id="rId290" Type="http://schemas.openxmlformats.org/officeDocument/2006/relationships/hyperlink" Target="https://icoen.org/" TargetMode="External"/><Relationship Id="rId304" Type="http://schemas.openxmlformats.org/officeDocument/2006/relationships/hyperlink" Target="https://employee.uc.ac.id/index.php/file/get/sis/t_cp/multi/44388237-9417-11ee-bd04-000d3ac6bafe_assignmentletter.png" TargetMode="External"/><Relationship Id="rId388" Type="http://schemas.openxmlformats.org/officeDocument/2006/relationships/hyperlink" Target="https://icoen.org/" TargetMode="External"/><Relationship Id="rId511" Type="http://schemas.openxmlformats.org/officeDocument/2006/relationships/hyperlink" Target="https://employee.uc.ac.id/index.php/file/get/sis/t_cp/multi/44388237-9417-11ee-bd04-000d3ac6bafe.png" TargetMode="External"/><Relationship Id="rId609" Type="http://schemas.openxmlformats.org/officeDocument/2006/relationships/hyperlink" Target="https://employee.uc.ac.id/index.php/file/get/sis/t_cp/multi/44388237-9417-11ee-bd04-000d3ac6bafe.png" TargetMode="External"/><Relationship Id="rId956" Type="http://schemas.openxmlformats.org/officeDocument/2006/relationships/hyperlink" Target="https://employee.uc.ac.id/index.php/file/get/sis/t_cp/d2e9fbdf-97c7-11ed-af4b-000d3ac6bafe.pdf" TargetMode="External"/><Relationship Id="rId1141" Type="http://schemas.openxmlformats.org/officeDocument/2006/relationships/hyperlink" Target="https://icoen.org/" TargetMode="External"/><Relationship Id="rId85" Type="http://schemas.openxmlformats.org/officeDocument/2006/relationships/hyperlink" Target="https://icoen.org/" TargetMode="External"/><Relationship Id="rId150" Type="http://schemas.openxmlformats.org/officeDocument/2006/relationships/hyperlink" Target="https://modelunitednation.org/offline" TargetMode="External"/><Relationship Id="rId595" Type="http://schemas.openxmlformats.org/officeDocument/2006/relationships/hyperlink" Target="https://employee.uc.ac.id/index.php/file/get/sis/t_cp/multi/44388237-9417-11ee-bd04-000d3ac6bafe.png" TargetMode="External"/><Relationship Id="rId816" Type="http://schemas.openxmlformats.org/officeDocument/2006/relationships/hyperlink" Target="https://employee.uc.ac.id/index.php/file/get/sis/t_cp/multi/c77a0b11-9336-11ee-859c-000d3ac6bafe_assignmentletter.png" TargetMode="External"/><Relationship Id="rId1001" Type="http://schemas.openxmlformats.org/officeDocument/2006/relationships/hyperlink" Target="https://employee.uc.ac.id/index.php/file/get/sis/t_cp/0f7e76e8-fa9f-11ed-965d-000d3ac6bafe.png" TargetMode="External"/><Relationship Id="rId248" Type="http://schemas.openxmlformats.org/officeDocument/2006/relationships/hyperlink" Target="https://employee.uc.ac.id/index.php/file/get/sis/t_cp/multi/44388237-9417-11ee-bd04-000d3ac6bafe_assignmentletter.png" TargetMode="External"/><Relationship Id="rId455" Type="http://schemas.openxmlformats.org/officeDocument/2006/relationships/hyperlink" Target="https://employee.uc.ac.id/index.php/file/get/sis/t_cp/multi/44388237-9417-11ee-bd04-000d3ac6bafe_assignmentletter.png" TargetMode="External"/><Relationship Id="rId662" Type="http://schemas.openxmlformats.org/officeDocument/2006/relationships/hyperlink" Target="https://icoen.org/" TargetMode="External"/><Relationship Id="rId1085" Type="http://schemas.openxmlformats.org/officeDocument/2006/relationships/hyperlink" Target="https://employee.uc.ac.id/index.php/file/get/sis/t_cp/multi/c77a0b11-9336-11ee-859c-000d3ac6bafe_assignmentletter.png" TargetMode="External"/><Relationship Id="rId12" Type="http://schemas.openxmlformats.org/officeDocument/2006/relationships/hyperlink" Target="https://employee.uc.ac.id/index.php/file/get/sis/t_cp/7a9befb4-97e1-11ed-af4b-000d3ac6bafe.jpg" TargetMode="External"/><Relationship Id="rId108" Type="http://schemas.openxmlformats.org/officeDocument/2006/relationships/hyperlink" Target="https://employee.uc.ac.id/index.php/file/get/sis/t_cp/multi/44388237-9417-11ee-bd04-000d3ac6bafe.png" TargetMode="External"/><Relationship Id="rId315" Type="http://schemas.openxmlformats.org/officeDocument/2006/relationships/hyperlink" Target="https://employee.uc.ac.id/index.php/file/get/sis/t_cp/multi/44388237-9417-11ee-bd04-000d3ac6bafe.png" TargetMode="External"/><Relationship Id="rId522" Type="http://schemas.openxmlformats.org/officeDocument/2006/relationships/hyperlink" Target="https://icoen.org/" TargetMode="External"/><Relationship Id="rId967" Type="http://schemas.openxmlformats.org/officeDocument/2006/relationships/hyperlink" Target="https://employee.uc.ac.id/index.php/file/get/sis/t_cp/multi/c77a0b11-9336-11ee-859c-000d3ac6bafe.png" TargetMode="External"/><Relationship Id="rId1152" Type="http://schemas.openxmlformats.org/officeDocument/2006/relationships/hyperlink" Target="https://employee.uc.ac.id/index.php/file/get/sis/t_cp/d1148a30-b670-11ed-aa92-000d3ac6bafe.jpg" TargetMode="External"/><Relationship Id="rId96" Type="http://schemas.openxmlformats.org/officeDocument/2006/relationships/hyperlink" Target="https://employee.uc.ac.id/index.php/file/get/sis/t_cp/cea351eb-b3eb-11ed-9a6a-000d3ac6bafe.jpg" TargetMode="External"/><Relationship Id="rId161" Type="http://schemas.openxmlformats.org/officeDocument/2006/relationships/hyperlink" Target="https://icoen.org/" TargetMode="External"/><Relationship Id="rId399" Type="http://schemas.openxmlformats.org/officeDocument/2006/relationships/hyperlink" Target="https://employee.uc.ac.id/index.php/file/get/sis/t_cp/multi/44388237-9417-11ee-bd04-000d3ac6bafe_assignmentletter.png" TargetMode="External"/><Relationship Id="rId827" Type="http://schemas.openxmlformats.org/officeDocument/2006/relationships/hyperlink" Target="https://employee.uc.ac.id/index.php/file/get/sis/t_cp/multi/c77a0b11-9336-11ee-859c-000d3ac6bafe_assignmentletter.png" TargetMode="External"/><Relationship Id="rId1012" Type="http://schemas.openxmlformats.org/officeDocument/2006/relationships/hyperlink" Target="https://employee.uc.ac.id/index.php/file/get/sis/t_cp/1843d263-307a-11ee-b2c1-000d3ac6bafe_report.png" TargetMode="External"/><Relationship Id="rId259" Type="http://schemas.openxmlformats.org/officeDocument/2006/relationships/hyperlink" Target="https://employee.uc.ac.id/index.php/file/get/sis/t_cp/multi/44388237-9417-11ee-bd04-000d3ac6bafe.png" TargetMode="External"/><Relationship Id="rId466" Type="http://schemas.openxmlformats.org/officeDocument/2006/relationships/hyperlink" Target="https://employee.uc.ac.id/index.php/file/get/sis/t_cp/multi/44388237-9417-11ee-bd04-000d3ac6bafe.png" TargetMode="External"/><Relationship Id="rId673" Type="http://schemas.openxmlformats.org/officeDocument/2006/relationships/hyperlink" Target="https://employee.uc.ac.id/index.php/file/get/sis/t_cp/multi/44388237-9417-11ee-bd04-000d3ac6bafe_assignmentletter.png" TargetMode="External"/><Relationship Id="rId880" Type="http://schemas.openxmlformats.org/officeDocument/2006/relationships/hyperlink" Target="https://employee.uc.ac.id/index.php/file/get/sis/t_cp/multi/c77a0b11-9336-11ee-859c-000d3ac6bafe_assignmentletter.png" TargetMode="External"/><Relationship Id="rId1096" Type="http://schemas.openxmlformats.org/officeDocument/2006/relationships/hyperlink" Target="https://employee.uc.ac.id/index.php/file/get/sis/t_cp/378ab227-02ee-11ee-a50e-000d3ac6bafe.jpg" TargetMode="External"/><Relationship Id="rId23" Type="http://schemas.openxmlformats.org/officeDocument/2006/relationships/hyperlink" Target="https://icoen.org/" TargetMode="External"/><Relationship Id="rId119" Type="http://schemas.openxmlformats.org/officeDocument/2006/relationships/hyperlink" Target="https://employee.uc.ac.id/index.php/file/get/sis/t_cp/multi/44388237-9417-11ee-bd04-000d3ac6bafe_assignmentletter.png" TargetMode="External"/><Relationship Id="rId326" Type="http://schemas.openxmlformats.org/officeDocument/2006/relationships/hyperlink" Target="https://icoen.org/" TargetMode="External"/><Relationship Id="rId533" Type="http://schemas.openxmlformats.org/officeDocument/2006/relationships/hyperlink" Target="https://employee.uc.ac.id/index.php/file/get/sis/t_cp/multi/44388237-9417-11ee-bd04-000d3ac6bafe_assignmentletter.png" TargetMode="External"/><Relationship Id="rId978" Type="http://schemas.openxmlformats.org/officeDocument/2006/relationships/hyperlink" Target="https://employee.uc.ac.id/index.php/file/get/sis/t_cp/multi/c77a0b11-9336-11ee-859c-000d3ac6bafe.png" TargetMode="External"/><Relationship Id="rId1163" Type="http://schemas.openxmlformats.org/officeDocument/2006/relationships/hyperlink" Target="https://employee.uc.ac.id/index.php/file/get/sis/t_cp/129fbc7f-bdbb-11ed-afa1-000d3ac6bafe.png" TargetMode="External"/><Relationship Id="rId740" Type="http://schemas.openxmlformats.org/officeDocument/2006/relationships/hyperlink" Target="https://employee.uc.ac.id/index.php/file/get/sis/t_cp/17182534-034d-11ee-9899-000d3ac6bafe.jpg" TargetMode="External"/><Relationship Id="rId838" Type="http://schemas.openxmlformats.org/officeDocument/2006/relationships/hyperlink" Target="https://employee.uc.ac.id/index.php/file/get/sis/t_cp/multi/c77a0b11-9336-11ee-859c-000d3ac6bafe.png" TargetMode="External"/><Relationship Id="rId1023" Type="http://schemas.openxmlformats.org/officeDocument/2006/relationships/hyperlink" Target="https://employee.uc.ac.id/index.php/file/get/sis/t_cp/multi/9966d465-8828-11ee-ae4d-000d3ac6bafe.png" TargetMode="External"/><Relationship Id="rId172" Type="http://schemas.openxmlformats.org/officeDocument/2006/relationships/hyperlink" Target="https://employee.uc.ac.id/index.php/file/get/sis/t_cp/multi/44388237-9417-11ee-bd04-000d3ac6bafe.png" TargetMode="External"/><Relationship Id="rId477" Type="http://schemas.openxmlformats.org/officeDocument/2006/relationships/hyperlink" Target="https://icoen.org/" TargetMode="External"/><Relationship Id="rId600" Type="http://schemas.openxmlformats.org/officeDocument/2006/relationships/hyperlink" Target="https://employee.uc.ac.id/index.php/file/get/sis/t_cp/multi/44388237-9417-11ee-bd04-000d3ac6bafe.png" TargetMode="External"/><Relationship Id="rId684" Type="http://schemas.openxmlformats.org/officeDocument/2006/relationships/hyperlink" Target="https://employee.uc.ac.id/index.php/file/get/sis/t_cp/multi/44388237-9417-11ee-bd04-000d3ac6bafe.png" TargetMode="External"/><Relationship Id="rId337" Type="http://schemas.openxmlformats.org/officeDocument/2006/relationships/hyperlink" Target="https://icoen.org/" TargetMode="External"/><Relationship Id="rId891" Type="http://schemas.openxmlformats.org/officeDocument/2006/relationships/hyperlink" Target="https://employee.uc.ac.id/index.php/file/get/sis/t_cp/multi/c77a0b11-9336-11ee-859c-000d3ac6bafe_assignmentletter.png" TargetMode="External"/><Relationship Id="rId905" Type="http://schemas.openxmlformats.org/officeDocument/2006/relationships/hyperlink" Target="https://employee.uc.ac.id/index.php/file/get/sis/t_cp/multi/c77a0b11-9336-11ee-859c-000d3ac6bafe.png" TargetMode="External"/><Relationship Id="rId989" Type="http://schemas.openxmlformats.org/officeDocument/2006/relationships/hyperlink" Target="https://icoen.org/" TargetMode="External"/><Relationship Id="rId34" Type="http://schemas.openxmlformats.org/officeDocument/2006/relationships/hyperlink" Target="https://employee.uc.ac.id/index.php/file/get/sis/t_cp/multi/c77a0b11-9336-11ee-859c-000d3ac6bafe.png" TargetMode="External"/><Relationship Id="rId544" Type="http://schemas.openxmlformats.org/officeDocument/2006/relationships/hyperlink" Target="https://employee.uc.ac.id/index.php/file/get/sis/t_cp/multi/44388237-9417-11ee-bd04-000d3ac6bafe.png" TargetMode="External"/><Relationship Id="rId751" Type="http://schemas.openxmlformats.org/officeDocument/2006/relationships/hyperlink" Target="https://employee.uc.ac.id/index.php/file/get/sis/t_cp/89710f9d-194f-11ee-a5c3-000d3ac6bafe.pdf" TargetMode="External"/><Relationship Id="rId849" Type="http://schemas.openxmlformats.org/officeDocument/2006/relationships/hyperlink" Target="https://employee.uc.ac.id/index.php/file/get/sis/t_cp/c85aa59c-70fa-11ee-a572-000d3ac6bafe_assignmentletter.jpg" TargetMode="External"/><Relationship Id="rId183" Type="http://schemas.openxmlformats.org/officeDocument/2006/relationships/hyperlink" Target="https://icoen.org/" TargetMode="External"/><Relationship Id="rId390" Type="http://schemas.openxmlformats.org/officeDocument/2006/relationships/hyperlink" Target="https://employee.uc.ac.id/index.php/file/get/sis/t_cp/multi/44388237-9417-11ee-bd04-000d3ac6bafe_assignmentletter.png" TargetMode="External"/><Relationship Id="rId404" Type="http://schemas.openxmlformats.org/officeDocument/2006/relationships/hyperlink" Target="https://employee.uc.ac.id/index.php/file/get/sis/t_cp/multi/44388237-9417-11ee-bd04-000d3ac6bafe.png" TargetMode="External"/><Relationship Id="rId611" Type="http://schemas.openxmlformats.org/officeDocument/2006/relationships/hyperlink" Target="https://icoen.org/" TargetMode="External"/><Relationship Id="rId1034" Type="http://schemas.openxmlformats.org/officeDocument/2006/relationships/hyperlink" Target="https://employee.uc.ac.id/index.php/file/get/sis/t_cp/multi/9966d465-8828-11ee-ae4d-000d3ac6bafe.png" TargetMode="External"/><Relationship Id="rId250" Type="http://schemas.openxmlformats.org/officeDocument/2006/relationships/hyperlink" Target="https://employee.uc.ac.id/index.php/file/get/sis/t_cp/multi/44388237-9417-11ee-bd04-000d3ac6bafe.png" TargetMode="External"/><Relationship Id="rId488" Type="http://schemas.openxmlformats.org/officeDocument/2006/relationships/hyperlink" Target="https://employee.uc.ac.id/index.php/file/get/sis/t_cp/multi/44388237-9417-11ee-bd04-000d3ac6bafe_assignmentletter.png" TargetMode="External"/><Relationship Id="rId695" Type="http://schemas.openxmlformats.org/officeDocument/2006/relationships/hyperlink" Target="https://icoen.org/" TargetMode="External"/><Relationship Id="rId709" Type="http://schemas.openxmlformats.org/officeDocument/2006/relationships/hyperlink" Target="https://employee.uc.ac.id/index.php/file/get/sis/t_cp/multi/44388237-9417-11ee-bd04-000d3ac6bafe_assignmentletter.png" TargetMode="External"/><Relationship Id="rId916" Type="http://schemas.openxmlformats.org/officeDocument/2006/relationships/hyperlink" Target="https://employee.uc.ac.id/index.php/file/get/sis/t_cp/b2337fd2-82b8-11ee-8a78-000d3ac6bafe.pdf" TargetMode="External"/><Relationship Id="rId1101" Type="http://schemas.openxmlformats.org/officeDocument/2006/relationships/hyperlink" Target="https://employee.uc.ac.id/index.php/file/get/sis/t_cp/ae0e8160-2553-11ee-9325-000d3ac6bafe.jpg" TargetMode="External"/><Relationship Id="rId45" Type="http://schemas.openxmlformats.org/officeDocument/2006/relationships/hyperlink" Target="https://employee.uc.ac.id/index.php/file/get/sis/t_cp/multi/36efe3c6-76cb-11ee-858c-000d3ac6bafe.png" TargetMode="External"/><Relationship Id="rId110" Type="http://schemas.openxmlformats.org/officeDocument/2006/relationships/hyperlink" Target="https://employee.uc.ac.id/index.php/file/get/sis/t_cp/multi/c15ab80d-7c81-11ee-aca7-000d3ac6bafe.png" TargetMode="External"/><Relationship Id="rId348" Type="http://schemas.openxmlformats.org/officeDocument/2006/relationships/hyperlink" Target="https://employee.uc.ac.id/index.php/file/get/sis/t_cp/multi/44388237-9417-11ee-bd04-000d3ac6bafe_assignmentletter.png" TargetMode="External"/><Relationship Id="rId555" Type="http://schemas.openxmlformats.org/officeDocument/2006/relationships/hyperlink" Target="https://icoen.org/" TargetMode="External"/><Relationship Id="rId762" Type="http://schemas.openxmlformats.org/officeDocument/2006/relationships/hyperlink" Target="https://employee.uc.ac.id/index.php/file/get/sis/t_cp/a6856538-d1f0-11ed-a759-000d3ac6bafe_assignmentletter.jpg" TargetMode="External"/><Relationship Id="rId194" Type="http://schemas.openxmlformats.org/officeDocument/2006/relationships/hyperlink" Target="https://employee.uc.ac.id/index.php/file/get/sis/t_cp/multi/44388237-9417-11ee-bd04-000d3ac6bafe_assignmentletter.png" TargetMode="External"/><Relationship Id="rId208" Type="http://schemas.openxmlformats.org/officeDocument/2006/relationships/hyperlink" Target="https://employee.uc.ac.id/index.php/file/get/sis/t_cp/multi/44388237-9417-11ee-bd04-000d3ac6bafe.png" TargetMode="External"/><Relationship Id="rId415" Type="http://schemas.openxmlformats.org/officeDocument/2006/relationships/hyperlink" Target="https://icoen.org/" TargetMode="External"/><Relationship Id="rId622" Type="http://schemas.openxmlformats.org/officeDocument/2006/relationships/hyperlink" Target="https://employee.uc.ac.id/index.php/file/get/sis/t_cp/multi/44388237-9417-11ee-bd04-000d3ac6bafe_assignmentletter.png" TargetMode="External"/><Relationship Id="rId1045" Type="http://schemas.openxmlformats.org/officeDocument/2006/relationships/hyperlink" Target="https://employee.uc.ac.id/index.php/file/get/sis/t_cp/40407e8d-0696-11ee-b92f-000d3ac6bafe.pdf" TargetMode="External"/><Relationship Id="rId261" Type="http://schemas.openxmlformats.org/officeDocument/2006/relationships/hyperlink" Target="https://icoen.org/" TargetMode="External"/><Relationship Id="rId499" Type="http://schemas.openxmlformats.org/officeDocument/2006/relationships/hyperlink" Target="https://employee.uc.ac.id/index.php/file/get/sis/t_cp/multi/44388237-9417-11ee-bd04-000d3ac6bafe.png" TargetMode="External"/><Relationship Id="rId927" Type="http://schemas.openxmlformats.org/officeDocument/2006/relationships/hyperlink" Target="https://employee.uc.ac.id/index.php/file/get/sis/t_cp/multi/c77a0b11-9336-11ee-859c-000d3ac6bafe_assignmentletter.png" TargetMode="External"/><Relationship Id="rId1112" Type="http://schemas.openxmlformats.org/officeDocument/2006/relationships/hyperlink" Target="https://employee.uc.ac.id/index.php/file/get/sis/t_cp/multi/c77a0b11-9336-11ee-859c-000d3ac6bafe.png" TargetMode="External"/><Relationship Id="rId56" Type="http://schemas.openxmlformats.org/officeDocument/2006/relationships/hyperlink" Target="https://employee.uc.ac.id/index.php/file/get/sis/t_cp/multi/44388237-9417-11ee-bd04-000d3ac6bafe_assignmentletter.png" TargetMode="External"/><Relationship Id="rId359" Type="http://schemas.openxmlformats.org/officeDocument/2006/relationships/hyperlink" Target="https://employee.uc.ac.id/index.php/file/get/sis/t_cp/multi/44388237-9417-11ee-bd04-000d3ac6bafe.png" TargetMode="External"/><Relationship Id="rId566" Type="http://schemas.openxmlformats.org/officeDocument/2006/relationships/hyperlink" Target="https://employee.uc.ac.id/index.php/file/get/sis/t_cp/multi/44388237-9417-11ee-bd04-000d3ac6bafe_assignmentletter.png" TargetMode="External"/><Relationship Id="rId773" Type="http://schemas.openxmlformats.org/officeDocument/2006/relationships/hyperlink" Target="https://employee.uc.ac.id/index.php/file/get/sis/t_cp/47b6e505-6bf7-11ee-a25e-000d3ac6bafe.pdf" TargetMode="External"/><Relationship Id="rId121" Type="http://schemas.openxmlformats.org/officeDocument/2006/relationships/hyperlink" Target="https://employee.uc.ac.id/index.php/file/get/sis/t_cp/multi/44388237-9417-11ee-bd04-000d3ac6bafe.png" TargetMode="External"/><Relationship Id="rId219" Type="http://schemas.openxmlformats.org/officeDocument/2006/relationships/hyperlink" Target="https://icoen.org/" TargetMode="External"/><Relationship Id="rId426" Type="http://schemas.openxmlformats.org/officeDocument/2006/relationships/hyperlink" Target="https://employee.uc.ac.id/index.php/file/get/sis/t_cp/multi/44388237-9417-11ee-bd04-000d3ac6bafe_assignmentletter.png" TargetMode="External"/><Relationship Id="rId633" Type="http://schemas.openxmlformats.org/officeDocument/2006/relationships/hyperlink" Target="https://employee.uc.ac.id/index.php/file/get/sis/t_cp/multi/44388237-9417-11ee-bd04-000d3ac6bafe.png" TargetMode="External"/><Relationship Id="rId980" Type="http://schemas.openxmlformats.org/officeDocument/2006/relationships/hyperlink" Target="https://www.instagram.com/p/CwJvySzB8-C/?igshid=Mz" TargetMode="External"/><Relationship Id="rId1056" Type="http://schemas.openxmlformats.org/officeDocument/2006/relationships/hyperlink" Target="https://employee.uc.ac.id/index.php/file/get/sis/t_cp/multi/c77a0b11-9336-11ee-859c-000d3ac6bafe_assignmentletter.png" TargetMode="External"/><Relationship Id="rId840" Type="http://schemas.openxmlformats.org/officeDocument/2006/relationships/hyperlink" Target="https://icoen.org/" TargetMode="External"/><Relationship Id="rId938" Type="http://schemas.openxmlformats.org/officeDocument/2006/relationships/hyperlink" Target="https://employee.uc.ac.id/index.php/file/get/sis/t_cp/multi/c15ab80d-7c81-11ee-aca7-000d3ac6bafe.png" TargetMode="External"/><Relationship Id="rId67" Type="http://schemas.openxmlformats.org/officeDocument/2006/relationships/hyperlink" Target="https://employee.uc.ac.id/index.php/file/get/sis/t_cp/multi/44388237-9417-11ee-bd04-000d3ac6bafe.png" TargetMode="External"/><Relationship Id="rId272" Type="http://schemas.openxmlformats.org/officeDocument/2006/relationships/hyperlink" Target="https://employee.uc.ac.id/index.php/file/get/sis/t_cp/multi/44388237-9417-11ee-bd04-000d3ac6bafe_assignmentletter.png" TargetMode="External"/><Relationship Id="rId577" Type="http://schemas.openxmlformats.org/officeDocument/2006/relationships/hyperlink" Target="https://employee.uc.ac.id/index.php/file/get/sis/t_cp/multi/44388237-9417-11ee-bd04-000d3ac6bafe.png" TargetMode="External"/><Relationship Id="rId700" Type="http://schemas.openxmlformats.org/officeDocument/2006/relationships/hyperlink" Target="https://employee.uc.ac.id/index.php/file/get/sis/t_cp/multi/44388237-9417-11ee-bd04-000d3ac6bafe_assignmentletter.png" TargetMode="External"/><Relationship Id="rId1123" Type="http://schemas.openxmlformats.org/officeDocument/2006/relationships/hyperlink" Target="https://www.mecs-press.org/ijieeb/ijieeb-v15-n6/v1" TargetMode="External"/><Relationship Id="rId132" Type="http://schemas.openxmlformats.org/officeDocument/2006/relationships/hyperlink" Target="https://employee.uc.ac.id/index.php/file/get/sis/t_cp/multi/44388237-9417-11ee-bd04-000d3ac6bafe.png" TargetMode="External"/><Relationship Id="rId784" Type="http://schemas.openxmlformats.org/officeDocument/2006/relationships/hyperlink" Target="https://employee.uc.ac.id/index.php/file/get/sis/t_cp/multi/c77a0b11-9336-11ee-859c-000d3ac6bafe_assignmentletter.png" TargetMode="External"/><Relationship Id="rId991" Type="http://schemas.openxmlformats.org/officeDocument/2006/relationships/hyperlink" Target="https://employee.uc.ac.id/index.php/file/get/sis/t_cp/multi/c77a0b11-9336-11ee-859c-000d3ac6bafe_assignmentletter.png" TargetMode="External"/><Relationship Id="rId1067" Type="http://schemas.openxmlformats.org/officeDocument/2006/relationships/hyperlink" Target="https://icoen.org/" TargetMode="External"/><Relationship Id="rId437" Type="http://schemas.openxmlformats.org/officeDocument/2006/relationships/hyperlink" Target="https://employee.uc.ac.id/index.php/file/get/sis/t_cp/multi/44388237-9417-11ee-bd04-000d3ac6bafe.png" TargetMode="External"/><Relationship Id="rId644" Type="http://schemas.openxmlformats.org/officeDocument/2006/relationships/hyperlink" Target="https://icoen.org/" TargetMode="External"/><Relationship Id="rId851" Type="http://schemas.openxmlformats.org/officeDocument/2006/relationships/hyperlink" Target="https://www.instagram.com/tv/CZ1XugjqLoM/?igshid=Y" TargetMode="External"/><Relationship Id="rId283" Type="http://schemas.openxmlformats.org/officeDocument/2006/relationships/hyperlink" Target="https://employee.uc.ac.id/index.php/file/get/sis/t_cp/multi/44388237-9417-11ee-bd04-000d3ac6bafe.png" TargetMode="External"/><Relationship Id="rId490" Type="http://schemas.openxmlformats.org/officeDocument/2006/relationships/hyperlink" Target="https://employee.uc.ac.id/index.php/file/get/sis/t_cp/multi/44388237-9417-11ee-bd04-000d3ac6bafe.png" TargetMode="External"/><Relationship Id="rId504" Type="http://schemas.openxmlformats.org/officeDocument/2006/relationships/hyperlink" Target="https://icoen.org/" TargetMode="External"/><Relationship Id="rId711" Type="http://schemas.openxmlformats.org/officeDocument/2006/relationships/hyperlink" Target="https://employee.uc.ac.id/index.php/file/get/sis/t_cp/multi/44388237-9417-11ee-bd04-000d3ac6bafe.png" TargetMode="External"/><Relationship Id="rId949" Type="http://schemas.openxmlformats.org/officeDocument/2006/relationships/hyperlink" Target="https://icoen.org/" TargetMode="External"/><Relationship Id="rId1134" Type="http://schemas.openxmlformats.org/officeDocument/2006/relationships/hyperlink" Target="https://employee.uc.ac.id/index.php/file/get/sis/t_cp/ebe901cd-7935-11ee-8973-000d3ac6bafe_assignmentletter.pdf" TargetMode="External"/><Relationship Id="rId78" Type="http://schemas.openxmlformats.org/officeDocument/2006/relationships/hyperlink" Target="https://icoen.org/" TargetMode="External"/><Relationship Id="rId143" Type="http://schemas.openxmlformats.org/officeDocument/2006/relationships/hyperlink" Target="https://employee.uc.ac.id/index.php/file/get/sis/t_cp/41901f15-27c5-11ee-84e6-000d3ac6bafe.pdf" TargetMode="External"/><Relationship Id="rId350" Type="http://schemas.openxmlformats.org/officeDocument/2006/relationships/hyperlink" Target="https://employee.uc.ac.id/index.php/file/get/sis/t_cp/multi/44388237-9417-11ee-bd04-000d3ac6bafe.png" TargetMode="External"/><Relationship Id="rId588" Type="http://schemas.openxmlformats.org/officeDocument/2006/relationships/hyperlink" Target="https://icoen.org/" TargetMode="External"/><Relationship Id="rId795" Type="http://schemas.openxmlformats.org/officeDocument/2006/relationships/hyperlink" Target="https://employee.uc.ac.id/index.php/file/get/sis/t_cp/multi/c77a0b11-9336-11ee-859c-000d3ac6bafe.png" TargetMode="External"/><Relationship Id="rId809" Type="http://schemas.openxmlformats.org/officeDocument/2006/relationships/hyperlink" Target="https://employee.uc.ac.id/index.php/file/get/sis/t_cp/multi/c77a0b11-9336-11ee-859c-000d3ac6bafe.png" TargetMode="External"/><Relationship Id="rId9" Type="http://schemas.openxmlformats.org/officeDocument/2006/relationships/hyperlink" Target="https://employee.uc.ac.id/index.php/file/get/sis/t_cp/efcfc3d4-9c68-11ed-90bc-000d3ac6bafe.jpeg" TargetMode="External"/><Relationship Id="rId210" Type="http://schemas.openxmlformats.org/officeDocument/2006/relationships/hyperlink" Target="https://icoen.org/" TargetMode="External"/><Relationship Id="rId448" Type="http://schemas.openxmlformats.org/officeDocument/2006/relationships/hyperlink" Target="https://employee.uc.ac.id/index.php/file/get/sis/t_cp/multi/44388237-9417-11ee-bd04-000d3ac6bafe_assignmentletter.png" TargetMode="External"/><Relationship Id="rId655" Type="http://schemas.openxmlformats.org/officeDocument/2006/relationships/hyperlink" Target="https://employee.uc.ac.id/index.php/file/get/sis/t_cp/multi/44388237-9417-11ee-bd04-000d3ac6bafe_assignmentletter.png" TargetMode="External"/><Relationship Id="rId862" Type="http://schemas.openxmlformats.org/officeDocument/2006/relationships/hyperlink" Target="https://employee.uc.ac.id/index.php/file/get/sis/t_cp/multi/c77a0b11-9336-11ee-859c-000d3ac6bafe_assignmentletter.png" TargetMode="External"/><Relationship Id="rId1078" Type="http://schemas.openxmlformats.org/officeDocument/2006/relationships/hyperlink" Target="https://employee.uc.ac.id/index.php/file/get/sis/t_cp/multi/c77a0b11-9336-11ee-859c-000d3ac6bafe.png" TargetMode="External"/><Relationship Id="rId294" Type="http://schemas.openxmlformats.org/officeDocument/2006/relationships/hyperlink" Target="https://employee.uc.ac.id/index.php/file/get/sis/t_cp/multi/44388237-9417-11ee-bd04-000d3ac6bafe.png" TargetMode="External"/><Relationship Id="rId308" Type="http://schemas.openxmlformats.org/officeDocument/2006/relationships/hyperlink" Target="https://icoen.org/" TargetMode="External"/><Relationship Id="rId515" Type="http://schemas.openxmlformats.org/officeDocument/2006/relationships/hyperlink" Target="https://employee.uc.ac.id/index.php/file/get/sis/t_cp/multi/44388237-9417-11ee-bd04-000d3ac6bafe_assignmentletter.png" TargetMode="External"/><Relationship Id="rId722" Type="http://schemas.openxmlformats.org/officeDocument/2006/relationships/hyperlink" Target="https://play.google.com/store/books/details?id=_pG" TargetMode="External"/><Relationship Id="rId1145" Type="http://schemas.openxmlformats.org/officeDocument/2006/relationships/hyperlink" Target="https://icoen.org/" TargetMode="External"/><Relationship Id="rId89" Type="http://schemas.openxmlformats.org/officeDocument/2006/relationships/hyperlink" Target="https://employee.uc.ac.id/index.php/file/get/sis/t_cp/multi/1e7be259-882b-11ee-ae4d-000d3ac6bafe.png" TargetMode="External"/><Relationship Id="rId154" Type="http://schemas.openxmlformats.org/officeDocument/2006/relationships/hyperlink" Target="https://employee.uc.ac.id/index.php/file/get/sis/t_cp/69fa4a78-6c24-11ee-a25e-000d3ac6bafe.png" TargetMode="External"/><Relationship Id="rId361" Type="http://schemas.openxmlformats.org/officeDocument/2006/relationships/hyperlink" Target="https://icoen.org/" TargetMode="External"/><Relationship Id="rId599" Type="http://schemas.openxmlformats.org/officeDocument/2006/relationships/hyperlink" Target="https://icoen.org/" TargetMode="External"/><Relationship Id="rId1005" Type="http://schemas.openxmlformats.org/officeDocument/2006/relationships/hyperlink" Target="https://icoen.org/" TargetMode="External"/><Relationship Id="rId459" Type="http://schemas.openxmlformats.org/officeDocument/2006/relationships/hyperlink" Target="https://icoen.org/" TargetMode="External"/><Relationship Id="rId666" Type="http://schemas.openxmlformats.org/officeDocument/2006/relationships/hyperlink" Target="https://employee.uc.ac.id/index.php/file/get/sis/t_cp/multi/44388237-9417-11ee-bd04-000d3ac6bafe.png" TargetMode="External"/><Relationship Id="rId873" Type="http://schemas.openxmlformats.org/officeDocument/2006/relationships/hyperlink" Target="https://employee.uc.ac.id/index.php/file/get/sis/t_cp/multi/e9f29743-d848-11ed-a359-000d3ac6bafe.png" TargetMode="External"/><Relationship Id="rId1089" Type="http://schemas.openxmlformats.org/officeDocument/2006/relationships/hyperlink" Target="https://icoen.org/" TargetMode="External"/><Relationship Id="rId16" Type="http://schemas.openxmlformats.org/officeDocument/2006/relationships/hyperlink" Target="https://doi.org/10.37715/consortium.v3i2.4268." TargetMode="External"/><Relationship Id="rId221" Type="http://schemas.openxmlformats.org/officeDocument/2006/relationships/hyperlink" Target="https://employee.uc.ac.id/index.php/file/get/sis/t_cp/multi/44388237-9417-11ee-bd04-000d3ac6bafe_assignmentletter.png" TargetMode="External"/><Relationship Id="rId319" Type="http://schemas.openxmlformats.org/officeDocument/2006/relationships/hyperlink" Target="https://employee.uc.ac.id/index.php/file/get/sis/t_cp/multi/44388237-9417-11ee-bd04-000d3ac6bafe_assignmentletter.png" TargetMode="External"/><Relationship Id="rId526" Type="http://schemas.openxmlformats.org/officeDocument/2006/relationships/hyperlink" Target="https://employee.uc.ac.id/index.php/file/get/sis/t_cp/multi/44388237-9417-11ee-bd04-000d3ac6bafe.png" TargetMode="External"/><Relationship Id="rId1156" Type="http://schemas.openxmlformats.org/officeDocument/2006/relationships/hyperlink" Target="https://icoen.org/" TargetMode="External"/><Relationship Id="rId733" Type="http://schemas.openxmlformats.org/officeDocument/2006/relationships/hyperlink" Target="https://employee.uc.ac.id/index.php/file/get/sis/t_cp/7ebdf27d-97b4-11ed-af4b-000d3ac6bafe_assignmentletter.jpeg" TargetMode="External"/><Relationship Id="rId940" Type="http://schemas.openxmlformats.org/officeDocument/2006/relationships/hyperlink" Target="https://icoen.org/" TargetMode="External"/><Relationship Id="rId1016" Type="http://schemas.openxmlformats.org/officeDocument/2006/relationships/hyperlink" Target="https://employee.uc.ac.id/index.php/file/get/sis/t_cp/multi/28ba9854-8e8c-11ee-8544-000d3ac6bafe.jpeg" TargetMode="External"/><Relationship Id="rId165" Type="http://schemas.openxmlformats.org/officeDocument/2006/relationships/hyperlink" Target="https://employee.uc.ac.id/index.php/file/get/sis/t_cp/multi/44388237-9417-11ee-bd04-000d3ac6bafe.png" TargetMode="External"/><Relationship Id="rId372" Type="http://schemas.openxmlformats.org/officeDocument/2006/relationships/hyperlink" Target="https://employee.uc.ac.id/index.php/file/get/sis/t_cp/multi/44388237-9417-11ee-bd04-000d3ac6bafe_assignmentletter.png" TargetMode="External"/><Relationship Id="rId677" Type="http://schemas.openxmlformats.org/officeDocument/2006/relationships/hyperlink" Target="https://icoen.org/" TargetMode="External"/><Relationship Id="rId800" Type="http://schemas.openxmlformats.org/officeDocument/2006/relationships/hyperlink" Target="https://employee.uc.ac.id/index.php/file/get/sis/t_cp/de55c315-6bfe-11ee-a25e-000d3ac6bafe_report.pdf" TargetMode="External"/><Relationship Id="rId232" Type="http://schemas.openxmlformats.org/officeDocument/2006/relationships/hyperlink" Target="https://employee.uc.ac.id/index.php/file/get/sis/t_cp/multi/44388237-9417-11ee-bd04-000d3ac6bafe.png" TargetMode="External"/><Relationship Id="rId884" Type="http://schemas.openxmlformats.org/officeDocument/2006/relationships/hyperlink" Target="https://icoen.org/" TargetMode="External"/><Relationship Id="rId27" Type="http://schemas.openxmlformats.org/officeDocument/2006/relationships/hyperlink" Target="https://employee.uc.ac.id/index.php/file/get/sis/t_cp/ed0ed558-d81d-11ed-a359-000d3ac6bafe_assignmentletter.pdf" TargetMode="External"/><Relationship Id="rId537" Type="http://schemas.openxmlformats.org/officeDocument/2006/relationships/hyperlink" Target="https://icoen.org/" TargetMode="External"/><Relationship Id="rId744" Type="http://schemas.openxmlformats.org/officeDocument/2006/relationships/hyperlink" Target="https://employee.uc.ac.id/index.php/file/get/sis/t_cp/2c3a32ff-188c-11ee-96cf-000d3ac6bafe.jpg" TargetMode="External"/><Relationship Id="rId951" Type="http://schemas.openxmlformats.org/officeDocument/2006/relationships/hyperlink" Target="https://employee.uc.ac.id/index.php/file/get/sis/t_cp/multi/c77a0b11-9336-11ee-859c-000d3ac6bafe_assignmentletter.png" TargetMode="External"/><Relationship Id="rId1167" Type="http://schemas.openxmlformats.org/officeDocument/2006/relationships/hyperlink" Target="https://employee.uc.ac.id/index.php/file/get/sis/t_cp/96b93c94-c20f-11ed-aeb7-000d3ac6bafe.pdf" TargetMode="External"/><Relationship Id="rId80" Type="http://schemas.openxmlformats.org/officeDocument/2006/relationships/hyperlink" Target="https://employee.uc.ac.id/index.php/file/get/sis/t_cp/multi/44388237-9417-11ee-bd04-000d3ac6bafe_assignmentletter.png" TargetMode="External"/><Relationship Id="rId176" Type="http://schemas.openxmlformats.org/officeDocument/2006/relationships/hyperlink" Target="https://employee.uc.ac.id/index.php/file/get/sis/t_cp/multi/44388237-9417-11ee-bd04-000d3ac6bafe_assignmentletter.png" TargetMode="External"/><Relationship Id="rId383" Type="http://schemas.openxmlformats.org/officeDocument/2006/relationships/hyperlink" Target="https://employee.uc.ac.id/index.php/file/get/sis/t_cp/multi/44388237-9417-11ee-bd04-000d3ac6bafe.png" TargetMode="External"/><Relationship Id="rId590" Type="http://schemas.openxmlformats.org/officeDocument/2006/relationships/hyperlink" Target="https://employee.uc.ac.id/index.php/file/get/sis/t_cp/multi/44388237-9417-11ee-bd04-000d3ac6bafe_assignmentletter.png" TargetMode="External"/><Relationship Id="rId604" Type="http://schemas.openxmlformats.org/officeDocument/2006/relationships/hyperlink" Target="https://employee.uc.ac.id/index.php/file/get/sis/t_cp/multi/44388237-9417-11ee-bd04-000d3ac6bafe_assignmentletter.png" TargetMode="External"/><Relationship Id="rId811" Type="http://schemas.openxmlformats.org/officeDocument/2006/relationships/hyperlink" Target="https://icoen.org/" TargetMode="External"/><Relationship Id="rId1027" Type="http://schemas.openxmlformats.org/officeDocument/2006/relationships/hyperlink" Target="https://employee.uc.ac.id/index.php/file/get/sis/t_cp/multi/c77a0b11-9336-11ee-859c-000d3ac6bafe.png" TargetMode="External"/><Relationship Id="rId243" Type="http://schemas.openxmlformats.org/officeDocument/2006/relationships/hyperlink" Target="https://icoen.org/" TargetMode="External"/><Relationship Id="rId450" Type="http://schemas.openxmlformats.org/officeDocument/2006/relationships/hyperlink" Target="https://employee.uc.ac.id/index.php/file/get/sis/t_cp/multi/44388237-9417-11ee-bd04-000d3ac6bafe.png" TargetMode="External"/><Relationship Id="rId688" Type="http://schemas.openxmlformats.org/officeDocument/2006/relationships/hyperlink" Target="https://employee.uc.ac.id/index.php/file/get/sis/t_cp/multi/44388237-9417-11ee-bd04-000d3ac6bafe_assignmentletter.png" TargetMode="External"/><Relationship Id="rId895" Type="http://schemas.openxmlformats.org/officeDocument/2006/relationships/hyperlink" Target="https://icoen.org/" TargetMode="External"/><Relationship Id="rId909" Type="http://schemas.openxmlformats.org/officeDocument/2006/relationships/hyperlink" Target="https://employee.uc.ac.id/index.php/file/get/sis/t_cp/multi/c77a0b11-9336-11ee-859c-000d3ac6bafe_assignmentletter.png" TargetMode="External"/><Relationship Id="rId1080" Type="http://schemas.openxmlformats.org/officeDocument/2006/relationships/hyperlink" Target="https://icoen.org/" TargetMode="External"/><Relationship Id="rId38" Type="http://schemas.openxmlformats.org/officeDocument/2006/relationships/hyperlink" Target="https://employee.uc.ac.id/index.php/file/get/sis/t_cp/multi/44388237-9417-11ee-bd04-000d3ac6bafe_assignmentletter.png" TargetMode="External"/><Relationship Id="rId103" Type="http://schemas.openxmlformats.org/officeDocument/2006/relationships/hyperlink" Target="https://employee.uc.ac.id/index.php/file/get/sis/t_cp/multi/44388237-9417-11ee-bd04-000d3ac6bafe_assignmentletter.png" TargetMode="External"/><Relationship Id="rId310" Type="http://schemas.openxmlformats.org/officeDocument/2006/relationships/hyperlink" Target="https://employee.uc.ac.id/index.php/file/get/sis/t_cp/multi/44388237-9417-11ee-bd04-000d3ac6bafe_assignmentletter.png" TargetMode="External"/><Relationship Id="rId548" Type="http://schemas.openxmlformats.org/officeDocument/2006/relationships/hyperlink" Target="https://employee.uc.ac.id/index.php/file/get/sis/t_cp/multi/44388237-9417-11ee-bd04-000d3ac6bafe_assignmentletter.png" TargetMode="External"/><Relationship Id="rId755" Type="http://schemas.openxmlformats.org/officeDocument/2006/relationships/hyperlink" Target="https://employee.uc.ac.id/index.php/file/get/sis/t_cp/57aa62ea-be55-11ed-8a3c-000d3ac6bafe.pdf" TargetMode="External"/><Relationship Id="rId962" Type="http://schemas.openxmlformats.org/officeDocument/2006/relationships/hyperlink" Target="https://employee.uc.ac.id/index.php/file/get/sis/t_cp/multi/c77a0b11-9336-11ee-859c-000d3ac6bafe_assignmentletter.png" TargetMode="External"/><Relationship Id="rId91" Type="http://schemas.openxmlformats.org/officeDocument/2006/relationships/hyperlink" Target="https://icoen.org/" TargetMode="External"/><Relationship Id="rId187" Type="http://schemas.openxmlformats.org/officeDocument/2006/relationships/hyperlink" Target="https://employee.uc.ac.id/index.php/file/get/sis/t_cp/multi/44388237-9417-11ee-bd04-000d3ac6bafe.png" TargetMode="External"/><Relationship Id="rId394" Type="http://schemas.openxmlformats.org/officeDocument/2006/relationships/hyperlink" Target="https://icoen.org/" TargetMode="External"/><Relationship Id="rId408" Type="http://schemas.openxmlformats.org/officeDocument/2006/relationships/hyperlink" Target="https://employee.uc.ac.id/index.php/file/get/sis/t_cp/multi/44388237-9417-11ee-bd04-000d3ac6bafe_assignmentletter.png" TargetMode="External"/><Relationship Id="rId615" Type="http://schemas.openxmlformats.org/officeDocument/2006/relationships/hyperlink" Target="https://employee.uc.ac.id/index.php/file/get/sis/t_cp/multi/44388237-9417-11ee-bd04-000d3ac6bafe.png" TargetMode="External"/><Relationship Id="rId822" Type="http://schemas.openxmlformats.org/officeDocument/2006/relationships/hyperlink" Target="https://icoen.org/" TargetMode="External"/><Relationship Id="rId1038" Type="http://schemas.openxmlformats.org/officeDocument/2006/relationships/hyperlink" Target="https://employee.uc.ac.id/index.php/file/get/sis/t_cp/3b29a2fa-55da-11ee-8778-000d3ac6bafe.jpg" TargetMode="External"/><Relationship Id="rId254" Type="http://schemas.openxmlformats.org/officeDocument/2006/relationships/hyperlink" Target="https://employee.uc.ac.id/index.php/file/get/sis/t_cp/multi/44388237-9417-11ee-bd04-000d3ac6bafe_assignmentletter.png" TargetMode="External"/><Relationship Id="rId699" Type="http://schemas.openxmlformats.org/officeDocument/2006/relationships/hyperlink" Target="https://employee.uc.ac.id/index.php/file/get/sis/t_cp/multi/44388237-9417-11ee-bd04-000d3ac6bafe.png" TargetMode="External"/><Relationship Id="rId1091" Type="http://schemas.openxmlformats.org/officeDocument/2006/relationships/hyperlink" Target="https://employee.uc.ac.id/index.php/file/get/sis/t_cp/multi/c77a0b11-9336-11ee-859c-000d3ac6bafe_assignmentletter.png" TargetMode="External"/><Relationship Id="rId1105" Type="http://schemas.openxmlformats.org/officeDocument/2006/relationships/hyperlink" Target="https://icoen.org/" TargetMode="External"/><Relationship Id="rId49" Type="http://schemas.openxmlformats.org/officeDocument/2006/relationships/hyperlink" Target="https://icoen.org/" TargetMode="External"/><Relationship Id="rId114" Type="http://schemas.openxmlformats.org/officeDocument/2006/relationships/hyperlink" Target="https://icoen.org/" TargetMode="External"/><Relationship Id="rId461" Type="http://schemas.openxmlformats.org/officeDocument/2006/relationships/hyperlink" Target="https://employee.uc.ac.id/index.php/file/get/sis/t_cp/multi/44388237-9417-11ee-bd04-000d3ac6bafe_assignmentletter.png" TargetMode="External"/><Relationship Id="rId559" Type="http://schemas.openxmlformats.org/officeDocument/2006/relationships/hyperlink" Target="https://employee.uc.ac.id/index.php/file/get/sis/t_cp/multi/44388237-9417-11ee-bd04-000d3ac6bafe.png" TargetMode="External"/><Relationship Id="rId766" Type="http://schemas.openxmlformats.org/officeDocument/2006/relationships/hyperlink" Target="https://employee.uc.ac.id/index.php/file/get/sis/t_cp/e5018742-efe2-11ed-8d6d-000d3ac6bafe.pdf" TargetMode="External"/><Relationship Id="rId198" Type="http://schemas.openxmlformats.org/officeDocument/2006/relationships/hyperlink" Target="https://icoen.org/" TargetMode="External"/><Relationship Id="rId321" Type="http://schemas.openxmlformats.org/officeDocument/2006/relationships/hyperlink" Target="https://employee.uc.ac.id/index.php/file/get/sis/t_cp/multi/44388237-9417-11ee-bd04-000d3ac6bafe.png" TargetMode="External"/><Relationship Id="rId419" Type="http://schemas.openxmlformats.org/officeDocument/2006/relationships/hyperlink" Target="https://employee.uc.ac.id/index.php/file/get/sis/t_cp/multi/44388237-9417-11ee-bd04-000d3ac6bafe.png" TargetMode="External"/><Relationship Id="rId626" Type="http://schemas.openxmlformats.org/officeDocument/2006/relationships/hyperlink" Target="https://icoen.org/" TargetMode="External"/><Relationship Id="rId973" Type="http://schemas.openxmlformats.org/officeDocument/2006/relationships/hyperlink" Target="https://employee.uc.ac.id/index.php/file/get/sis/t_cp/multi/c77a0b11-9336-11ee-859c-000d3ac6bafe.png" TargetMode="External"/><Relationship Id="rId1049" Type="http://schemas.openxmlformats.org/officeDocument/2006/relationships/hyperlink" Target="https://employee.uc.ac.id/index.php/file/get/sis/t_cp/multi/c77a0b11-9336-11ee-859c-000d3ac6bafe.png" TargetMode="External"/><Relationship Id="rId833" Type="http://schemas.openxmlformats.org/officeDocument/2006/relationships/hyperlink" Target="https://employee.uc.ac.id/index.php/file/get/sis/t_cp/multi/c77a0b11-9336-11ee-859c-000d3ac6bafe_assignmentletter.png" TargetMode="External"/><Relationship Id="rId1116" Type="http://schemas.openxmlformats.org/officeDocument/2006/relationships/hyperlink" Target="https://employee.uc.ac.id/index.php/file/get/sis/t_cp/multi/c77a0b11-9336-11ee-859c-000d3ac6bafe_assignmentletter.png" TargetMode="External"/><Relationship Id="rId265" Type="http://schemas.openxmlformats.org/officeDocument/2006/relationships/hyperlink" Target="https://employee.uc.ac.id/index.php/file/get/sis/t_cp/multi/44388237-9417-11ee-bd04-000d3ac6bafe.png" TargetMode="External"/><Relationship Id="rId472" Type="http://schemas.openxmlformats.org/officeDocument/2006/relationships/hyperlink" Target="https://employee.uc.ac.id/index.php/file/get/sis/t_cp/multi/44388237-9417-11ee-bd04-000d3ac6bafe.png" TargetMode="External"/><Relationship Id="rId900" Type="http://schemas.openxmlformats.org/officeDocument/2006/relationships/hyperlink" Target="https://employee.uc.ac.id/index.php/file/get/sis/t_cp/multi/c77a0b11-9336-11ee-859c-000d3ac6bafe_assignmentletter.png" TargetMode="External"/><Relationship Id="rId125" Type="http://schemas.openxmlformats.org/officeDocument/2006/relationships/hyperlink" Target="https://employee.uc.ac.id/index.php/file/get/sis/t_cp/multi/44388237-9417-11ee-bd04-000d3ac6bafe_assignmentletter.png" TargetMode="External"/><Relationship Id="rId332" Type="http://schemas.openxmlformats.org/officeDocument/2006/relationships/hyperlink" Target="https://employee.uc.ac.id/index.php/file/get/sis/t_cp/multi/c15ab80d-7c81-11ee-aca7-000d3ac6bafe.png" TargetMode="External"/><Relationship Id="rId777" Type="http://schemas.openxmlformats.org/officeDocument/2006/relationships/hyperlink" Target="http://disbudpar.jatimprov.go.id/" TargetMode="External"/><Relationship Id="rId984" Type="http://schemas.openxmlformats.org/officeDocument/2006/relationships/hyperlink" Target="https://employee.uc.ac.id/index.php/file/get/sis/t_cp/a755ca97-1960-11ee-9863-000d3ac6bafe_report.jpg" TargetMode="External"/><Relationship Id="rId637" Type="http://schemas.openxmlformats.org/officeDocument/2006/relationships/hyperlink" Target="https://employee.uc.ac.id/index.php/file/get/sis/t_cp/multi/44388237-9417-11ee-bd04-000d3ac6bafe_assignmentletter.png" TargetMode="External"/><Relationship Id="rId844" Type="http://schemas.openxmlformats.org/officeDocument/2006/relationships/hyperlink" Target="https://employee.uc.ac.id/index.php/file/get/sis/t_cp/multi/c77a0b11-9336-11ee-859c-000d3ac6bafe.png" TargetMode="External"/><Relationship Id="rId276" Type="http://schemas.openxmlformats.org/officeDocument/2006/relationships/hyperlink" Target="https://icoen.org/" TargetMode="External"/><Relationship Id="rId483" Type="http://schemas.openxmlformats.org/officeDocument/2006/relationships/hyperlink" Target="https://icoen.org/" TargetMode="External"/><Relationship Id="rId690" Type="http://schemas.openxmlformats.org/officeDocument/2006/relationships/hyperlink" Target="https://employee.uc.ac.id/index.php/file/get/sis/t_cp/multi/44388237-9417-11ee-bd04-000d3ac6bafe.png" TargetMode="External"/><Relationship Id="rId704" Type="http://schemas.openxmlformats.org/officeDocument/2006/relationships/hyperlink" Target="https://icoen.org/" TargetMode="External"/><Relationship Id="rId911" Type="http://schemas.openxmlformats.org/officeDocument/2006/relationships/hyperlink" Target="https://employee.uc.ac.id/index.php/file/get/sis/t_cp/multi/c77a0b11-9336-11ee-859c-000d3ac6bafe.png" TargetMode="External"/><Relationship Id="rId1127" Type="http://schemas.openxmlformats.org/officeDocument/2006/relationships/hyperlink" Target="https://employee.uc.ac.id/index.php/file/get/sis/t_cp/multi/c77a0b11-9336-11ee-859c-000d3ac6bafe_assignmentletter.png" TargetMode="External"/><Relationship Id="rId40" Type="http://schemas.openxmlformats.org/officeDocument/2006/relationships/hyperlink" Target="https://employee.uc.ac.id/index.php/file/get/sis/t_cp/multi/44388237-9417-11ee-bd04-000d3ac6bafe.png" TargetMode="External"/><Relationship Id="rId136" Type="http://schemas.openxmlformats.org/officeDocument/2006/relationships/hyperlink" Target="https://employee.uc.ac.id/index.php/file/get/sis/t_cp/multi/44388237-9417-11ee-bd04-000d3ac6bafe_assignmentletter.png" TargetMode="External"/><Relationship Id="rId343" Type="http://schemas.openxmlformats.org/officeDocument/2006/relationships/hyperlink" Target="https://icoen.org/" TargetMode="External"/><Relationship Id="rId550" Type="http://schemas.openxmlformats.org/officeDocument/2006/relationships/hyperlink" Target="https://employee.uc.ac.id/index.php/file/get/sis/t_cp/multi/44388237-9417-11ee-bd04-000d3ac6bafe.png" TargetMode="External"/><Relationship Id="rId788" Type="http://schemas.openxmlformats.org/officeDocument/2006/relationships/hyperlink" Target="https://icoen.org/" TargetMode="External"/><Relationship Id="rId995" Type="http://schemas.openxmlformats.org/officeDocument/2006/relationships/hyperlink" Target="https://www.unika.ac.id/en/fakultas/ftp/food-scien" TargetMode="External"/><Relationship Id="rId203" Type="http://schemas.openxmlformats.org/officeDocument/2006/relationships/hyperlink" Target="https://employee.uc.ac.id/index.php/file/get/sis/t_cp/multi/44388237-9417-11ee-bd04-000d3ac6bafe_assignmentletter.png" TargetMode="External"/><Relationship Id="rId648" Type="http://schemas.openxmlformats.org/officeDocument/2006/relationships/hyperlink" Target="https://employee.uc.ac.id/index.php/file/get/sis/t_cp/multi/44388237-9417-11ee-bd04-000d3ac6bafe.png" TargetMode="External"/><Relationship Id="rId855" Type="http://schemas.openxmlformats.org/officeDocument/2006/relationships/hyperlink" Target="https://employee.uc.ac.id/index.php/file/get/sis/t_cp/229ca450-b197-11ed-8338-000d3ac6bafe_report.pdf" TargetMode="External"/><Relationship Id="rId1040" Type="http://schemas.openxmlformats.org/officeDocument/2006/relationships/hyperlink" Target="https://instagram.com/fistaora.art?igshid=YmMyMTA2" TargetMode="External"/><Relationship Id="rId287" Type="http://schemas.openxmlformats.org/officeDocument/2006/relationships/hyperlink" Target="https://icoen.org/" TargetMode="External"/><Relationship Id="rId410" Type="http://schemas.openxmlformats.org/officeDocument/2006/relationships/hyperlink" Target="https://employee.uc.ac.id/index.php/file/get/sis/t_cp/multi/44388237-9417-11ee-bd04-000d3ac6bafe.png" TargetMode="External"/><Relationship Id="rId494" Type="http://schemas.openxmlformats.org/officeDocument/2006/relationships/hyperlink" Target="https://employee.uc.ac.id/index.php/file/get/sis/t_cp/multi/44388237-9417-11ee-bd04-000d3ac6bafe_assignmentletter.png" TargetMode="External"/><Relationship Id="rId508" Type="http://schemas.openxmlformats.org/officeDocument/2006/relationships/hyperlink" Target="https://employee.uc.ac.id/index.php/file/get/sis/t_cp/multi/44388237-9417-11ee-bd04-000d3ac6bafe.png" TargetMode="External"/><Relationship Id="rId715" Type="http://schemas.openxmlformats.org/officeDocument/2006/relationships/hyperlink" Target="https://employee.uc.ac.id/index.php/file/get/sis/t_cp/multi/44388237-9417-11ee-bd04-000d3ac6bafe_assignmentletter.png" TargetMode="External"/><Relationship Id="rId922" Type="http://schemas.openxmlformats.org/officeDocument/2006/relationships/hyperlink" Target="https://icoen.org/" TargetMode="External"/><Relationship Id="rId1138" Type="http://schemas.openxmlformats.org/officeDocument/2006/relationships/hyperlink" Target="https://icoen.org/" TargetMode="External"/><Relationship Id="rId147" Type="http://schemas.openxmlformats.org/officeDocument/2006/relationships/hyperlink" Target="https://icoen.org/" TargetMode="External"/><Relationship Id="rId354" Type="http://schemas.openxmlformats.org/officeDocument/2006/relationships/hyperlink" Target="https://employee.uc.ac.id/index.php/file/get/sis/t_cp/multi/44388237-9417-11ee-bd04-000d3ac6bafe_assignmentletter.png" TargetMode="External"/><Relationship Id="rId799" Type="http://schemas.openxmlformats.org/officeDocument/2006/relationships/hyperlink" Target="https://employee.uc.ac.id/index.php/file/get/sis/t_cp/multi/c77a0b11-9336-11ee-859c-000d3ac6bafe_assignmentletter.png" TargetMode="External"/><Relationship Id="rId51" Type="http://schemas.openxmlformats.org/officeDocument/2006/relationships/hyperlink" Target="https://employee.uc.ac.id/index.php/file/get/sis/t_cp/multi/44388237-9417-11ee-bd04-000d3ac6bafe_assignmentletter.png" TargetMode="External"/><Relationship Id="rId561" Type="http://schemas.openxmlformats.org/officeDocument/2006/relationships/hyperlink" Target="https://icoen.org/" TargetMode="External"/><Relationship Id="rId659" Type="http://schemas.openxmlformats.org/officeDocument/2006/relationships/hyperlink" Target="https://icoen.org/" TargetMode="External"/><Relationship Id="rId866" Type="http://schemas.openxmlformats.org/officeDocument/2006/relationships/hyperlink" Target="https://employee.uc.ac.id/index.php/file/get/sis/t_cp/multi/1e7be259-882b-11ee-ae4d-000d3ac6bafe_assignmentletter.png" TargetMode="External"/><Relationship Id="rId214" Type="http://schemas.openxmlformats.org/officeDocument/2006/relationships/hyperlink" Target="https://employee.uc.ac.id/index.php/file/get/sis/t_cp/multi/44388237-9417-11ee-bd04-000d3ac6bafe.png" TargetMode="External"/><Relationship Id="rId298" Type="http://schemas.openxmlformats.org/officeDocument/2006/relationships/hyperlink" Target="https://employee.uc.ac.id/index.php/file/get/sis/t_cp/multi/44388237-9417-11ee-bd04-000d3ac6bafe_assignmentletter.png" TargetMode="External"/><Relationship Id="rId421" Type="http://schemas.openxmlformats.org/officeDocument/2006/relationships/hyperlink" Target="https://icoen.org/" TargetMode="External"/><Relationship Id="rId519" Type="http://schemas.openxmlformats.org/officeDocument/2006/relationships/hyperlink" Target="https://icoen.org/" TargetMode="External"/><Relationship Id="rId1051" Type="http://schemas.openxmlformats.org/officeDocument/2006/relationships/hyperlink" Target="https://icoen.org/" TargetMode="External"/><Relationship Id="rId1149" Type="http://schemas.openxmlformats.org/officeDocument/2006/relationships/hyperlink" Target="https://employee.uc.ac.id/index.php/file/get/sis/t_cp/multi/c77a0b11-9336-11ee-859c-000d3ac6bafe.png" TargetMode="External"/><Relationship Id="rId158" Type="http://schemas.openxmlformats.org/officeDocument/2006/relationships/hyperlink" Target="https://icoen.org/" TargetMode="External"/><Relationship Id="rId726" Type="http://schemas.openxmlformats.org/officeDocument/2006/relationships/hyperlink" Target="https://employee.uc.ac.id/index.php/file/get/sis/t_cp/multi/c15ab80d-7c81-11ee-aca7-000d3ac6bafe.png" TargetMode="External"/><Relationship Id="rId933" Type="http://schemas.openxmlformats.org/officeDocument/2006/relationships/hyperlink" Target="https://employee.uc.ac.id/index.php/file/get/sis/t_cp/multi/1e7be259-882b-11ee-ae4d-000d3ac6bafe_assignmentletter.png" TargetMode="External"/><Relationship Id="rId1009" Type="http://schemas.openxmlformats.org/officeDocument/2006/relationships/hyperlink" Target="https://employee.uc.ac.id/index.php/file/get/sis/t_cp/8cf91672-434d-11ee-a2ef-000d3ac6bafe.pdf" TargetMode="External"/><Relationship Id="rId62" Type="http://schemas.openxmlformats.org/officeDocument/2006/relationships/hyperlink" Target="https://employee.uc.ac.id/index.php/file/get/sis/t_cp/multi/44388237-9417-11ee-bd04-000d3ac6bafe_assignmentletter.png" TargetMode="External"/><Relationship Id="rId365" Type="http://schemas.openxmlformats.org/officeDocument/2006/relationships/hyperlink" Target="https://employee.uc.ac.id/index.php/file/get/sis/t_cp/multi/44388237-9417-11ee-bd04-000d3ac6bafe.png" TargetMode="External"/><Relationship Id="rId572" Type="http://schemas.openxmlformats.org/officeDocument/2006/relationships/hyperlink" Target="https://employee.uc.ac.id/index.php/file/get/sis/t_cp/multi/44388237-9417-11ee-bd04-000d3ac6bafe_assignmentletter.png" TargetMode="External"/><Relationship Id="rId225" Type="http://schemas.openxmlformats.org/officeDocument/2006/relationships/hyperlink" Target="https://icoen.org/" TargetMode="External"/><Relationship Id="rId432" Type="http://schemas.openxmlformats.org/officeDocument/2006/relationships/hyperlink" Target="https://employee.uc.ac.id/index.php/file/get/sis/t_cp/multi/44388237-9417-11ee-bd04-000d3ac6bafe_assignmentletter.png" TargetMode="External"/><Relationship Id="rId877" Type="http://schemas.openxmlformats.org/officeDocument/2006/relationships/hyperlink" Target="https://employee.uc.ac.id/index.php/file/get/sis/t_cp/8143bad7-0380-11ee-9899-000d3ac6bafe.pdf" TargetMode="External"/><Relationship Id="rId1062" Type="http://schemas.openxmlformats.org/officeDocument/2006/relationships/hyperlink" Target="https://employee.uc.ac.id/index.php/file/get/sis/t_cp/0b050e58-08de-11ee-9976-000d3ac6bafe.png" TargetMode="External"/><Relationship Id="rId737" Type="http://schemas.openxmlformats.org/officeDocument/2006/relationships/hyperlink" Target="https://employee.uc.ac.id/index.php/file/get/sis/t_cp/0b5997ad-14a4-11ee-bcb1-000d3ac6bafe_assignmentletter.pdf" TargetMode="External"/><Relationship Id="rId944" Type="http://schemas.openxmlformats.org/officeDocument/2006/relationships/hyperlink" Target="https://employee.uc.ac.id/index.php/file/get/sis/t_cp/multi/c77a0b11-9336-11ee-859c-000d3ac6bafe.png" TargetMode="External"/><Relationship Id="rId73" Type="http://schemas.openxmlformats.org/officeDocument/2006/relationships/hyperlink" Target="https://employee.uc.ac.id/index.php/file/get/sis/t_cp/multi/44388237-9417-11ee-bd04-000d3ac6bafe.png" TargetMode="External"/><Relationship Id="rId169" Type="http://schemas.openxmlformats.org/officeDocument/2006/relationships/hyperlink" Target="https://employee.uc.ac.id/index.php/file/get/sis/t_cp/multi/44388237-9417-11ee-bd04-000d3ac6bafe.png" TargetMode="External"/><Relationship Id="rId376" Type="http://schemas.openxmlformats.org/officeDocument/2006/relationships/hyperlink" Target="https://icoen.org/" TargetMode="External"/><Relationship Id="rId583" Type="http://schemas.openxmlformats.org/officeDocument/2006/relationships/hyperlink" Target="https://employee.uc.ac.id/index.php/file/get/sis/t_cp/multi/44388237-9417-11ee-bd04-000d3ac6bafe.png" TargetMode="External"/><Relationship Id="rId790" Type="http://schemas.openxmlformats.org/officeDocument/2006/relationships/hyperlink" Target="https://employee.uc.ac.id/index.php/file/get/sis/t_cp/multi/c77a0b11-9336-11ee-859c-000d3ac6bafe_assignmentletter.png" TargetMode="External"/><Relationship Id="rId804" Type="http://schemas.openxmlformats.org/officeDocument/2006/relationships/hyperlink" Target="https://employee.uc.ac.id/index.php/file/get/sis/t_cp/multi/c77a0b11-9336-11ee-859c-000d3ac6bafe_assignmentletter.png" TargetMode="External"/><Relationship Id="rId4" Type="http://schemas.openxmlformats.org/officeDocument/2006/relationships/hyperlink" Target="https://employee.uc.ac.id/index.php/file/get/sis/t_cp/a2c5ec47-0b1b-11ee-80dd-000d3ac6bafe.jpg" TargetMode="External"/><Relationship Id="rId236" Type="http://schemas.openxmlformats.org/officeDocument/2006/relationships/hyperlink" Target="https://employee.uc.ac.id/index.php/file/get/sis/t_cp/multi/44388237-9417-11ee-bd04-000d3ac6bafe_assignmentletter.png" TargetMode="External"/><Relationship Id="rId443" Type="http://schemas.openxmlformats.org/officeDocument/2006/relationships/hyperlink" Target="https://employee.uc.ac.id/index.php/file/get/sis/t_cp/de3727e4-1dab-11ee-ab97-000d3ac6bafe.pdf" TargetMode="External"/><Relationship Id="rId650" Type="http://schemas.openxmlformats.org/officeDocument/2006/relationships/hyperlink" Target="https://icoen.org/" TargetMode="External"/><Relationship Id="rId888" Type="http://schemas.openxmlformats.org/officeDocument/2006/relationships/hyperlink" Target="https://employee.uc.ac.id/index.php/file/get/sis/t_cp/9c20db1d-9fe5-11ee-9e96-000d3ac6bafe_assignmentletter.pdf" TargetMode="External"/><Relationship Id="rId1073" Type="http://schemas.openxmlformats.org/officeDocument/2006/relationships/hyperlink" Target="https://employee.uc.ac.id/index.php/file/get/sis/t_cp/b2dbd518-0543-11ee-8e8c-000d3ac6bafe.pdf" TargetMode="External"/><Relationship Id="rId303" Type="http://schemas.openxmlformats.org/officeDocument/2006/relationships/hyperlink" Target="https://employee.uc.ac.id/index.php/file/get/sis/t_cp/multi/44388237-9417-11ee-bd04-000d3ac6bafe.png" TargetMode="External"/><Relationship Id="rId748" Type="http://schemas.openxmlformats.org/officeDocument/2006/relationships/hyperlink" Target="https://employee.uc.ac.id/index.php/file/get/sis/t_cp/e5d519dc-188d-11ee-96cf-000d3ac6bafe.pdf" TargetMode="External"/><Relationship Id="rId955" Type="http://schemas.openxmlformats.org/officeDocument/2006/relationships/hyperlink" Target="https://employee.uc.ac.id/index.php/file/get/sis/t_cp/5b8f1e6e-97d2-11ed-af4b-000d3ac6bafe.JPG" TargetMode="External"/><Relationship Id="rId1140" Type="http://schemas.openxmlformats.org/officeDocument/2006/relationships/hyperlink" Target="https://employee.uc.ac.id/index.php/file/get/sis/t_cp/multi/c77a0b11-9336-11ee-859c-000d3ac6bafe_assignmentletter.png" TargetMode="External"/><Relationship Id="rId84" Type="http://schemas.openxmlformats.org/officeDocument/2006/relationships/hyperlink" Target="https://employee.uc.ac.id/index.php/file/get/sis/t_cp/multi/44388237-9417-11ee-bd04-000d3ac6bafe_assignmentletter.png" TargetMode="External"/><Relationship Id="rId387" Type="http://schemas.openxmlformats.org/officeDocument/2006/relationships/hyperlink" Target="https://employee.uc.ac.id/index.php/file/get/sis/t_cp/multi/44388237-9417-11ee-bd04-000d3ac6bafe_assignmentletter.png" TargetMode="External"/><Relationship Id="rId510" Type="http://schemas.openxmlformats.org/officeDocument/2006/relationships/hyperlink" Target="https://icoen.org/" TargetMode="External"/><Relationship Id="rId594" Type="http://schemas.openxmlformats.org/officeDocument/2006/relationships/hyperlink" Target="https://icoen.org/" TargetMode="External"/><Relationship Id="rId608" Type="http://schemas.openxmlformats.org/officeDocument/2006/relationships/hyperlink" Target="https://icoen.org/" TargetMode="External"/><Relationship Id="rId815" Type="http://schemas.openxmlformats.org/officeDocument/2006/relationships/hyperlink" Target="https://employee.uc.ac.id/index.php/file/get/sis/t_cp/multi/c77a0b11-9336-11ee-859c-000d3ac6bafe.png" TargetMode="External"/><Relationship Id="rId247" Type="http://schemas.openxmlformats.org/officeDocument/2006/relationships/hyperlink" Target="https://employee.uc.ac.id/index.php/file/get/sis/t_cp/multi/44388237-9417-11ee-bd04-000d3ac6bafe.png" TargetMode="External"/><Relationship Id="rId899" Type="http://schemas.openxmlformats.org/officeDocument/2006/relationships/hyperlink" Target="https://employee.uc.ac.id/index.php/file/get/sis/t_cp/multi/c77a0b11-9336-11ee-859c-000d3ac6bafe.png" TargetMode="External"/><Relationship Id="rId1000" Type="http://schemas.openxmlformats.org/officeDocument/2006/relationships/hyperlink" Target="https://employee.uc.ac.id/index.php/file/get/sis/t_cp/86dcce45-f9f6-11ed-84c7-000d3ac6bafe.jpg" TargetMode="External"/><Relationship Id="rId1084" Type="http://schemas.openxmlformats.org/officeDocument/2006/relationships/hyperlink" Target="https://employee.uc.ac.id/index.php/file/get/sis/t_cp/multi/c77a0b11-9336-11ee-859c-000d3ac6bafe.png" TargetMode="External"/><Relationship Id="rId107" Type="http://schemas.openxmlformats.org/officeDocument/2006/relationships/hyperlink" Target="https://icoen.org/" TargetMode="External"/><Relationship Id="rId454" Type="http://schemas.openxmlformats.org/officeDocument/2006/relationships/hyperlink" Target="https://employee.uc.ac.id/index.php/file/get/sis/t_cp/multi/44388237-9417-11ee-bd04-000d3ac6bafe.png" TargetMode="External"/><Relationship Id="rId661" Type="http://schemas.openxmlformats.org/officeDocument/2006/relationships/hyperlink" Target="https://employee.uc.ac.id/index.php/file/get/sis/t_cp/multi/44388237-9417-11ee-bd04-000d3ac6bafe_assignmentletter.png" TargetMode="External"/><Relationship Id="rId759" Type="http://schemas.openxmlformats.org/officeDocument/2006/relationships/hyperlink" Target="https://employee.uc.ac.id/index.php/file/get/sis/t_cp/1775fc14-0428-11ee-ba25-000d3ac6bafe_assignmentletter.jpeg" TargetMode="External"/><Relationship Id="rId966" Type="http://schemas.openxmlformats.org/officeDocument/2006/relationships/hyperlink" Target="https://icoen.org/" TargetMode="External"/><Relationship Id="rId11" Type="http://schemas.openxmlformats.org/officeDocument/2006/relationships/hyperlink" Target="https://employee.uc.ac.id/index.php/file/get/sis/t_cp/multi/e9f29743-d848-11ed-a359-000d3ac6bafe_assignmentletter.png" TargetMode="External"/><Relationship Id="rId314" Type="http://schemas.openxmlformats.org/officeDocument/2006/relationships/hyperlink" Target="https://icoen.org/" TargetMode="External"/><Relationship Id="rId398" Type="http://schemas.openxmlformats.org/officeDocument/2006/relationships/hyperlink" Target="https://employee.uc.ac.id/index.php/file/get/sis/t_cp/multi/44388237-9417-11ee-bd04-000d3ac6bafe.png" TargetMode="External"/><Relationship Id="rId521" Type="http://schemas.openxmlformats.org/officeDocument/2006/relationships/hyperlink" Target="https://employee.uc.ac.id/index.php/file/get/sis/t_cp/multi/44388237-9417-11ee-bd04-000d3ac6bafe_assignmentletter.png" TargetMode="External"/><Relationship Id="rId619" Type="http://schemas.openxmlformats.org/officeDocument/2006/relationships/hyperlink" Target="https://employee.uc.ac.id/index.php/file/get/sis/t_cp/multi/44388237-9417-11ee-bd04-000d3ac6bafe_assignmentletter.png" TargetMode="External"/><Relationship Id="rId1151" Type="http://schemas.openxmlformats.org/officeDocument/2006/relationships/hyperlink" Target="https://jsju.org/index.php/journal/article/view/13" TargetMode="External"/><Relationship Id="rId95" Type="http://schemas.openxmlformats.org/officeDocument/2006/relationships/hyperlink" Target="https://employee.uc.ac.id/index.php/file/get/sis/t_cp/aae61e4a-ac9b-11ed-ae71-000d3ac6bafe_assignmentletter.png" TargetMode="External"/><Relationship Id="rId160" Type="http://schemas.openxmlformats.org/officeDocument/2006/relationships/hyperlink" Target="https://employee.uc.ac.id/index.php/file/get/sis/t_cp/multi/44388237-9417-11ee-bd04-000d3ac6bafe_assignmentletter.png" TargetMode="External"/><Relationship Id="rId826" Type="http://schemas.openxmlformats.org/officeDocument/2006/relationships/hyperlink" Target="https://employee.uc.ac.id/index.php/file/get/sis/t_cp/multi/c77a0b11-9336-11ee-859c-000d3ac6bafe.png" TargetMode="External"/><Relationship Id="rId1011" Type="http://schemas.openxmlformats.org/officeDocument/2006/relationships/hyperlink" Target="https://books.google.co.id/books/about/TERDEKAT_TE" TargetMode="External"/><Relationship Id="rId1109" Type="http://schemas.openxmlformats.org/officeDocument/2006/relationships/hyperlink" Target="https://employee.uc.ac.id/index.php/file/get/sis/t_cp/multi/c77a0b11-9336-11ee-859c-000d3ac6bafe.png" TargetMode="External"/><Relationship Id="rId258" Type="http://schemas.openxmlformats.org/officeDocument/2006/relationships/hyperlink" Target="https://icoen.org/" TargetMode="External"/><Relationship Id="rId465" Type="http://schemas.openxmlformats.org/officeDocument/2006/relationships/hyperlink" Target="https://icoen.org/" TargetMode="External"/><Relationship Id="rId672" Type="http://schemas.openxmlformats.org/officeDocument/2006/relationships/hyperlink" Target="https://employee.uc.ac.id/index.php/file/get/sis/t_cp/multi/44388237-9417-11ee-bd04-000d3ac6bafe.png" TargetMode="External"/><Relationship Id="rId1095" Type="http://schemas.openxmlformats.org/officeDocument/2006/relationships/hyperlink" Target="https://www.instagram.com/tv/CtEnr1TKhzv/?igshid=M" TargetMode="External"/><Relationship Id="rId22" Type="http://schemas.openxmlformats.org/officeDocument/2006/relationships/hyperlink" Target="https://employee.uc.ac.id/index.php/file/get/sis/t_cp/b284c4f1-8d80-11ed-811b-000d3ac6bafe_report.png" TargetMode="External"/><Relationship Id="rId118" Type="http://schemas.openxmlformats.org/officeDocument/2006/relationships/hyperlink" Target="https://employee.uc.ac.id/index.php/file/get/sis/t_cp/multi/44388237-9417-11ee-bd04-000d3ac6bafe.png" TargetMode="External"/><Relationship Id="rId325" Type="http://schemas.openxmlformats.org/officeDocument/2006/relationships/hyperlink" Target="https://employee.uc.ac.id/index.php/file/get/sis/t_cp/multi/44388237-9417-11ee-bd04-000d3ac6bafe_assignmentletter.png" TargetMode="External"/><Relationship Id="rId532" Type="http://schemas.openxmlformats.org/officeDocument/2006/relationships/hyperlink" Target="https://employee.uc.ac.id/index.php/file/get/sis/t_cp/multi/44388237-9417-11ee-bd04-000d3ac6bafe.png" TargetMode="External"/><Relationship Id="rId977" Type="http://schemas.openxmlformats.org/officeDocument/2006/relationships/hyperlink" Target="https://icoen.org/" TargetMode="External"/><Relationship Id="rId1162" Type="http://schemas.openxmlformats.org/officeDocument/2006/relationships/hyperlink" Target="https://www.temjournal.com/content/121/TEMJournalF" TargetMode="External"/><Relationship Id="rId171" Type="http://schemas.openxmlformats.org/officeDocument/2006/relationships/hyperlink" Target="https://icoen.org/" TargetMode="External"/><Relationship Id="rId837" Type="http://schemas.openxmlformats.org/officeDocument/2006/relationships/hyperlink" Target="https://icoen.org/" TargetMode="External"/><Relationship Id="rId1022" Type="http://schemas.openxmlformats.org/officeDocument/2006/relationships/hyperlink" Target="https://employee.uc.ac.id/index.php/file/get/sis/t_cp/multi/c77a0b11-9336-11ee-859c-000d3ac6bafe_assignmentletter.png" TargetMode="External"/><Relationship Id="rId269" Type="http://schemas.openxmlformats.org/officeDocument/2006/relationships/hyperlink" Target="https://employee.uc.ac.id/index.php/file/get/sis/t_cp/multi/c77a0b11-9336-11ee-859c-000d3ac6bafe_assignmentletter.png" TargetMode="External"/><Relationship Id="rId476" Type="http://schemas.openxmlformats.org/officeDocument/2006/relationships/hyperlink" Target="https://employee.uc.ac.id/index.php/file/get/sis/t_cp/multi/44388237-9417-11ee-bd04-000d3ac6bafe_assignmentletter.png" TargetMode="External"/><Relationship Id="rId683" Type="http://schemas.openxmlformats.org/officeDocument/2006/relationships/hyperlink" Target="https://icoen.org/" TargetMode="External"/><Relationship Id="rId890" Type="http://schemas.openxmlformats.org/officeDocument/2006/relationships/hyperlink" Target="https://employee.uc.ac.id/index.php/file/get/sis/t_cp/multi/c77a0b11-9336-11ee-859c-000d3ac6bafe.png" TargetMode="External"/><Relationship Id="rId904" Type="http://schemas.openxmlformats.org/officeDocument/2006/relationships/hyperlink" Target="https://icoen.org/" TargetMode="External"/><Relationship Id="rId33" Type="http://schemas.openxmlformats.org/officeDocument/2006/relationships/hyperlink" Target="https://icoen.org/" TargetMode="External"/><Relationship Id="rId129" Type="http://schemas.openxmlformats.org/officeDocument/2006/relationships/hyperlink" Target="https://employee.uc.ac.id/index.php/file/get/sis/t_cp/861dd44d-a37c-11ed-85df-000d3ac6bafe.jpg" TargetMode="External"/><Relationship Id="rId336" Type="http://schemas.openxmlformats.org/officeDocument/2006/relationships/hyperlink" Target="https://employee.uc.ac.id/index.php/file/get/sis/t_cp/multi/44388237-9417-11ee-bd04-000d3ac6bafe_assignmentletter.png" TargetMode="External"/><Relationship Id="rId543" Type="http://schemas.openxmlformats.org/officeDocument/2006/relationships/hyperlink" Target="https://icoen.org/" TargetMode="External"/><Relationship Id="rId988" Type="http://schemas.openxmlformats.org/officeDocument/2006/relationships/hyperlink" Target="https://employee.uc.ac.id/index.php/file/get/sis/t_cp/e7b0e200-b843-11ed-b290-000d3ac6bafe.jpg" TargetMode="External"/><Relationship Id="rId182" Type="http://schemas.openxmlformats.org/officeDocument/2006/relationships/hyperlink" Target="https://employee.uc.ac.id/index.php/file/get/sis/t_cp/multi/44388237-9417-11ee-bd04-000d3ac6bafe_assignmentletter.png" TargetMode="External"/><Relationship Id="rId403" Type="http://schemas.openxmlformats.org/officeDocument/2006/relationships/hyperlink" Target="https://icoen.org/" TargetMode="External"/><Relationship Id="rId750" Type="http://schemas.openxmlformats.org/officeDocument/2006/relationships/hyperlink" Target="https://employee.uc.ac.id/index.php/file/get/sis/t_cp/73831462-be27-11ed-8a3c-000d3ac6bafe_assignmentletter.pdf" TargetMode="External"/><Relationship Id="rId848" Type="http://schemas.openxmlformats.org/officeDocument/2006/relationships/hyperlink" Target="https://employee.uc.ac.id/index.php/file/get/sis/t_cp/c386679e-70fa-11ee-a572-000d3ac6bafe.jpg" TargetMode="External"/><Relationship Id="rId1033" Type="http://schemas.openxmlformats.org/officeDocument/2006/relationships/hyperlink" Target="https://employee.uc.ac.id/index.php/file/get/sis/t_cp/4e8dccb7-1590-11ee-9279-000d3ac6bafe_assignmentletter.jpg" TargetMode="External"/><Relationship Id="rId487" Type="http://schemas.openxmlformats.org/officeDocument/2006/relationships/hyperlink" Target="https://employee.uc.ac.id/index.php/file/get/sis/t_cp/multi/44388237-9417-11ee-bd04-000d3ac6bafe.png" TargetMode="External"/><Relationship Id="rId610" Type="http://schemas.openxmlformats.org/officeDocument/2006/relationships/hyperlink" Target="https://employee.uc.ac.id/index.php/file/get/sis/t_cp/multi/44388237-9417-11ee-bd04-000d3ac6bafe_assignmentletter.png" TargetMode="External"/><Relationship Id="rId694" Type="http://schemas.openxmlformats.org/officeDocument/2006/relationships/hyperlink" Target="https://employee.uc.ac.id/index.php/file/get/sis/t_cp/multi/44388237-9417-11ee-bd04-000d3ac6bafe_assignmentletter.png" TargetMode="External"/><Relationship Id="rId708" Type="http://schemas.openxmlformats.org/officeDocument/2006/relationships/hyperlink" Target="https://employee.uc.ac.id/index.php/file/get/sis/t_cp/multi/44388237-9417-11ee-bd04-000d3ac6bafe.png" TargetMode="External"/><Relationship Id="rId915" Type="http://schemas.openxmlformats.org/officeDocument/2006/relationships/hyperlink" Target="https://employee.uc.ac.id/index.php/file/get/sis/t_cp/multi/c77a0b11-9336-11ee-859c-000d3ac6bafe_assignmentletter.png" TargetMode="External"/><Relationship Id="rId347" Type="http://schemas.openxmlformats.org/officeDocument/2006/relationships/hyperlink" Target="https://employee.uc.ac.id/index.php/file/get/sis/t_cp/multi/44388237-9417-11ee-bd04-000d3ac6bafe.png" TargetMode="External"/><Relationship Id="rId999" Type="http://schemas.openxmlformats.org/officeDocument/2006/relationships/hyperlink" Target="https://employee.uc.ac.id/index.php/file/get/sis/t_cp/multi/c15ab80d-7c81-11ee-aca7-000d3ac6bafe_assignmentletter.png" TargetMode="External"/><Relationship Id="rId1100" Type="http://schemas.openxmlformats.org/officeDocument/2006/relationships/hyperlink" Target="https://employee.uc.ac.id/index.php/file/get/sis/t_cp/multi/c77a0b11-9336-11ee-859c-000d3ac6bafe_assignmentletter.png" TargetMode="External"/><Relationship Id="rId44" Type="http://schemas.openxmlformats.org/officeDocument/2006/relationships/hyperlink" Target="https://employee.uc.ac.id/index.php/file/get/sis/t_cp/multi/44388237-9417-11ee-bd04-000d3ac6bafe_assignmentletter.png" TargetMode="External"/><Relationship Id="rId554" Type="http://schemas.openxmlformats.org/officeDocument/2006/relationships/hyperlink" Target="https://employee.uc.ac.id/index.php/file/get/sis/t_cp/multi/44388237-9417-11ee-bd04-000d3ac6bafe_assignmentletter.png" TargetMode="External"/><Relationship Id="rId761" Type="http://schemas.openxmlformats.org/officeDocument/2006/relationships/hyperlink" Target="https://employee.uc.ac.id/index.php/file/get/sis/t_cp/a48e719c-d1f0-11ed-a759-000d3ac6bafe.jpg" TargetMode="External"/><Relationship Id="rId859" Type="http://schemas.openxmlformats.org/officeDocument/2006/relationships/hyperlink" Target="https://employee.uc.ac.id/index.php/file/get/sis/t_cp/f9bc4af0-9815-11ed-af4b-000d3ac6bafe.pdf" TargetMode="External"/><Relationship Id="rId193" Type="http://schemas.openxmlformats.org/officeDocument/2006/relationships/hyperlink" Target="https://employee.uc.ac.id/index.php/file/get/sis/t_cp/multi/44388237-9417-11ee-bd04-000d3ac6bafe.png" TargetMode="External"/><Relationship Id="rId207" Type="http://schemas.openxmlformats.org/officeDocument/2006/relationships/hyperlink" Target="https://icoen.org/" TargetMode="External"/><Relationship Id="rId414" Type="http://schemas.openxmlformats.org/officeDocument/2006/relationships/hyperlink" Target="https://employee.uc.ac.id/index.php/file/get/sis/t_cp/multi/44388237-9417-11ee-bd04-000d3ac6bafe_assignmentletter.png" TargetMode="External"/><Relationship Id="rId498" Type="http://schemas.openxmlformats.org/officeDocument/2006/relationships/hyperlink" Target="https://icoen.org/" TargetMode="External"/><Relationship Id="rId621" Type="http://schemas.openxmlformats.org/officeDocument/2006/relationships/hyperlink" Target="https://employee.uc.ac.id/index.php/file/get/sis/t_cp/multi/44388237-9417-11ee-bd04-000d3ac6bafe.png" TargetMode="External"/><Relationship Id="rId1044" Type="http://schemas.openxmlformats.org/officeDocument/2006/relationships/hyperlink" Target="https://employee.uc.ac.id/index.php/file/get/sis/t_cp/ae44ae32-1964-11ee-9863-000d3ac6bafe.jpg" TargetMode="External"/><Relationship Id="rId260" Type="http://schemas.openxmlformats.org/officeDocument/2006/relationships/hyperlink" Target="https://employee.uc.ac.id/index.php/file/get/sis/t_cp/multi/44388237-9417-11ee-bd04-000d3ac6bafe_assignmentletter.png" TargetMode="External"/><Relationship Id="rId719" Type="http://schemas.openxmlformats.org/officeDocument/2006/relationships/hyperlink" Target="https://employee.uc.ac.id/index.php/file/get/sis/t_cp/multi/1e7be259-882b-11ee-ae4d-000d3ac6bafe_assignmentletter.png" TargetMode="External"/><Relationship Id="rId926" Type="http://schemas.openxmlformats.org/officeDocument/2006/relationships/hyperlink" Target="https://employee.uc.ac.id/index.php/file/get/sis/t_cp/multi/c77a0b11-9336-11ee-859c-000d3ac6bafe.png" TargetMode="External"/><Relationship Id="rId1111" Type="http://schemas.openxmlformats.org/officeDocument/2006/relationships/hyperlink" Target="https://icoen.org/" TargetMode="External"/><Relationship Id="rId55" Type="http://schemas.openxmlformats.org/officeDocument/2006/relationships/hyperlink" Target="https://employee.uc.ac.id/index.php/file/get/sis/t_cp/multi/44388237-9417-11ee-bd04-000d3ac6bafe.png" TargetMode="External"/><Relationship Id="rId120" Type="http://schemas.openxmlformats.org/officeDocument/2006/relationships/hyperlink" Target="https://icoen.org/" TargetMode="External"/><Relationship Id="rId358" Type="http://schemas.openxmlformats.org/officeDocument/2006/relationships/hyperlink" Target="https://icoen.org/" TargetMode="External"/><Relationship Id="rId565" Type="http://schemas.openxmlformats.org/officeDocument/2006/relationships/hyperlink" Target="https://employee.uc.ac.id/index.php/file/get/sis/t_cp/multi/44388237-9417-11ee-bd04-000d3ac6bafe.png" TargetMode="External"/><Relationship Id="rId772" Type="http://schemas.openxmlformats.org/officeDocument/2006/relationships/hyperlink" Target="https://pasca.unair.ac.id/" TargetMode="External"/><Relationship Id="rId218" Type="http://schemas.openxmlformats.org/officeDocument/2006/relationships/hyperlink" Target="https://employee.uc.ac.id/index.php/file/get/sis/t_cp/multi/44388237-9417-11ee-bd04-000d3ac6bafe_assignmentletter.png" TargetMode="External"/><Relationship Id="rId425" Type="http://schemas.openxmlformats.org/officeDocument/2006/relationships/hyperlink" Target="https://employee.uc.ac.id/index.php/file/get/sis/t_cp/multi/44388237-9417-11ee-bd04-000d3ac6bafe.png" TargetMode="External"/><Relationship Id="rId632" Type="http://schemas.openxmlformats.org/officeDocument/2006/relationships/hyperlink" Target="https://icoen.org/" TargetMode="External"/><Relationship Id="rId1055" Type="http://schemas.openxmlformats.org/officeDocument/2006/relationships/hyperlink" Target="https://employee.uc.ac.id/index.php/file/get/sis/t_cp/multi/c77a0b11-9336-11ee-859c-000d3ac6bafe.png" TargetMode="External"/><Relationship Id="rId271" Type="http://schemas.openxmlformats.org/officeDocument/2006/relationships/hyperlink" Target="https://employee.uc.ac.id/index.php/file/get/sis/t_cp/multi/44388237-9417-11ee-bd04-000d3ac6bafe.png" TargetMode="External"/><Relationship Id="rId937" Type="http://schemas.openxmlformats.org/officeDocument/2006/relationships/hyperlink" Target="https://employee.uc.ac.id/index.php/file/get/sis/t_cp/multi/1e7be259-882b-11ee-ae4d-000d3ac6bafe_assignmentletter.png" TargetMode="External"/><Relationship Id="rId1122" Type="http://schemas.openxmlformats.org/officeDocument/2006/relationships/hyperlink" Target="https://employee.uc.ac.id/index.php/file/get/sis/t_cp/multi/22a9f18e-0412-11ee-ba25-000d3ac6bafe_assignmentletter.png" TargetMode="External"/><Relationship Id="rId66" Type="http://schemas.openxmlformats.org/officeDocument/2006/relationships/hyperlink" Target="https://icoen.org/" TargetMode="External"/><Relationship Id="rId131" Type="http://schemas.openxmlformats.org/officeDocument/2006/relationships/hyperlink" Target="https://icoen.org/" TargetMode="External"/><Relationship Id="rId369" Type="http://schemas.openxmlformats.org/officeDocument/2006/relationships/hyperlink" Target="https://employee.uc.ac.id/index.php/file/get/sis/t_cp/multi/44388237-9417-11ee-bd04-000d3ac6bafe_assignmentletter.png" TargetMode="External"/><Relationship Id="rId576" Type="http://schemas.openxmlformats.org/officeDocument/2006/relationships/hyperlink" Target="https://icoen.org/" TargetMode="External"/><Relationship Id="rId783" Type="http://schemas.openxmlformats.org/officeDocument/2006/relationships/hyperlink" Target="https://employee.uc.ac.id/index.php/file/get/sis/t_cp/multi/c77a0b11-9336-11ee-859c-000d3ac6bafe.png" TargetMode="External"/><Relationship Id="rId990" Type="http://schemas.openxmlformats.org/officeDocument/2006/relationships/hyperlink" Target="https://employee.uc.ac.id/index.php/file/get/sis/t_cp/multi/c77a0b11-9336-11ee-859c-000d3ac6bafe.png" TargetMode="External"/><Relationship Id="rId229" Type="http://schemas.openxmlformats.org/officeDocument/2006/relationships/hyperlink" Target="https://employee.uc.ac.id/index.php/file/get/sis/t_cp/multi/44388237-9417-11ee-bd04-000d3ac6bafe.png" TargetMode="External"/><Relationship Id="rId436" Type="http://schemas.openxmlformats.org/officeDocument/2006/relationships/hyperlink" Target="https://icoen.org/" TargetMode="External"/><Relationship Id="rId643" Type="http://schemas.openxmlformats.org/officeDocument/2006/relationships/hyperlink" Target="https://employee.uc.ac.id/index.php/file/get/sis/t_cp/multi/44388237-9417-11ee-bd04-000d3ac6bafe_assignmentletter.png" TargetMode="External"/><Relationship Id="rId1066" Type="http://schemas.openxmlformats.org/officeDocument/2006/relationships/hyperlink" Target="https://employee.uc.ac.id/index.php/file/get/sis/t_cp/multi/c77a0b11-9336-11ee-859c-000d3ac6bafe_assignmentletter.png" TargetMode="External"/><Relationship Id="rId850" Type="http://schemas.openxmlformats.org/officeDocument/2006/relationships/hyperlink" Target="https://employee.uc.ac.id/index.php/file/get/sis/t_cp/08cc39e1-bb64-11ed-8264-000d3ac6bafe.png" TargetMode="External"/><Relationship Id="rId948" Type="http://schemas.openxmlformats.org/officeDocument/2006/relationships/hyperlink" Target="https://employee.uc.ac.id/index.php/file/get/sis/t_cp/multi/c77a0b11-9336-11ee-859c-000d3ac6bafe_assignmentletter.png" TargetMode="External"/><Relationship Id="rId1133" Type="http://schemas.openxmlformats.org/officeDocument/2006/relationships/hyperlink" Target="https://employee.uc.ac.id/index.php/file/get/sis/t_cp/ebe901cd-7935-11ee-8973-000d3ac6bafe.jpg" TargetMode="External"/><Relationship Id="rId77" Type="http://schemas.openxmlformats.org/officeDocument/2006/relationships/hyperlink" Target="https://employee.uc.ac.id/index.php/file/get/sis/t_cp/multi/44388237-9417-11ee-bd04-000d3ac6bafe_assignmentletter.png" TargetMode="External"/><Relationship Id="rId282" Type="http://schemas.openxmlformats.org/officeDocument/2006/relationships/hyperlink" Target="https://icoen.org/" TargetMode="External"/><Relationship Id="rId503" Type="http://schemas.openxmlformats.org/officeDocument/2006/relationships/hyperlink" Target="https://employee.uc.ac.id/index.php/file/get/sis/t_cp/multi/44388237-9417-11ee-bd04-000d3ac6bafe_assignmentletter.png" TargetMode="External"/><Relationship Id="rId587" Type="http://schemas.openxmlformats.org/officeDocument/2006/relationships/hyperlink" Target="https://employee.uc.ac.id/index.php/file/get/sis/t_cp/multi/44388237-9417-11ee-bd04-000d3ac6bafe_assignmentletter.png" TargetMode="External"/><Relationship Id="rId710" Type="http://schemas.openxmlformats.org/officeDocument/2006/relationships/hyperlink" Target="https://icoen.org/" TargetMode="External"/><Relationship Id="rId808" Type="http://schemas.openxmlformats.org/officeDocument/2006/relationships/hyperlink" Target="https://icoen.org/" TargetMode="External"/><Relationship Id="rId8" Type="http://schemas.openxmlformats.org/officeDocument/2006/relationships/hyperlink" Target="https://employee.uc.ac.id/index.php/file/get/sis/t_cp/33fc8288-b39d-11ed-ae8d-000d3ac6bafe_assignmentletter.pdf" TargetMode="External"/><Relationship Id="rId142" Type="http://schemas.openxmlformats.org/officeDocument/2006/relationships/hyperlink" Target="https://employee.uc.ac.id/index.php/file/get/sis/t_cp/multi/44388237-9417-11ee-bd04-000d3ac6bafe_assignmentletter.png" TargetMode="External"/><Relationship Id="rId447" Type="http://schemas.openxmlformats.org/officeDocument/2006/relationships/hyperlink" Target="https://employee.uc.ac.id/index.php/file/get/sis/t_cp/multi/44388237-9417-11ee-bd04-000d3ac6bafe.png" TargetMode="External"/><Relationship Id="rId794" Type="http://schemas.openxmlformats.org/officeDocument/2006/relationships/hyperlink" Target="https://icoen.org/" TargetMode="External"/><Relationship Id="rId1077" Type="http://schemas.openxmlformats.org/officeDocument/2006/relationships/hyperlink" Target="https://icoen.org/" TargetMode="External"/><Relationship Id="rId654" Type="http://schemas.openxmlformats.org/officeDocument/2006/relationships/hyperlink" Target="https://employee.uc.ac.id/index.php/file/get/sis/t_cp/multi/44388237-9417-11ee-bd04-000d3ac6bafe.png" TargetMode="External"/><Relationship Id="rId861" Type="http://schemas.openxmlformats.org/officeDocument/2006/relationships/hyperlink" Target="https://employee.uc.ac.id/index.php/file/get/sis/t_cp/multi/c77a0b11-9336-11ee-859c-000d3ac6bafe.png" TargetMode="External"/><Relationship Id="rId959" Type="http://schemas.openxmlformats.org/officeDocument/2006/relationships/hyperlink" Target="https://employee.uc.ac.id/index.php/file/get/sis/t_cp/967e7cfa-0119-11ee-b6e3-000d3ac6bafe_assignmentletter.jpg" TargetMode="External"/><Relationship Id="rId293" Type="http://schemas.openxmlformats.org/officeDocument/2006/relationships/hyperlink" Target="https://icoen.org/" TargetMode="External"/><Relationship Id="rId307" Type="http://schemas.openxmlformats.org/officeDocument/2006/relationships/hyperlink" Target="https://employee.uc.ac.id/index.php/file/get/sis/t_cp/multi/44388237-9417-11ee-bd04-000d3ac6bafe_assignmentletter.png" TargetMode="External"/><Relationship Id="rId514" Type="http://schemas.openxmlformats.org/officeDocument/2006/relationships/hyperlink" Target="https://employee.uc.ac.id/index.php/file/get/sis/t_cp/multi/44388237-9417-11ee-bd04-000d3ac6bafe.png" TargetMode="External"/><Relationship Id="rId721" Type="http://schemas.openxmlformats.org/officeDocument/2006/relationships/hyperlink" Target="https://employee.uc.ac.id/index.php/file/get/sis/t_cp/multi/1e7be259-882b-11ee-ae4d-000d3ac6bafe_assignmentletter.png" TargetMode="External"/><Relationship Id="rId1144" Type="http://schemas.openxmlformats.org/officeDocument/2006/relationships/hyperlink" Target="https://employee.uc.ac.id/index.php/file/get/sis/t_cp/a4438ff3-8f69-11ed-bca6-000d3ac6bafe.pdf" TargetMode="External"/><Relationship Id="rId88" Type="http://schemas.openxmlformats.org/officeDocument/2006/relationships/hyperlink" Target="https://employee.uc.ac.id/index.php/file/get/sis/t_cp/2f0b4a74-97f8-11ed-af4b-000d3ac6bafe.jpg" TargetMode="External"/><Relationship Id="rId153" Type="http://schemas.openxmlformats.org/officeDocument/2006/relationships/hyperlink" Target="https://employee.uc.ac.id/index.php/file/get/sis/t_cp/multi/c15ab80d-7c81-11ee-aca7-000d3ac6bafe_assignmentletter.png" TargetMode="External"/><Relationship Id="rId360" Type="http://schemas.openxmlformats.org/officeDocument/2006/relationships/hyperlink" Target="https://employee.uc.ac.id/index.php/file/get/sis/t_cp/multi/44388237-9417-11ee-bd04-000d3ac6bafe_assignmentletter.png" TargetMode="External"/><Relationship Id="rId598" Type="http://schemas.openxmlformats.org/officeDocument/2006/relationships/hyperlink" Target="https://employee.uc.ac.id/index.php/file/get/sis/t_cp/multi/c15ab80d-7c81-11ee-aca7-000d3ac6bafe_assignmentletter.png" TargetMode="External"/><Relationship Id="rId819" Type="http://schemas.openxmlformats.org/officeDocument/2006/relationships/hyperlink" Target="https://icoen.org/" TargetMode="External"/><Relationship Id="rId1004" Type="http://schemas.openxmlformats.org/officeDocument/2006/relationships/hyperlink" Target="https://employee.uc.ac.id/index.php/file/get/sis/t_cp/multi/c77a0b11-9336-11ee-859c-000d3ac6bafe_assignmentletter.png" TargetMode="External"/><Relationship Id="rId220" Type="http://schemas.openxmlformats.org/officeDocument/2006/relationships/hyperlink" Target="https://employee.uc.ac.id/index.php/file/get/sis/t_cp/multi/44388237-9417-11ee-bd04-000d3ac6bafe.png" TargetMode="External"/><Relationship Id="rId458" Type="http://schemas.openxmlformats.org/officeDocument/2006/relationships/hyperlink" Target="https://employee.uc.ac.id/index.php/file/get/sis/t_cp/multi/44388237-9417-11ee-bd04-000d3ac6bafe_assignmentletter.png" TargetMode="External"/><Relationship Id="rId665" Type="http://schemas.openxmlformats.org/officeDocument/2006/relationships/hyperlink" Target="https://icoen.org/" TargetMode="External"/><Relationship Id="rId872" Type="http://schemas.openxmlformats.org/officeDocument/2006/relationships/hyperlink" Target="https://employee.uc.ac.id/index.php/file/get/sis/t_cp/multi/e9f29743-d848-11ed-a359-000d3ac6bafe_assignmentletter.png" TargetMode="External"/><Relationship Id="rId1088" Type="http://schemas.openxmlformats.org/officeDocument/2006/relationships/hyperlink" Target="https://employee.uc.ac.id/index.php/file/get/sis/t_cp/multi/c77a0b11-9336-11ee-859c-000d3ac6bafe_assignmentletter.png" TargetMode="External"/><Relationship Id="rId15" Type="http://schemas.openxmlformats.org/officeDocument/2006/relationships/hyperlink" Target="https://employee.uc.ac.id/index.php/file/get/sis/t_cp/2f373225-4e1c-11ee-b77c-000d3ac6bafe_report.jpg" TargetMode="External"/><Relationship Id="rId318" Type="http://schemas.openxmlformats.org/officeDocument/2006/relationships/hyperlink" Target="https://employee.uc.ac.id/index.php/file/get/sis/t_cp/multi/44388237-9417-11ee-bd04-000d3ac6bafe.png" TargetMode="External"/><Relationship Id="rId525" Type="http://schemas.openxmlformats.org/officeDocument/2006/relationships/hyperlink" Target="https://icoen.org/" TargetMode="External"/><Relationship Id="rId732" Type="http://schemas.openxmlformats.org/officeDocument/2006/relationships/hyperlink" Target="https://employee.uc.ac.id/index.php/file/get/sis/t_cp/7ebdf27d-97b4-11ed-af4b-000d3ac6bafe.jpeg" TargetMode="External"/><Relationship Id="rId1155" Type="http://schemas.openxmlformats.org/officeDocument/2006/relationships/hyperlink" Target="https://employee.uc.ac.id/index.php/file/get/sis/t_cp/052bab7d-829d-11ee-8a78-000d3ac6bafe.png" TargetMode="External"/><Relationship Id="rId99" Type="http://schemas.openxmlformats.org/officeDocument/2006/relationships/hyperlink" Target="https://employee.uc.ac.id/index.php/file/get/sis/t_cp/3233d227-a489-11ed-b2de-000d3ac6bafe.pdf" TargetMode="External"/><Relationship Id="rId164" Type="http://schemas.openxmlformats.org/officeDocument/2006/relationships/hyperlink" Target="https://icoen.org/" TargetMode="External"/><Relationship Id="rId371" Type="http://schemas.openxmlformats.org/officeDocument/2006/relationships/hyperlink" Target="https://employee.uc.ac.id/index.php/file/get/sis/t_cp/multi/44388237-9417-11ee-bd04-000d3ac6bafe.png" TargetMode="External"/><Relationship Id="rId1015" Type="http://schemas.openxmlformats.org/officeDocument/2006/relationships/hyperlink" Target="https://employee.uc.ac.id/index.php/file/get/sis/t_cp/650c210e-ac1c-11ed-ae71-000d3ac6bafe.pdf" TargetMode="External"/><Relationship Id="rId469" Type="http://schemas.openxmlformats.org/officeDocument/2006/relationships/hyperlink" Target="https://employee.uc.ac.id/index.php/file/get/sis/t_cp/multi/44388237-9417-11ee-bd04-000d3ac6bafe.png" TargetMode="External"/><Relationship Id="rId676" Type="http://schemas.openxmlformats.org/officeDocument/2006/relationships/hyperlink" Target="https://employee.uc.ac.id/index.php/file/get/sis/t_cp/multi/44388237-9417-11ee-bd04-000d3ac6bafe_assignmentletter.png" TargetMode="External"/><Relationship Id="rId883" Type="http://schemas.openxmlformats.org/officeDocument/2006/relationships/hyperlink" Target="https://employee.uc.ac.id/index.php/file/get/sis/t_cp/multi/c77a0b11-9336-11ee-859c-000d3ac6bafe_assignmentletter.png" TargetMode="External"/><Relationship Id="rId1099" Type="http://schemas.openxmlformats.org/officeDocument/2006/relationships/hyperlink" Target="https://employee.uc.ac.id/index.php/file/get/sis/t_cp/multi/c77a0b11-9336-11ee-859c-000d3ac6bafe.png" TargetMode="External"/><Relationship Id="rId26" Type="http://schemas.openxmlformats.org/officeDocument/2006/relationships/hyperlink" Target="https://employee.uc.ac.id/index.php/file/get/sis/t_cp/ed0ed558-d81d-11ed-a359-000d3ac6bafe.jpeg" TargetMode="External"/><Relationship Id="rId231" Type="http://schemas.openxmlformats.org/officeDocument/2006/relationships/hyperlink" Target="https://icoen.org/" TargetMode="External"/><Relationship Id="rId329" Type="http://schemas.openxmlformats.org/officeDocument/2006/relationships/hyperlink" Target="https://icoen.org/" TargetMode="External"/><Relationship Id="rId536" Type="http://schemas.openxmlformats.org/officeDocument/2006/relationships/hyperlink" Target="https://employee.uc.ac.id/index.php/file/get/sis/t_cp/multi/44388237-9417-11ee-bd04-000d3ac6bafe_assignmentletter.png" TargetMode="External"/><Relationship Id="rId1166" Type="http://schemas.openxmlformats.org/officeDocument/2006/relationships/hyperlink" Target="https://employee.uc.ac.id/index.php/file/get/sis/t_cp/multi/c77a0b11-9336-11ee-859c-000d3ac6bafe_assignmentletter.png" TargetMode="External"/><Relationship Id="rId175" Type="http://schemas.openxmlformats.org/officeDocument/2006/relationships/hyperlink" Target="https://employee.uc.ac.id/index.php/file/get/sis/t_cp/multi/44388237-9417-11ee-bd04-000d3ac6bafe.png" TargetMode="External"/><Relationship Id="rId743" Type="http://schemas.openxmlformats.org/officeDocument/2006/relationships/hyperlink" Target="https://employee.uc.ac.id/index.php/file/get/sis/t_cp/3a119bd8-9b1d-11ed-bfe8-000d3ac6bafe.pdf" TargetMode="External"/><Relationship Id="rId950" Type="http://schemas.openxmlformats.org/officeDocument/2006/relationships/hyperlink" Target="https://employee.uc.ac.id/index.php/file/get/sis/t_cp/multi/c77a0b11-9336-11ee-859c-000d3ac6bafe.png" TargetMode="External"/><Relationship Id="rId1026" Type="http://schemas.openxmlformats.org/officeDocument/2006/relationships/hyperlink" Target="https://icoen.org/" TargetMode="External"/><Relationship Id="rId382" Type="http://schemas.openxmlformats.org/officeDocument/2006/relationships/hyperlink" Target="https://icoen.org/" TargetMode="External"/><Relationship Id="rId603" Type="http://schemas.openxmlformats.org/officeDocument/2006/relationships/hyperlink" Target="https://employee.uc.ac.id/index.php/file/get/sis/t_cp/multi/44388237-9417-11ee-bd04-000d3ac6bafe.png" TargetMode="External"/><Relationship Id="rId687" Type="http://schemas.openxmlformats.org/officeDocument/2006/relationships/hyperlink" Target="https://employee.uc.ac.id/index.php/file/get/sis/t_cp/multi/44388237-9417-11ee-bd04-000d3ac6bafe.png" TargetMode="External"/><Relationship Id="rId810" Type="http://schemas.openxmlformats.org/officeDocument/2006/relationships/hyperlink" Target="https://employee.uc.ac.id/index.php/file/get/sis/t_cp/multi/c77a0b11-9336-11ee-859c-000d3ac6bafe_assignmentletter.png" TargetMode="External"/><Relationship Id="rId908" Type="http://schemas.openxmlformats.org/officeDocument/2006/relationships/hyperlink" Target="https://employee.uc.ac.id/index.php/file/get/sis/t_cp/multi/c77a0b11-9336-11ee-859c-000d3ac6bafe.png" TargetMode="External"/><Relationship Id="rId242" Type="http://schemas.openxmlformats.org/officeDocument/2006/relationships/hyperlink" Target="https://employee.uc.ac.id/index.php/file/get/sis/t_cp/multi/44388237-9417-11ee-bd04-000d3ac6bafe_assignmentletter.png" TargetMode="External"/><Relationship Id="rId894" Type="http://schemas.openxmlformats.org/officeDocument/2006/relationships/hyperlink" Target="https://employee.uc.ac.id/index.php/file/get/sis/t_cp/multi/c77a0b11-9336-11ee-859c-000d3ac6bafe_assignmentletter.png" TargetMode="External"/><Relationship Id="rId37" Type="http://schemas.openxmlformats.org/officeDocument/2006/relationships/hyperlink" Target="https://employee.uc.ac.id/index.php/file/get/sis/t_cp/multi/44388237-9417-11ee-bd04-000d3ac6bafe.png" TargetMode="External"/><Relationship Id="rId102" Type="http://schemas.openxmlformats.org/officeDocument/2006/relationships/hyperlink" Target="https://employee.uc.ac.id/index.php/file/get/sis/t_cp/multi/44388237-9417-11ee-bd04-000d3ac6bafe.png" TargetMode="External"/><Relationship Id="rId547" Type="http://schemas.openxmlformats.org/officeDocument/2006/relationships/hyperlink" Target="https://employee.uc.ac.id/index.php/file/get/sis/t_cp/multi/44388237-9417-11ee-bd04-000d3ac6bafe.png" TargetMode="External"/><Relationship Id="rId754" Type="http://schemas.openxmlformats.org/officeDocument/2006/relationships/hyperlink" Target="https://employee.uc.ac.id/index.php/file/get/sis/t_cp/7e2f4f19-9c68-11ed-90bc-000d3ac6bafe.pdf" TargetMode="External"/><Relationship Id="rId961" Type="http://schemas.openxmlformats.org/officeDocument/2006/relationships/hyperlink" Target="https://employee.uc.ac.id/index.php/file/get/sis/t_cp/multi/c77a0b11-9336-11ee-859c-000d3ac6bafe.png" TargetMode="External"/><Relationship Id="rId90" Type="http://schemas.openxmlformats.org/officeDocument/2006/relationships/hyperlink" Target="https://employee.uc.ac.id/index.php/file/get/sis/t_cp/multi/1e7be259-882b-11ee-ae4d-000d3ac6bafe_assignmentletter.png" TargetMode="External"/><Relationship Id="rId186" Type="http://schemas.openxmlformats.org/officeDocument/2006/relationships/hyperlink" Target="https://icoen.org/" TargetMode="External"/><Relationship Id="rId393" Type="http://schemas.openxmlformats.org/officeDocument/2006/relationships/hyperlink" Target="https://employee.uc.ac.id/index.php/file/get/sis/t_cp/multi/44388237-9417-11ee-bd04-000d3ac6bafe_assignmentletter.png" TargetMode="External"/><Relationship Id="rId407" Type="http://schemas.openxmlformats.org/officeDocument/2006/relationships/hyperlink" Target="https://employee.uc.ac.id/index.php/file/get/sis/t_cp/multi/44388237-9417-11ee-bd04-000d3ac6bafe.png" TargetMode="External"/><Relationship Id="rId614" Type="http://schemas.openxmlformats.org/officeDocument/2006/relationships/hyperlink" Target="https://icoen.org/" TargetMode="External"/><Relationship Id="rId821" Type="http://schemas.openxmlformats.org/officeDocument/2006/relationships/hyperlink" Target="https://employee.uc.ac.id/index.php/file/get/sis/t_cp/multi/c77a0b11-9336-11ee-859c-000d3ac6bafe_assignmentletter.png" TargetMode="External"/><Relationship Id="rId1037" Type="http://schemas.openxmlformats.org/officeDocument/2006/relationships/hyperlink" Target="https://employee.uc.ac.id/index.php/file/get/sis/t_cp/multi/c15ab80d-7c81-11ee-aca7-000d3ac6bafe_assignmentletter.png" TargetMode="External"/><Relationship Id="rId253" Type="http://schemas.openxmlformats.org/officeDocument/2006/relationships/hyperlink" Target="https://employee.uc.ac.id/index.php/file/get/sis/t_cp/multi/44388237-9417-11ee-bd04-000d3ac6bafe.png" TargetMode="External"/><Relationship Id="rId460" Type="http://schemas.openxmlformats.org/officeDocument/2006/relationships/hyperlink" Target="https://employee.uc.ac.id/index.php/file/get/sis/t_cp/multi/44388237-9417-11ee-bd04-000d3ac6bafe.png" TargetMode="External"/><Relationship Id="rId698" Type="http://schemas.openxmlformats.org/officeDocument/2006/relationships/hyperlink" Target="https://icoen.org/" TargetMode="External"/><Relationship Id="rId919" Type="http://schemas.openxmlformats.org/officeDocument/2006/relationships/hyperlink" Target="https://icoen.org/" TargetMode="External"/><Relationship Id="rId1090" Type="http://schemas.openxmlformats.org/officeDocument/2006/relationships/hyperlink" Target="https://employee.uc.ac.id/index.php/file/get/sis/t_cp/multi/c77a0b11-9336-11ee-859c-000d3ac6bafe.png" TargetMode="External"/><Relationship Id="rId1104" Type="http://schemas.openxmlformats.org/officeDocument/2006/relationships/hyperlink" Target="https://employee.uc.ac.id/index.php/file/get/sis/t_cp/193ac5f1-7489-11ee-bbde-000d3ac6bafe_assignmentletter.jpg" TargetMode="External"/><Relationship Id="rId48" Type="http://schemas.openxmlformats.org/officeDocument/2006/relationships/hyperlink" Target="https://employee.uc.ac.id/index.php/file/get/sis/t_cp/multi/e7681b35-0411-11ee-ba25-000d3ac6bafe_assignmentletter.png" TargetMode="External"/><Relationship Id="rId113" Type="http://schemas.openxmlformats.org/officeDocument/2006/relationships/hyperlink" Target="https://employee.uc.ac.id/index.php/file/get/sis/t_cp/81730dff-5c2f-11ee-aac5-000d3ac6bafe.jpg" TargetMode="External"/><Relationship Id="rId320" Type="http://schemas.openxmlformats.org/officeDocument/2006/relationships/hyperlink" Target="https://icoen.org/" TargetMode="External"/><Relationship Id="rId558" Type="http://schemas.openxmlformats.org/officeDocument/2006/relationships/hyperlink" Target="https://icoen.org/" TargetMode="External"/><Relationship Id="rId765" Type="http://schemas.openxmlformats.org/officeDocument/2006/relationships/hyperlink" Target="https://employee.uc.ac.id/index.php/file/get/sis/t_cp/2eb32b47-f3b9-11ed-b513-000d3ac6bafe.pdf" TargetMode="External"/><Relationship Id="rId972" Type="http://schemas.openxmlformats.org/officeDocument/2006/relationships/hyperlink" Target="https://icoen.org/" TargetMode="External"/><Relationship Id="rId197" Type="http://schemas.openxmlformats.org/officeDocument/2006/relationships/hyperlink" Target="https://employee.uc.ac.id/index.php/file/get/sis/t_cp/multi/44388237-9417-11ee-bd04-000d3ac6bafe_assignmentletter.png" TargetMode="External"/><Relationship Id="rId418" Type="http://schemas.openxmlformats.org/officeDocument/2006/relationships/hyperlink" Target="https://icoen.org/" TargetMode="External"/><Relationship Id="rId625" Type="http://schemas.openxmlformats.org/officeDocument/2006/relationships/hyperlink" Target="https://employee.uc.ac.id/index.php/file/get/sis/t_cp/multi/44388237-9417-11ee-bd04-000d3ac6bafe_assignmentletter.png" TargetMode="External"/><Relationship Id="rId832" Type="http://schemas.openxmlformats.org/officeDocument/2006/relationships/hyperlink" Target="https://employee.uc.ac.id/index.php/file/get/sis/t_cp/multi/c77a0b11-9336-11ee-859c-000d3ac6bafe.png" TargetMode="External"/><Relationship Id="rId1048" Type="http://schemas.openxmlformats.org/officeDocument/2006/relationships/hyperlink" Target="https://icoen.org/" TargetMode="External"/><Relationship Id="rId264" Type="http://schemas.openxmlformats.org/officeDocument/2006/relationships/hyperlink" Target="https://icoen.org/" TargetMode="External"/><Relationship Id="rId471" Type="http://schemas.openxmlformats.org/officeDocument/2006/relationships/hyperlink" Target="https://icoen.org/" TargetMode="External"/><Relationship Id="rId1115" Type="http://schemas.openxmlformats.org/officeDocument/2006/relationships/hyperlink" Target="https://employee.uc.ac.id/index.php/file/get/sis/t_cp/multi/c77a0b11-9336-11ee-859c-000d3ac6bafe.png" TargetMode="External"/><Relationship Id="rId59" Type="http://schemas.openxmlformats.org/officeDocument/2006/relationships/hyperlink" Target="https://employee.uc.ac.id/index.php/file/get/sis/t_cp/7a74415d-b675-11ed-aa92-000d3ac6bafe.pdf" TargetMode="External"/><Relationship Id="rId124" Type="http://schemas.openxmlformats.org/officeDocument/2006/relationships/hyperlink" Target="https://employee.uc.ac.id/index.php/file/get/sis/t_cp/multi/44388237-9417-11ee-bd04-000d3ac6bafe.png" TargetMode="External"/><Relationship Id="rId569" Type="http://schemas.openxmlformats.org/officeDocument/2006/relationships/hyperlink" Target="https://employee.uc.ac.id/index.php/file/get/sis/t_cp/multi/44388237-9417-11ee-bd04-000d3ac6bafe_assignmentletter.png" TargetMode="External"/><Relationship Id="rId776" Type="http://schemas.openxmlformats.org/officeDocument/2006/relationships/hyperlink" Target="https://employee.uc.ac.id/index.php/file/get/sis/t_cp/1e9785bb-5a06-11ee-8d80-000d3ac6bafe.pdf" TargetMode="External"/><Relationship Id="rId983" Type="http://schemas.openxmlformats.org/officeDocument/2006/relationships/hyperlink" Target="https://employee.uc.ac.id/index.php/file/get/sis/t_cp/04c81a75-faad-11ed-965d-000d3ac6bafe.jpg" TargetMode="External"/><Relationship Id="rId331" Type="http://schemas.openxmlformats.org/officeDocument/2006/relationships/hyperlink" Target="https://employee.uc.ac.id/index.php/file/get/sis/t_cp/multi/44388237-9417-11ee-bd04-000d3ac6bafe_assignmentletter.png" TargetMode="External"/><Relationship Id="rId429" Type="http://schemas.openxmlformats.org/officeDocument/2006/relationships/hyperlink" Target="https://employee.uc.ac.id/index.php/file/get/sis/t_cp/multi/44388237-9417-11ee-bd04-000d3ac6bafe_assignmentletter.png" TargetMode="External"/><Relationship Id="rId636" Type="http://schemas.openxmlformats.org/officeDocument/2006/relationships/hyperlink" Target="https://employee.uc.ac.id/index.php/file/get/sis/t_cp/multi/44388237-9417-11ee-bd04-000d3ac6bafe.png" TargetMode="External"/><Relationship Id="rId1059" Type="http://schemas.openxmlformats.org/officeDocument/2006/relationships/hyperlink" Target="https://icoen.org/" TargetMode="External"/><Relationship Id="rId843" Type="http://schemas.openxmlformats.org/officeDocument/2006/relationships/hyperlink" Target="https://icoen.org/" TargetMode="External"/><Relationship Id="rId1126" Type="http://schemas.openxmlformats.org/officeDocument/2006/relationships/hyperlink" Target="https://employee.uc.ac.id/index.php/file/get/sis/t_cp/multi/c77a0b11-9336-11ee-859c-000d3ac6bafe.png" TargetMode="External"/><Relationship Id="rId275" Type="http://schemas.openxmlformats.org/officeDocument/2006/relationships/hyperlink" Target="https://employee.uc.ac.id/index.php/file/get/sis/t_cp/multi/44388237-9417-11ee-bd04-000d3ac6bafe_assignmentletter.png" TargetMode="External"/><Relationship Id="rId482" Type="http://schemas.openxmlformats.org/officeDocument/2006/relationships/hyperlink" Target="https://employee.uc.ac.id/index.php/file/get/sis/t_cp/multi/44388237-9417-11ee-bd04-000d3ac6bafe_assignmentletter.png" TargetMode="External"/><Relationship Id="rId703" Type="http://schemas.openxmlformats.org/officeDocument/2006/relationships/hyperlink" Target="https://employee.uc.ac.id/index.php/file/get/sis/t_cp/multi/44388237-9417-11ee-bd04-000d3ac6bafe_assignmentletter.png" TargetMode="External"/><Relationship Id="rId910" Type="http://schemas.openxmlformats.org/officeDocument/2006/relationships/hyperlink" Target="https://icoen.org/" TargetMode="External"/><Relationship Id="rId135" Type="http://schemas.openxmlformats.org/officeDocument/2006/relationships/hyperlink" Target="https://employee.uc.ac.id/index.php/file/get/sis/t_cp/multi/44388237-9417-11ee-bd04-000d3ac6bafe.png" TargetMode="External"/><Relationship Id="rId342" Type="http://schemas.openxmlformats.org/officeDocument/2006/relationships/hyperlink" Target="https://employee.uc.ac.id/index.php/file/get/sis/t_cp/multi/44388237-9417-11ee-bd04-000d3ac6bafe_assignmentletter.png" TargetMode="External"/><Relationship Id="rId787" Type="http://schemas.openxmlformats.org/officeDocument/2006/relationships/hyperlink" Target="https://employee.uc.ac.id/index.php/file/get/sis/t_cp/multi/c77a0b11-9336-11ee-859c-000d3ac6bafe_assignmentletter.png" TargetMode="External"/><Relationship Id="rId994" Type="http://schemas.openxmlformats.org/officeDocument/2006/relationships/hyperlink" Target="https://employee.uc.ac.id/index.php/file/get/sis/t_cp/multi/c15ab80d-7c81-11ee-aca7-000d3ac6bafe_assignmentletter.png" TargetMode="External"/><Relationship Id="rId202" Type="http://schemas.openxmlformats.org/officeDocument/2006/relationships/hyperlink" Target="https://employee.uc.ac.id/index.php/file/get/sis/t_cp/multi/44388237-9417-11ee-bd04-000d3ac6bafe.png" TargetMode="External"/><Relationship Id="rId647" Type="http://schemas.openxmlformats.org/officeDocument/2006/relationships/hyperlink" Target="https://icoen.org/" TargetMode="External"/><Relationship Id="rId854" Type="http://schemas.openxmlformats.org/officeDocument/2006/relationships/hyperlink" Target="https://www.uc.ac.id/puc/" TargetMode="External"/><Relationship Id="rId286" Type="http://schemas.openxmlformats.org/officeDocument/2006/relationships/hyperlink" Target="https://employee.uc.ac.id/index.php/file/get/sis/t_cp/multi/c15ab80d-7c81-11ee-aca7-000d3ac6bafe_assignmentletter.png" TargetMode="External"/><Relationship Id="rId493" Type="http://schemas.openxmlformats.org/officeDocument/2006/relationships/hyperlink" Target="https://employee.uc.ac.id/index.php/file/get/sis/t_cp/multi/44388237-9417-11ee-bd04-000d3ac6bafe.png" TargetMode="External"/><Relationship Id="rId507" Type="http://schemas.openxmlformats.org/officeDocument/2006/relationships/hyperlink" Target="https://icoen.org/" TargetMode="External"/><Relationship Id="rId714" Type="http://schemas.openxmlformats.org/officeDocument/2006/relationships/hyperlink" Target="https://employee.uc.ac.id/index.php/file/get/sis/t_cp/multi/44388237-9417-11ee-bd04-000d3ac6bafe.png" TargetMode="External"/><Relationship Id="rId921" Type="http://schemas.openxmlformats.org/officeDocument/2006/relationships/hyperlink" Target="https://employee.uc.ac.id/index.php/file/get/sis/t_cp/multi/c77a0b11-9336-11ee-859c-000d3ac6bafe_assignmentletter.png" TargetMode="External"/><Relationship Id="rId1137" Type="http://schemas.openxmlformats.org/officeDocument/2006/relationships/hyperlink" Target="https://employee.uc.ac.id/index.php/file/get/sis/t_cp/multi/c77a0b11-9336-11ee-859c-000d3ac6bafe_assignmentletter.png" TargetMode="External"/><Relationship Id="rId50" Type="http://schemas.openxmlformats.org/officeDocument/2006/relationships/hyperlink" Target="https://employee.uc.ac.id/index.php/file/get/sis/t_cp/multi/44388237-9417-11ee-bd04-000d3ac6bafe.png" TargetMode="External"/><Relationship Id="rId146" Type="http://schemas.openxmlformats.org/officeDocument/2006/relationships/hyperlink" Target="https://employee.uc.ac.id/index.php/file/get/sis/t_cp/multi/44388237-9417-11ee-bd04-000d3ac6bafe_assignmentletter.png" TargetMode="External"/><Relationship Id="rId353" Type="http://schemas.openxmlformats.org/officeDocument/2006/relationships/hyperlink" Target="https://employee.uc.ac.id/index.php/file/get/sis/t_cp/multi/44388237-9417-11ee-bd04-000d3ac6bafe.png" TargetMode="External"/><Relationship Id="rId560" Type="http://schemas.openxmlformats.org/officeDocument/2006/relationships/hyperlink" Target="https://employee.uc.ac.id/index.php/file/get/sis/t_cp/multi/44388237-9417-11ee-bd04-000d3ac6bafe_assignmentletter.png" TargetMode="External"/><Relationship Id="rId798" Type="http://schemas.openxmlformats.org/officeDocument/2006/relationships/hyperlink" Target="https://employee.uc.ac.id/index.php/file/get/sis/t_cp/multi/c77a0b11-9336-11ee-859c-000d3ac6bafe.png" TargetMode="External"/><Relationship Id="rId213" Type="http://schemas.openxmlformats.org/officeDocument/2006/relationships/hyperlink" Target="https://icoen.org/" TargetMode="External"/><Relationship Id="rId420" Type="http://schemas.openxmlformats.org/officeDocument/2006/relationships/hyperlink" Target="https://employee.uc.ac.id/index.php/file/get/sis/t_cp/multi/44388237-9417-11ee-bd04-000d3ac6bafe_assignmentletter.png" TargetMode="External"/><Relationship Id="rId658" Type="http://schemas.openxmlformats.org/officeDocument/2006/relationships/hyperlink" Target="https://employee.uc.ac.id/index.php/file/get/sis/t_cp/multi/44388237-9417-11ee-bd04-000d3ac6bafe_assignmentletter.png" TargetMode="External"/><Relationship Id="rId865" Type="http://schemas.openxmlformats.org/officeDocument/2006/relationships/hyperlink" Target="https://employee.uc.ac.id/index.php/file/get/sis/t_cp/multi/1e7be259-882b-11ee-ae4d-000d3ac6bafe.png" TargetMode="External"/><Relationship Id="rId1050" Type="http://schemas.openxmlformats.org/officeDocument/2006/relationships/hyperlink" Target="https://employee.uc.ac.id/index.php/file/get/sis/t_cp/multi/c77a0b11-9336-11ee-859c-000d3ac6bafe_assignmentletter.png" TargetMode="External"/><Relationship Id="rId297" Type="http://schemas.openxmlformats.org/officeDocument/2006/relationships/hyperlink" Target="https://employee.uc.ac.id/index.php/file/get/sis/t_cp/multi/44388237-9417-11ee-bd04-000d3ac6bafe.png" TargetMode="External"/><Relationship Id="rId518" Type="http://schemas.openxmlformats.org/officeDocument/2006/relationships/hyperlink" Target="https://employee.uc.ac.id/index.php/file/get/sis/t_cp/multi/44388237-9417-11ee-bd04-000d3ac6bafe_assignmentletter.png" TargetMode="External"/><Relationship Id="rId725" Type="http://schemas.openxmlformats.org/officeDocument/2006/relationships/hyperlink" Target="https://employee.uc.ac.id/index.php/file/get/sis/t_cp/fff8698e-f615-11ed-a8bb-000d3ac6bafe.jpg" TargetMode="External"/><Relationship Id="rId932" Type="http://schemas.openxmlformats.org/officeDocument/2006/relationships/hyperlink" Target="https://employee.uc.ac.id/index.php/file/get/sis/t_cp/multi/1e7be259-882b-11ee-ae4d-000d3ac6bafe.png" TargetMode="External"/><Relationship Id="rId1148" Type="http://schemas.openxmlformats.org/officeDocument/2006/relationships/hyperlink" Target="https://icoen.org/" TargetMode="External"/><Relationship Id="rId157" Type="http://schemas.openxmlformats.org/officeDocument/2006/relationships/hyperlink" Target="https://employee.uc.ac.id/index.php/file/get/sis/t_cp/multi/44388237-9417-11ee-bd04-000d3ac6bafe_assignmentletter.png" TargetMode="External"/><Relationship Id="rId364" Type="http://schemas.openxmlformats.org/officeDocument/2006/relationships/hyperlink" Target="https://icoen.org/" TargetMode="External"/><Relationship Id="rId1008" Type="http://schemas.openxmlformats.org/officeDocument/2006/relationships/hyperlink" Target="https://namibian-studies.com/index.php/JNS/article" TargetMode="External"/><Relationship Id="rId61" Type="http://schemas.openxmlformats.org/officeDocument/2006/relationships/hyperlink" Target="https://employee.uc.ac.id/index.php/file/get/sis/t_cp/multi/44388237-9417-11ee-bd04-000d3ac6bafe.png" TargetMode="External"/><Relationship Id="rId571" Type="http://schemas.openxmlformats.org/officeDocument/2006/relationships/hyperlink" Target="https://employee.uc.ac.id/index.php/file/get/sis/t_cp/multi/44388237-9417-11ee-bd04-000d3ac6bafe.png" TargetMode="External"/><Relationship Id="rId669" Type="http://schemas.openxmlformats.org/officeDocument/2006/relationships/hyperlink" Target="https://employee.uc.ac.id/index.php/file/get/sis/t_cp/multi/44388237-9417-11ee-bd04-000d3ac6bafe.png" TargetMode="External"/><Relationship Id="rId876" Type="http://schemas.openxmlformats.org/officeDocument/2006/relationships/hyperlink" Target="https://employee.uc.ac.id/index.php/file/get/sis/t_cp/multi/e9f29743-d848-11ed-a359-000d3ac6bafe_assignmentletter.png" TargetMode="External"/><Relationship Id="rId19" Type="http://schemas.openxmlformats.org/officeDocument/2006/relationships/hyperlink" Target="https://employee.uc.ac.id/index.php/file/get/sis/t_cp/multi/44388237-9417-11ee-bd04-000d3ac6bafe.png" TargetMode="External"/><Relationship Id="rId224" Type="http://schemas.openxmlformats.org/officeDocument/2006/relationships/hyperlink" Target="https://employee.uc.ac.id/index.php/file/get/sis/t_cp/multi/44388237-9417-11ee-bd04-000d3ac6bafe_assignmentletter.png" TargetMode="External"/><Relationship Id="rId431" Type="http://schemas.openxmlformats.org/officeDocument/2006/relationships/hyperlink" Target="https://employee.uc.ac.id/index.php/file/get/sis/t_cp/multi/44388237-9417-11ee-bd04-000d3ac6bafe.png" TargetMode="External"/><Relationship Id="rId529" Type="http://schemas.openxmlformats.org/officeDocument/2006/relationships/hyperlink" Target="https://employee.uc.ac.id/index.php/file/get/sis/t_cp/multi/44388237-9417-11ee-bd04-000d3ac6bafe.png" TargetMode="External"/><Relationship Id="rId736" Type="http://schemas.openxmlformats.org/officeDocument/2006/relationships/hyperlink" Target="https://employee.uc.ac.id/index.php/file/get/sis/t_cp/2f92d11b-97db-11ed-af4b-000d3ac6bafe.jpeg" TargetMode="External"/><Relationship Id="rId1061" Type="http://schemas.openxmlformats.org/officeDocument/2006/relationships/hyperlink" Target="https://employee.uc.ac.id/index.php/file/get/sis/t_cp/multi/c77a0b11-9336-11ee-859c-000d3ac6bafe_assignmentletter.png" TargetMode="External"/><Relationship Id="rId1159" Type="http://schemas.openxmlformats.org/officeDocument/2006/relationships/hyperlink" Target="https://icoen.org/" TargetMode="External"/><Relationship Id="rId168" Type="http://schemas.openxmlformats.org/officeDocument/2006/relationships/hyperlink" Target="https://icoen.org/" TargetMode="External"/><Relationship Id="rId943" Type="http://schemas.openxmlformats.org/officeDocument/2006/relationships/hyperlink" Target="https://icoen.org/" TargetMode="External"/><Relationship Id="rId1019" Type="http://schemas.openxmlformats.org/officeDocument/2006/relationships/hyperlink" Target="https://employee.uc.ac.id/index.php/file/get/sis/t_cp/multi/252a0c59-2084-11ee-ac37-000d3ac6bafe_assignmentletter.png" TargetMode="External"/><Relationship Id="rId72" Type="http://schemas.openxmlformats.org/officeDocument/2006/relationships/hyperlink" Target="https://icoen.org/" TargetMode="External"/><Relationship Id="rId375" Type="http://schemas.openxmlformats.org/officeDocument/2006/relationships/hyperlink" Target="https://employee.uc.ac.id/index.php/file/get/sis/t_cp/multi/44388237-9417-11ee-bd04-000d3ac6bafe_assignmentletter.png" TargetMode="External"/><Relationship Id="rId582" Type="http://schemas.openxmlformats.org/officeDocument/2006/relationships/hyperlink" Target="https://icoen.org/" TargetMode="External"/><Relationship Id="rId803" Type="http://schemas.openxmlformats.org/officeDocument/2006/relationships/hyperlink" Target="https://employee.uc.ac.id/index.php/file/get/sis/t_cp/multi/c77a0b11-9336-11ee-859c-000d3ac6bafe.png" TargetMode="External"/><Relationship Id="rId3" Type="http://schemas.openxmlformats.org/officeDocument/2006/relationships/hyperlink" Target="https://employee.uc.ac.id/index.php/file/get/sis/t_cp/e3d619b7-9728-11ed-b71c-000d3ac6bafe_assignmentletter.pdf" TargetMode="External"/><Relationship Id="rId235" Type="http://schemas.openxmlformats.org/officeDocument/2006/relationships/hyperlink" Target="https://employee.uc.ac.id/index.php/file/get/sis/t_cp/multi/44388237-9417-11ee-bd04-000d3ac6bafe.png" TargetMode="External"/><Relationship Id="rId442" Type="http://schemas.openxmlformats.org/officeDocument/2006/relationships/hyperlink" Target="https://sma.pusatprestasinasional.kemdikbud.go.id/" TargetMode="External"/><Relationship Id="rId887" Type="http://schemas.openxmlformats.org/officeDocument/2006/relationships/hyperlink" Target="https://employee.uc.ac.id/index.php/file/get/sis/t_cp/9c20db1d-9fe5-11ee-9e96-000d3ac6bafe.pdf" TargetMode="External"/><Relationship Id="rId1072" Type="http://schemas.openxmlformats.org/officeDocument/2006/relationships/hyperlink" Target="https://employee.uc.ac.id/index.php/file/get/sis/t_cp/multi/c77a0b11-9336-11ee-859c-000d3ac6bafe_assignmentletter.png" TargetMode="External"/><Relationship Id="rId302" Type="http://schemas.openxmlformats.org/officeDocument/2006/relationships/hyperlink" Target="https://icoen.org/" TargetMode="External"/><Relationship Id="rId747" Type="http://schemas.openxmlformats.org/officeDocument/2006/relationships/hyperlink" Target="https://employee.uc.ac.id/index.php/file/get/sis/t_cp/15132e10-188d-11ee-96cf-000d3ac6bafe.jpg" TargetMode="External"/><Relationship Id="rId954" Type="http://schemas.openxmlformats.org/officeDocument/2006/relationships/hyperlink" Target="https://employee.uc.ac.id/index.php/file/get/sis/t_cp/multi/c77a0b11-9336-11ee-859c-000d3ac6bafe_assignmentletter.png" TargetMode="External"/><Relationship Id="rId83" Type="http://schemas.openxmlformats.org/officeDocument/2006/relationships/hyperlink" Target="https://employee.uc.ac.id/index.php/file/get/sis/t_cp/multi/44388237-9417-11ee-bd04-000d3ac6bafe.png" TargetMode="External"/><Relationship Id="rId179" Type="http://schemas.openxmlformats.org/officeDocument/2006/relationships/hyperlink" Target="https://employee.uc.ac.id/index.php/file/get/sis/t_cp/multi/44388237-9417-11ee-bd04-000d3ac6bafe_assignmentletter.png" TargetMode="External"/><Relationship Id="rId386" Type="http://schemas.openxmlformats.org/officeDocument/2006/relationships/hyperlink" Target="https://employee.uc.ac.id/index.php/file/get/sis/t_cp/multi/44388237-9417-11ee-bd04-000d3ac6bafe.png" TargetMode="External"/><Relationship Id="rId593" Type="http://schemas.openxmlformats.org/officeDocument/2006/relationships/hyperlink" Target="https://employee.uc.ac.id/index.php/file/get/sis/t_cp/multi/44388237-9417-11ee-bd04-000d3ac6bafe_assignmentletter.png" TargetMode="External"/><Relationship Id="rId607" Type="http://schemas.openxmlformats.org/officeDocument/2006/relationships/hyperlink" Target="https://employee.uc.ac.id/index.php/file/get/sis/t_cp/multi/44388237-9417-11ee-bd04-000d3ac6bafe_assignmentletter.png" TargetMode="External"/><Relationship Id="rId814" Type="http://schemas.openxmlformats.org/officeDocument/2006/relationships/hyperlink" Target="https://icoen.org/" TargetMode="External"/><Relationship Id="rId246" Type="http://schemas.openxmlformats.org/officeDocument/2006/relationships/hyperlink" Target="https://icoen.org/" TargetMode="External"/><Relationship Id="rId453" Type="http://schemas.openxmlformats.org/officeDocument/2006/relationships/hyperlink" Target="https://icoen.org/" TargetMode="External"/><Relationship Id="rId660" Type="http://schemas.openxmlformats.org/officeDocument/2006/relationships/hyperlink" Target="https://employee.uc.ac.id/index.php/file/get/sis/t_cp/multi/44388237-9417-11ee-bd04-000d3ac6bafe.png" TargetMode="External"/><Relationship Id="rId898" Type="http://schemas.openxmlformats.org/officeDocument/2006/relationships/hyperlink" Target="https://icoen.org/" TargetMode="External"/><Relationship Id="rId1083" Type="http://schemas.openxmlformats.org/officeDocument/2006/relationships/hyperlink" Target="https://icoen.org/" TargetMode="External"/><Relationship Id="rId106" Type="http://schemas.openxmlformats.org/officeDocument/2006/relationships/hyperlink" Target="https://employee.uc.ac.id/index.php/file/get/sis/t_cp/multi/44388237-9417-11ee-bd04-000d3ac6bafe_assignmentletter.png" TargetMode="External"/><Relationship Id="rId313" Type="http://schemas.openxmlformats.org/officeDocument/2006/relationships/hyperlink" Target="https://employee.uc.ac.id/index.php/file/get/sis/t_cp/multi/44388237-9417-11ee-bd04-000d3ac6bafe_assignmentletter.png" TargetMode="External"/><Relationship Id="rId758" Type="http://schemas.openxmlformats.org/officeDocument/2006/relationships/hyperlink" Target="https://employee.uc.ac.id/index.php/file/get/sis/t_cp/1775fc14-0428-11ee-ba25-000d3ac6bafe.pdf" TargetMode="External"/><Relationship Id="rId965" Type="http://schemas.openxmlformats.org/officeDocument/2006/relationships/hyperlink" Target="https://employee.uc.ac.id/index.php/file/get/sis/t_cp/multi/c77a0b11-9336-11ee-859c-000d3ac6bafe_assignmentletter.png" TargetMode="External"/><Relationship Id="rId1150" Type="http://schemas.openxmlformats.org/officeDocument/2006/relationships/hyperlink" Target="https://employee.uc.ac.id/index.php/file/get/sis/t_cp/multi/c77a0b11-9336-11ee-859c-000d3ac6bafe_assignmentletter.png" TargetMode="External"/><Relationship Id="rId10" Type="http://schemas.openxmlformats.org/officeDocument/2006/relationships/hyperlink" Target="https://employee.uc.ac.id/index.php/file/get/sis/t_cp/multi/e9f29743-d848-11ed-a359-000d3ac6bafe.png" TargetMode="External"/><Relationship Id="rId94" Type="http://schemas.openxmlformats.org/officeDocument/2006/relationships/hyperlink" Target="https://employee.uc.ac.id/index.php/file/get/sis/t_cp/881f0abc-ac9b-11ed-ae71-000d3ac6bafe.jpg" TargetMode="External"/><Relationship Id="rId397" Type="http://schemas.openxmlformats.org/officeDocument/2006/relationships/hyperlink" Target="https://icoen.org/" TargetMode="External"/><Relationship Id="rId520" Type="http://schemas.openxmlformats.org/officeDocument/2006/relationships/hyperlink" Target="https://employee.uc.ac.id/index.php/file/get/sis/t_cp/multi/44388237-9417-11ee-bd04-000d3ac6bafe.png" TargetMode="External"/><Relationship Id="rId618" Type="http://schemas.openxmlformats.org/officeDocument/2006/relationships/hyperlink" Target="https://employee.uc.ac.id/index.php/file/get/sis/t_cp/multi/44388237-9417-11ee-bd04-000d3ac6bafe.png" TargetMode="External"/><Relationship Id="rId825" Type="http://schemas.openxmlformats.org/officeDocument/2006/relationships/hyperlink" Target="https://icoen.org/" TargetMode="External"/><Relationship Id="rId257" Type="http://schemas.openxmlformats.org/officeDocument/2006/relationships/hyperlink" Target="https://employee.uc.ac.id/index.php/file/get/sis/t_cp/multi/44388237-9417-11ee-bd04-000d3ac6bafe_assignmentletter.png" TargetMode="External"/><Relationship Id="rId464" Type="http://schemas.openxmlformats.org/officeDocument/2006/relationships/hyperlink" Target="https://employee.uc.ac.id/index.php/file/get/sis/t_cp/multi/44388237-9417-11ee-bd04-000d3ac6bafe_assignmentletter.png" TargetMode="External"/><Relationship Id="rId1010" Type="http://schemas.openxmlformats.org/officeDocument/2006/relationships/hyperlink" Target="https://employee.uc.ac.id/index.php/file/get/sis/t_cp/650986bc-a929-11ed-a95e-000d3ac6bafe.pdf" TargetMode="External"/><Relationship Id="rId1094" Type="http://schemas.openxmlformats.org/officeDocument/2006/relationships/hyperlink" Target="https://employee.uc.ac.id/index.php/file/get/sis/t_cp/multi/c77a0b11-9336-11ee-859c-000d3ac6bafe_assignmentletter.png" TargetMode="External"/><Relationship Id="rId1108" Type="http://schemas.openxmlformats.org/officeDocument/2006/relationships/hyperlink" Target="https://icoen.org/" TargetMode="External"/><Relationship Id="rId117" Type="http://schemas.openxmlformats.org/officeDocument/2006/relationships/hyperlink" Target="https://icoen.org/" TargetMode="External"/><Relationship Id="rId671" Type="http://schemas.openxmlformats.org/officeDocument/2006/relationships/hyperlink" Target="https://icoen.org/" TargetMode="External"/><Relationship Id="rId769" Type="http://schemas.openxmlformats.org/officeDocument/2006/relationships/hyperlink" Target="https://employee.uc.ac.id/index.php/file/get/sis/t_cp/a8912cca-0e63-11ee-849f-000d3ac6bafe.docx" TargetMode="External"/><Relationship Id="rId976" Type="http://schemas.openxmlformats.org/officeDocument/2006/relationships/hyperlink" Target="https://employee.uc.ac.id/index.php/file/get/sis/t_cp/4bfa7a3c-8b6b-11ed-a20e-000d3ac6bafe_report.jpg" TargetMode="External"/><Relationship Id="rId324" Type="http://schemas.openxmlformats.org/officeDocument/2006/relationships/hyperlink" Target="https://employee.uc.ac.id/index.php/file/get/sis/t_cp/multi/44388237-9417-11ee-bd04-000d3ac6bafe.png" TargetMode="External"/><Relationship Id="rId531" Type="http://schemas.openxmlformats.org/officeDocument/2006/relationships/hyperlink" Target="https://icoen.org/" TargetMode="External"/><Relationship Id="rId629" Type="http://schemas.openxmlformats.org/officeDocument/2006/relationships/hyperlink" Target="https://icoen.org/" TargetMode="External"/><Relationship Id="rId1161" Type="http://schemas.openxmlformats.org/officeDocument/2006/relationships/hyperlink" Target="https://employee.uc.ac.id/index.php/file/get/sis/t_cp/multi/c77a0b11-9336-11ee-859c-000d3ac6bafe_assignmentletter.png" TargetMode="External"/><Relationship Id="rId836" Type="http://schemas.openxmlformats.org/officeDocument/2006/relationships/hyperlink" Target="https://employee.uc.ac.id/index.php/file/get/sis/t_cp/multi/c77a0b11-9336-11ee-859c-000d3ac6bafe_assignmentletter.png" TargetMode="External"/><Relationship Id="rId1021" Type="http://schemas.openxmlformats.org/officeDocument/2006/relationships/hyperlink" Target="https://employee.uc.ac.id/index.php/file/get/sis/t_cp/multi/c77a0b11-9336-11ee-859c-000d3ac6bafe.png" TargetMode="External"/><Relationship Id="rId1119" Type="http://schemas.openxmlformats.org/officeDocument/2006/relationships/hyperlink" Target="https://employee.uc.ac.id/index.php/file/get/sis/t_cp/multi/dea5331c-ed7e-11ed-894a-000d3ac6bafe.png" TargetMode="External"/><Relationship Id="rId903" Type="http://schemas.openxmlformats.org/officeDocument/2006/relationships/hyperlink" Target="https://employee.uc.ac.id/index.php/file/get/sis/t_cp/multi/c77a0b11-9336-11ee-859c-000d3ac6bafe_assignmentletter.png" TargetMode="External"/><Relationship Id="rId32" Type="http://schemas.openxmlformats.org/officeDocument/2006/relationships/hyperlink" Target="https://employee.uc.ac.id/index.php/file/get/sis/t_cp/multi/e9f29743-d848-11ed-a359-000d3ac6bafe_assignmentletter.png" TargetMode="External"/><Relationship Id="rId181" Type="http://schemas.openxmlformats.org/officeDocument/2006/relationships/hyperlink" Target="https://employee.uc.ac.id/index.php/file/get/sis/t_cp/multi/44388237-9417-11ee-bd04-000d3ac6bafe.png" TargetMode="External"/><Relationship Id="rId279" Type="http://schemas.openxmlformats.org/officeDocument/2006/relationships/hyperlink" Target="https://icoen.org/" TargetMode="External"/><Relationship Id="rId486" Type="http://schemas.openxmlformats.org/officeDocument/2006/relationships/hyperlink" Target="https://icoen.org/" TargetMode="External"/><Relationship Id="rId693" Type="http://schemas.openxmlformats.org/officeDocument/2006/relationships/hyperlink" Target="https://employee.uc.ac.id/index.php/file/get/sis/t_cp/multi/44388237-9417-11ee-bd04-000d3ac6bafe.png" TargetMode="External"/><Relationship Id="rId139" Type="http://schemas.openxmlformats.org/officeDocument/2006/relationships/hyperlink" Target="https://employee.uc.ac.id/index.php/file/get/sis/t_cp/multi/44388237-9417-11ee-bd04-000d3ac6bafe_assignmentletter.png" TargetMode="External"/><Relationship Id="rId346" Type="http://schemas.openxmlformats.org/officeDocument/2006/relationships/hyperlink" Target="https://icoen.org/" TargetMode="External"/><Relationship Id="rId553" Type="http://schemas.openxmlformats.org/officeDocument/2006/relationships/hyperlink" Target="https://employee.uc.ac.id/index.php/file/get/sis/t_cp/multi/44388237-9417-11ee-bd04-000d3ac6bafe.png" TargetMode="External"/><Relationship Id="rId760" Type="http://schemas.openxmlformats.org/officeDocument/2006/relationships/hyperlink" Target="https://employee.uc.ac.id/index.php/file/get/sis/t_cp/926b4e63-3e9d-11ee-9179-000d3ac6bafe_report.jpg" TargetMode="External"/><Relationship Id="rId998" Type="http://schemas.openxmlformats.org/officeDocument/2006/relationships/hyperlink" Target="https://employee.uc.ac.id/index.php/file/get/sis/t_cp/multi/c15ab80d-7c81-11ee-aca7-000d3ac6bafe.png" TargetMode="External"/><Relationship Id="rId206" Type="http://schemas.openxmlformats.org/officeDocument/2006/relationships/hyperlink" Target="https://employee.uc.ac.id/index.php/file/get/sis/t_cp/multi/44388237-9417-11ee-bd04-000d3ac6bafe_assignmentletter.png" TargetMode="External"/><Relationship Id="rId413" Type="http://schemas.openxmlformats.org/officeDocument/2006/relationships/hyperlink" Target="https://employee.uc.ac.id/index.php/file/get/sis/t_cp/multi/44388237-9417-11ee-bd04-000d3ac6bafe.png" TargetMode="External"/><Relationship Id="rId858" Type="http://schemas.openxmlformats.org/officeDocument/2006/relationships/hyperlink" Target="https://employee.uc.ac.id/index.php/file/get/sis/t_cp/35bb035c-c6fd-11ed-8a70-000d3ac6bafe.jpeg" TargetMode="External"/><Relationship Id="rId1043" Type="http://schemas.openxmlformats.org/officeDocument/2006/relationships/hyperlink" Target="https://employee.uc.ac.id/index.php/file/get/sis/t_cp/70919db2-06c9-11ee-b92f-000d3ac6bafe.pdf" TargetMode="External"/><Relationship Id="rId620" Type="http://schemas.openxmlformats.org/officeDocument/2006/relationships/hyperlink" Target="https://icoen.org/" TargetMode="External"/><Relationship Id="rId718" Type="http://schemas.openxmlformats.org/officeDocument/2006/relationships/hyperlink" Target="https://employee.uc.ac.id/index.php/file/get/sis/t_cp/multi/1e7be259-882b-11ee-ae4d-000d3ac6bafe.png" TargetMode="External"/><Relationship Id="rId925" Type="http://schemas.openxmlformats.org/officeDocument/2006/relationships/hyperlink" Target="https://icoen.org/" TargetMode="External"/><Relationship Id="rId1110" Type="http://schemas.openxmlformats.org/officeDocument/2006/relationships/hyperlink" Target="https://employee.uc.ac.id/index.php/file/get/sis/t_cp/multi/c77a0b11-9336-11ee-859c-000d3ac6bafe_assignmentletter.png" TargetMode="External"/><Relationship Id="rId54" Type="http://schemas.openxmlformats.org/officeDocument/2006/relationships/hyperlink" Target="https://icoen.org/" TargetMode="External"/><Relationship Id="rId270" Type="http://schemas.openxmlformats.org/officeDocument/2006/relationships/hyperlink" Target="https://icoen.org/" TargetMode="External"/><Relationship Id="rId130" Type="http://schemas.openxmlformats.org/officeDocument/2006/relationships/hyperlink" Target="https://employee.uc.ac.id/index.php/file/get/sis/t_cp/842a5a62-a37c-11ed-85df-000d3ac6bafe_assignmentletter.jpg" TargetMode="External"/><Relationship Id="rId368" Type="http://schemas.openxmlformats.org/officeDocument/2006/relationships/hyperlink" Target="https://employee.uc.ac.id/index.php/file/get/sis/t_cp/multi/44388237-9417-11ee-bd04-000d3ac6bafe.png" TargetMode="External"/><Relationship Id="rId575" Type="http://schemas.openxmlformats.org/officeDocument/2006/relationships/hyperlink" Target="https://employee.uc.ac.id/index.php/file/get/sis/t_cp/multi/44388237-9417-11ee-bd04-000d3ac6bafe_assignmentletter.png" TargetMode="External"/><Relationship Id="rId782" Type="http://schemas.openxmlformats.org/officeDocument/2006/relationships/hyperlink" Target="https://icoen.org/" TargetMode="External"/><Relationship Id="rId228" Type="http://schemas.openxmlformats.org/officeDocument/2006/relationships/hyperlink" Target="https://icoen.org/" TargetMode="External"/><Relationship Id="rId435" Type="http://schemas.openxmlformats.org/officeDocument/2006/relationships/hyperlink" Target="https://employee.uc.ac.id/index.php/file/get/sis/t_cp/multi/44388237-9417-11ee-bd04-000d3ac6bafe_assignmentletter.png" TargetMode="External"/><Relationship Id="rId642" Type="http://schemas.openxmlformats.org/officeDocument/2006/relationships/hyperlink" Target="https://employee.uc.ac.id/index.php/file/get/sis/t_cp/multi/44388237-9417-11ee-bd04-000d3ac6bafe.png" TargetMode="External"/><Relationship Id="rId1065" Type="http://schemas.openxmlformats.org/officeDocument/2006/relationships/hyperlink" Target="https://employee.uc.ac.id/index.php/file/get/sis/t_cp/multi/c77a0b11-9336-11ee-859c-000d3ac6bafe.png" TargetMode="External"/><Relationship Id="rId502" Type="http://schemas.openxmlformats.org/officeDocument/2006/relationships/hyperlink" Target="https://employee.uc.ac.id/index.php/file/get/sis/t_cp/multi/44388237-9417-11ee-bd04-000d3ac6bafe.png" TargetMode="External"/><Relationship Id="rId947" Type="http://schemas.openxmlformats.org/officeDocument/2006/relationships/hyperlink" Target="https://employee.uc.ac.id/index.php/file/get/sis/t_cp/multi/c77a0b11-9336-11ee-859c-000d3ac6bafe.png" TargetMode="External"/><Relationship Id="rId1132" Type="http://schemas.openxmlformats.org/officeDocument/2006/relationships/hyperlink" Target="https://employee.uc.ac.id/index.php/file/get/sis/t_cp/e8bec7da-9048-11ee-9103-000d3ac6bafe_assignmentletter.pdf" TargetMode="External"/><Relationship Id="rId76" Type="http://schemas.openxmlformats.org/officeDocument/2006/relationships/hyperlink" Target="https://employee.uc.ac.id/index.php/file/get/sis/t_cp/multi/44388237-9417-11ee-bd04-000d3ac6bafe.png" TargetMode="External"/><Relationship Id="rId807" Type="http://schemas.openxmlformats.org/officeDocument/2006/relationships/hyperlink" Target="https://employee.uc.ac.id/index.php/file/get/sis/t_cp/multi/c77a0b11-9336-11ee-859c-000d3ac6bafe_assignmentletter.png" TargetMode="External"/><Relationship Id="rId292" Type="http://schemas.openxmlformats.org/officeDocument/2006/relationships/hyperlink" Target="https://employee.uc.ac.id/index.php/file/get/sis/t_cp/multi/44388237-9417-11ee-bd04-000d3ac6bafe_assignmentletter.png" TargetMode="External"/><Relationship Id="rId597" Type="http://schemas.openxmlformats.org/officeDocument/2006/relationships/hyperlink" Target="https://employee.uc.ac.id/index.php/file/get/sis/t_cp/multi/c15ab80d-7c81-11ee-aca7-000d3ac6bafe.png" TargetMode="External"/><Relationship Id="rId152" Type="http://schemas.openxmlformats.org/officeDocument/2006/relationships/hyperlink" Target="https://employee.uc.ac.id/index.php/file/get/sis/t_cp/multi/c15ab80d-7c81-11ee-aca7-000d3ac6bafe.png" TargetMode="External"/><Relationship Id="rId457" Type="http://schemas.openxmlformats.org/officeDocument/2006/relationships/hyperlink" Target="https://employee.uc.ac.id/index.php/file/get/sis/t_cp/multi/44388237-9417-11ee-bd04-000d3ac6bafe.png" TargetMode="External"/><Relationship Id="rId1087" Type="http://schemas.openxmlformats.org/officeDocument/2006/relationships/hyperlink" Target="https://employee.uc.ac.id/index.php/file/get/sis/t_cp/multi/c77a0b11-9336-11ee-859c-000d3ac6bafe.png" TargetMode="External"/><Relationship Id="rId664" Type="http://schemas.openxmlformats.org/officeDocument/2006/relationships/hyperlink" Target="https://employee.uc.ac.id/index.php/file/get/sis/t_cp/multi/44388237-9417-11ee-bd04-000d3ac6bafe_assignmentletter.png" TargetMode="External"/><Relationship Id="rId871" Type="http://schemas.openxmlformats.org/officeDocument/2006/relationships/hyperlink" Target="https://employee.uc.ac.id/index.php/file/get/sis/t_cp/multi/e9f29743-d848-11ed-a359-000d3ac6bafe.png" TargetMode="External"/><Relationship Id="rId969" Type="http://schemas.openxmlformats.org/officeDocument/2006/relationships/hyperlink" Target="https://icoen.org/" TargetMode="External"/><Relationship Id="rId317" Type="http://schemas.openxmlformats.org/officeDocument/2006/relationships/hyperlink" Target="https://icoen.org/" TargetMode="External"/><Relationship Id="rId524" Type="http://schemas.openxmlformats.org/officeDocument/2006/relationships/hyperlink" Target="https://employee.uc.ac.id/index.php/file/get/sis/t_cp/multi/44388237-9417-11ee-bd04-000d3ac6bafe_assignmentletter.png" TargetMode="External"/><Relationship Id="rId731" Type="http://schemas.openxmlformats.org/officeDocument/2006/relationships/hyperlink" Target="https://employee.uc.ac.id/index.php/file/get/sis/t_cp/3b0a7413-96ed-11ed-b71c-000d3ac6bafe.jpg" TargetMode="External"/><Relationship Id="rId1154" Type="http://schemas.openxmlformats.org/officeDocument/2006/relationships/hyperlink" Target="http://bright-journal.org/Journal/index.php/JADS/a" TargetMode="External"/><Relationship Id="rId98" Type="http://schemas.openxmlformats.org/officeDocument/2006/relationships/hyperlink" Target="https://employee.uc.ac.id/index.php/file/get/sis/t_cp/2238ff23-97df-11ed-af4b-000d3ac6bafe_assignmentletter.pdf" TargetMode="External"/><Relationship Id="rId829" Type="http://schemas.openxmlformats.org/officeDocument/2006/relationships/hyperlink" Target="https://employee.uc.ac.id/index.php/file/get/sis/t_cp/multi/c77a0b11-9336-11ee-859c-000d3ac6bafe.png" TargetMode="External"/><Relationship Id="rId1014" Type="http://schemas.openxmlformats.org/officeDocument/2006/relationships/hyperlink" Target="https://employee.uc.ac.id/index.php/file/get/sis/t_cp/multi/1e7be259-882b-11ee-ae4d-000d3ac6bafe_assignmentletter.png" TargetMode="External"/><Relationship Id="rId25" Type="http://schemas.openxmlformats.org/officeDocument/2006/relationships/hyperlink" Target="https://employee.uc.ac.id/index.php/file/get/sis/t_cp/multi/44388237-9417-11ee-bd04-000d3ac6bafe_assignmentletter.png" TargetMode="External"/><Relationship Id="rId174" Type="http://schemas.openxmlformats.org/officeDocument/2006/relationships/hyperlink" Target="https://icoen.org/" TargetMode="External"/><Relationship Id="rId381" Type="http://schemas.openxmlformats.org/officeDocument/2006/relationships/hyperlink" Target="https://employee.uc.ac.id/index.php/file/get/sis/t_cp/multi/44388237-9417-11ee-bd04-000d3ac6bafe_assignmentletter.png" TargetMode="External"/><Relationship Id="rId241" Type="http://schemas.openxmlformats.org/officeDocument/2006/relationships/hyperlink" Target="https://employee.uc.ac.id/index.php/file/get/sis/t_cp/multi/44388237-9417-11ee-bd04-000d3ac6bafe.png" TargetMode="External"/><Relationship Id="rId479" Type="http://schemas.openxmlformats.org/officeDocument/2006/relationships/hyperlink" Target="https://employee.uc.ac.id/index.php/file/get/sis/t_cp/multi/44388237-9417-11ee-bd04-000d3ac6bafe_assignmentletter.png" TargetMode="External"/><Relationship Id="rId686" Type="http://schemas.openxmlformats.org/officeDocument/2006/relationships/hyperlink" Target="https://icoen.org/" TargetMode="External"/><Relationship Id="rId893" Type="http://schemas.openxmlformats.org/officeDocument/2006/relationships/hyperlink" Target="https://employee.uc.ac.id/index.php/file/get/sis/t_cp/multi/c77a0b11-9336-11ee-859c-000d3ac6bafe.png" TargetMode="External"/><Relationship Id="rId339" Type="http://schemas.openxmlformats.org/officeDocument/2006/relationships/hyperlink" Target="https://employee.uc.ac.id/index.php/file/get/sis/t_cp/multi/44388237-9417-11ee-bd04-000d3ac6bafe_assignmentletter.png" TargetMode="External"/><Relationship Id="rId546" Type="http://schemas.openxmlformats.org/officeDocument/2006/relationships/hyperlink" Target="https://icoen.org/" TargetMode="External"/><Relationship Id="rId753" Type="http://schemas.openxmlformats.org/officeDocument/2006/relationships/hyperlink" Target="https://employee.uc.ac.id/index.php/file/get/sis/t_cp/d366aaf9-9961-11ed-8629-000d3ac6bafe.jpg" TargetMode="External"/><Relationship Id="rId101" Type="http://schemas.openxmlformats.org/officeDocument/2006/relationships/hyperlink" Target="https://icoen.org/" TargetMode="External"/><Relationship Id="rId406" Type="http://schemas.openxmlformats.org/officeDocument/2006/relationships/hyperlink" Target="https://icoen.org/" TargetMode="External"/><Relationship Id="rId960" Type="http://schemas.openxmlformats.org/officeDocument/2006/relationships/hyperlink" Target="https://icoen.org/" TargetMode="External"/><Relationship Id="rId1036" Type="http://schemas.openxmlformats.org/officeDocument/2006/relationships/hyperlink" Target="https://employee.uc.ac.id/index.php/file/get/sis/t_cp/multi/c15ab80d-7c81-11ee-aca7-000d3ac6bafe.png" TargetMode="External"/><Relationship Id="rId613" Type="http://schemas.openxmlformats.org/officeDocument/2006/relationships/hyperlink" Target="https://employee.uc.ac.id/index.php/file/get/sis/t_cp/multi/44388237-9417-11ee-bd04-000d3ac6bafe_assignmentletter.png" TargetMode="External"/><Relationship Id="rId820" Type="http://schemas.openxmlformats.org/officeDocument/2006/relationships/hyperlink" Target="https://employee.uc.ac.id/index.php/file/get/sis/t_cp/multi/c77a0b11-9336-11ee-859c-000d3ac6bafe.png" TargetMode="External"/><Relationship Id="rId918" Type="http://schemas.openxmlformats.org/officeDocument/2006/relationships/hyperlink" Target="https://employee.uc.ac.id/index.php/file/get/sis/t_cp/multi/e9f29743-d848-11ed-a359-000d3ac6bafe_assignmentletter.png" TargetMode="External"/><Relationship Id="rId1103" Type="http://schemas.openxmlformats.org/officeDocument/2006/relationships/hyperlink" Target="https://employee.uc.ac.id/index.php/file/get/sis/t_cp/152de914-7489-11ee-bbde-000d3ac6bafe.jpg" TargetMode="External"/><Relationship Id="rId47" Type="http://schemas.openxmlformats.org/officeDocument/2006/relationships/hyperlink" Target="https://employee.uc.ac.id/index.php/file/get/sis/t_cp/multi/e7681b35-0411-11ee-ba25-000d3ac6bafe.png" TargetMode="External"/><Relationship Id="rId196" Type="http://schemas.openxmlformats.org/officeDocument/2006/relationships/hyperlink" Target="https://employee.uc.ac.id/index.php/file/get/sis/t_cp/multi/44388237-9417-11ee-bd04-000d3ac6bafe.png" TargetMode="External"/><Relationship Id="rId263" Type="http://schemas.openxmlformats.org/officeDocument/2006/relationships/hyperlink" Target="https://employee.uc.ac.id/index.php/file/get/sis/t_cp/multi/44388237-9417-11ee-bd04-000d3ac6bafe_assignmentletter.png" TargetMode="External"/><Relationship Id="rId470" Type="http://schemas.openxmlformats.org/officeDocument/2006/relationships/hyperlink" Target="https://employee.uc.ac.id/index.php/file/get/sis/t_cp/multi/44388237-9417-11ee-bd04-000d3ac6bafe_assignmentletter.png" TargetMode="Externa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6" Type="http://schemas.openxmlformats.org/officeDocument/2006/relationships/hyperlink" Target="https://employee.uc.ac.id/index.php/file/get/sis/t_cp/multi/c15ab80d-7c81-11ee-aca7-000d3ac6bafe_assignmentletter.png" TargetMode="External"/><Relationship Id="rId21" Type="http://schemas.openxmlformats.org/officeDocument/2006/relationships/hyperlink" Target="https://employee.uc.ac.id/index.php/file/get/sis/t_cp/multi/e7681b35-0411-11ee-ba25-000d3ac6bafe_assignmentletter.png" TargetMode="External"/><Relationship Id="rId42" Type="http://schemas.openxmlformats.org/officeDocument/2006/relationships/hyperlink" Target="https://employee.uc.ac.id/index.php/file/get/sis/t_cp/899236bd-188c-11ee-96cf-000d3ac6bafe.jpg" TargetMode="External"/><Relationship Id="rId47" Type="http://schemas.openxmlformats.org/officeDocument/2006/relationships/hyperlink" Target="https://employee.uc.ac.id/index.php/file/get/sis/t_cp/73831462-be27-11ed-8a3c-000d3ac6bafe_assignmentletter.pdf" TargetMode="External"/><Relationship Id="rId63" Type="http://schemas.openxmlformats.org/officeDocument/2006/relationships/hyperlink" Target="https://employee.uc.ac.id/index.php/file/get/sis/t_cp/multi/1e7be259-882b-11ee-ae4d-000d3ac6bafe.png" TargetMode="External"/><Relationship Id="rId68" Type="http://schemas.openxmlformats.org/officeDocument/2006/relationships/hyperlink" Target="https://employee.uc.ac.id/index.php/file/get/sis/t_cp/multi/1e7be259-882b-11ee-ae4d-000d3ac6bafe_assignmentletter.png" TargetMode="External"/><Relationship Id="rId84" Type="http://schemas.openxmlformats.org/officeDocument/2006/relationships/hyperlink" Target="https://employee.uc.ac.id/index.php/file/get/sis/t_cp/multi/c15ab80d-7c81-11ee-aca7-000d3ac6bafe_assignmentletter.png" TargetMode="External"/><Relationship Id="rId89" Type="http://schemas.openxmlformats.org/officeDocument/2006/relationships/hyperlink" Target="https://employee.uc.ac.id/index.php/file/get/sis/t_cp/multi/9966d465-8828-11ee-ae4d-000d3ac6bafe.png" TargetMode="External"/><Relationship Id="rId16" Type="http://schemas.openxmlformats.org/officeDocument/2006/relationships/hyperlink" Target="https://employee.uc.ac.id/index.php/file/get/sis/t_cp/multi/c15ab80d-7c81-11ee-aca7-000d3ac6bafe_assignmentletter.png" TargetMode="External"/><Relationship Id="rId107" Type="http://schemas.openxmlformats.org/officeDocument/2006/relationships/hyperlink" Target="https://employee.uc.ac.id/index.php/file/get/sis/t_cp/1248c4a1-7201-11ee-b231-000d3ac6bafe.jpg" TargetMode="External"/><Relationship Id="rId11" Type="http://schemas.openxmlformats.org/officeDocument/2006/relationships/hyperlink" Target="https://employee.uc.ac.id/index.php/file/get/sis/t_cp/multi/c15ab80d-7c81-11ee-aca7-000d3ac6bafe_assignmentletter.png" TargetMode="External"/><Relationship Id="rId32" Type="http://schemas.openxmlformats.org/officeDocument/2006/relationships/hyperlink" Target="https://employee.uc.ac.id/index.php/file/get/sis/t_cp/multi/1e7be259-882b-11ee-ae4d-000d3ac6bafe.png" TargetMode="External"/><Relationship Id="rId37" Type="http://schemas.openxmlformats.org/officeDocument/2006/relationships/hyperlink" Target="https://employee.uc.ac.id/index.php/file/get/sis/t_cp/multi/c15ab80d-7c81-11ee-aca7-000d3ac6bafe_assignmentletter.png" TargetMode="External"/><Relationship Id="rId53" Type="http://schemas.openxmlformats.org/officeDocument/2006/relationships/hyperlink" Target="https://employee.uc.ac.id/index.php/file/get/sis/t_cp/1775fc14-0428-11ee-ba25-000d3ac6bafe_assignmentletter.jpeg" TargetMode="External"/><Relationship Id="rId58" Type="http://schemas.openxmlformats.org/officeDocument/2006/relationships/hyperlink" Target="https://employee.uc.ac.id/index.php/file/get/sis/t_cp/multi/e9f29743-d848-11ed-a359-000d3ac6bafe_assignmentletter.png" TargetMode="External"/><Relationship Id="rId74" Type="http://schemas.openxmlformats.org/officeDocument/2006/relationships/hyperlink" Target="https://employee.uc.ac.id/index.php/file/get/sis/t_cp/multi/e9f29743-d848-11ed-a359-000d3ac6bafe_assignmentletter.png" TargetMode="External"/><Relationship Id="rId79" Type="http://schemas.openxmlformats.org/officeDocument/2006/relationships/hyperlink" Target="https://employee.uc.ac.id/index.php/file/get/sis/t_cp/multi/1e7be259-882b-11ee-ae4d-000d3ac6bafe.png" TargetMode="External"/><Relationship Id="rId102" Type="http://schemas.openxmlformats.org/officeDocument/2006/relationships/hyperlink" Target="https://employee.uc.ac.id/index.php/file/get/sis/t_cp/86dcce45-f9f6-11ed-84c7-000d3ac6bafe.jpg" TargetMode="External"/><Relationship Id="rId5" Type="http://schemas.openxmlformats.org/officeDocument/2006/relationships/hyperlink" Target="https://employee.uc.ac.id/index.php/file/get/sis/t_cp/multi/1e7be259-882b-11ee-ae4d-000d3ac6bafe_assignmentletter.png" TargetMode="External"/><Relationship Id="rId90" Type="http://schemas.openxmlformats.org/officeDocument/2006/relationships/hyperlink" Target="https://employee.uc.ac.id/index.php/file/get/sis/t_cp/multi/9966d465-8828-11ee-ae4d-000d3ac6bafe_assignmentletter.png" TargetMode="External"/><Relationship Id="rId95" Type="http://schemas.openxmlformats.org/officeDocument/2006/relationships/hyperlink" Target="https://employee.uc.ac.id/index.php/file/get/sis/t_cp/9c20db1d-9fe5-11ee-9e96-000d3ac6bafe.pdf" TargetMode="External"/><Relationship Id="rId22" Type="http://schemas.openxmlformats.org/officeDocument/2006/relationships/hyperlink" Target="https://employee.uc.ac.id/index.php/file/get/sis/t_cp/41901f15-27c5-11ee-84e6-000d3ac6bafe.pdf" TargetMode="External"/><Relationship Id="rId27" Type="http://schemas.openxmlformats.org/officeDocument/2006/relationships/hyperlink" Target="https://employee.uc.ac.id/index.php/file/get/sis/t_cp/1ed06314-9900-11ee-96bc-000d3ac6bafe.jpg" TargetMode="External"/><Relationship Id="rId43" Type="http://schemas.openxmlformats.org/officeDocument/2006/relationships/hyperlink" Target="https://employee.uc.ac.id/index.php/file/get/sis/t_cp/657224b7-188d-11ee-96cf-000d3ac6bafe.jpg" TargetMode="External"/><Relationship Id="rId48" Type="http://schemas.openxmlformats.org/officeDocument/2006/relationships/hyperlink" Target="https://employee.uc.ac.id/index.php/file/get/sis/t_cp/d366aaf9-9961-11ed-8629-000d3ac6bafe.jpg" TargetMode="External"/><Relationship Id="rId64" Type="http://schemas.openxmlformats.org/officeDocument/2006/relationships/hyperlink" Target="https://employee.uc.ac.id/index.php/file/get/sis/t_cp/multi/1e7be259-882b-11ee-ae4d-000d3ac6bafe_assignmentletter.png" TargetMode="External"/><Relationship Id="rId69" Type="http://schemas.openxmlformats.org/officeDocument/2006/relationships/hyperlink" Target="https://employee.uc.ac.id/index.php/file/get/sis/t_cp/multi/e9f29743-d848-11ed-a359-000d3ac6bafe.png" TargetMode="External"/><Relationship Id="rId80" Type="http://schemas.openxmlformats.org/officeDocument/2006/relationships/hyperlink" Target="https://employee.uc.ac.id/index.php/file/get/sis/t_cp/multi/1e7be259-882b-11ee-ae4d-000d3ac6bafe_assignmentletter.png" TargetMode="External"/><Relationship Id="rId85" Type="http://schemas.openxmlformats.org/officeDocument/2006/relationships/hyperlink" Target="https://employee.uc.ac.id/index.php/file/get/sis/t_cp/multi/c15ab80d-7c81-11ee-aca7-000d3ac6bafe.png" TargetMode="External"/><Relationship Id="rId12" Type="http://schemas.openxmlformats.org/officeDocument/2006/relationships/hyperlink" Target="https://employee.uc.ac.id/index.php/file/get/sis/t_cp/69fa4a78-6c24-11ee-a25e-000d3ac6bafe.png" TargetMode="External"/><Relationship Id="rId17" Type="http://schemas.openxmlformats.org/officeDocument/2006/relationships/hyperlink" Target="https://employee.uc.ac.id/index.php/file/get/sis/t_cp/02c6cca4-0451-11ee-ba25-000d3ac6bafe.jpg" TargetMode="External"/><Relationship Id="rId33" Type="http://schemas.openxmlformats.org/officeDocument/2006/relationships/hyperlink" Target="https://employee.uc.ac.id/index.php/file/get/sis/t_cp/multi/1e7be259-882b-11ee-ae4d-000d3ac6bafe_assignmentletter.png" TargetMode="External"/><Relationship Id="rId38" Type="http://schemas.openxmlformats.org/officeDocument/2006/relationships/hyperlink" Target="https://employee.uc.ac.id/index.php/file/get/sis/t_cp/b76c3473-f7e7-11ed-bf96-000d3ac6bafe.png" TargetMode="External"/><Relationship Id="rId59" Type="http://schemas.openxmlformats.org/officeDocument/2006/relationships/hyperlink" Target="https://employee.uc.ac.id/index.php/file/get/sis/t_cp/multi/e9f29743-d848-11ed-a359-000d3ac6bafe.png" TargetMode="External"/><Relationship Id="rId103" Type="http://schemas.openxmlformats.org/officeDocument/2006/relationships/hyperlink" Target="https://employee.uc.ac.id/index.php/file/get/sis/t_cp/multi/28ba9854-8e8c-11ee-8544-000d3ac6bafe.jpeg" TargetMode="External"/><Relationship Id="rId108" Type="http://schemas.openxmlformats.org/officeDocument/2006/relationships/hyperlink" Target="https://www.instagram.com/p/CrmvDj4r9j0/?igshid=Y2" TargetMode="External"/><Relationship Id="rId54" Type="http://schemas.openxmlformats.org/officeDocument/2006/relationships/hyperlink" Target="https://employee.uc.ac.id/index.php/file/get/sis/t_cp/a48e719c-d1f0-11ed-a759-000d3ac6bafe.jpg" TargetMode="External"/><Relationship Id="rId70" Type="http://schemas.openxmlformats.org/officeDocument/2006/relationships/hyperlink" Target="https://employee.uc.ac.id/index.php/file/get/sis/t_cp/multi/e9f29743-d848-11ed-a359-000d3ac6bafe_assignmentletter.png" TargetMode="External"/><Relationship Id="rId75" Type="http://schemas.openxmlformats.org/officeDocument/2006/relationships/hyperlink" Target="https://employee.uc.ac.id/index.php/file/get/sis/t_cp/multi/e9f29743-d848-11ed-a359-000d3ac6bafe.png" TargetMode="External"/><Relationship Id="rId91" Type="http://schemas.openxmlformats.org/officeDocument/2006/relationships/hyperlink" Target="https://employee.uc.ac.id/index.php/file/get/sis/t_cp/multi/9966d465-8828-11ee-ae4d-000d3ac6bafe.png" TargetMode="External"/><Relationship Id="rId96" Type="http://schemas.openxmlformats.org/officeDocument/2006/relationships/hyperlink" Target="https://employee.uc.ac.id/index.php/file/get/sis/t_cp/9c20db1d-9fe5-11ee-9e96-000d3ac6bafe_assignmentletter.pdf" TargetMode="External"/><Relationship Id="rId1" Type="http://schemas.openxmlformats.org/officeDocument/2006/relationships/hyperlink" Target="https://employee.uc.ac.id/index.php/file/get/sis/t_cp/a2c5ec47-0b1b-11ee-80dd-000d3ac6bafe.jpg" TargetMode="External"/><Relationship Id="rId6" Type="http://schemas.openxmlformats.org/officeDocument/2006/relationships/hyperlink" Target="https://employee.uc.ac.id/index.php/file/get/sis/t_cp/multi/1e7be259-882b-11ee-ae4d-000d3ac6bafe.png" TargetMode="External"/><Relationship Id="rId15" Type="http://schemas.openxmlformats.org/officeDocument/2006/relationships/hyperlink" Target="https://employee.uc.ac.id/index.php/file/get/sis/t_cp/multi/c15ab80d-7c81-11ee-aca7-000d3ac6bafe.png" TargetMode="External"/><Relationship Id="rId23" Type="http://schemas.openxmlformats.org/officeDocument/2006/relationships/hyperlink" Target="https://employee.uc.ac.id/index.php/file/get/sis/t_cp/multi/c15ab80d-7c81-11ee-aca7-000d3ac6bafe.png" TargetMode="External"/><Relationship Id="rId28" Type="http://schemas.openxmlformats.org/officeDocument/2006/relationships/hyperlink" Target="https://employee.uc.ac.id/index.php/file/get/sis/t_cp/multi/c15ab80d-7c81-11ee-aca7-000d3ac6bafe.png" TargetMode="External"/><Relationship Id="rId36" Type="http://schemas.openxmlformats.org/officeDocument/2006/relationships/hyperlink" Target="https://employee.uc.ac.id/index.php/file/get/sis/t_cp/multi/c15ab80d-7c81-11ee-aca7-000d3ac6bafe.png" TargetMode="External"/><Relationship Id="rId49" Type="http://schemas.openxmlformats.org/officeDocument/2006/relationships/hyperlink" Target="https://employee.uc.ac.id/index.php/file/get/sis/t_cp/57aa62ea-be55-11ed-8a3c-000d3ac6bafe.pdf" TargetMode="External"/><Relationship Id="rId57" Type="http://schemas.openxmlformats.org/officeDocument/2006/relationships/hyperlink" Target="https://employee.uc.ac.id/index.php/file/get/sis/t_cp/multi/e9f29743-d848-11ed-a359-000d3ac6bafe.png" TargetMode="External"/><Relationship Id="rId106" Type="http://schemas.openxmlformats.org/officeDocument/2006/relationships/hyperlink" Target="https://employee.uc.ac.id/index.php/file/get/sis/t_cp/multi/252a0c59-2084-11ee-ac37-000d3ac6bafe_assignmentletter.png" TargetMode="External"/><Relationship Id="rId10" Type="http://schemas.openxmlformats.org/officeDocument/2006/relationships/hyperlink" Target="https://employee.uc.ac.id/index.php/file/get/sis/t_cp/multi/c15ab80d-7c81-11ee-aca7-000d3ac6bafe.png" TargetMode="External"/><Relationship Id="rId31" Type="http://schemas.openxmlformats.org/officeDocument/2006/relationships/hyperlink" Target="https://employee.uc.ac.id/index.php/file/get/sis/t_cp/193eca2e-0c2e-11ee-825c-000d3ac6bafe_assignmentletter.jpg" TargetMode="External"/><Relationship Id="rId44" Type="http://schemas.openxmlformats.org/officeDocument/2006/relationships/hyperlink" Target="https://employee.uc.ac.id/index.php/file/get/sis/t_cp/15132e10-188d-11ee-96cf-000d3ac6bafe.jpg" TargetMode="External"/><Relationship Id="rId52" Type="http://schemas.openxmlformats.org/officeDocument/2006/relationships/hyperlink" Target="https://employee.uc.ac.id/index.php/file/get/sis/t_cp/1775fc14-0428-11ee-ba25-000d3ac6bafe.pdf" TargetMode="External"/><Relationship Id="rId60" Type="http://schemas.openxmlformats.org/officeDocument/2006/relationships/hyperlink" Target="https://employee.uc.ac.id/index.php/file/get/sis/t_cp/multi/e9f29743-d848-11ed-a359-000d3ac6bafe_assignmentletter.png" TargetMode="External"/><Relationship Id="rId65" Type="http://schemas.openxmlformats.org/officeDocument/2006/relationships/hyperlink" Target="https://employee.uc.ac.id/index.php/file/get/sis/t_cp/multi/1e7be259-882b-11ee-ae4d-000d3ac6bafe.png" TargetMode="External"/><Relationship Id="rId73" Type="http://schemas.openxmlformats.org/officeDocument/2006/relationships/hyperlink" Target="https://employee.uc.ac.id/index.php/file/get/sis/t_cp/multi/e9f29743-d848-11ed-a359-000d3ac6bafe.png" TargetMode="External"/><Relationship Id="rId78" Type="http://schemas.openxmlformats.org/officeDocument/2006/relationships/hyperlink" Target="https://employee.uc.ac.id/index.php/file/get/sis/t_cp/multi/1e7be259-882b-11ee-ae4d-000d3ac6bafe_assignmentletter.png" TargetMode="External"/><Relationship Id="rId81" Type="http://schemas.openxmlformats.org/officeDocument/2006/relationships/hyperlink" Target="https://employee.uc.ac.id/index.php/file/get/sis/t_cp/multi/c15ab80d-7c81-11ee-aca7-000d3ac6bafe.png" TargetMode="External"/><Relationship Id="rId86" Type="http://schemas.openxmlformats.org/officeDocument/2006/relationships/hyperlink" Target="https://employee.uc.ac.id/index.php/file/get/sis/t_cp/multi/c15ab80d-7c81-11ee-aca7-000d3ac6bafe_assignmentletter.png" TargetMode="External"/><Relationship Id="rId94" Type="http://schemas.openxmlformats.org/officeDocument/2006/relationships/hyperlink" Target="https://employee.uc.ac.id/index.php/file/get/sis/t_cp/multi/c15ab80d-7c81-11ee-aca7-000d3ac6bafe_assignmentletter.png" TargetMode="External"/><Relationship Id="rId99" Type="http://schemas.openxmlformats.org/officeDocument/2006/relationships/hyperlink" Target="https://employee.uc.ac.id/index.php/file/get/sis/t_cp/5b8f1e6e-97d2-11ed-af4b-000d3ac6bafe.JPG" TargetMode="External"/><Relationship Id="rId101" Type="http://schemas.openxmlformats.org/officeDocument/2006/relationships/hyperlink" Target="https://employee.uc.ac.id/index.php/file/get/sis/t_cp/135889e7-fa0c-11ed-84c7-000d3ac6bafe.pdf" TargetMode="External"/><Relationship Id="rId4" Type="http://schemas.openxmlformats.org/officeDocument/2006/relationships/hyperlink" Target="https://employee.uc.ac.id/index.php/file/get/sis/t_cp/multi/1e7be259-882b-11ee-ae4d-000d3ac6bafe.png" TargetMode="External"/><Relationship Id="rId9" Type="http://schemas.openxmlformats.org/officeDocument/2006/relationships/hyperlink" Target="https://employee.uc.ac.id/index.php/file/get/sis/t_cp/multi/c15ab80d-7c81-11ee-aca7-000d3ac6bafe_assignmentletter.png" TargetMode="External"/><Relationship Id="rId13" Type="http://schemas.openxmlformats.org/officeDocument/2006/relationships/hyperlink" Target="https://employee.uc.ac.id/index.php/file/get/sis/t_cp/multi/c15ab80d-7c81-11ee-aca7-000d3ac6bafe.png" TargetMode="External"/><Relationship Id="rId18" Type="http://schemas.openxmlformats.org/officeDocument/2006/relationships/hyperlink" Target="https://employee.uc.ac.id/index.php/file/get/sis/t_cp/multi/36efe3c6-76cb-11ee-858c-000d3ac6bafe.png" TargetMode="External"/><Relationship Id="rId39" Type="http://schemas.openxmlformats.org/officeDocument/2006/relationships/hyperlink" Target="https://employee.uc.ac.id/index.php/file/get/sis/t_cp/b76c3473-f7e7-11ed-bf96-000d3ac6bafe_assignmentletter.png" TargetMode="External"/><Relationship Id="rId109" Type="http://schemas.openxmlformats.org/officeDocument/2006/relationships/hyperlink" Target="https://employee.uc.ac.id/index.php/file/get/sis/t_cp/481197d4-1590-11ee-9279-000d3ac6bafe.jpg" TargetMode="External"/><Relationship Id="rId34" Type="http://schemas.openxmlformats.org/officeDocument/2006/relationships/hyperlink" Target="https://employee.uc.ac.id/index.php/file/get/sis/t_cp/multi/1e7be259-882b-11ee-ae4d-000d3ac6bafe.png" TargetMode="External"/><Relationship Id="rId50" Type="http://schemas.openxmlformats.org/officeDocument/2006/relationships/hyperlink" Target="https://employee.uc.ac.id/index.php/file/get/sis/t_cp/47a77fda-dcd7-11ed-8a0b-000d3ac6bafe.HEIC" TargetMode="External"/><Relationship Id="rId55" Type="http://schemas.openxmlformats.org/officeDocument/2006/relationships/hyperlink" Target="https://employee.uc.ac.id/index.php/file/get/sis/t_cp/a6856538-d1f0-11ed-a759-000d3ac6bafe_assignmentletter.jpg" TargetMode="External"/><Relationship Id="rId76" Type="http://schemas.openxmlformats.org/officeDocument/2006/relationships/hyperlink" Target="https://employee.uc.ac.id/index.php/file/get/sis/t_cp/multi/e9f29743-d848-11ed-a359-000d3ac6bafe_assignmentletter.png" TargetMode="External"/><Relationship Id="rId97" Type="http://schemas.openxmlformats.org/officeDocument/2006/relationships/hyperlink" Target="https://employee.uc.ac.id/index.php/file/get/sis/t_cp/299c8121-9e65-11ee-a2ac-000d3ac6bafe_assignmentletter.pdf" TargetMode="External"/><Relationship Id="rId104" Type="http://schemas.openxmlformats.org/officeDocument/2006/relationships/hyperlink" Target="https://employee.uc.ac.id/index.php/file/get/sis/t_cp/multi/28ba9854-8e8c-11ee-8544-000d3ac6bafe_assignmentletter.jpeg" TargetMode="External"/><Relationship Id="rId7" Type="http://schemas.openxmlformats.org/officeDocument/2006/relationships/hyperlink" Target="https://employee.uc.ac.id/index.php/file/get/sis/t_cp/multi/1e7be259-882b-11ee-ae4d-000d3ac6bafe_assignmentletter.png" TargetMode="External"/><Relationship Id="rId71" Type="http://schemas.openxmlformats.org/officeDocument/2006/relationships/hyperlink" Target="https://employee.uc.ac.id/index.php/file/get/sis/t_cp/multi/e9f29743-d848-11ed-a359-000d3ac6bafe.png" TargetMode="External"/><Relationship Id="rId92" Type="http://schemas.openxmlformats.org/officeDocument/2006/relationships/hyperlink" Target="https://employee.uc.ac.id/index.php/file/get/sis/t_cp/multi/9966d465-8828-11ee-ae4d-000d3ac6bafe_assignmentletter.png" TargetMode="External"/><Relationship Id="rId2" Type="http://schemas.openxmlformats.org/officeDocument/2006/relationships/hyperlink" Target="https://employee.uc.ac.id/index.php/file/get/sis/t_cp/multi/e9f29743-d848-11ed-a359-000d3ac6bafe.png" TargetMode="External"/><Relationship Id="rId29" Type="http://schemas.openxmlformats.org/officeDocument/2006/relationships/hyperlink" Target="https://employee.uc.ac.id/index.php/file/get/sis/t_cp/multi/c15ab80d-7c81-11ee-aca7-000d3ac6bafe_assignmentletter.png" TargetMode="External"/><Relationship Id="rId24" Type="http://schemas.openxmlformats.org/officeDocument/2006/relationships/hyperlink" Target="https://employee.uc.ac.id/index.php/file/get/sis/t_cp/multi/c15ab80d-7c81-11ee-aca7-000d3ac6bafe_assignmentletter.png" TargetMode="External"/><Relationship Id="rId40" Type="http://schemas.openxmlformats.org/officeDocument/2006/relationships/hyperlink" Target="https://employee.uc.ac.id/index.php/file/get/sis/t_cp/2f92d11b-97db-11ed-af4b-000d3ac6bafe.jpeg" TargetMode="External"/><Relationship Id="rId45" Type="http://schemas.openxmlformats.org/officeDocument/2006/relationships/hyperlink" Target="https://employee.uc.ac.id/index.php/file/get/sis/t_cp/e5d519dc-188d-11ee-96cf-000d3ac6bafe.pdf" TargetMode="External"/><Relationship Id="rId66" Type="http://schemas.openxmlformats.org/officeDocument/2006/relationships/hyperlink" Target="https://employee.uc.ac.id/index.php/file/get/sis/t_cp/multi/1e7be259-882b-11ee-ae4d-000d3ac6bafe_assignmentletter.png" TargetMode="External"/><Relationship Id="rId87" Type="http://schemas.openxmlformats.org/officeDocument/2006/relationships/hyperlink" Target="https://employee.uc.ac.id/index.php/file/get/sis/t_cp/multi/1e7be259-882b-11ee-ae4d-000d3ac6bafe.png" TargetMode="External"/><Relationship Id="rId110" Type="http://schemas.openxmlformats.org/officeDocument/2006/relationships/hyperlink" Target="https://employee.uc.ac.id/index.php/file/get/sis/t_cp/4e8dccb7-1590-11ee-9279-000d3ac6bafe_assignmentletter.jpg" TargetMode="External"/><Relationship Id="rId61" Type="http://schemas.openxmlformats.org/officeDocument/2006/relationships/hyperlink" Target="https://employee.uc.ac.id/index.php/file/get/sis/t_cp/multi/e9f29743-d848-11ed-a359-000d3ac6bafe.png" TargetMode="External"/><Relationship Id="rId82" Type="http://schemas.openxmlformats.org/officeDocument/2006/relationships/hyperlink" Target="https://employee.uc.ac.id/index.php/file/get/sis/t_cp/multi/c15ab80d-7c81-11ee-aca7-000d3ac6bafe_assignmentletter.png" TargetMode="External"/><Relationship Id="rId19" Type="http://schemas.openxmlformats.org/officeDocument/2006/relationships/hyperlink" Target="https://employee.uc.ac.id/index.php/file/get/sis/t_cp/multi/36efe3c6-76cb-11ee-858c-000d3ac6bafe_assignmentletter.png" TargetMode="External"/><Relationship Id="rId14" Type="http://schemas.openxmlformats.org/officeDocument/2006/relationships/hyperlink" Target="https://employee.uc.ac.id/index.php/file/get/sis/t_cp/multi/c15ab80d-7c81-11ee-aca7-000d3ac6bafe_assignmentletter.png" TargetMode="External"/><Relationship Id="rId30" Type="http://schemas.openxmlformats.org/officeDocument/2006/relationships/hyperlink" Target="https://employee.uc.ac.id/index.php/file/get/sis/t_cp/de578adb-0c2d-11ee-825c-000d3ac6bafe.jpg" TargetMode="External"/><Relationship Id="rId35" Type="http://schemas.openxmlformats.org/officeDocument/2006/relationships/hyperlink" Target="https://employee.uc.ac.id/index.php/file/get/sis/t_cp/multi/1e7be259-882b-11ee-ae4d-000d3ac6bafe_assignmentletter.png" TargetMode="External"/><Relationship Id="rId56" Type="http://schemas.openxmlformats.org/officeDocument/2006/relationships/hyperlink" Target="https://employee.uc.ac.id/index.php/file/get/sis/t_cp/a8912cca-0e63-11ee-849f-000d3ac6bafe.docx" TargetMode="External"/><Relationship Id="rId77" Type="http://schemas.openxmlformats.org/officeDocument/2006/relationships/hyperlink" Target="https://employee.uc.ac.id/index.php/file/get/sis/t_cp/multi/1e7be259-882b-11ee-ae4d-000d3ac6bafe.png" TargetMode="External"/><Relationship Id="rId100" Type="http://schemas.openxmlformats.org/officeDocument/2006/relationships/hyperlink" Target="https://employee.uc.ac.id/index.php/file/get/sis/t_cp/d2e9fbdf-97c7-11ed-af4b-000d3ac6bafe.pdf" TargetMode="External"/><Relationship Id="rId105" Type="http://schemas.openxmlformats.org/officeDocument/2006/relationships/hyperlink" Target="https://employee.uc.ac.id/index.php/file/get/sis/t_cp/multi/252a0c59-2084-11ee-ac37-000d3ac6bafe.png" TargetMode="External"/><Relationship Id="rId8" Type="http://schemas.openxmlformats.org/officeDocument/2006/relationships/hyperlink" Target="https://employee.uc.ac.id/index.php/file/get/sis/t_cp/multi/c15ab80d-7c81-11ee-aca7-000d3ac6bafe.png" TargetMode="External"/><Relationship Id="rId51" Type="http://schemas.openxmlformats.org/officeDocument/2006/relationships/hyperlink" Target="https://employee.uc.ac.id/index.php/file/get/sis/t_cp/47a77fda-dcd7-11ed-8a0b-000d3ac6bafe_assignmentletter.pdf" TargetMode="External"/><Relationship Id="rId72" Type="http://schemas.openxmlformats.org/officeDocument/2006/relationships/hyperlink" Target="https://employee.uc.ac.id/index.php/file/get/sis/t_cp/multi/e9f29743-d848-11ed-a359-000d3ac6bafe_assignmentletter.png" TargetMode="External"/><Relationship Id="rId93" Type="http://schemas.openxmlformats.org/officeDocument/2006/relationships/hyperlink" Target="https://employee.uc.ac.id/index.php/file/get/sis/t_cp/multi/c15ab80d-7c81-11ee-aca7-000d3ac6bafe.png" TargetMode="External"/><Relationship Id="rId98" Type="http://schemas.openxmlformats.org/officeDocument/2006/relationships/hyperlink" Target="https://employee.uc.ac.id/index.php/file/get/sis/t_cp/299c8121-9e65-11ee-a2ac-000d3ac6bafe.pdf" TargetMode="External"/><Relationship Id="rId3" Type="http://schemas.openxmlformats.org/officeDocument/2006/relationships/hyperlink" Target="https://employee.uc.ac.id/index.php/file/get/sis/t_cp/multi/e9f29743-d848-11ed-a359-000d3ac6bafe_assignmentletter.png" TargetMode="External"/><Relationship Id="rId25" Type="http://schemas.openxmlformats.org/officeDocument/2006/relationships/hyperlink" Target="https://employee.uc.ac.id/index.php/file/get/sis/t_cp/multi/c15ab80d-7c81-11ee-aca7-000d3ac6bafe.png" TargetMode="External"/><Relationship Id="rId46" Type="http://schemas.openxmlformats.org/officeDocument/2006/relationships/hyperlink" Target="https://employee.uc.ac.id/index.php/file/get/sis/t_cp/73831462-be27-11ed-8a3c-000d3ac6bafe.pdf" TargetMode="External"/><Relationship Id="rId67" Type="http://schemas.openxmlformats.org/officeDocument/2006/relationships/hyperlink" Target="https://employee.uc.ac.id/index.php/file/get/sis/t_cp/multi/1e7be259-882b-11ee-ae4d-000d3ac6bafe.png" TargetMode="External"/><Relationship Id="rId20" Type="http://schemas.openxmlformats.org/officeDocument/2006/relationships/hyperlink" Target="https://employee.uc.ac.id/index.php/file/get/sis/t_cp/multi/e7681b35-0411-11ee-ba25-000d3ac6bafe.png" TargetMode="External"/><Relationship Id="rId41" Type="http://schemas.openxmlformats.org/officeDocument/2006/relationships/hyperlink" Target="https://employee.uc.ac.id/index.php/file/get/sis/t_cp/2c3a32ff-188c-11ee-96cf-000d3ac6bafe.jpg" TargetMode="External"/><Relationship Id="rId62" Type="http://schemas.openxmlformats.org/officeDocument/2006/relationships/hyperlink" Target="https://employee.uc.ac.id/index.php/file/get/sis/t_cp/multi/e9f29743-d848-11ed-a359-000d3ac6bafe_assignmentletter.png" TargetMode="External"/><Relationship Id="rId83" Type="http://schemas.openxmlformats.org/officeDocument/2006/relationships/hyperlink" Target="https://employee.uc.ac.id/index.php/file/get/sis/t_cp/multi/c15ab80d-7c81-11ee-aca7-000d3ac6bafe.png" TargetMode="External"/><Relationship Id="rId88" Type="http://schemas.openxmlformats.org/officeDocument/2006/relationships/hyperlink" Target="https://employee.uc.ac.id/index.php/file/get/sis/t_cp/multi/1e7be259-882b-11ee-ae4d-000d3ac6bafe_assignmentlette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showGridLines="0" workbookViewId="0"/>
  </sheetViews>
  <sheetFormatPr defaultColWidth="14.3984375" defaultRowHeight="15" customHeight="1"/>
  <cols>
    <col min="1" max="6" width="14.3984375" style="1" customWidth="1"/>
    <col min="7" max="16384" width="14.3984375" style="1"/>
  </cols>
  <sheetData>
    <row r="1" spans="1:5" ht="15" customHeight="1">
      <c r="A1" s="2"/>
      <c r="B1" s="2"/>
      <c r="C1" s="2"/>
      <c r="D1" s="3" t="s">
        <v>0</v>
      </c>
      <c r="E1" s="3" t="s">
        <v>1</v>
      </c>
    </row>
    <row r="2" spans="1:5" ht="15" customHeight="1">
      <c r="A2" s="2"/>
      <c r="B2" s="3" t="s">
        <v>2</v>
      </c>
      <c r="C2" s="4">
        <v>0.25</v>
      </c>
      <c r="D2" s="4">
        <f>C2+(C2/SUM($C$2:$C$5)*SUM($C$6:$C$7))</f>
        <v>0.3571428571428571</v>
      </c>
      <c r="E2" s="5">
        <v>80</v>
      </c>
    </row>
    <row r="3" spans="1:5" ht="15" customHeight="1">
      <c r="A3" s="2"/>
      <c r="B3" s="3" t="s">
        <v>3</v>
      </c>
      <c r="C3" s="4">
        <v>0.15</v>
      </c>
      <c r="D3" s="4">
        <f>C3+(C3/SUM($C$2:$C$5)*SUM($C$6:$C$7))</f>
        <v>0.21428571428571425</v>
      </c>
      <c r="E3" s="5">
        <v>20</v>
      </c>
    </row>
    <row r="4" spans="1:5" ht="15" customHeight="1">
      <c r="A4" s="2"/>
      <c r="B4" s="3" t="s">
        <v>4</v>
      </c>
      <c r="C4" s="4">
        <v>0.15</v>
      </c>
      <c r="D4" s="4">
        <f>C4+(C4/SUM($C$2:$C$5)*SUM($C$6:$C$7))</f>
        <v>0.21428571428571425</v>
      </c>
      <c r="E4" s="2"/>
    </row>
    <row r="5" spans="1:5" ht="15" customHeight="1">
      <c r="A5" s="2"/>
      <c r="B5" s="3" t="s">
        <v>5</v>
      </c>
      <c r="C5" s="4">
        <v>0.15</v>
      </c>
      <c r="D5" s="4">
        <f>C5+(C5/SUM($C$2:$C$5)*SUM($C$6:$C$7))</f>
        <v>0.21428571428571425</v>
      </c>
      <c r="E5" s="2"/>
    </row>
    <row r="6" spans="1:5" ht="15" customHeight="1">
      <c r="A6" s="2"/>
      <c r="B6" s="3" t="s">
        <v>6</v>
      </c>
      <c r="C6" s="4">
        <v>0.15</v>
      </c>
      <c r="D6" s="2"/>
      <c r="E6" s="2"/>
    </row>
    <row r="7" spans="1:5" ht="15" customHeight="1">
      <c r="A7" s="2"/>
      <c r="B7" s="3" t="s">
        <v>7</v>
      </c>
      <c r="C7" s="4">
        <v>0.15</v>
      </c>
      <c r="D7" s="2"/>
      <c r="E7" s="2"/>
    </row>
    <row r="8" spans="1:5" ht="13.75" customHeight="1">
      <c r="A8" s="2"/>
      <c r="B8" s="2"/>
      <c r="C8" s="2"/>
      <c r="D8" s="2"/>
      <c r="E8" s="2"/>
    </row>
    <row r="9" spans="1:5" ht="13.75" customHeight="1">
      <c r="A9" s="2"/>
      <c r="B9" s="2"/>
      <c r="C9" s="2"/>
      <c r="D9" s="2"/>
      <c r="E9" s="2"/>
    </row>
    <row r="10" spans="1:5" ht="13.75" customHeight="1">
      <c r="A10" s="2"/>
      <c r="B10" s="2"/>
      <c r="C10" s="2"/>
      <c r="D10" s="2"/>
      <c r="E10" s="2"/>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869"/>
  <sheetViews>
    <sheetView showGridLines="0" workbookViewId="0"/>
  </sheetViews>
  <sheetFormatPr defaultColWidth="14.3984375" defaultRowHeight="15" customHeight="1"/>
  <cols>
    <col min="1" max="1" width="1.59765625" style="1" customWidth="1"/>
    <col min="2" max="2" width="26" style="1" customWidth="1"/>
    <col min="3" max="3" width="19.796875" style="1" customWidth="1"/>
    <col min="4" max="4" width="14" style="1" customWidth="1"/>
    <col min="5" max="5" width="16.59765625" style="1" customWidth="1"/>
    <col min="6" max="6" width="14.19921875" style="1" customWidth="1"/>
    <col min="7" max="7" width="11" style="1" customWidth="1"/>
    <col min="8" max="8" width="13.59765625" style="1" customWidth="1"/>
    <col min="9" max="9" width="11.796875" style="1" customWidth="1"/>
    <col min="10" max="10" width="11" style="1" customWidth="1"/>
    <col min="11" max="11" width="10.796875" style="1" customWidth="1"/>
    <col min="12" max="12" width="14.19921875" style="1" customWidth="1"/>
    <col min="13" max="13" width="14" style="1" customWidth="1"/>
    <col min="14" max="14" width="14.19921875" style="1" customWidth="1"/>
    <col min="15" max="15" width="15.3984375" style="1" customWidth="1"/>
    <col min="16" max="17" width="11" style="1" customWidth="1"/>
    <col min="18" max="18" width="14.19921875" style="1" customWidth="1"/>
    <col min="19" max="19" width="10.59765625" style="1" customWidth="1"/>
    <col min="20" max="20" width="13.59765625" style="1" customWidth="1"/>
    <col min="21" max="31" width="11.3984375" style="1" customWidth="1"/>
    <col min="32" max="56" width="9.19921875" style="1" customWidth="1"/>
    <col min="57" max="57" width="14.3984375" style="1" customWidth="1"/>
    <col min="58" max="16384" width="14.3984375" style="1"/>
  </cols>
  <sheetData>
    <row r="1" spans="1:56" ht="14.25" customHeight="1">
      <c r="A1" s="6" t="s">
        <v>8</v>
      </c>
      <c r="B1" s="7"/>
      <c r="C1" s="7"/>
      <c r="D1" s="7"/>
      <c r="E1" s="7"/>
      <c r="F1" s="7"/>
      <c r="G1" s="7"/>
      <c r="H1" s="7"/>
      <c r="I1" s="7"/>
      <c r="J1" s="7"/>
      <c r="K1" s="7"/>
      <c r="L1" s="7"/>
      <c r="M1" s="7"/>
      <c r="N1" s="7"/>
      <c r="O1" s="7"/>
      <c r="P1" s="7"/>
      <c r="Q1" s="7"/>
      <c r="R1" s="7"/>
      <c r="S1" s="7"/>
      <c r="T1" s="7"/>
      <c r="U1" s="7"/>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row>
    <row r="2" spans="1:56" ht="14.25" customHeight="1">
      <c r="A2" s="8"/>
      <c r="B2" s="532" t="s">
        <v>9</v>
      </c>
      <c r="C2" s="511" t="s">
        <v>10</v>
      </c>
      <c r="D2" s="533">
        <v>44927</v>
      </c>
      <c r="E2" s="503"/>
      <c r="F2" s="504"/>
      <c r="G2" s="504"/>
      <c r="H2" s="504"/>
      <c r="I2" s="505"/>
      <c r="J2" s="533">
        <v>44958</v>
      </c>
      <c r="K2" s="503"/>
      <c r="L2" s="504"/>
      <c r="M2" s="504"/>
      <c r="N2" s="504"/>
      <c r="O2" s="505"/>
      <c r="P2" s="534" t="s">
        <v>11</v>
      </c>
      <c r="Q2" s="503"/>
      <c r="R2" s="504"/>
      <c r="S2" s="504"/>
      <c r="T2" s="504"/>
      <c r="U2" s="505"/>
      <c r="V2" s="10"/>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row>
    <row r="3" spans="1:56" ht="14.25" customHeight="1">
      <c r="A3" s="8"/>
      <c r="B3" s="521"/>
      <c r="C3" s="521"/>
      <c r="D3" s="11" t="s">
        <v>12</v>
      </c>
      <c r="E3" s="11" t="s">
        <v>13</v>
      </c>
      <c r="F3" s="11" t="s">
        <v>14</v>
      </c>
      <c r="G3" s="11" t="s">
        <v>15</v>
      </c>
      <c r="H3" s="11" t="s">
        <v>16</v>
      </c>
      <c r="I3" s="11" t="s">
        <v>17</v>
      </c>
      <c r="J3" s="11" t="s">
        <v>12</v>
      </c>
      <c r="K3" s="11" t="s">
        <v>13</v>
      </c>
      <c r="L3" s="11" t="s">
        <v>14</v>
      </c>
      <c r="M3" s="11" t="s">
        <v>15</v>
      </c>
      <c r="N3" s="11" t="s">
        <v>16</v>
      </c>
      <c r="O3" s="11" t="s">
        <v>17</v>
      </c>
      <c r="P3" s="11" t="s">
        <v>12</v>
      </c>
      <c r="Q3" s="11" t="s">
        <v>13</v>
      </c>
      <c r="R3" s="11" t="s">
        <v>14</v>
      </c>
      <c r="S3" s="11" t="s">
        <v>15</v>
      </c>
      <c r="T3" s="11" t="s">
        <v>16</v>
      </c>
      <c r="U3" s="11" t="s">
        <v>17</v>
      </c>
      <c r="V3" s="10"/>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row>
    <row r="4" spans="1:56" ht="14.25" customHeight="1">
      <c r="A4" s="8"/>
      <c r="B4" s="12" t="s">
        <v>18</v>
      </c>
      <c r="C4" s="13" t="s">
        <v>19</v>
      </c>
      <c r="D4" s="14"/>
      <c r="E4" s="14"/>
      <c r="F4" s="15"/>
      <c r="G4" s="16"/>
      <c r="H4" s="16"/>
      <c r="I4" s="17"/>
      <c r="J4" s="14"/>
      <c r="K4" s="14"/>
      <c r="L4" s="14"/>
      <c r="M4" s="16"/>
      <c r="N4" s="16"/>
      <c r="O4" s="16"/>
      <c r="P4" s="14"/>
      <c r="Q4" s="14"/>
      <c r="R4" s="15"/>
      <c r="S4" s="16"/>
      <c r="T4" s="16"/>
      <c r="U4" s="17"/>
      <c r="V4" s="10"/>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row>
    <row r="5" spans="1:56" ht="14.25" customHeight="1">
      <c r="A5" s="8"/>
      <c r="B5" s="12" t="s">
        <v>20</v>
      </c>
      <c r="C5" s="13" t="s">
        <v>19</v>
      </c>
      <c r="D5" s="14"/>
      <c r="E5" s="14"/>
      <c r="F5" s="15"/>
      <c r="G5" s="16"/>
      <c r="H5" s="16"/>
      <c r="I5" s="17"/>
      <c r="J5" s="14"/>
      <c r="K5" s="14"/>
      <c r="L5" s="15"/>
      <c r="M5" s="16"/>
      <c r="N5" s="16"/>
      <c r="O5" s="17"/>
      <c r="P5" s="14"/>
      <c r="Q5" s="14"/>
      <c r="R5" s="15"/>
      <c r="S5" s="16"/>
      <c r="T5" s="16"/>
      <c r="U5" s="17"/>
      <c r="V5" s="10"/>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row>
    <row r="6" spans="1:56" ht="14.25" customHeight="1">
      <c r="A6" s="8"/>
      <c r="B6" s="535" t="s">
        <v>21</v>
      </c>
      <c r="C6" s="13" t="s">
        <v>22</v>
      </c>
      <c r="D6" s="14"/>
      <c r="E6" s="14"/>
      <c r="F6" s="15"/>
      <c r="G6" s="16"/>
      <c r="H6" s="16"/>
      <c r="I6" s="17"/>
      <c r="J6" s="14"/>
      <c r="K6" s="14"/>
      <c r="L6" s="15"/>
      <c r="M6" s="16"/>
      <c r="N6" s="16"/>
      <c r="O6" s="17"/>
      <c r="P6" s="14"/>
      <c r="Q6" s="14"/>
      <c r="R6" s="15"/>
      <c r="S6" s="16"/>
      <c r="T6" s="16"/>
      <c r="U6" s="17"/>
      <c r="V6" s="10"/>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row>
    <row r="7" spans="1:56" ht="14.25" customHeight="1">
      <c r="A7" s="8"/>
      <c r="B7" s="507"/>
      <c r="C7" s="13" t="s">
        <v>23</v>
      </c>
      <c r="D7" s="14"/>
      <c r="E7" s="14"/>
      <c r="F7" s="15"/>
      <c r="G7" s="16"/>
      <c r="H7" s="16"/>
      <c r="I7" s="17"/>
      <c r="J7" s="14"/>
      <c r="K7" s="14"/>
      <c r="L7" s="15"/>
      <c r="M7" s="16"/>
      <c r="N7" s="16"/>
      <c r="O7" s="17"/>
      <c r="P7" s="14"/>
      <c r="Q7" s="14"/>
      <c r="R7" s="15"/>
      <c r="S7" s="16"/>
      <c r="T7" s="16"/>
      <c r="U7" s="17"/>
      <c r="V7" s="10"/>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row>
    <row r="8" spans="1:56" ht="14.25" customHeight="1">
      <c r="A8" s="8"/>
      <c r="B8" s="508"/>
      <c r="C8" s="13" t="s">
        <v>24</v>
      </c>
      <c r="D8" s="14"/>
      <c r="E8" s="14"/>
      <c r="F8" s="15"/>
      <c r="G8" s="16"/>
      <c r="H8" s="16"/>
      <c r="I8" s="17"/>
      <c r="J8" s="14"/>
      <c r="K8" s="14"/>
      <c r="L8" s="15"/>
      <c r="M8" s="16"/>
      <c r="N8" s="16"/>
      <c r="O8" s="18"/>
      <c r="P8" s="14"/>
      <c r="Q8" s="14"/>
      <c r="R8" s="15"/>
      <c r="S8" s="16"/>
      <c r="T8" s="16"/>
      <c r="U8" s="17"/>
      <c r="V8" s="10"/>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row>
    <row r="9" spans="1:56" ht="14.25" customHeight="1">
      <c r="A9" s="8"/>
      <c r="B9" s="12" t="s">
        <v>25</v>
      </c>
      <c r="C9" s="13" t="s">
        <v>19</v>
      </c>
      <c r="D9" s="14"/>
      <c r="E9" s="14"/>
      <c r="F9" s="15"/>
      <c r="G9" s="16"/>
      <c r="H9" s="16"/>
      <c r="I9" s="17"/>
      <c r="J9" s="14"/>
      <c r="K9" s="14"/>
      <c r="L9" s="15"/>
      <c r="M9" s="16"/>
      <c r="N9" s="16"/>
      <c r="O9" s="17"/>
      <c r="P9" s="14"/>
      <c r="Q9" s="14"/>
      <c r="R9" s="15"/>
      <c r="S9" s="16"/>
      <c r="T9" s="16"/>
      <c r="U9" s="17"/>
      <c r="V9" s="10"/>
      <c r="W9" s="2"/>
      <c r="X9" s="19" t="s">
        <v>26</v>
      </c>
      <c r="Y9" s="20">
        <v>0.73089999999999999</v>
      </c>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row>
    <row r="10" spans="1:56" ht="14.25" customHeight="1">
      <c r="A10" s="8"/>
      <c r="B10" s="12" t="s">
        <v>27</v>
      </c>
      <c r="C10" s="13" t="s">
        <v>19</v>
      </c>
      <c r="D10" s="14"/>
      <c r="E10" s="14"/>
      <c r="F10" s="15"/>
      <c r="G10" s="16"/>
      <c r="H10" s="16"/>
      <c r="I10" s="17"/>
      <c r="J10" s="14"/>
      <c r="K10" s="14"/>
      <c r="L10" s="14"/>
      <c r="M10" s="16"/>
      <c r="N10" s="16"/>
      <c r="O10" s="17"/>
      <c r="P10" s="14"/>
      <c r="Q10" s="14"/>
      <c r="R10" s="15"/>
      <c r="S10" s="16"/>
      <c r="T10" s="16"/>
      <c r="U10" s="17"/>
      <c r="V10" s="10"/>
      <c r="W10" s="2"/>
      <c r="X10" s="19" t="s">
        <v>28</v>
      </c>
      <c r="Y10" s="20">
        <v>0.72160000000000002</v>
      </c>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row>
    <row r="11" spans="1:56" ht="14.25" customHeight="1">
      <c r="A11" s="8"/>
      <c r="B11" s="12" t="s">
        <v>29</v>
      </c>
      <c r="C11" s="13" t="s">
        <v>19</v>
      </c>
      <c r="D11" s="14"/>
      <c r="E11" s="14"/>
      <c r="F11" s="15"/>
      <c r="G11" s="16"/>
      <c r="H11" s="16"/>
      <c r="I11" s="17"/>
      <c r="J11" s="14"/>
      <c r="K11" s="14"/>
      <c r="L11" s="14"/>
      <c r="M11" s="16"/>
      <c r="N11" s="16"/>
      <c r="O11" s="17"/>
      <c r="P11" s="14"/>
      <c r="Q11" s="14"/>
      <c r="R11" s="15"/>
      <c r="S11" s="16"/>
      <c r="T11" s="16"/>
      <c r="U11" s="17"/>
      <c r="V11" s="10"/>
      <c r="W11" s="2"/>
      <c r="X11" s="19" t="s">
        <v>30</v>
      </c>
      <c r="Y11" s="20">
        <f>(Y10-Y9)/Y9</f>
        <v>-1.2724038856204645E-2</v>
      </c>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row>
    <row r="12" spans="1:56" ht="14.25" customHeight="1">
      <c r="A12" s="8"/>
      <c r="B12" s="12" t="s">
        <v>31</v>
      </c>
      <c r="C12" s="13" t="s">
        <v>19</v>
      </c>
      <c r="D12" s="14"/>
      <c r="E12" s="14"/>
      <c r="F12" s="15"/>
      <c r="G12" s="16"/>
      <c r="H12" s="16"/>
      <c r="I12" s="17"/>
      <c r="J12" s="14"/>
      <c r="K12" s="14"/>
      <c r="L12" s="14"/>
      <c r="M12" s="16"/>
      <c r="N12" s="16"/>
      <c r="O12" s="17"/>
      <c r="P12" s="14"/>
      <c r="Q12" s="14"/>
      <c r="R12" s="15"/>
      <c r="S12" s="16"/>
      <c r="T12" s="16"/>
      <c r="U12" s="17"/>
      <c r="V12" s="10"/>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row>
    <row r="13" spans="1:56" ht="14.25" customHeight="1">
      <c r="A13" s="8"/>
      <c r="B13" s="12" t="s">
        <v>32</v>
      </c>
      <c r="C13" s="13" t="s">
        <v>19</v>
      </c>
      <c r="D13" s="14"/>
      <c r="E13" s="14"/>
      <c r="F13" s="15"/>
      <c r="G13" s="16"/>
      <c r="H13" s="16"/>
      <c r="I13" s="17"/>
      <c r="J13" s="14"/>
      <c r="K13" s="14"/>
      <c r="L13" s="21" t="e">
        <f>J13/K13</f>
        <v>#DIV/0!</v>
      </c>
      <c r="M13" s="16"/>
      <c r="N13" s="16"/>
      <c r="O13" s="22" t="e">
        <f>M13/N13</f>
        <v>#DIV/0!</v>
      </c>
      <c r="P13" s="14"/>
      <c r="Q13" s="14"/>
      <c r="R13" s="15"/>
      <c r="S13" s="16"/>
      <c r="T13" s="16"/>
      <c r="U13" s="17"/>
      <c r="V13" s="10"/>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row>
    <row r="14" spans="1:56" ht="14.25" customHeight="1">
      <c r="A14" s="8"/>
      <c r="B14" s="12" t="s">
        <v>33</v>
      </c>
      <c r="C14" s="16"/>
      <c r="D14" s="14"/>
      <c r="E14" s="14"/>
      <c r="F14" s="15"/>
      <c r="G14" s="16"/>
      <c r="H14" s="16"/>
      <c r="I14" s="17"/>
      <c r="J14" s="14"/>
      <c r="K14" s="14"/>
      <c r="L14" s="21" t="e">
        <f>J14/K14</f>
        <v>#DIV/0!</v>
      </c>
      <c r="M14" s="16"/>
      <c r="N14" s="16"/>
      <c r="O14" s="22" t="e">
        <f>M14/N14</f>
        <v>#DIV/0!</v>
      </c>
      <c r="P14" s="14"/>
      <c r="Q14" s="14"/>
      <c r="R14" s="15"/>
      <c r="S14" s="16"/>
      <c r="T14" s="16"/>
      <c r="U14" s="17"/>
      <c r="V14" s="10"/>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row>
    <row r="15" spans="1:56" ht="14.25" customHeight="1">
      <c r="A15" s="8"/>
      <c r="B15" s="12" t="s">
        <v>34</v>
      </c>
      <c r="C15" s="13" t="s">
        <v>19</v>
      </c>
      <c r="D15" s="14"/>
      <c r="E15" s="14"/>
      <c r="F15" s="15"/>
      <c r="G15" s="16"/>
      <c r="H15" s="16"/>
      <c r="I15" s="17"/>
      <c r="J15" s="14"/>
      <c r="K15" s="14"/>
      <c r="L15" s="15"/>
      <c r="M15" s="16"/>
      <c r="N15" s="16"/>
      <c r="O15" s="17"/>
      <c r="P15" s="14"/>
      <c r="Q15" s="14"/>
      <c r="R15" s="15"/>
      <c r="S15" s="16"/>
      <c r="T15" s="16"/>
      <c r="U15" s="17"/>
      <c r="V15" s="10"/>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row>
    <row r="16" spans="1:56" ht="14.25" customHeight="1">
      <c r="A16" s="2"/>
      <c r="B16" s="23"/>
      <c r="C16" s="23"/>
      <c r="D16" s="23"/>
      <c r="E16" s="23"/>
      <c r="F16" s="23"/>
      <c r="G16" s="23"/>
      <c r="H16" s="23"/>
      <c r="I16" s="23"/>
      <c r="J16" s="23"/>
      <c r="K16" s="23"/>
      <c r="L16" s="23"/>
      <c r="M16" s="23"/>
      <c r="N16" s="23"/>
      <c r="O16" s="23"/>
      <c r="P16" s="23"/>
      <c r="Q16" s="23"/>
      <c r="R16" s="23"/>
      <c r="S16" s="23"/>
      <c r="T16" s="23"/>
      <c r="U16" s="23"/>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row>
    <row r="17" spans="1:56" ht="14.25" customHeight="1">
      <c r="A17" s="2"/>
      <c r="B17" s="2"/>
      <c r="C17" s="2"/>
      <c r="D17" s="2"/>
      <c r="E17" s="2"/>
      <c r="F17" s="2"/>
      <c r="G17" s="2"/>
      <c r="H17" s="2"/>
      <c r="I17" s="2"/>
      <c r="J17" s="2"/>
      <c r="K17" s="2"/>
      <c r="L17" s="24"/>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row>
    <row r="18" spans="1:56" ht="14.25" customHeight="1">
      <c r="A18" s="6" t="s">
        <v>35</v>
      </c>
      <c r="B18" s="25"/>
      <c r="C18" s="25"/>
      <c r="D18" s="25"/>
      <c r="E18" s="25"/>
      <c r="F18" s="25"/>
      <c r="G18" s="25"/>
      <c r="H18" s="25"/>
      <c r="I18" s="25"/>
      <c r="J18" s="25"/>
      <c r="K18" s="25"/>
      <c r="L18" s="25"/>
      <c r="M18" s="25"/>
      <c r="N18" s="25"/>
      <c r="O18" s="25"/>
      <c r="P18" s="25"/>
      <c r="Q18" s="25"/>
      <c r="R18" s="25"/>
      <c r="S18" s="25"/>
      <c r="T18" s="25"/>
      <c r="U18" s="25"/>
      <c r="V18" s="25"/>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row>
    <row r="19" spans="1:56" ht="14.25" customHeight="1">
      <c r="A19" s="26"/>
      <c r="B19" s="27" t="s">
        <v>36</v>
      </c>
      <c r="C19" s="28"/>
      <c r="D19" s="28"/>
      <c r="E19" s="28"/>
      <c r="F19" s="28"/>
      <c r="G19" s="28"/>
      <c r="H19" s="28"/>
      <c r="I19" s="28"/>
      <c r="J19" s="28"/>
      <c r="K19" s="28"/>
      <c r="L19" s="28"/>
      <c r="M19" s="29" t="s">
        <v>17</v>
      </c>
      <c r="N19" s="30"/>
      <c r="O19" s="30"/>
      <c r="P19" s="30"/>
      <c r="Q19" s="30"/>
      <c r="R19" s="30"/>
      <c r="S19" s="30"/>
      <c r="T19" s="30"/>
      <c r="U19" s="30"/>
      <c r="V19" s="30"/>
      <c r="W19" s="31"/>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row>
    <row r="20" spans="1:56" ht="14.25" customHeight="1">
      <c r="A20" s="8"/>
      <c r="B20" s="511" t="s">
        <v>37</v>
      </c>
      <c r="C20" s="511" t="s">
        <v>38</v>
      </c>
      <c r="D20" s="511" t="s">
        <v>18</v>
      </c>
      <c r="E20" s="32" t="s">
        <v>20</v>
      </c>
      <c r="F20" s="502" t="s">
        <v>21</v>
      </c>
      <c r="G20" s="503"/>
      <c r="H20" s="505"/>
      <c r="I20" s="502" t="s">
        <v>25</v>
      </c>
      <c r="J20" s="503"/>
      <c r="K20" s="505"/>
      <c r="L20" s="511" t="s">
        <v>39</v>
      </c>
      <c r="M20" s="511" t="s">
        <v>38</v>
      </c>
      <c r="N20" s="511" t="s">
        <v>18</v>
      </c>
      <c r="O20" s="32" t="s">
        <v>20</v>
      </c>
      <c r="P20" s="502" t="s">
        <v>21</v>
      </c>
      <c r="Q20" s="503"/>
      <c r="R20" s="505"/>
      <c r="S20" s="502" t="s">
        <v>25</v>
      </c>
      <c r="T20" s="503"/>
      <c r="U20" s="505"/>
      <c r="V20" s="511" t="s">
        <v>39</v>
      </c>
      <c r="W20" s="10"/>
      <c r="X20" s="33" t="s">
        <v>40</v>
      </c>
      <c r="Y20" s="33" t="s">
        <v>41</v>
      </c>
      <c r="Z20" s="33" t="s">
        <v>42</v>
      </c>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row>
    <row r="21" spans="1:56" ht="14.25" customHeight="1">
      <c r="A21" s="8"/>
      <c r="B21" s="521"/>
      <c r="C21" s="521"/>
      <c r="D21" s="521"/>
      <c r="E21" s="32" t="s">
        <v>11</v>
      </c>
      <c r="F21" s="34">
        <v>44927</v>
      </c>
      <c r="G21" s="34">
        <v>44958</v>
      </c>
      <c r="H21" s="32" t="s">
        <v>11</v>
      </c>
      <c r="I21" s="34">
        <v>44927</v>
      </c>
      <c r="J21" s="34">
        <v>44958</v>
      </c>
      <c r="K21" s="32" t="s">
        <v>11</v>
      </c>
      <c r="L21" s="521"/>
      <c r="M21" s="521"/>
      <c r="N21" s="521"/>
      <c r="O21" s="32" t="s">
        <v>11</v>
      </c>
      <c r="P21" s="34">
        <v>44927</v>
      </c>
      <c r="Q21" s="34">
        <v>44958</v>
      </c>
      <c r="R21" s="32" t="s">
        <v>11</v>
      </c>
      <c r="S21" s="34">
        <v>44927</v>
      </c>
      <c r="T21" s="34">
        <v>44958</v>
      </c>
      <c r="U21" s="32" t="s">
        <v>11</v>
      </c>
      <c r="V21" s="521"/>
      <c r="W21" s="10"/>
      <c r="X21" s="35">
        <v>0.65</v>
      </c>
      <c r="Y21" s="35">
        <v>0.25</v>
      </c>
      <c r="Z21" s="35">
        <v>0.1</v>
      </c>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row>
    <row r="22" spans="1:56" ht="14.25" customHeight="1">
      <c r="A22" s="8"/>
      <c r="B22" s="12" t="s">
        <v>43</v>
      </c>
      <c r="C22" s="36">
        <f t="shared" ref="C22:C53" si="0">E87</f>
        <v>0.87539732994278452</v>
      </c>
      <c r="D22" s="36">
        <f t="shared" ref="D22:D33" si="1">H87</f>
        <v>0.89571788413098241</v>
      </c>
      <c r="E22" s="36">
        <f t="shared" ref="E22:E33" si="2">K87</f>
        <v>0.73403112004111959</v>
      </c>
      <c r="F22" s="36">
        <f t="shared" ref="F22:H26" si="3">L195</f>
        <v>0.91798865493702531</v>
      </c>
      <c r="G22" s="36">
        <f t="shared" si="3"/>
        <v>0.91869918699186992</v>
      </c>
      <c r="H22" s="36">
        <f t="shared" si="3"/>
        <v>0.918324978479923</v>
      </c>
      <c r="I22" s="36">
        <f t="shared" ref="I22:I33" si="4">W87</f>
        <v>1</v>
      </c>
      <c r="J22" s="36">
        <f t="shared" ref="J22:J33" si="5">Z87</f>
        <v>1</v>
      </c>
      <c r="K22" s="36">
        <f t="shared" ref="K22:K33" si="6">AC87</f>
        <v>1</v>
      </c>
      <c r="L22" s="36">
        <f t="shared" ref="L22:L53" si="7">IFERROR(AVERAGE(D22,E22,H22,K22),"-")</f>
        <v>0.88701849566300628</v>
      </c>
      <c r="M22" s="37" t="str">
        <f t="shared" ref="M22:M53" si="8">AF87</f>
        <v>-</v>
      </c>
      <c r="N22" s="21">
        <f t="shared" ref="N22:N53" si="9">AI87</f>
        <v>0.90062667860340195</v>
      </c>
      <c r="O22" s="21">
        <f t="shared" ref="O22:O53" si="10">AL87</f>
        <v>0.8997165797371921</v>
      </c>
      <c r="P22" s="21">
        <f t="shared" ref="P22:R26" si="11">X195</f>
        <v>0</v>
      </c>
      <c r="Q22" s="21">
        <f t="shared" si="11"/>
        <v>0</v>
      </c>
      <c r="R22" s="21">
        <f t="shared" si="11"/>
        <v>0</v>
      </c>
      <c r="S22" s="21">
        <f t="shared" ref="S22:S53" si="12">AR87</f>
        <v>0.82397408207343414</v>
      </c>
      <c r="T22" s="21">
        <f t="shared" ref="T22:T53" si="13">AU87</f>
        <v>0.82082866741321392</v>
      </c>
      <c r="U22" s="37" t="str">
        <f t="shared" ref="U22:U53" si="14">AX87</f>
        <v>-</v>
      </c>
      <c r="V22" s="21">
        <f t="shared" ref="V22:V53" si="15">IFERROR(AVERAGE(U22,R22,O22,N22),"-")</f>
        <v>0.60011441944686472</v>
      </c>
      <c r="W22" s="10"/>
      <c r="X22" s="20">
        <v>0.85850000000000004</v>
      </c>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row>
    <row r="23" spans="1:56" ht="14.25" customHeight="1">
      <c r="A23" s="8"/>
      <c r="B23" s="38" t="s">
        <v>44</v>
      </c>
      <c r="C23" s="39">
        <f t="shared" si="0"/>
        <v>0.87539732994278452</v>
      </c>
      <c r="D23" s="39">
        <f t="shared" si="1"/>
        <v>0.89367219917012453</v>
      </c>
      <c r="E23" s="39">
        <f t="shared" si="2"/>
        <v>0.73403112004111959</v>
      </c>
      <c r="F23" s="39">
        <f t="shared" si="3"/>
        <v>0.91798865493702531</v>
      </c>
      <c r="G23" s="39">
        <f t="shared" si="3"/>
        <v>0.91869918699186992</v>
      </c>
      <c r="H23" s="39">
        <f t="shared" si="3"/>
        <v>0.918324978479923</v>
      </c>
      <c r="I23" s="39">
        <f t="shared" si="4"/>
        <v>1</v>
      </c>
      <c r="J23" s="39">
        <f t="shared" si="5"/>
        <v>1</v>
      </c>
      <c r="K23" s="39">
        <f t="shared" si="6"/>
        <v>1</v>
      </c>
      <c r="L23" s="39">
        <f t="shared" si="7"/>
        <v>0.88650707442279175</v>
      </c>
      <c r="M23" s="40" t="str">
        <f t="shared" si="8"/>
        <v>-</v>
      </c>
      <c r="N23" s="41">
        <f t="shared" si="9"/>
        <v>0.90062667860340195</v>
      </c>
      <c r="O23" s="41">
        <f t="shared" si="10"/>
        <v>0.8997165797371921</v>
      </c>
      <c r="P23" s="41">
        <f t="shared" si="11"/>
        <v>0</v>
      </c>
      <c r="Q23" s="41">
        <f t="shared" si="11"/>
        <v>0</v>
      </c>
      <c r="R23" s="41">
        <f t="shared" si="11"/>
        <v>0</v>
      </c>
      <c r="S23" s="41">
        <f t="shared" si="12"/>
        <v>0.82397408207343414</v>
      </c>
      <c r="T23" s="41">
        <f t="shared" si="13"/>
        <v>0.82082866741321392</v>
      </c>
      <c r="U23" s="40" t="str">
        <f t="shared" si="14"/>
        <v>-</v>
      </c>
      <c r="V23" s="41">
        <f t="shared" si="15"/>
        <v>0.60011441944686472</v>
      </c>
      <c r="W23" s="10"/>
      <c r="X23" s="20">
        <v>0.85170000000000001</v>
      </c>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row>
    <row r="24" spans="1:56" ht="14.25" customHeight="1">
      <c r="A24" s="8"/>
      <c r="B24" s="38" t="s">
        <v>45</v>
      </c>
      <c r="C24" s="39">
        <f t="shared" si="0"/>
        <v>0.87539732994278452</v>
      </c>
      <c r="D24" s="39">
        <f t="shared" si="1"/>
        <v>0.88826114249843069</v>
      </c>
      <c r="E24" s="39">
        <f t="shared" si="2"/>
        <v>0.73459693349637856</v>
      </c>
      <c r="F24" s="39">
        <f t="shared" si="3"/>
        <v>0.92160744333366329</v>
      </c>
      <c r="G24" s="39">
        <f t="shared" si="3"/>
        <v>0.93231810490693734</v>
      </c>
      <c r="H24" s="39">
        <f t="shared" si="3"/>
        <v>0.92661324335723327</v>
      </c>
      <c r="I24" s="39">
        <f t="shared" si="4"/>
        <v>1</v>
      </c>
      <c r="J24" s="39">
        <f t="shared" si="5"/>
        <v>1</v>
      </c>
      <c r="K24" s="39">
        <f t="shared" si="6"/>
        <v>1</v>
      </c>
      <c r="L24" s="39">
        <f t="shared" si="7"/>
        <v>0.88736782983801066</v>
      </c>
      <c r="M24" s="40" t="str">
        <f t="shared" si="8"/>
        <v>-</v>
      </c>
      <c r="N24" s="41">
        <f t="shared" si="9"/>
        <v>0.88976234003656307</v>
      </c>
      <c r="O24" s="41">
        <f t="shared" si="10"/>
        <v>0.89971536604763436</v>
      </c>
      <c r="P24" s="41">
        <f t="shared" si="11"/>
        <v>0</v>
      </c>
      <c r="Q24" s="41">
        <f t="shared" si="11"/>
        <v>0</v>
      </c>
      <c r="R24" s="41">
        <f t="shared" si="11"/>
        <v>0</v>
      </c>
      <c r="S24" s="41">
        <f t="shared" si="12"/>
        <v>0.82397408207343414</v>
      </c>
      <c r="T24" s="41">
        <f t="shared" si="13"/>
        <v>0.82082866741321392</v>
      </c>
      <c r="U24" s="40" t="str">
        <f t="shared" si="14"/>
        <v>-</v>
      </c>
      <c r="V24" s="41">
        <f t="shared" si="15"/>
        <v>0.59649256869473255</v>
      </c>
      <c r="W24" s="10"/>
      <c r="X24" s="42">
        <f>AVERAGE(X25:X26)</f>
        <v>0.88605</v>
      </c>
      <c r="Y24" s="42">
        <v>0.9133</v>
      </c>
      <c r="Z24" s="35">
        <v>1</v>
      </c>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row>
    <row r="25" spans="1:56" ht="14.25" customHeight="1">
      <c r="A25" s="8"/>
      <c r="B25" s="43" t="s">
        <v>46</v>
      </c>
      <c r="C25" s="44" t="str">
        <f t="shared" si="0"/>
        <v>-</v>
      </c>
      <c r="D25" s="36">
        <f t="shared" si="1"/>
        <v>0.91940298507462681</v>
      </c>
      <c r="E25" s="36">
        <f t="shared" si="2"/>
        <v>0.64748201438848918</v>
      </c>
      <c r="F25" s="36">
        <f t="shared" si="3"/>
        <v>0.79530201342281881</v>
      </c>
      <c r="G25" s="36">
        <f t="shared" si="3"/>
        <v>0.66873706004140787</v>
      </c>
      <c r="H25" s="36">
        <f t="shared" si="3"/>
        <v>0.71702944942381563</v>
      </c>
      <c r="I25" s="44" t="str">
        <f t="shared" si="4"/>
        <v>-</v>
      </c>
      <c r="J25" s="36">
        <f t="shared" si="5"/>
        <v>1</v>
      </c>
      <c r="K25" s="36">
        <f t="shared" si="6"/>
        <v>1</v>
      </c>
      <c r="L25" s="36">
        <f t="shared" si="7"/>
        <v>0.82097861222173285</v>
      </c>
      <c r="M25" s="37" t="str">
        <f t="shared" si="8"/>
        <v>-</v>
      </c>
      <c r="N25" s="21">
        <f t="shared" si="9"/>
        <v>0.94886363636363635</v>
      </c>
      <c r="O25" s="21">
        <f t="shared" si="10"/>
        <v>0.90038314176245215</v>
      </c>
      <c r="P25" s="21">
        <f t="shared" si="11"/>
        <v>0</v>
      </c>
      <c r="Q25" s="21">
        <f t="shared" si="11"/>
        <v>0</v>
      </c>
      <c r="R25" s="21">
        <f t="shared" si="11"/>
        <v>0</v>
      </c>
      <c r="S25" s="37" t="str">
        <f t="shared" si="12"/>
        <v>-</v>
      </c>
      <c r="T25" s="37" t="str">
        <f t="shared" si="13"/>
        <v>-</v>
      </c>
      <c r="U25" s="37" t="str">
        <f t="shared" si="14"/>
        <v>-</v>
      </c>
      <c r="V25" s="21">
        <f t="shared" si="15"/>
        <v>0.61641559270869617</v>
      </c>
      <c r="W25" s="10"/>
      <c r="X25" s="20">
        <v>0.89959999999999996</v>
      </c>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row>
    <row r="26" spans="1:56" ht="14.25" customHeight="1">
      <c r="A26" s="8"/>
      <c r="B26" s="45" t="s">
        <v>47</v>
      </c>
      <c r="C26" s="44" t="str">
        <f t="shared" si="0"/>
        <v>-</v>
      </c>
      <c r="D26" s="36">
        <f t="shared" si="1"/>
        <v>0.96491228070175439</v>
      </c>
      <c r="E26" s="44" t="str">
        <f t="shared" si="2"/>
        <v>-</v>
      </c>
      <c r="F26" s="44" t="str">
        <f t="shared" si="3"/>
        <v>-</v>
      </c>
      <c r="G26" s="44" t="str">
        <f t="shared" si="3"/>
        <v>-</v>
      </c>
      <c r="H26" s="44" t="str">
        <f t="shared" si="3"/>
        <v>-</v>
      </c>
      <c r="I26" s="44" t="str">
        <f t="shared" si="4"/>
        <v>-</v>
      </c>
      <c r="J26" s="44" t="str">
        <f t="shared" si="5"/>
        <v>-</v>
      </c>
      <c r="K26" s="44" t="str">
        <f t="shared" si="6"/>
        <v>-</v>
      </c>
      <c r="L26" s="36">
        <f t="shared" si="7"/>
        <v>0.96491228070175439</v>
      </c>
      <c r="M26" s="37" t="str">
        <f t="shared" si="8"/>
        <v>-</v>
      </c>
      <c r="N26" s="37" t="str">
        <f t="shared" si="9"/>
        <v>-</v>
      </c>
      <c r="O26" s="37" t="str">
        <f t="shared" si="10"/>
        <v>-</v>
      </c>
      <c r="P26" s="21">
        <f t="shared" si="11"/>
        <v>0</v>
      </c>
      <c r="Q26" s="21">
        <f t="shared" si="11"/>
        <v>0</v>
      </c>
      <c r="R26" s="21">
        <f t="shared" si="11"/>
        <v>0</v>
      </c>
      <c r="S26" s="37" t="str">
        <f t="shared" si="12"/>
        <v>-</v>
      </c>
      <c r="T26" s="37" t="str">
        <f t="shared" si="13"/>
        <v>-</v>
      </c>
      <c r="U26" s="37" t="str">
        <f t="shared" si="14"/>
        <v>-</v>
      </c>
      <c r="V26" s="21">
        <f t="shared" si="15"/>
        <v>0</v>
      </c>
      <c r="W26" s="10"/>
      <c r="X26" s="20">
        <v>0.87250000000000005</v>
      </c>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row>
    <row r="27" spans="1:56" ht="14.25" customHeight="1">
      <c r="A27" s="8"/>
      <c r="B27" s="12" t="s">
        <v>48</v>
      </c>
      <c r="C27" s="36">
        <f t="shared" si="0"/>
        <v>0.87539732994278452</v>
      </c>
      <c r="D27" s="36">
        <f t="shared" si="1"/>
        <v>0.88826114249843069</v>
      </c>
      <c r="E27" s="36">
        <f t="shared" si="2"/>
        <v>0.73459693349637856</v>
      </c>
      <c r="F27" s="36">
        <f>F24</f>
        <v>0.92160744333366329</v>
      </c>
      <c r="G27" s="36">
        <f>G24</f>
        <v>0.93231810490693734</v>
      </c>
      <c r="H27" s="36">
        <f>H24</f>
        <v>0.92661324335723327</v>
      </c>
      <c r="I27" s="36">
        <f t="shared" si="4"/>
        <v>1</v>
      </c>
      <c r="J27" s="36">
        <f t="shared" si="5"/>
        <v>1</v>
      </c>
      <c r="K27" s="36">
        <f t="shared" si="6"/>
        <v>1</v>
      </c>
      <c r="L27" s="36">
        <f t="shared" si="7"/>
        <v>0.88736782983801066</v>
      </c>
      <c r="M27" s="37" t="str">
        <f t="shared" si="8"/>
        <v>-</v>
      </c>
      <c r="N27" s="21">
        <f t="shared" si="9"/>
        <v>0.88976234003656307</v>
      </c>
      <c r="O27" s="21">
        <f t="shared" si="10"/>
        <v>0.89971536604763436</v>
      </c>
      <c r="P27" s="21">
        <f>P24</f>
        <v>0</v>
      </c>
      <c r="Q27" s="21">
        <f>Q24</f>
        <v>0</v>
      </c>
      <c r="R27" s="21">
        <f>R24</f>
        <v>0</v>
      </c>
      <c r="S27" s="21">
        <f t="shared" si="12"/>
        <v>0.82397408207343414</v>
      </c>
      <c r="T27" s="21">
        <f t="shared" si="13"/>
        <v>0.82082866741321392</v>
      </c>
      <c r="U27" s="37" t="str">
        <f t="shared" si="14"/>
        <v>-</v>
      </c>
      <c r="V27" s="21">
        <f t="shared" si="15"/>
        <v>0.59649256869473255</v>
      </c>
      <c r="W27" s="10"/>
      <c r="X27" s="20">
        <f>X24*X21</f>
        <v>0.57593250000000007</v>
      </c>
      <c r="Y27" s="20">
        <f>Y24*Y21</f>
        <v>0.228325</v>
      </c>
      <c r="Z27" s="20">
        <f>Z24*Z21</f>
        <v>0.1</v>
      </c>
      <c r="AA27" s="20">
        <f>SUM(X27:Z27)</f>
        <v>0.90425750000000005</v>
      </c>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row>
    <row r="28" spans="1:56" ht="14.25" customHeight="1">
      <c r="A28" s="8"/>
      <c r="B28" s="12" t="s">
        <v>49</v>
      </c>
      <c r="C28" s="44" t="str">
        <f t="shared" si="0"/>
        <v>-</v>
      </c>
      <c r="D28" s="44" t="str">
        <f t="shared" si="1"/>
        <v>-</v>
      </c>
      <c r="E28" s="36">
        <f t="shared" si="2"/>
        <v>0.68615229110512133</v>
      </c>
      <c r="F28" s="36">
        <f>F24</f>
        <v>0.92160744333366329</v>
      </c>
      <c r="G28" s="36">
        <f>G24</f>
        <v>0.93231810490693734</v>
      </c>
      <c r="H28" s="36">
        <f>H24</f>
        <v>0.92661324335723327</v>
      </c>
      <c r="I28" s="36">
        <f t="shared" si="4"/>
        <v>1</v>
      </c>
      <c r="J28" s="36">
        <f t="shared" si="5"/>
        <v>1</v>
      </c>
      <c r="K28" s="36">
        <f t="shared" si="6"/>
        <v>1</v>
      </c>
      <c r="L28" s="36">
        <f t="shared" si="7"/>
        <v>0.87092184482078494</v>
      </c>
      <c r="M28" s="37" t="str">
        <f t="shared" si="8"/>
        <v>-</v>
      </c>
      <c r="N28" s="37" t="str">
        <f t="shared" si="9"/>
        <v>-</v>
      </c>
      <c r="O28" s="21">
        <f t="shared" si="10"/>
        <v>0.92762109858988728</v>
      </c>
      <c r="P28" s="21">
        <f>P24</f>
        <v>0</v>
      </c>
      <c r="Q28" s="21">
        <f>Q24</f>
        <v>0</v>
      </c>
      <c r="R28" s="21">
        <f>R24</f>
        <v>0</v>
      </c>
      <c r="S28" s="21">
        <f t="shared" si="12"/>
        <v>0.74838709677419357</v>
      </c>
      <c r="T28" s="21">
        <f t="shared" si="13"/>
        <v>0.76318312559923296</v>
      </c>
      <c r="U28" s="37" t="str">
        <f t="shared" si="14"/>
        <v>-</v>
      </c>
      <c r="V28" s="21">
        <f t="shared" si="15"/>
        <v>0.46381054929494364</v>
      </c>
      <c r="W28" s="10"/>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row>
    <row r="29" spans="1:56" ht="14.25" customHeight="1">
      <c r="A29" s="8"/>
      <c r="B29" s="12" t="s">
        <v>50</v>
      </c>
      <c r="C29" s="44" t="str">
        <f t="shared" si="0"/>
        <v>-</v>
      </c>
      <c r="D29" s="36">
        <f t="shared" si="1"/>
        <v>0.88826114249843069</v>
      </c>
      <c r="E29" s="36">
        <f t="shared" si="2"/>
        <v>1</v>
      </c>
      <c r="F29" s="44" t="s">
        <v>19</v>
      </c>
      <c r="G29" s="44" t="s">
        <v>19</v>
      </c>
      <c r="H29" s="44" t="s">
        <v>19</v>
      </c>
      <c r="I29" s="36">
        <f t="shared" si="4"/>
        <v>1</v>
      </c>
      <c r="J29" s="36">
        <f t="shared" si="5"/>
        <v>1</v>
      </c>
      <c r="K29" s="36">
        <f t="shared" si="6"/>
        <v>1</v>
      </c>
      <c r="L29" s="36">
        <f t="shared" si="7"/>
        <v>0.96275371416614364</v>
      </c>
      <c r="M29" s="37" t="str">
        <f t="shared" si="8"/>
        <v>-</v>
      </c>
      <c r="N29" s="21">
        <f t="shared" si="9"/>
        <v>0.90116406764770485</v>
      </c>
      <c r="O29" s="21">
        <f t="shared" si="10"/>
        <v>0.76949112285493737</v>
      </c>
      <c r="P29" s="37" t="s">
        <v>19</v>
      </c>
      <c r="Q29" s="37" t="s">
        <v>19</v>
      </c>
      <c r="R29" s="37" t="s">
        <v>19</v>
      </c>
      <c r="S29" s="21">
        <f t="shared" si="12"/>
        <v>0.86451612903225805</v>
      </c>
      <c r="T29" s="21">
        <f t="shared" si="13"/>
        <v>0.82646212847555134</v>
      </c>
      <c r="U29" s="37" t="str">
        <f t="shared" si="14"/>
        <v>-</v>
      </c>
      <c r="V29" s="21">
        <f t="shared" si="15"/>
        <v>0.83532759525132105</v>
      </c>
      <c r="W29" s="10"/>
      <c r="X29" s="33" t="s">
        <v>40</v>
      </c>
      <c r="Y29" s="33" t="s">
        <v>41</v>
      </c>
      <c r="Z29" s="33" t="s">
        <v>42</v>
      </c>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row>
    <row r="30" spans="1:56" ht="14.25" customHeight="1">
      <c r="A30" s="8"/>
      <c r="B30" s="12" t="s">
        <v>51</v>
      </c>
      <c r="C30" s="44" t="str">
        <f t="shared" si="0"/>
        <v>-</v>
      </c>
      <c r="D30" s="36">
        <f t="shared" si="1"/>
        <v>0.88826114249843069</v>
      </c>
      <c r="E30" s="44" t="str">
        <f t="shared" si="2"/>
        <v>-</v>
      </c>
      <c r="F30" s="44" t="s">
        <v>19</v>
      </c>
      <c r="G30" s="44" t="s">
        <v>19</v>
      </c>
      <c r="H30" s="44" t="s">
        <v>19</v>
      </c>
      <c r="I30" s="44" t="str">
        <f t="shared" si="4"/>
        <v>-</v>
      </c>
      <c r="J30" s="44" t="str">
        <f t="shared" si="5"/>
        <v>-</v>
      </c>
      <c r="K30" s="44" t="str">
        <f t="shared" si="6"/>
        <v>-</v>
      </c>
      <c r="L30" s="36">
        <f t="shared" si="7"/>
        <v>0.88826114249843069</v>
      </c>
      <c r="M30" s="37" t="str">
        <f t="shared" si="8"/>
        <v>-</v>
      </c>
      <c r="N30" s="21">
        <f t="shared" si="9"/>
        <v>0.87214611872146119</v>
      </c>
      <c r="O30" s="21">
        <f t="shared" si="10"/>
        <v>0.76681887366818868</v>
      </c>
      <c r="P30" s="37" t="s">
        <v>19</v>
      </c>
      <c r="Q30" s="37" t="s">
        <v>19</v>
      </c>
      <c r="R30" s="37" t="s">
        <v>19</v>
      </c>
      <c r="S30" s="37" t="str">
        <f t="shared" si="12"/>
        <v>-</v>
      </c>
      <c r="T30" s="37" t="str">
        <f t="shared" si="13"/>
        <v>-</v>
      </c>
      <c r="U30" s="37" t="str">
        <f t="shared" si="14"/>
        <v>-</v>
      </c>
      <c r="V30" s="21">
        <f t="shared" si="15"/>
        <v>0.81948249619482494</v>
      </c>
      <c r="W30" s="10"/>
      <c r="X30" s="35">
        <v>0.65</v>
      </c>
      <c r="Y30" s="35">
        <v>0.25</v>
      </c>
      <c r="Z30" s="35">
        <v>0.1</v>
      </c>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row>
    <row r="31" spans="1:56" ht="14.25" customHeight="1">
      <c r="A31" s="8"/>
      <c r="B31" s="12" t="s">
        <v>52</v>
      </c>
      <c r="C31" s="44" t="str">
        <f t="shared" si="0"/>
        <v>-</v>
      </c>
      <c r="D31" s="44" t="str">
        <f t="shared" si="1"/>
        <v>-</v>
      </c>
      <c r="E31" s="36">
        <f t="shared" si="2"/>
        <v>1</v>
      </c>
      <c r="F31" s="44" t="s">
        <v>19</v>
      </c>
      <c r="G31" s="44" t="s">
        <v>19</v>
      </c>
      <c r="H31" s="44" t="s">
        <v>19</v>
      </c>
      <c r="I31" s="36">
        <f t="shared" si="4"/>
        <v>1</v>
      </c>
      <c r="J31" s="36">
        <f t="shared" si="5"/>
        <v>1</v>
      </c>
      <c r="K31" s="36">
        <f t="shared" si="6"/>
        <v>1</v>
      </c>
      <c r="L31" s="36">
        <f t="shared" si="7"/>
        <v>1</v>
      </c>
      <c r="M31" s="37" t="str">
        <f t="shared" si="8"/>
        <v>-</v>
      </c>
      <c r="N31" s="37" t="str">
        <f t="shared" si="9"/>
        <v>-</v>
      </c>
      <c r="O31" s="21">
        <f t="shared" si="10"/>
        <v>0.80363036303630364</v>
      </c>
      <c r="P31" s="37" t="s">
        <v>19</v>
      </c>
      <c r="Q31" s="37" t="s">
        <v>19</v>
      </c>
      <c r="R31" s="37" t="s">
        <v>19</v>
      </c>
      <c r="S31" s="21">
        <f t="shared" si="12"/>
        <v>0.74838709677419357</v>
      </c>
      <c r="T31" s="21">
        <f t="shared" si="13"/>
        <v>0.76318312559923296</v>
      </c>
      <c r="U31" s="37" t="str">
        <f t="shared" si="14"/>
        <v>-</v>
      </c>
      <c r="V31" s="21">
        <f t="shared" si="15"/>
        <v>0.80363036303630364</v>
      </c>
      <c r="W31" s="10"/>
      <c r="X31" s="20">
        <v>0.89959999999999996</v>
      </c>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row>
    <row r="32" spans="1:56" ht="14.25" customHeight="1">
      <c r="A32" s="8"/>
      <c r="B32" s="12" t="s">
        <v>53</v>
      </c>
      <c r="C32" s="44" t="str">
        <f t="shared" si="0"/>
        <v>-</v>
      </c>
      <c r="D32" s="36">
        <f t="shared" si="1"/>
        <v>0.89367219917012453</v>
      </c>
      <c r="E32" s="44" t="str">
        <f t="shared" si="2"/>
        <v>-</v>
      </c>
      <c r="F32" s="44" t="s">
        <v>19</v>
      </c>
      <c r="G32" s="44" t="s">
        <v>19</v>
      </c>
      <c r="H32" s="44" t="s">
        <v>19</v>
      </c>
      <c r="I32" s="44" t="str">
        <f t="shared" si="4"/>
        <v>-</v>
      </c>
      <c r="J32" s="44" t="str">
        <f t="shared" si="5"/>
        <v>-</v>
      </c>
      <c r="K32" s="44" t="str">
        <f t="shared" si="6"/>
        <v>-</v>
      </c>
      <c r="L32" s="36">
        <f t="shared" si="7"/>
        <v>0.89367219917012453</v>
      </c>
      <c r="M32" s="37" t="str">
        <f t="shared" si="8"/>
        <v>-</v>
      </c>
      <c r="N32" s="21">
        <f t="shared" si="9"/>
        <v>0.87214611872146119</v>
      </c>
      <c r="O32" s="21">
        <f t="shared" si="10"/>
        <v>0.76681887366818868</v>
      </c>
      <c r="P32" s="37" t="s">
        <v>19</v>
      </c>
      <c r="Q32" s="37" t="s">
        <v>19</v>
      </c>
      <c r="R32" s="37" t="s">
        <v>19</v>
      </c>
      <c r="S32" s="37" t="str">
        <f t="shared" si="12"/>
        <v>-</v>
      </c>
      <c r="T32" s="37" t="str">
        <f t="shared" si="13"/>
        <v>-</v>
      </c>
      <c r="U32" s="37" t="str">
        <f t="shared" si="14"/>
        <v>-</v>
      </c>
      <c r="V32" s="21">
        <f t="shared" si="15"/>
        <v>0.81948249619482494</v>
      </c>
      <c r="W32" s="10"/>
      <c r="X32" s="20">
        <v>0.87250000000000005</v>
      </c>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row>
    <row r="33" spans="1:56" ht="14.25" customHeight="1">
      <c r="A33" s="8"/>
      <c r="B33" s="12" t="s">
        <v>54</v>
      </c>
      <c r="C33" s="44" t="str">
        <f t="shared" si="0"/>
        <v>-</v>
      </c>
      <c r="D33" s="36">
        <f t="shared" si="1"/>
        <v>0.92602040816326525</v>
      </c>
      <c r="E33" s="36">
        <f t="shared" si="2"/>
        <v>0.78010471204188481</v>
      </c>
      <c r="F33" s="44" t="s">
        <v>19</v>
      </c>
      <c r="G33" s="44" t="s">
        <v>19</v>
      </c>
      <c r="H33" s="44" t="s">
        <v>19</v>
      </c>
      <c r="I33" s="44" t="str">
        <f t="shared" si="4"/>
        <v>-</v>
      </c>
      <c r="J33" s="44" t="str">
        <f t="shared" si="5"/>
        <v>-</v>
      </c>
      <c r="K33" s="44" t="str">
        <f t="shared" si="6"/>
        <v>-</v>
      </c>
      <c r="L33" s="36">
        <f t="shared" si="7"/>
        <v>0.85306256010257497</v>
      </c>
      <c r="M33" s="37" t="str">
        <f t="shared" si="8"/>
        <v>-</v>
      </c>
      <c r="N33" s="37" t="str">
        <f t="shared" si="9"/>
        <v>-</v>
      </c>
      <c r="O33" s="21">
        <f t="shared" si="10"/>
        <v>0.93645575980905327</v>
      </c>
      <c r="P33" s="37" t="s">
        <v>19</v>
      </c>
      <c r="Q33" s="37" t="s">
        <v>19</v>
      </c>
      <c r="R33" s="37" t="s">
        <v>19</v>
      </c>
      <c r="S33" s="37" t="str">
        <f t="shared" si="12"/>
        <v>-</v>
      </c>
      <c r="T33" s="37" t="str">
        <f t="shared" si="13"/>
        <v>-</v>
      </c>
      <c r="U33" s="37" t="str">
        <f t="shared" si="14"/>
        <v>-</v>
      </c>
      <c r="V33" s="21">
        <f t="shared" si="15"/>
        <v>0.93645575980905327</v>
      </c>
      <c r="W33" s="10"/>
      <c r="X33" s="20">
        <v>0.87250000000000005</v>
      </c>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row>
    <row r="34" spans="1:56" ht="14.25" customHeight="1">
      <c r="A34" s="8"/>
      <c r="B34" s="43" t="s">
        <v>55</v>
      </c>
      <c r="C34" s="44" t="str">
        <f t="shared" si="0"/>
        <v>-</v>
      </c>
      <c r="D34" s="44" t="s">
        <v>19</v>
      </c>
      <c r="E34" s="44" t="s">
        <v>19</v>
      </c>
      <c r="F34" s="44" t="s">
        <v>19</v>
      </c>
      <c r="G34" s="44" t="s">
        <v>19</v>
      </c>
      <c r="H34" s="44" t="s">
        <v>19</v>
      </c>
      <c r="I34" s="44" t="s">
        <v>19</v>
      </c>
      <c r="J34" s="44" t="s">
        <v>19</v>
      </c>
      <c r="K34" s="44" t="s">
        <v>19</v>
      </c>
      <c r="L34" s="44" t="str">
        <f t="shared" si="7"/>
        <v>-</v>
      </c>
      <c r="M34" s="37" t="str">
        <f t="shared" si="8"/>
        <v>-</v>
      </c>
      <c r="N34" s="21">
        <f t="shared" si="9"/>
        <v>0.96753246753246758</v>
      </c>
      <c r="O34" s="37" t="str">
        <f t="shared" si="10"/>
        <v>-</v>
      </c>
      <c r="P34" s="37" t="s">
        <v>19</v>
      </c>
      <c r="Q34" s="37" t="s">
        <v>19</v>
      </c>
      <c r="R34" s="21">
        <f>Z202</f>
        <v>0</v>
      </c>
      <c r="S34" s="37" t="str">
        <f t="shared" si="12"/>
        <v>-</v>
      </c>
      <c r="T34" s="37" t="str">
        <f t="shared" si="13"/>
        <v>-</v>
      </c>
      <c r="U34" s="37" t="str">
        <f t="shared" si="14"/>
        <v>-</v>
      </c>
      <c r="V34" s="21">
        <f t="shared" si="15"/>
        <v>0.48376623376623379</v>
      </c>
      <c r="W34" s="10"/>
      <c r="X34" s="20">
        <v>0.85850000000000004</v>
      </c>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row>
    <row r="35" spans="1:56" ht="14.25" customHeight="1">
      <c r="A35" s="8"/>
      <c r="B35" s="43" t="s">
        <v>56</v>
      </c>
      <c r="C35" s="44" t="str">
        <f t="shared" si="0"/>
        <v>-</v>
      </c>
      <c r="D35" s="44" t="s">
        <v>19</v>
      </c>
      <c r="E35" s="44" t="s">
        <v>19</v>
      </c>
      <c r="F35" s="44" t="s">
        <v>19</v>
      </c>
      <c r="G35" s="44" t="s">
        <v>19</v>
      </c>
      <c r="H35" s="44" t="s">
        <v>19</v>
      </c>
      <c r="I35" s="44" t="s">
        <v>19</v>
      </c>
      <c r="J35" s="44" t="s">
        <v>19</v>
      </c>
      <c r="K35" s="44" t="s">
        <v>19</v>
      </c>
      <c r="L35" s="44" t="str">
        <f t="shared" si="7"/>
        <v>-</v>
      </c>
      <c r="M35" s="37" t="str">
        <f t="shared" si="8"/>
        <v>-</v>
      </c>
      <c r="N35" s="21">
        <f t="shared" si="9"/>
        <v>0.91558441558441561</v>
      </c>
      <c r="O35" s="21">
        <f t="shared" si="10"/>
        <v>0.9568965517241379</v>
      </c>
      <c r="P35" s="37" t="s">
        <v>19</v>
      </c>
      <c r="Q35" s="37" t="s">
        <v>19</v>
      </c>
      <c r="R35" s="21">
        <f>Z203</f>
        <v>0</v>
      </c>
      <c r="S35" s="37" t="str">
        <f t="shared" si="12"/>
        <v>-</v>
      </c>
      <c r="T35" s="37" t="str">
        <f t="shared" si="13"/>
        <v>-</v>
      </c>
      <c r="U35" s="37" t="str">
        <f t="shared" si="14"/>
        <v>-</v>
      </c>
      <c r="V35" s="21">
        <f t="shared" si="15"/>
        <v>0.62416032243618458</v>
      </c>
      <c r="W35" s="10"/>
      <c r="X35" s="20">
        <v>0.85170000000000001</v>
      </c>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row>
    <row r="36" spans="1:56" ht="14.25" customHeight="1">
      <c r="A36" s="8"/>
      <c r="B36" s="12" t="s">
        <v>57</v>
      </c>
      <c r="C36" s="44" t="str">
        <f t="shared" si="0"/>
        <v>-</v>
      </c>
      <c r="D36" s="36">
        <f>H101</f>
        <v>0.89367219917012453</v>
      </c>
      <c r="E36" s="44" t="str">
        <f>K101</f>
        <v>-</v>
      </c>
      <c r="F36" s="44" t="s">
        <v>19</v>
      </c>
      <c r="G36" s="44" t="s">
        <v>19</v>
      </c>
      <c r="H36" s="44" t="s">
        <v>19</v>
      </c>
      <c r="I36" s="44" t="str">
        <f>W101</f>
        <v>-</v>
      </c>
      <c r="J36" s="44" t="str">
        <f>Z101</f>
        <v>-</v>
      </c>
      <c r="K36" s="44" t="str">
        <f>AC101</f>
        <v>-</v>
      </c>
      <c r="L36" s="36">
        <f t="shared" si="7"/>
        <v>0.89367219917012453</v>
      </c>
      <c r="M36" s="37" t="str">
        <f t="shared" si="8"/>
        <v>-</v>
      </c>
      <c r="N36" s="21">
        <f t="shared" si="9"/>
        <v>0.87231572838073124</v>
      </c>
      <c r="O36" s="21">
        <f t="shared" si="10"/>
        <v>0.78221139201949441</v>
      </c>
      <c r="P36" s="37" t="s">
        <v>19</v>
      </c>
      <c r="Q36" s="37" t="s">
        <v>19</v>
      </c>
      <c r="R36" s="37" t="s">
        <v>19</v>
      </c>
      <c r="S36" s="37" t="str">
        <f t="shared" si="12"/>
        <v>-</v>
      </c>
      <c r="T36" s="37" t="str">
        <f t="shared" si="13"/>
        <v>-</v>
      </c>
      <c r="U36" s="37" t="str">
        <f t="shared" si="14"/>
        <v>-</v>
      </c>
      <c r="V36" s="21">
        <f t="shared" si="15"/>
        <v>0.82726356020011282</v>
      </c>
      <c r="W36" s="10"/>
      <c r="X36" s="42">
        <f>AVERAGE(X31:X35)</f>
        <v>0.87095999999999996</v>
      </c>
      <c r="Y36" s="42">
        <v>0.1404</v>
      </c>
      <c r="Z36" s="35">
        <v>1</v>
      </c>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row>
    <row r="37" spans="1:56" ht="14.25" customHeight="1">
      <c r="A37" s="8"/>
      <c r="B37" s="12" t="s">
        <v>58</v>
      </c>
      <c r="C37" s="44" t="str">
        <f t="shared" si="0"/>
        <v>-</v>
      </c>
      <c r="D37" s="44" t="s">
        <v>19</v>
      </c>
      <c r="E37" s="44" t="s">
        <v>19</v>
      </c>
      <c r="F37" s="44" t="s">
        <v>19</v>
      </c>
      <c r="G37" s="44" t="s">
        <v>19</v>
      </c>
      <c r="H37" s="44" t="s">
        <v>19</v>
      </c>
      <c r="I37" s="44" t="s">
        <v>19</v>
      </c>
      <c r="J37" s="44" t="s">
        <v>19</v>
      </c>
      <c r="K37" s="44" t="s">
        <v>19</v>
      </c>
      <c r="L37" s="44" t="str">
        <f t="shared" si="7"/>
        <v>-</v>
      </c>
      <c r="M37" s="37" t="str">
        <f t="shared" si="8"/>
        <v>-</v>
      </c>
      <c r="N37" s="37" t="str">
        <f t="shared" si="9"/>
        <v>-</v>
      </c>
      <c r="O37" s="37" t="str">
        <f t="shared" si="10"/>
        <v>-</v>
      </c>
      <c r="P37" s="37" t="s">
        <v>19</v>
      </c>
      <c r="Q37" s="37" t="s">
        <v>19</v>
      </c>
      <c r="R37" s="37" t="s">
        <v>19</v>
      </c>
      <c r="S37" s="37" t="str">
        <f t="shared" si="12"/>
        <v>-</v>
      </c>
      <c r="T37" s="37" t="str">
        <f t="shared" si="13"/>
        <v>-</v>
      </c>
      <c r="U37" s="37" t="str">
        <f t="shared" si="14"/>
        <v>-</v>
      </c>
      <c r="V37" s="37" t="str">
        <f t="shared" si="15"/>
        <v>-</v>
      </c>
      <c r="W37" s="10"/>
      <c r="X37" s="20">
        <f>X36*X30</f>
        <v>0.56612399999999996</v>
      </c>
      <c r="Y37" s="20">
        <f>Y36*Y30</f>
        <v>3.5099999999999999E-2</v>
      </c>
      <c r="Z37" s="20">
        <f>Z36*Z30</f>
        <v>0.1</v>
      </c>
      <c r="AA37" s="20">
        <f>SUM(X37:Z37)</f>
        <v>0.70122399999999996</v>
      </c>
      <c r="AB37" s="20">
        <f>AA37/80%</f>
        <v>0.87652999999999992</v>
      </c>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row>
    <row r="38" spans="1:56" ht="14.25" customHeight="1">
      <c r="A38" s="8"/>
      <c r="B38" s="12" t="s">
        <v>59</v>
      </c>
      <c r="C38" s="44" t="str">
        <f t="shared" si="0"/>
        <v>-</v>
      </c>
      <c r="D38" s="44" t="str">
        <f>H103</f>
        <v>-</v>
      </c>
      <c r="E38" s="44" t="str">
        <f>K103</f>
        <v>-</v>
      </c>
      <c r="F38" s="44" t="s">
        <v>19</v>
      </c>
      <c r="G38" s="44" t="s">
        <v>19</v>
      </c>
      <c r="H38" s="44" t="s">
        <v>19</v>
      </c>
      <c r="I38" s="44" t="str">
        <f>W103</f>
        <v>-</v>
      </c>
      <c r="J38" s="44" t="str">
        <f>Z103</f>
        <v>-</v>
      </c>
      <c r="K38" s="44" t="str">
        <f>AC103</f>
        <v>-</v>
      </c>
      <c r="L38" s="44" t="str">
        <f t="shared" si="7"/>
        <v>-</v>
      </c>
      <c r="M38" s="37" t="str">
        <f t="shared" si="8"/>
        <v>-</v>
      </c>
      <c r="N38" s="37" t="str">
        <f t="shared" si="9"/>
        <v>-</v>
      </c>
      <c r="O38" s="21">
        <f t="shared" si="10"/>
        <v>0.74063926940639269</v>
      </c>
      <c r="P38" s="37" t="s">
        <v>19</v>
      </c>
      <c r="Q38" s="37" t="s">
        <v>19</v>
      </c>
      <c r="R38" s="37" t="s">
        <v>19</v>
      </c>
      <c r="S38" s="37" t="str">
        <f t="shared" si="12"/>
        <v>-</v>
      </c>
      <c r="T38" s="37" t="str">
        <f t="shared" si="13"/>
        <v>-</v>
      </c>
      <c r="U38" s="37" t="str">
        <f t="shared" si="14"/>
        <v>-</v>
      </c>
      <c r="V38" s="21">
        <f t="shared" si="15"/>
        <v>0.74063926940639269</v>
      </c>
      <c r="W38" s="10"/>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row>
    <row r="39" spans="1:56" ht="14.25" customHeight="1">
      <c r="A39" s="8"/>
      <c r="B39" s="12" t="s">
        <v>60</v>
      </c>
      <c r="C39" s="44" t="str">
        <f t="shared" si="0"/>
        <v>-</v>
      </c>
      <c r="D39" s="44" t="str">
        <f>H104</f>
        <v>-</v>
      </c>
      <c r="E39" s="36">
        <f>K104</f>
        <v>1</v>
      </c>
      <c r="F39" s="44" t="s">
        <v>19</v>
      </c>
      <c r="G39" s="44" t="s">
        <v>19</v>
      </c>
      <c r="H39" s="44" t="s">
        <v>19</v>
      </c>
      <c r="I39" s="44" t="str">
        <f>W104</f>
        <v>-</v>
      </c>
      <c r="J39" s="36">
        <f>Z104</f>
        <v>1</v>
      </c>
      <c r="K39" s="44" t="str">
        <f>AC104</f>
        <v>-</v>
      </c>
      <c r="L39" s="36">
        <f t="shared" si="7"/>
        <v>1</v>
      </c>
      <c r="M39" s="37" t="str">
        <f t="shared" si="8"/>
        <v>-</v>
      </c>
      <c r="N39" s="37" t="str">
        <f t="shared" si="9"/>
        <v>-</v>
      </c>
      <c r="O39" s="21">
        <f t="shared" si="10"/>
        <v>0.79762401000416838</v>
      </c>
      <c r="P39" s="37" t="s">
        <v>19</v>
      </c>
      <c r="Q39" s="37" t="s">
        <v>19</v>
      </c>
      <c r="R39" s="37" t="s">
        <v>19</v>
      </c>
      <c r="S39" s="21">
        <f t="shared" si="12"/>
        <v>0.86451612903225805</v>
      </c>
      <c r="T39" s="21">
        <f t="shared" si="13"/>
        <v>0.82646212847555134</v>
      </c>
      <c r="U39" s="37" t="str">
        <f t="shared" si="14"/>
        <v>-</v>
      </c>
      <c r="V39" s="21">
        <f t="shared" si="15"/>
        <v>0.79762401000416838</v>
      </c>
      <c r="W39" s="10"/>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row>
    <row r="40" spans="1:56" ht="14.25" customHeight="1">
      <c r="A40" s="8"/>
      <c r="B40" s="12" t="s">
        <v>61</v>
      </c>
      <c r="C40" s="44" t="str">
        <f t="shared" si="0"/>
        <v>-</v>
      </c>
      <c r="D40" s="44" t="s">
        <v>19</v>
      </c>
      <c r="E40" s="44" t="s">
        <v>19</v>
      </c>
      <c r="F40" s="44" t="s">
        <v>19</v>
      </c>
      <c r="G40" s="44" t="s">
        <v>19</v>
      </c>
      <c r="H40" s="44" t="s">
        <v>19</v>
      </c>
      <c r="I40" s="44" t="s">
        <v>19</v>
      </c>
      <c r="J40" s="44" t="s">
        <v>19</v>
      </c>
      <c r="K40" s="44" t="s">
        <v>19</v>
      </c>
      <c r="L40" s="44" t="str">
        <f t="shared" si="7"/>
        <v>-</v>
      </c>
      <c r="M40" s="37" t="str">
        <f t="shared" si="8"/>
        <v>-</v>
      </c>
      <c r="N40" s="37" t="str">
        <f t="shared" si="9"/>
        <v>-</v>
      </c>
      <c r="O40" s="37" t="str">
        <f t="shared" si="10"/>
        <v>-</v>
      </c>
      <c r="P40" s="37" t="s">
        <v>19</v>
      </c>
      <c r="Q40" s="37" t="s">
        <v>19</v>
      </c>
      <c r="R40" s="37" t="s">
        <v>19</v>
      </c>
      <c r="S40" s="37" t="str">
        <f t="shared" si="12"/>
        <v>-</v>
      </c>
      <c r="T40" s="37" t="str">
        <f t="shared" si="13"/>
        <v>-</v>
      </c>
      <c r="U40" s="37" t="str">
        <f t="shared" si="14"/>
        <v>-</v>
      </c>
      <c r="V40" s="37" t="str">
        <f t="shared" si="15"/>
        <v>-</v>
      </c>
      <c r="W40" s="10"/>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row>
    <row r="41" spans="1:56" ht="14.25" customHeight="1">
      <c r="A41" s="8"/>
      <c r="B41" s="12" t="s">
        <v>62</v>
      </c>
      <c r="C41" s="44" t="str">
        <f t="shared" si="0"/>
        <v>-</v>
      </c>
      <c r="D41" s="44" t="s">
        <v>19</v>
      </c>
      <c r="E41" s="44" t="s">
        <v>19</v>
      </c>
      <c r="F41" s="44" t="s">
        <v>19</v>
      </c>
      <c r="G41" s="44" t="s">
        <v>19</v>
      </c>
      <c r="H41" s="44" t="s">
        <v>19</v>
      </c>
      <c r="I41" s="44" t="s">
        <v>19</v>
      </c>
      <c r="J41" s="44" t="s">
        <v>19</v>
      </c>
      <c r="K41" s="44" t="s">
        <v>19</v>
      </c>
      <c r="L41" s="44" t="str">
        <f t="shared" si="7"/>
        <v>-</v>
      </c>
      <c r="M41" s="37" t="str">
        <f t="shared" si="8"/>
        <v>-</v>
      </c>
      <c r="N41" s="37" t="str">
        <f t="shared" si="9"/>
        <v>-</v>
      </c>
      <c r="O41" s="21">
        <f t="shared" si="10"/>
        <v>0.91076923076923078</v>
      </c>
      <c r="P41" s="37" t="s">
        <v>19</v>
      </c>
      <c r="Q41" s="37" t="s">
        <v>19</v>
      </c>
      <c r="R41" s="37" t="s">
        <v>19</v>
      </c>
      <c r="S41" s="37" t="str">
        <f t="shared" si="12"/>
        <v>-</v>
      </c>
      <c r="T41" s="37" t="str">
        <f t="shared" si="13"/>
        <v>-</v>
      </c>
      <c r="U41" s="37" t="str">
        <f t="shared" si="14"/>
        <v>-</v>
      </c>
      <c r="V41" s="21">
        <f t="shared" si="15"/>
        <v>0.91076923076923078</v>
      </c>
      <c r="W41" s="10"/>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row>
    <row r="42" spans="1:56" ht="14.25" customHeight="1">
      <c r="A42" s="8"/>
      <c r="B42" s="12" t="s">
        <v>63</v>
      </c>
      <c r="C42" s="44" t="str">
        <f t="shared" si="0"/>
        <v>-</v>
      </c>
      <c r="D42" s="36">
        <f>H107</f>
        <v>0.88826114249843069</v>
      </c>
      <c r="E42" s="44" t="str">
        <f>K107</f>
        <v>-</v>
      </c>
      <c r="F42" s="44" t="s">
        <v>19</v>
      </c>
      <c r="G42" s="44" t="s">
        <v>19</v>
      </c>
      <c r="H42" s="44" t="s">
        <v>19</v>
      </c>
      <c r="I42" s="44" t="str">
        <f>W107</f>
        <v>-</v>
      </c>
      <c r="J42" s="44" t="str">
        <f>Z107</f>
        <v>-</v>
      </c>
      <c r="K42" s="44" t="str">
        <f>AC107</f>
        <v>-</v>
      </c>
      <c r="L42" s="36">
        <f t="shared" si="7"/>
        <v>0.88826114249843069</v>
      </c>
      <c r="M42" s="37" t="str">
        <f t="shared" si="8"/>
        <v>-</v>
      </c>
      <c r="N42" s="21">
        <f t="shared" si="9"/>
        <v>0.91872791519434627</v>
      </c>
      <c r="O42" s="37" t="str">
        <f t="shared" si="10"/>
        <v>-</v>
      </c>
      <c r="P42" s="37" t="s">
        <v>19</v>
      </c>
      <c r="Q42" s="37" t="s">
        <v>19</v>
      </c>
      <c r="R42" s="37" t="s">
        <v>19</v>
      </c>
      <c r="S42" s="37" t="str">
        <f t="shared" si="12"/>
        <v>-</v>
      </c>
      <c r="T42" s="37" t="str">
        <f t="shared" si="13"/>
        <v>-</v>
      </c>
      <c r="U42" s="37" t="str">
        <f t="shared" si="14"/>
        <v>-</v>
      </c>
      <c r="V42" s="21">
        <f t="shared" si="15"/>
        <v>0.91872791519434627</v>
      </c>
      <c r="W42" s="10"/>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row>
    <row r="43" spans="1:56" ht="14.25" customHeight="1">
      <c r="A43" s="8"/>
      <c r="B43" s="12" t="s">
        <v>64</v>
      </c>
      <c r="C43" s="44" t="str">
        <f t="shared" si="0"/>
        <v>-</v>
      </c>
      <c r="D43" s="44" t="str">
        <f>H108</f>
        <v>-</v>
      </c>
      <c r="E43" s="36">
        <f>K108</f>
        <v>0.65233715036605966</v>
      </c>
      <c r="F43" s="44" t="s">
        <v>19</v>
      </c>
      <c r="G43" s="44" t="s">
        <v>19</v>
      </c>
      <c r="H43" s="44" t="s">
        <v>19</v>
      </c>
      <c r="I43" s="44" t="str">
        <f>W108</f>
        <v>-</v>
      </c>
      <c r="J43" s="36">
        <f>Z108</f>
        <v>1</v>
      </c>
      <c r="K43" s="36">
        <f>AC108</f>
        <v>1</v>
      </c>
      <c r="L43" s="36">
        <f t="shared" si="7"/>
        <v>0.82616857518302989</v>
      </c>
      <c r="M43" s="37" t="str">
        <f t="shared" si="8"/>
        <v>-</v>
      </c>
      <c r="N43" s="37" t="str">
        <f t="shared" si="9"/>
        <v>-</v>
      </c>
      <c r="O43" s="21">
        <f t="shared" si="10"/>
        <v>0.93826961048285762</v>
      </c>
      <c r="P43" s="37" t="s">
        <v>19</v>
      </c>
      <c r="Q43" s="37" t="s">
        <v>19</v>
      </c>
      <c r="R43" s="37" t="s">
        <v>19</v>
      </c>
      <c r="S43" s="37" t="str">
        <f t="shared" si="12"/>
        <v>-</v>
      </c>
      <c r="T43" s="37" t="str">
        <f t="shared" si="13"/>
        <v>-</v>
      </c>
      <c r="U43" s="37" t="str">
        <f t="shared" si="14"/>
        <v>-</v>
      </c>
      <c r="V43" s="21">
        <f t="shared" si="15"/>
        <v>0.93826961048285762</v>
      </c>
      <c r="W43" s="10"/>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row>
    <row r="44" spans="1:56" ht="14.25" customHeight="1">
      <c r="A44" s="8"/>
      <c r="B44" s="12" t="s">
        <v>65</v>
      </c>
      <c r="C44" s="44" t="str">
        <f t="shared" si="0"/>
        <v>-</v>
      </c>
      <c r="D44" s="44" t="str">
        <f>H109</f>
        <v>-</v>
      </c>
      <c r="E44" s="44" t="str">
        <f>K109</f>
        <v>-</v>
      </c>
      <c r="F44" s="44" t="s">
        <v>19</v>
      </c>
      <c r="G44" s="44" t="s">
        <v>19</v>
      </c>
      <c r="H44" s="44" t="s">
        <v>19</v>
      </c>
      <c r="I44" s="44" t="str">
        <f>W109</f>
        <v>-</v>
      </c>
      <c r="J44" s="44" t="str">
        <f>Z109</f>
        <v>-</v>
      </c>
      <c r="K44" s="44" t="str">
        <f>AC109</f>
        <v>-</v>
      </c>
      <c r="L44" s="44" t="str">
        <f t="shared" si="7"/>
        <v>-</v>
      </c>
      <c r="M44" s="37" t="str">
        <f t="shared" si="8"/>
        <v>-</v>
      </c>
      <c r="N44" s="37" t="str">
        <f t="shared" si="9"/>
        <v>-</v>
      </c>
      <c r="O44" s="21">
        <f t="shared" si="10"/>
        <v>0.75799086757990863</v>
      </c>
      <c r="P44" s="37" t="s">
        <v>19</v>
      </c>
      <c r="Q44" s="37" t="s">
        <v>19</v>
      </c>
      <c r="R44" s="37" t="s">
        <v>19</v>
      </c>
      <c r="S44" s="37" t="str">
        <f t="shared" si="12"/>
        <v>-</v>
      </c>
      <c r="T44" s="37" t="str">
        <f t="shared" si="13"/>
        <v>-</v>
      </c>
      <c r="U44" s="37" t="str">
        <f t="shared" si="14"/>
        <v>-</v>
      </c>
      <c r="V44" s="21">
        <f t="shared" si="15"/>
        <v>0.75799086757990863</v>
      </c>
      <c r="W44" s="10"/>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row>
    <row r="45" spans="1:56" ht="14.25" customHeight="1">
      <c r="A45" s="8"/>
      <c r="B45" s="12" t="s">
        <v>66</v>
      </c>
      <c r="C45" s="44" t="str">
        <f t="shared" si="0"/>
        <v>-</v>
      </c>
      <c r="D45" s="44" t="s">
        <v>19</v>
      </c>
      <c r="E45" s="44" t="s">
        <v>19</v>
      </c>
      <c r="F45" s="44" t="s">
        <v>19</v>
      </c>
      <c r="G45" s="44" t="s">
        <v>19</v>
      </c>
      <c r="H45" s="44" t="s">
        <v>19</v>
      </c>
      <c r="I45" s="44" t="s">
        <v>19</v>
      </c>
      <c r="J45" s="44" t="s">
        <v>19</v>
      </c>
      <c r="K45" s="44" t="s">
        <v>19</v>
      </c>
      <c r="L45" s="44" t="str">
        <f t="shared" si="7"/>
        <v>-</v>
      </c>
      <c r="M45" s="37" t="str">
        <f t="shared" si="8"/>
        <v>-</v>
      </c>
      <c r="N45" s="37" t="str">
        <f t="shared" si="9"/>
        <v>-</v>
      </c>
      <c r="O45" s="37" t="str">
        <f t="shared" si="10"/>
        <v>-</v>
      </c>
      <c r="P45" s="37" t="s">
        <v>19</v>
      </c>
      <c r="Q45" s="37" t="s">
        <v>19</v>
      </c>
      <c r="R45" s="37" t="s">
        <v>19</v>
      </c>
      <c r="S45" s="37" t="str">
        <f t="shared" si="12"/>
        <v>-</v>
      </c>
      <c r="T45" s="37" t="str">
        <f t="shared" si="13"/>
        <v>-</v>
      </c>
      <c r="U45" s="37" t="str">
        <f t="shared" si="14"/>
        <v>-</v>
      </c>
      <c r="V45" s="37" t="str">
        <f t="shared" si="15"/>
        <v>-</v>
      </c>
      <c r="W45" s="10"/>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row>
    <row r="46" spans="1:56" ht="14.25" customHeight="1">
      <c r="A46" s="8"/>
      <c r="B46" s="12" t="s">
        <v>67</v>
      </c>
      <c r="C46" s="44" t="str">
        <f t="shared" si="0"/>
        <v>-</v>
      </c>
      <c r="D46" s="44" t="str">
        <f>H111</f>
        <v>-</v>
      </c>
      <c r="E46" s="44" t="str">
        <f>K111</f>
        <v>-</v>
      </c>
      <c r="F46" s="36">
        <f>L200</f>
        <v>0.93031440638198026</v>
      </c>
      <c r="G46" s="36">
        <f>M200</f>
        <v>0.93109026205111611</v>
      </c>
      <c r="H46" s="36">
        <f>N200</f>
        <v>0.93064055487556097</v>
      </c>
      <c r="I46" s="44" t="str">
        <f>W111</f>
        <v>-</v>
      </c>
      <c r="J46" s="44" t="str">
        <f>Z111</f>
        <v>-</v>
      </c>
      <c r="K46" s="44" t="str">
        <f>AC111</f>
        <v>-</v>
      </c>
      <c r="L46" s="36">
        <f t="shared" si="7"/>
        <v>0.93064055487556097</v>
      </c>
      <c r="M46" s="37" t="str">
        <f t="shared" si="8"/>
        <v>-</v>
      </c>
      <c r="N46" s="37" t="str">
        <f t="shared" si="9"/>
        <v>-</v>
      </c>
      <c r="O46" s="21">
        <f t="shared" si="10"/>
        <v>0.75472273004265689</v>
      </c>
      <c r="P46" s="21">
        <f>X200</f>
        <v>0</v>
      </c>
      <c r="Q46" s="21">
        <f>Y200</f>
        <v>0</v>
      </c>
      <c r="R46" s="21">
        <f>Z200</f>
        <v>0</v>
      </c>
      <c r="S46" s="37" t="str">
        <f t="shared" si="12"/>
        <v>-</v>
      </c>
      <c r="T46" s="37" t="str">
        <f t="shared" si="13"/>
        <v>-</v>
      </c>
      <c r="U46" s="37" t="str">
        <f t="shared" si="14"/>
        <v>-</v>
      </c>
      <c r="V46" s="21">
        <f t="shared" si="15"/>
        <v>0.37736136502132844</v>
      </c>
      <c r="W46" s="10"/>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row>
    <row r="47" spans="1:56" ht="14.25" customHeight="1">
      <c r="A47" s="8"/>
      <c r="B47" s="12" t="s">
        <v>68</v>
      </c>
      <c r="C47" s="44" t="str">
        <f t="shared" si="0"/>
        <v>-</v>
      </c>
      <c r="D47" s="44" t="s">
        <v>19</v>
      </c>
      <c r="E47" s="44" t="s">
        <v>19</v>
      </c>
      <c r="F47" s="44" t="s">
        <v>19</v>
      </c>
      <c r="G47" s="44" t="s">
        <v>19</v>
      </c>
      <c r="H47" s="44" t="s">
        <v>19</v>
      </c>
      <c r="I47" s="44" t="s">
        <v>19</v>
      </c>
      <c r="J47" s="44" t="s">
        <v>19</v>
      </c>
      <c r="K47" s="44" t="s">
        <v>19</v>
      </c>
      <c r="L47" s="44" t="str">
        <f t="shared" si="7"/>
        <v>-</v>
      </c>
      <c r="M47" s="37" t="str">
        <f t="shared" si="8"/>
        <v>-</v>
      </c>
      <c r="N47" s="37" t="str">
        <f t="shared" si="9"/>
        <v>-</v>
      </c>
      <c r="O47" s="37" t="str">
        <f t="shared" si="10"/>
        <v>-</v>
      </c>
      <c r="P47" s="37" t="s">
        <v>19</v>
      </c>
      <c r="Q47" s="37" t="s">
        <v>19</v>
      </c>
      <c r="R47" s="21">
        <f>Z201</f>
        <v>0</v>
      </c>
      <c r="S47" s="37" t="str">
        <f t="shared" si="12"/>
        <v>-</v>
      </c>
      <c r="T47" s="37" t="str">
        <f t="shared" si="13"/>
        <v>-</v>
      </c>
      <c r="U47" s="37" t="str">
        <f t="shared" si="14"/>
        <v>-</v>
      </c>
      <c r="V47" s="21">
        <f t="shared" si="15"/>
        <v>0</v>
      </c>
      <c r="W47" s="10"/>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row>
    <row r="48" spans="1:56" ht="14.25" customHeight="1">
      <c r="A48" s="8"/>
      <c r="B48" s="12" t="s">
        <v>69</v>
      </c>
      <c r="C48" s="36">
        <f t="shared" si="0"/>
        <v>0.90740740740740744</v>
      </c>
      <c r="D48" s="36">
        <f t="shared" ref="D48:D80" si="16">H113</f>
        <v>0.90740740740740744</v>
      </c>
      <c r="E48" s="36">
        <f t="shared" ref="E48:E80" si="17">K113</f>
        <v>0.8</v>
      </c>
      <c r="F48" s="36">
        <f t="shared" ref="F48:F80" si="18">L201</f>
        <v>0.89714285714285713</v>
      </c>
      <c r="G48" s="36">
        <f t="shared" ref="G48:G80" si="19">M201</f>
        <v>0.89655172413793105</v>
      </c>
      <c r="H48" s="36">
        <f t="shared" ref="H48:H80" si="20">N201</f>
        <v>0.89682539682539686</v>
      </c>
      <c r="I48" s="36">
        <f t="shared" ref="I48:I80" si="21">W113</f>
        <v>1</v>
      </c>
      <c r="J48" s="36">
        <f t="shared" ref="J48:J80" si="22">Z113</f>
        <v>1</v>
      </c>
      <c r="K48" s="36">
        <f t="shared" ref="K48:K80" si="23">AC113</f>
        <v>1</v>
      </c>
      <c r="L48" s="36">
        <f t="shared" si="7"/>
        <v>0.90105820105820111</v>
      </c>
      <c r="M48" s="37" t="str">
        <f t="shared" si="8"/>
        <v>-</v>
      </c>
      <c r="N48" s="37" t="str">
        <f t="shared" si="9"/>
        <v>-</v>
      </c>
      <c r="O48" s="21">
        <f t="shared" si="10"/>
        <v>0.9017857142857143</v>
      </c>
      <c r="P48" s="21">
        <f t="shared" ref="P48:P70" si="24">X201</f>
        <v>0</v>
      </c>
      <c r="Q48" s="21">
        <f t="shared" ref="Q48:Q70" si="25">Y201</f>
        <v>0</v>
      </c>
      <c r="R48" s="21">
        <f t="shared" ref="R48:R70" si="26">Z201</f>
        <v>0</v>
      </c>
      <c r="S48" s="21">
        <f t="shared" si="12"/>
        <v>0.75</v>
      </c>
      <c r="T48" s="21">
        <f t="shared" si="13"/>
        <v>0.86111111111111116</v>
      </c>
      <c r="U48" s="37" t="str">
        <f t="shared" si="14"/>
        <v>-</v>
      </c>
      <c r="V48" s="21">
        <f t="shared" si="15"/>
        <v>0.45089285714285715</v>
      </c>
      <c r="W48" s="10"/>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row>
    <row r="49" spans="1:56" ht="14.25" customHeight="1">
      <c r="A49" s="8"/>
      <c r="B49" s="12" t="s">
        <v>70</v>
      </c>
      <c r="C49" s="36">
        <f t="shared" si="0"/>
        <v>0.94623655913978499</v>
      </c>
      <c r="D49" s="36">
        <f t="shared" si="16"/>
        <v>0.956989247311828</v>
      </c>
      <c r="E49" s="36">
        <f t="shared" si="17"/>
        <v>0.84269662921348309</v>
      </c>
      <c r="F49" s="36">
        <f t="shared" si="18"/>
        <v>0.89635854341736698</v>
      </c>
      <c r="G49" s="36">
        <f t="shared" si="19"/>
        <v>0.94061757719714967</v>
      </c>
      <c r="H49" s="36">
        <f t="shared" si="20"/>
        <v>0.92030848329048842</v>
      </c>
      <c r="I49" s="36">
        <f t="shared" si="21"/>
        <v>1</v>
      </c>
      <c r="J49" s="36">
        <f t="shared" si="22"/>
        <v>1</v>
      </c>
      <c r="K49" s="36">
        <f t="shared" si="23"/>
        <v>1</v>
      </c>
      <c r="L49" s="36">
        <f t="shared" si="7"/>
        <v>0.92999858995394991</v>
      </c>
      <c r="M49" s="37" t="str">
        <f t="shared" si="8"/>
        <v>-</v>
      </c>
      <c r="N49" s="37" t="str">
        <f t="shared" si="9"/>
        <v>-</v>
      </c>
      <c r="O49" s="21">
        <f t="shared" si="10"/>
        <v>0.69</v>
      </c>
      <c r="P49" s="21">
        <f t="shared" si="24"/>
        <v>0</v>
      </c>
      <c r="Q49" s="21">
        <f t="shared" si="25"/>
        <v>0</v>
      </c>
      <c r="R49" s="21">
        <f t="shared" si="26"/>
        <v>0</v>
      </c>
      <c r="S49" s="21">
        <f t="shared" si="12"/>
        <v>0.8</v>
      </c>
      <c r="T49" s="21">
        <f t="shared" si="13"/>
        <v>0.72097759674134421</v>
      </c>
      <c r="U49" s="37" t="str">
        <f t="shared" si="14"/>
        <v>-</v>
      </c>
      <c r="V49" s="21">
        <f t="shared" si="15"/>
        <v>0.34499999999999997</v>
      </c>
      <c r="W49" s="10"/>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row>
    <row r="50" spans="1:56" ht="14.25" customHeight="1">
      <c r="A50" s="8"/>
      <c r="B50" s="12" t="s">
        <v>71</v>
      </c>
      <c r="C50" s="36">
        <f t="shared" si="0"/>
        <v>0.97530864197530864</v>
      </c>
      <c r="D50" s="36">
        <f t="shared" si="16"/>
        <v>0.93827160493827155</v>
      </c>
      <c r="E50" s="36">
        <f t="shared" si="17"/>
        <v>0.66666666666666663</v>
      </c>
      <c r="F50" s="36">
        <f t="shared" si="18"/>
        <v>0.90522875816993464</v>
      </c>
      <c r="G50" s="36">
        <f t="shared" si="19"/>
        <v>0.90028490028490027</v>
      </c>
      <c r="H50" s="36">
        <f t="shared" si="20"/>
        <v>0.9025875190258752</v>
      </c>
      <c r="I50" s="36">
        <f t="shared" si="21"/>
        <v>1</v>
      </c>
      <c r="J50" s="36">
        <f t="shared" si="22"/>
        <v>1</v>
      </c>
      <c r="K50" s="36">
        <f t="shared" si="23"/>
        <v>1</v>
      </c>
      <c r="L50" s="36">
        <f t="shared" si="7"/>
        <v>0.87688144765770337</v>
      </c>
      <c r="M50" s="37" t="str">
        <f t="shared" si="8"/>
        <v>-</v>
      </c>
      <c r="N50" s="37" t="str">
        <f t="shared" si="9"/>
        <v>-</v>
      </c>
      <c r="O50" s="21">
        <f t="shared" si="10"/>
        <v>0.73124999999999996</v>
      </c>
      <c r="P50" s="21">
        <f t="shared" si="24"/>
        <v>0</v>
      </c>
      <c r="Q50" s="21">
        <f t="shared" si="25"/>
        <v>0</v>
      </c>
      <c r="R50" s="21">
        <f t="shared" si="26"/>
        <v>0</v>
      </c>
      <c r="S50" s="21">
        <f t="shared" si="12"/>
        <v>0.78125</v>
      </c>
      <c r="T50" s="21">
        <f t="shared" si="13"/>
        <v>0.81355932203389836</v>
      </c>
      <c r="U50" s="37" t="str">
        <f t="shared" si="14"/>
        <v>-</v>
      </c>
      <c r="V50" s="21">
        <f t="shared" si="15"/>
        <v>0.36562499999999998</v>
      </c>
      <c r="W50" s="10"/>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row>
    <row r="51" spans="1:56" ht="14.25" customHeight="1">
      <c r="A51" s="8"/>
      <c r="B51" s="12" t="s">
        <v>72</v>
      </c>
      <c r="C51" s="36">
        <f t="shared" si="0"/>
        <v>0.67647058823529416</v>
      </c>
      <c r="D51" s="36">
        <f t="shared" si="16"/>
        <v>0.72727272727272729</v>
      </c>
      <c r="E51" s="36">
        <f t="shared" si="17"/>
        <v>0.35294117647058826</v>
      </c>
      <c r="F51" s="36">
        <f t="shared" si="18"/>
        <v>0.85185185185185186</v>
      </c>
      <c r="G51" s="36">
        <f t="shared" si="19"/>
        <v>0.8529411764705882</v>
      </c>
      <c r="H51" s="36">
        <f t="shared" si="20"/>
        <v>0.85245901639344257</v>
      </c>
      <c r="I51" s="44" t="str">
        <f t="shared" si="21"/>
        <v>-</v>
      </c>
      <c r="J51" s="44" t="str">
        <f t="shared" si="22"/>
        <v>-</v>
      </c>
      <c r="K51" s="44" t="str">
        <f t="shared" si="23"/>
        <v>-</v>
      </c>
      <c r="L51" s="36">
        <f t="shared" si="7"/>
        <v>0.64422430671225273</v>
      </c>
      <c r="M51" s="37" t="str">
        <f t="shared" si="8"/>
        <v>-</v>
      </c>
      <c r="N51" s="37" t="str">
        <f t="shared" si="9"/>
        <v>-</v>
      </c>
      <c r="O51" s="21">
        <f t="shared" si="10"/>
        <v>1</v>
      </c>
      <c r="P51" s="21">
        <f t="shared" si="24"/>
        <v>0</v>
      </c>
      <c r="Q51" s="21">
        <f t="shared" si="25"/>
        <v>0</v>
      </c>
      <c r="R51" s="21">
        <f t="shared" si="26"/>
        <v>0</v>
      </c>
      <c r="S51" s="37" t="str">
        <f t="shared" si="12"/>
        <v>-</v>
      </c>
      <c r="T51" s="37" t="str">
        <f t="shared" si="13"/>
        <v>-</v>
      </c>
      <c r="U51" s="37" t="str">
        <f t="shared" si="14"/>
        <v>-</v>
      </c>
      <c r="V51" s="21">
        <f t="shared" si="15"/>
        <v>0.5</v>
      </c>
      <c r="W51" s="10"/>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row>
    <row r="52" spans="1:56" ht="14.25" customHeight="1">
      <c r="A52" s="8"/>
      <c r="B52" s="12" t="s">
        <v>73</v>
      </c>
      <c r="C52" s="44" t="str">
        <f t="shared" si="0"/>
        <v>-</v>
      </c>
      <c r="D52" s="44" t="str">
        <f t="shared" si="16"/>
        <v>-</v>
      </c>
      <c r="E52" s="44" t="str">
        <f t="shared" si="17"/>
        <v>-</v>
      </c>
      <c r="F52" s="36">
        <f t="shared" si="18"/>
        <v>0.66666666666666663</v>
      </c>
      <c r="G52" s="44" t="str">
        <f t="shared" si="19"/>
        <v>-</v>
      </c>
      <c r="H52" s="36">
        <f t="shared" si="20"/>
        <v>0.75</v>
      </c>
      <c r="I52" s="36">
        <f t="shared" si="21"/>
        <v>1</v>
      </c>
      <c r="J52" s="36">
        <f t="shared" si="22"/>
        <v>1</v>
      </c>
      <c r="K52" s="36">
        <f t="shared" si="23"/>
        <v>1</v>
      </c>
      <c r="L52" s="36">
        <f t="shared" si="7"/>
        <v>0.875</v>
      </c>
      <c r="M52" s="37" t="str">
        <f t="shared" si="8"/>
        <v>-</v>
      </c>
      <c r="N52" s="37" t="str">
        <f t="shared" si="9"/>
        <v>-</v>
      </c>
      <c r="O52" s="37" t="str">
        <f t="shared" si="10"/>
        <v>-</v>
      </c>
      <c r="P52" s="21">
        <f t="shared" si="24"/>
        <v>0</v>
      </c>
      <c r="Q52" s="21">
        <f t="shared" si="25"/>
        <v>0</v>
      </c>
      <c r="R52" s="21">
        <f t="shared" si="26"/>
        <v>0</v>
      </c>
      <c r="S52" s="21">
        <f t="shared" si="12"/>
        <v>1</v>
      </c>
      <c r="T52" s="21">
        <f t="shared" si="13"/>
        <v>0.5</v>
      </c>
      <c r="U52" s="37" t="str">
        <f t="shared" si="14"/>
        <v>-</v>
      </c>
      <c r="V52" s="21">
        <f t="shared" si="15"/>
        <v>0</v>
      </c>
      <c r="W52" s="10"/>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row>
    <row r="53" spans="1:56" ht="14.25" customHeight="1">
      <c r="A53" s="8"/>
      <c r="B53" s="12" t="s">
        <v>74</v>
      </c>
      <c r="C53" s="36">
        <f t="shared" si="0"/>
        <v>0.92682926829268297</v>
      </c>
      <c r="D53" s="36">
        <f t="shared" si="16"/>
        <v>0.90476190476190477</v>
      </c>
      <c r="E53" s="36">
        <f t="shared" si="17"/>
        <v>0.80769230769230771</v>
      </c>
      <c r="F53" s="36">
        <f t="shared" si="18"/>
        <v>0.90579710144927539</v>
      </c>
      <c r="G53" s="36">
        <f t="shared" si="19"/>
        <v>0.93449781659388642</v>
      </c>
      <c r="H53" s="36">
        <f t="shared" si="20"/>
        <v>0.91957104557640745</v>
      </c>
      <c r="I53" s="44" t="str">
        <f t="shared" si="21"/>
        <v>-</v>
      </c>
      <c r="J53" s="36">
        <f t="shared" si="22"/>
        <v>1</v>
      </c>
      <c r="K53" s="36">
        <f t="shared" si="23"/>
        <v>1</v>
      </c>
      <c r="L53" s="36">
        <f t="shared" si="7"/>
        <v>0.90800631450765501</v>
      </c>
      <c r="M53" s="37" t="str">
        <f t="shared" si="8"/>
        <v>-</v>
      </c>
      <c r="N53" s="37" t="str">
        <f t="shared" si="9"/>
        <v>-</v>
      </c>
      <c r="O53" s="21">
        <f t="shared" si="10"/>
        <v>0.76190476190476186</v>
      </c>
      <c r="P53" s="21">
        <f t="shared" si="24"/>
        <v>0</v>
      </c>
      <c r="Q53" s="21">
        <f t="shared" si="25"/>
        <v>0</v>
      </c>
      <c r="R53" s="21">
        <f t="shared" si="26"/>
        <v>0</v>
      </c>
      <c r="S53" s="37" t="str">
        <f t="shared" si="12"/>
        <v>-</v>
      </c>
      <c r="T53" s="21">
        <f t="shared" si="13"/>
        <v>0.86524822695035464</v>
      </c>
      <c r="U53" s="37" t="str">
        <f t="shared" si="14"/>
        <v>-</v>
      </c>
      <c r="V53" s="21">
        <f t="shared" si="15"/>
        <v>0.38095238095238093</v>
      </c>
      <c r="W53" s="10"/>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row>
    <row r="54" spans="1:56" ht="14.25" customHeight="1">
      <c r="A54" s="8"/>
      <c r="B54" s="12" t="s">
        <v>75</v>
      </c>
      <c r="C54" s="36">
        <f t="shared" ref="C54:C80" si="27">E119</f>
        <v>0.84210526315789469</v>
      </c>
      <c r="D54" s="36">
        <f t="shared" si="16"/>
        <v>0.89473684210526316</v>
      </c>
      <c r="E54" s="36">
        <f t="shared" si="17"/>
        <v>0.88888888888888884</v>
      </c>
      <c r="F54" s="36">
        <f t="shared" si="18"/>
        <v>0.9464285714285714</v>
      </c>
      <c r="G54" s="36">
        <f t="shared" si="19"/>
        <v>0.90825688073394495</v>
      </c>
      <c r="H54" s="36">
        <f t="shared" si="20"/>
        <v>0.92760180995475117</v>
      </c>
      <c r="I54" s="36">
        <f t="shared" si="21"/>
        <v>1</v>
      </c>
      <c r="J54" s="36">
        <f t="shared" si="22"/>
        <v>1</v>
      </c>
      <c r="K54" s="36">
        <f t="shared" si="23"/>
        <v>1</v>
      </c>
      <c r="L54" s="36">
        <f t="shared" ref="L54:L80" si="28">IFERROR(AVERAGE(D54,E54,H54,K54),"-")</f>
        <v>0.92780688523722588</v>
      </c>
      <c r="M54" s="37" t="str">
        <f t="shared" ref="M54:M70" si="29">AF119</f>
        <v>-</v>
      </c>
      <c r="N54" s="37" t="str">
        <f t="shared" ref="N54:N70" si="30">AI119</f>
        <v>-</v>
      </c>
      <c r="O54" s="21">
        <f t="shared" ref="O54:O70" si="31">AL119</f>
        <v>0.859375</v>
      </c>
      <c r="P54" s="21">
        <f t="shared" si="24"/>
        <v>0</v>
      </c>
      <c r="Q54" s="21">
        <f t="shared" si="25"/>
        <v>0</v>
      </c>
      <c r="R54" s="21">
        <f t="shared" si="26"/>
        <v>0</v>
      </c>
      <c r="S54" s="21">
        <f t="shared" ref="S54:S70" si="32">AR119</f>
        <v>0.9375</v>
      </c>
      <c r="T54" s="21">
        <f t="shared" ref="T54:T70" si="33">AU119</f>
        <v>0.6376811594202898</v>
      </c>
      <c r="U54" s="37" t="str">
        <f t="shared" ref="U54:U70" si="34">AX119</f>
        <v>-</v>
      </c>
      <c r="V54" s="21">
        <f t="shared" ref="V54:V70" si="35">IFERROR(AVERAGE(U54,R54,O54,N54),"-")</f>
        <v>0.4296875</v>
      </c>
      <c r="W54" s="10"/>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row>
    <row r="55" spans="1:56" ht="14.25" customHeight="1">
      <c r="A55" s="8"/>
      <c r="B55" s="12" t="s">
        <v>76</v>
      </c>
      <c r="C55" s="36">
        <f t="shared" si="27"/>
        <v>1</v>
      </c>
      <c r="D55" s="36">
        <f t="shared" si="16"/>
        <v>0.91111111111111109</v>
      </c>
      <c r="E55" s="36">
        <f t="shared" si="17"/>
        <v>0.87755102040816324</v>
      </c>
      <c r="F55" s="36">
        <f t="shared" si="18"/>
        <v>0.90243902439024393</v>
      </c>
      <c r="G55" s="36">
        <f t="shared" si="19"/>
        <v>0.93822393822393824</v>
      </c>
      <c r="H55" s="36">
        <f t="shared" si="20"/>
        <v>0.92241379310344829</v>
      </c>
      <c r="I55" s="36">
        <f t="shared" si="21"/>
        <v>1</v>
      </c>
      <c r="J55" s="36">
        <f t="shared" si="22"/>
        <v>1</v>
      </c>
      <c r="K55" s="36">
        <f t="shared" si="23"/>
        <v>1</v>
      </c>
      <c r="L55" s="36">
        <f t="shared" si="28"/>
        <v>0.92776898115568063</v>
      </c>
      <c r="M55" s="37" t="str">
        <f t="shared" si="29"/>
        <v>-</v>
      </c>
      <c r="N55" s="37" t="str">
        <f t="shared" si="30"/>
        <v>-</v>
      </c>
      <c r="O55" s="21">
        <f t="shared" si="31"/>
        <v>0.65116279069767447</v>
      </c>
      <c r="P55" s="21">
        <f t="shared" si="24"/>
        <v>0</v>
      </c>
      <c r="Q55" s="21">
        <f t="shared" si="25"/>
        <v>0</v>
      </c>
      <c r="R55" s="21">
        <f t="shared" si="26"/>
        <v>0</v>
      </c>
      <c r="S55" s="21">
        <f t="shared" si="32"/>
        <v>0.8125</v>
      </c>
      <c r="T55" s="21">
        <f t="shared" si="33"/>
        <v>0.75816993464052285</v>
      </c>
      <c r="U55" s="37" t="str">
        <f t="shared" si="34"/>
        <v>-</v>
      </c>
      <c r="V55" s="21">
        <f t="shared" si="35"/>
        <v>0.32558139534883723</v>
      </c>
      <c r="W55" s="10"/>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row>
    <row r="56" spans="1:56" ht="14.25" customHeight="1">
      <c r="A56" s="8"/>
      <c r="B56" s="12" t="s">
        <v>77</v>
      </c>
      <c r="C56" s="36">
        <f t="shared" si="27"/>
        <v>0.89830508474576276</v>
      </c>
      <c r="D56" s="36">
        <f t="shared" si="16"/>
        <v>0.94067796610169496</v>
      </c>
      <c r="E56" s="36">
        <f t="shared" si="17"/>
        <v>0.89411764705882357</v>
      </c>
      <c r="F56" s="36">
        <f t="shared" si="18"/>
        <v>0.85166240409207161</v>
      </c>
      <c r="G56" s="36">
        <f t="shared" si="19"/>
        <v>0.94029850746268662</v>
      </c>
      <c r="H56" s="36">
        <f t="shared" si="20"/>
        <v>0.8925619834710744</v>
      </c>
      <c r="I56" s="36">
        <f t="shared" si="21"/>
        <v>1</v>
      </c>
      <c r="J56" s="36">
        <f t="shared" si="22"/>
        <v>1</v>
      </c>
      <c r="K56" s="36">
        <f t="shared" si="23"/>
        <v>1</v>
      </c>
      <c r="L56" s="36">
        <f t="shared" si="28"/>
        <v>0.93183939915789826</v>
      </c>
      <c r="M56" s="37" t="str">
        <f t="shared" si="29"/>
        <v>-</v>
      </c>
      <c r="N56" s="37" t="str">
        <f t="shared" si="30"/>
        <v>-</v>
      </c>
      <c r="O56" s="21">
        <f t="shared" si="31"/>
        <v>0.80263157894736847</v>
      </c>
      <c r="P56" s="21">
        <f t="shared" si="24"/>
        <v>0</v>
      </c>
      <c r="Q56" s="21">
        <f t="shared" si="25"/>
        <v>0</v>
      </c>
      <c r="R56" s="21">
        <f t="shared" si="26"/>
        <v>0</v>
      </c>
      <c r="S56" s="21">
        <f t="shared" si="32"/>
        <v>0.61111111111111116</v>
      </c>
      <c r="T56" s="21">
        <f t="shared" si="33"/>
        <v>0.78005865102639294</v>
      </c>
      <c r="U56" s="37" t="str">
        <f t="shared" si="34"/>
        <v>-</v>
      </c>
      <c r="V56" s="21">
        <f t="shared" si="35"/>
        <v>0.40131578947368424</v>
      </c>
      <c r="W56" s="10"/>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row>
    <row r="57" spans="1:56" ht="14.25" customHeight="1">
      <c r="A57" s="8"/>
      <c r="B57" s="12" t="s">
        <v>78</v>
      </c>
      <c r="C57" s="36">
        <f t="shared" si="27"/>
        <v>0.84734513274336287</v>
      </c>
      <c r="D57" s="36">
        <f t="shared" si="16"/>
        <v>0.86504424778761058</v>
      </c>
      <c r="E57" s="36">
        <f t="shared" si="17"/>
        <v>0.87317073170731707</v>
      </c>
      <c r="F57" s="36">
        <f t="shared" si="18"/>
        <v>0.93437044239183276</v>
      </c>
      <c r="G57" s="36">
        <f t="shared" si="19"/>
        <v>0.94289113622843546</v>
      </c>
      <c r="H57" s="36">
        <f t="shared" si="20"/>
        <v>0.9382022471910112</v>
      </c>
      <c r="I57" s="36">
        <f t="shared" si="21"/>
        <v>1</v>
      </c>
      <c r="J57" s="36">
        <f t="shared" si="22"/>
        <v>1</v>
      </c>
      <c r="K57" s="36">
        <f t="shared" si="23"/>
        <v>1</v>
      </c>
      <c r="L57" s="36">
        <f t="shared" si="28"/>
        <v>0.91910430667148468</v>
      </c>
      <c r="M57" s="37" t="str">
        <f t="shared" si="29"/>
        <v>-</v>
      </c>
      <c r="N57" s="37" t="str">
        <f t="shared" si="30"/>
        <v>-</v>
      </c>
      <c r="O57" s="21">
        <f t="shared" si="31"/>
        <v>0.78631284916201116</v>
      </c>
      <c r="P57" s="21">
        <f t="shared" si="24"/>
        <v>0</v>
      </c>
      <c r="Q57" s="21">
        <f t="shared" si="25"/>
        <v>0</v>
      </c>
      <c r="R57" s="21">
        <f t="shared" si="26"/>
        <v>0</v>
      </c>
      <c r="S57" s="21">
        <f t="shared" si="32"/>
        <v>0.88</v>
      </c>
      <c r="T57" s="21">
        <f t="shared" si="33"/>
        <v>0.86280056577086284</v>
      </c>
      <c r="U57" s="37" t="str">
        <f t="shared" si="34"/>
        <v>-</v>
      </c>
      <c r="V57" s="21">
        <f t="shared" si="35"/>
        <v>0.39315642458100558</v>
      </c>
      <c r="W57" s="10"/>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row>
    <row r="58" spans="1:56" ht="14.25" customHeight="1">
      <c r="A58" s="8"/>
      <c r="B58" s="12" t="s">
        <v>79</v>
      </c>
      <c r="C58" s="36">
        <f t="shared" si="27"/>
        <v>0.93333333333333335</v>
      </c>
      <c r="D58" s="36">
        <f t="shared" si="16"/>
        <v>0.93333333333333335</v>
      </c>
      <c r="E58" s="36">
        <f t="shared" si="17"/>
        <v>0.92727272727272725</v>
      </c>
      <c r="F58" s="36">
        <f t="shared" si="18"/>
        <v>0.93478260869565222</v>
      </c>
      <c r="G58" s="36">
        <f t="shared" si="19"/>
        <v>0.94425087108013939</v>
      </c>
      <c r="H58" s="36">
        <f t="shared" si="20"/>
        <v>0.94003868471953578</v>
      </c>
      <c r="I58" s="36">
        <f t="shared" si="21"/>
        <v>1</v>
      </c>
      <c r="J58" s="36">
        <f t="shared" si="22"/>
        <v>1</v>
      </c>
      <c r="K58" s="36">
        <f t="shared" si="23"/>
        <v>1</v>
      </c>
      <c r="L58" s="36">
        <f t="shared" si="28"/>
        <v>0.95016118633139912</v>
      </c>
      <c r="M58" s="37" t="str">
        <f t="shared" si="29"/>
        <v>-</v>
      </c>
      <c r="N58" s="37" t="str">
        <f t="shared" si="30"/>
        <v>-</v>
      </c>
      <c r="O58" s="21">
        <f t="shared" si="31"/>
        <v>0.75980392156862742</v>
      </c>
      <c r="P58" s="21">
        <f t="shared" si="24"/>
        <v>0</v>
      </c>
      <c r="Q58" s="21">
        <f t="shared" si="25"/>
        <v>0</v>
      </c>
      <c r="R58" s="21">
        <f t="shared" si="26"/>
        <v>0</v>
      </c>
      <c r="S58" s="21">
        <f t="shared" si="32"/>
        <v>0.79166666666666663</v>
      </c>
      <c r="T58" s="21">
        <f t="shared" si="33"/>
        <v>0.77210884353741494</v>
      </c>
      <c r="U58" s="37" t="str">
        <f t="shared" si="34"/>
        <v>-</v>
      </c>
      <c r="V58" s="21">
        <f t="shared" si="35"/>
        <v>0.37990196078431371</v>
      </c>
      <c r="W58" s="10"/>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row>
    <row r="59" spans="1:56" ht="14.25" customHeight="1">
      <c r="A59" s="8"/>
      <c r="B59" s="12" t="s">
        <v>80</v>
      </c>
      <c r="C59" s="36">
        <f t="shared" si="27"/>
        <v>0.96491228070175439</v>
      </c>
      <c r="D59" s="36">
        <f t="shared" si="16"/>
        <v>0.94736842105263153</v>
      </c>
      <c r="E59" s="36">
        <f t="shared" si="17"/>
        <v>0.86274509803921573</v>
      </c>
      <c r="F59" s="36">
        <f t="shared" si="18"/>
        <v>0.91228070175438591</v>
      </c>
      <c r="G59" s="36">
        <f t="shared" si="19"/>
        <v>0.95022624434389136</v>
      </c>
      <c r="H59" s="36">
        <f t="shared" si="20"/>
        <v>0.93095768374164811</v>
      </c>
      <c r="I59" s="36">
        <f t="shared" si="21"/>
        <v>1</v>
      </c>
      <c r="J59" s="36">
        <f t="shared" si="22"/>
        <v>1</v>
      </c>
      <c r="K59" s="36">
        <f t="shared" si="23"/>
        <v>1</v>
      </c>
      <c r="L59" s="36">
        <f t="shared" si="28"/>
        <v>0.93526780070837379</v>
      </c>
      <c r="M59" s="37" t="str">
        <f t="shared" si="29"/>
        <v>-</v>
      </c>
      <c r="N59" s="37" t="str">
        <f t="shared" si="30"/>
        <v>-</v>
      </c>
      <c r="O59" s="21">
        <f t="shared" si="31"/>
        <v>0.61931818181818177</v>
      </c>
      <c r="P59" s="21">
        <f t="shared" si="24"/>
        <v>0</v>
      </c>
      <c r="Q59" s="21">
        <f t="shared" si="25"/>
        <v>0</v>
      </c>
      <c r="R59" s="21">
        <f t="shared" si="26"/>
        <v>0</v>
      </c>
      <c r="S59" s="21">
        <f t="shared" si="32"/>
        <v>0.66666666666666663</v>
      </c>
      <c r="T59" s="21">
        <f t="shared" si="33"/>
        <v>0.71851851851851856</v>
      </c>
      <c r="U59" s="37" t="str">
        <f t="shared" si="34"/>
        <v>-</v>
      </c>
      <c r="V59" s="21">
        <f t="shared" si="35"/>
        <v>0.30965909090909088</v>
      </c>
      <c r="W59" s="10"/>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row>
    <row r="60" spans="1:56" ht="14.25" customHeight="1">
      <c r="A60" s="8"/>
      <c r="B60" s="12" t="s">
        <v>81</v>
      </c>
      <c r="C60" s="36">
        <f t="shared" si="27"/>
        <v>0.93650793650793651</v>
      </c>
      <c r="D60" s="36">
        <f t="shared" si="16"/>
        <v>0.96825396825396826</v>
      </c>
      <c r="E60" s="36">
        <f t="shared" si="17"/>
        <v>0.9152542372881356</v>
      </c>
      <c r="F60" s="36">
        <f t="shared" si="18"/>
        <v>0.96682464454976302</v>
      </c>
      <c r="G60" s="36">
        <f t="shared" si="19"/>
        <v>0.94859813084112155</v>
      </c>
      <c r="H60" s="36">
        <f t="shared" si="20"/>
        <v>0.95764705882352941</v>
      </c>
      <c r="I60" s="36">
        <f t="shared" si="21"/>
        <v>1</v>
      </c>
      <c r="J60" s="36">
        <f t="shared" si="22"/>
        <v>1</v>
      </c>
      <c r="K60" s="36">
        <f t="shared" si="23"/>
        <v>1</v>
      </c>
      <c r="L60" s="36">
        <f t="shared" si="28"/>
        <v>0.96028881609140826</v>
      </c>
      <c r="M60" s="37" t="str">
        <f t="shared" si="29"/>
        <v>-</v>
      </c>
      <c r="N60" s="37" t="str">
        <f t="shared" si="30"/>
        <v>-</v>
      </c>
      <c r="O60" s="21">
        <f t="shared" si="31"/>
        <v>0.87962962962962965</v>
      </c>
      <c r="P60" s="21">
        <f t="shared" si="24"/>
        <v>0</v>
      </c>
      <c r="Q60" s="21">
        <f t="shared" si="25"/>
        <v>0</v>
      </c>
      <c r="R60" s="21">
        <f t="shared" si="26"/>
        <v>0</v>
      </c>
      <c r="S60" s="21">
        <f t="shared" si="32"/>
        <v>0.75</v>
      </c>
      <c r="T60" s="21">
        <f t="shared" si="33"/>
        <v>0.90476190476190477</v>
      </c>
      <c r="U60" s="37" t="str">
        <f t="shared" si="34"/>
        <v>-</v>
      </c>
      <c r="V60" s="21">
        <f t="shared" si="35"/>
        <v>0.43981481481481483</v>
      </c>
      <c r="W60" s="10"/>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row>
    <row r="61" spans="1:56" ht="14.25" customHeight="1">
      <c r="A61" s="8"/>
      <c r="B61" s="12" t="s">
        <v>82</v>
      </c>
      <c r="C61" s="44" t="str">
        <f t="shared" si="27"/>
        <v>-</v>
      </c>
      <c r="D61" s="44" t="str">
        <f t="shared" si="16"/>
        <v>-</v>
      </c>
      <c r="E61" s="44" t="str">
        <f t="shared" si="17"/>
        <v>-</v>
      </c>
      <c r="F61" s="36">
        <f t="shared" si="18"/>
        <v>0</v>
      </c>
      <c r="G61" s="44" t="str">
        <f t="shared" si="19"/>
        <v>-</v>
      </c>
      <c r="H61" s="36">
        <f t="shared" si="20"/>
        <v>0</v>
      </c>
      <c r="I61" s="44" t="str">
        <f t="shared" si="21"/>
        <v>-</v>
      </c>
      <c r="J61" s="36">
        <f t="shared" si="22"/>
        <v>1</v>
      </c>
      <c r="K61" s="36">
        <f t="shared" si="23"/>
        <v>1</v>
      </c>
      <c r="L61" s="36">
        <f t="shared" si="28"/>
        <v>0.5</v>
      </c>
      <c r="M61" s="37" t="str">
        <f t="shared" si="29"/>
        <v>-</v>
      </c>
      <c r="N61" s="37" t="str">
        <f t="shared" si="30"/>
        <v>-</v>
      </c>
      <c r="O61" s="37" t="str">
        <f t="shared" si="31"/>
        <v>-</v>
      </c>
      <c r="P61" s="21">
        <f t="shared" si="24"/>
        <v>0</v>
      </c>
      <c r="Q61" s="21">
        <f t="shared" si="25"/>
        <v>0</v>
      </c>
      <c r="R61" s="21">
        <f t="shared" si="26"/>
        <v>0</v>
      </c>
      <c r="S61" s="37" t="str">
        <f t="shared" si="32"/>
        <v>-</v>
      </c>
      <c r="T61" s="21">
        <f t="shared" si="33"/>
        <v>1</v>
      </c>
      <c r="U61" s="37" t="str">
        <f t="shared" si="34"/>
        <v>-</v>
      </c>
      <c r="V61" s="21">
        <f t="shared" si="35"/>
        <v>0</v>
      </c>
      <c r="W61" s="10"/>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row>
    <row r="62" spans="1:56" ht="14.25" customHeight="1">
      <c r="A62" s="8"/>
      <c r="B62" s="12" t="s">
        <v>83</v>
      </c>
      <c r="C62" s="36">
        <f t="shared" si="27"/>
        <v>0.8571428571428571</v>
      </c>
      <c r="D62" s="36">
        <f t="shared" si="16"/>
        <v>0.8571428571428571</v>
      </c>
      <c r="E62" s="36">
        <f t="shared" si="17"/>
        <v>0.53846153846153844</v>
      </c>
      <c r="F62" s="36">
        <f t="shared" si="18"/>
        <v>0.620253164556962</v>
      </c>
      <c r="G62" s="36">
        <f t="shared" si="19"/>
        <v>0.88571428571428568</v>
      </c>
      <c r="H62" s="36">
        <f t="shared" si="20"/>
        <v>0.74496644295302017</v>
      </c>
      <c r="I62" s="36">
        <f t="shared" si="21"/>
        <v>1</v>
      </c>
      <c r="J62" s="36">
        <f t="shared" si="22"/>
        <v>1</v>
      </c>
      <c r="K62" s="36">
        <f t="shared" si="23"/>
        <v>1</v>
      </c>
      <c r="L62" s="36">
        <f t="shared" si="28"/>
        <v>0.78514270963935395</v>
      </c>
      <c r="M62" s="37" t="str">
        <f t="shared" si="29"/>
        <v>-</v>
      </c>
      <c r="N62" s="37" t="str">
        <f t="shared" si="30"/>
        <v>-</v>
      </c>
      <c r="O62" s="21">
        <f t="shared" si="31"/>
        <v>0.875</v>
      </c>
      <c r="P62" s="21">
        <f t="shared" si="24"/>
        <v>0</v>
      </c>
      <c r="Q62" s="21">
        <f t="shared" si="25"/>
        <v>0</v>
      </c>
      <c r="R62" s="21">
        <f t="shared" si="26"/>
        <v>0</v>
      </c>
      <c r="S62" s="21">
        <f t="shared" si="32"/>
        <v>0.8515625</v>
      </c>
      <c r="T62" s="21">
        <f t="shared" si="33"/>
        <v>0.90740740740740744</v>
      </c>
      <c r="U62" s="37" t="str">
        <f t="shared" si="34"/>
        <v>-</v>
      </c>
      <c r="V62" s="21">
        <f t="shared" si="35"/>
        <v>0.4375</v>
      </c>
      <c r="W62" s="10"/>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row>
    <row r="63" spans="1:56" ht="14.25" customHeight="1">
      <c r="A63" s="8"/>
      <c r="B63" s="12" t="s">
        <v>84</v>
      </c>
      <c r="C63" s="36">
        <f t="shared" si="27"/>
        <v>0.85858585858585856</v>
      </c>
      <c r="D63" s="36">
        <f t="shared" si="16"/>
        <v>0.84848484848484851</v>
      </c>
      <c r="E63" s="36">
        <f t="shared" si="17"/>
        <v>0.55263157894736847</v>
      </c>
      <c r="F63" s="36">
        <f t="shared" si="18"/>
        <v>0.99416909620991256</v>
      </c>
      <c r="G63" s="36">
        <f t="shared" si="19"/>
        <v>0.9966216216216216</v>
      </c>
      <c r="H63" s="36">
        <f t="shared" si="20"/>
        <v>0.99530516431924887</v>
      </c>
      <c r="I63" s="36">
        <f t="shared" si="21"/>
        <v>1</v>
      </c>
      <c r="J63" s="36">
        <f t="shared" si="22"/>
        <v>1</v>
      </c>
      <c r="K63" s="36">
        <f t="shared" si="23"/>
        <v>1</v>
      </c>
      <c r="L63" s="36">
        <f t="shared" si="28"/>
        <v>0.84910539793786644</v>
      </c>
      <c r="M63" s="37" t="str">
        <f t="shared" si="29"/>
        <v>-</v>
      </c>
      <c r="N63" s="37" t="str">
        <f t="shared" si="30"/>
        <v>-</v>
      </c>
      <c r="O63" s="21">
        <f t="shared" si="31"/>
        <v>0.88095238095238093</v>
      </c>
      <c r="P63" s="21">
        <f t="shared" si="24"/>
        <v>0</v>
      </c>
      <c r="Q63" s="21">
        <f t="shared" si="25"/>
        <v>0</v>
      </c>
      <c r="R63" s="21">
        <f t="shared" si="26"/>
        <v>0</v>
      </c>
      <c r="S63" s="21">
        <f t="shared" si="32"/>
        <v>0.66666666666666663</v>
      </c>
      <c r="T63" s="21">
        <f t="shared" si="33"/>
        <v>0.95061728395061729</v>
      </c>
      <c r="U63" s="37" t="str">
        <f t="shared" si="34"/>
        <v>-</v>
      </c>
      <c r="V63" s="21">
        <f t="shared" si="35"/>
        <v>0.44047619047619047</v>
      </c>
      <c r="W63" s="10"/>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row>
    <row r="64" spans="1:56" ht="14.25" customHeight="1">
      <c r="A64" s="8"/>
      <c r="B64" s="12" t="s">
        <v>85</v>
      </c>
      <c r="C64" s="36">
        <f t="shared" si="27"/>
        <v>0.72670807453416153</v>
      </c>
      <c r="D64" s="36">
        <f t="shared" si="16"/>
        <v>0.78888888888888886</v>
      </c>
      <c r="E64" s="36">
        <f t="shared" si="17"/>
        <v>0.6588235294117647</v>
      </c>
      <c r="F64" s="36">
        <f t="shared" si="18"/>
        <v>0.88235294117647056</v>
      </c>
      <c r="G64" s="36">
        <f t="shared" si="19"/>
        <v>0.89030612244897955</v>
      </c>
      <c r="H64" s="36">
        <f t="shared" si="20"/>
        <v>0.88671328671328675</v>
      </c>
      <c r="I64" s="36">
        <f t="shared" si="21"/>
        <v>1</v>
      </c>
      <c r="J64" s="36">
        <f t="shared" si="22"/>
        <v>1</v>
      </c>
      <c r="K64" s="36">
        <f t="shared" si="23"/>
        <v>1</v>
      </c>
      <c r="L64" s="36">
        <f t="shared" si="28"/>
        <v>0.83360642625348502</v>
      </c>
      <c r="M64" s="37" t="str">
        <f t="shared" si="29"/>
        <v>-</v>
      </c>
      <c r="N64" s="37" t="str">
        <f t="shared" si="30"/>
        <v>-</v>
      </c>
      <c r="O64" s="21">
        <f t="shared" si="31"/>
        <v>0.82727272727272727</v>
      </c>
      <c r="P64" s="21">
        <f t="shared" si="24"/>
        <v>0</v>
      </c>
      <c r="Q64" s="21">
        <f t="shared" si="25"/>
        <v>0</v>
      </c>
      <c r="R64" s="21">
        <f t="shared" si="26"/>
        <v>0</v>
      </c>
      <c r="S64" s="21">
        <f t="shared" si="32"/>
        <v>0.8586387434554974</v>
      </c>
      <c r="T64" s="21">
        <f t="shared" si="33"/>
        <v>0.79949238578680204</v>
      </c>
      <c r="U64" s="37" t="str">
        <f t="shared" si="34"/>
        <v>-</v>
      </c>
      <c r="V64" s="21">
        <f t="shared" si="35"/>
        <v>0.41363636363636364</v>
      </c>
      <c r="W64" s="10"/>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row>
    <row r="65" spans="1:56" ht="14.25" customHeight="1">
      <c r="A65" s="8"/>
      <c r="B65" s="12" t="s">
        <v>86</v>
      </c>
      <c r="C65" s="44" t="str">
        <f t="shared" si="27"/>
        <v>-</v>
      </c>
      <c r="D65" s="44" t="str">
        <f t="shared" si="16"/>
        <v>-</v>
      </c>
      <c r="E65" s="44" t="str">
        <f t="shared" si="17"/>
        <v>-</v>
      </c>
      <c r="F65" s="44" t="str">
        <f t="shared" si="18"/>
        <v>-</v>
      </c>
      <c r="G65" s="44" t="str">
        <f t="shared" si="19"/>
        <v>-</v>
      </c>
      <c r="H65" s="44" t="str">
        <f t="shared" si="20"/>
        <v>-</v>
      </c>
      <c r="I65" s="44" t="str">
        <f t="shared" si="21"/>
        <v>-</v>
      </c>
      <c r="J65" s="44" t="str">
        <f t="shared" si="22"/>
        <v>-</v>
      </c>
      <c r="K65" s="44" t="str">
        <f t="shared" si="23"/>
        <v>-</v>
      </c>
      <c r="L65" s="44" t="str">
        <f t="shared" si="28"/>
        <v>-</v>
      </c>
      <c r="M65" s="37" t="str">
        <f t="shared" si="29"/>
        <v>-</v>
      </c>
      <c r="N65" s="37" t="str">
        <f t="shared" si="30"/>
        <v>-</v>
      </c>
      <c r="O65" s="37" t="str">
        <f t="shared" si="31"/>
        <v>-</v>
      </c>
      <c r="P65" s="21">
        <f t="shared" si="24"/>
        <v>0</v>
      </c>
      <c r="Q65" s="21">
        <f t="shared" si="25"/>
        <v>0</v>
      </c>
      <c r="R65" s="21">
        <f t="shared" si="26"/>
        <v>0</v>
      </c>
      <c r="S65" s="37" t="str">
        <f t="shared" si="32"/>
        <v>-</v>
      </c>
      <c r="T65" s="37" t="str">
        <f t="shared" si="33"/>
        <v>-</v>
      </c>
      <c r="U65" s="37" t="str">
        <f t="shared" si="34"/>
        <v>-</v>
      </c>
      <c r="V65" s="21">
        <f t="shared" si="35"/>
        <v>0</v>
      </c>
      <c r="W65" s="10"/>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row>
    <row r="66" spans="1:56" ht="14.25" customHeight="1">
      <c r="A66" s="8"/>
      <c r="B66" s="12" t="s">
        <v>87</v>
      </c>
      <c r="C66" s="36">
        <f t="shared" si="27"/>
        <v>0.93333333333333335</v>
      </c>
      <c r="D66" s="36">
        <f t="shared" si="16"/>
        <v>0.91666666666666663</v>
      </c>
      <c r="E66" s="36">
        <f t="shared" si="17"/>
        <v>0.8571428571428571</v>
      </c>
      <c r="F66" s="36">
        <f t="shared" si="18"/>
        <v>0.91532258064516125</v>
      </c>
      <c r="G66" s="36">
        <f t="shared" si="19"/>
        <v>0.88695652173913042</v>
      </c>
      <c r="H66" s="36">
        <f t="shared" si="20"/>
        <v>0.90167364016736407</v>
      </c>
      <c r="I66" s="36">
        <f t="shared" si="21"/>
        <v>1</v>
      </c>
      <c r="J66" s="36">
        <f t="shared" si="22"/>
        <v>1</v>
      </c>
      <c r="K66" s="36">
        <f t="shared" si="23"/>
        <v>1</v>
      </c>
      <c r="L66" s="36">
        <f t="shared" si="28"/>
        <v>0.91887079099422198</v>
      </c>
      <c r="M66" s="37" t="str">
        <f t="shared" si="29"/>
        <v>-</v>
      </c>
      <c r="N66" s="37" t="str">
        <f t="shared" si="30"/>
        <v>-</v>
      </c>
      <c r="O66" s="21">
        <f t="shared" si="31"/>
        <v>0.82291666666666663</v>
      </c>
      <c r="P66" s="21">
        <f t="shared" si="24"/>
        <v>0</v>
      </c>
      <c r="Q66" s="21">
        <f t="shared" si="25"/>
        <v>0</v>
      </c>
      <c r="R66" s="21">
        <f t="shared" si="26"/>
        <v>0</v>
      </c>
      <c r="S66" s="21">
        <f t="shared" si="32"/>
        <v>0.75</v>
      </c>
      <c r="T66" s="21">
        <f t="shared" si="33"/>
        <v>0.88</v>
      </c>
      <c r="U66" s="37" t="str">
        <f t="shared" si="34"/>
        <v>-</v>
      </c>
      <c r="V66" s="21">
        <f t="shared" si="35"/>
        <v>0.41145833333333331</v>
      </c>
      <c r="W66" s="10"/>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row>
    <row r="67" spans="1:56" ht="14.25" customHeight="1">
      <c r="A67" s="8"/>
      <c r="B67" s="12" t="s">
        <v>88</v>
      </c>
      <c r="C67" s="36">
        <f t="shared" si="27"/>
        <v>0.90740740740740744</v>
      </c>
      <c r="D67" s="36">
        <f t="shared" si="16"/>
        <v>0.94495412844036697</v>
      </c>
      <c r="E67" s="36">
        <f t="shared" si="17"/>
        <v>0.93577981651376152</v>
      </c>
      <c r="F67" s="36">
        <f t="shared" si="18"/>
        <v>0.90171990171990168</v>
      </c>
      <c r="G67" s="36">
        <f t="shared" si="19"/>
        <v>0.94022988505747129</v>
      </c>
      <c r="H67" s="36">
        <f t="shared" si="20"/>
        <v>0.92161520190023749</v>
      </c>
      <c r="I67" s="36">
        <f t="shared" si="21"/>
        <v>1</v>
      </c>
      <c r="J67" s="36">
        <f t="shared" si="22"/>
        <v>1</v>
      </c>
      <c r="K67" s="36">
        <f t="shared" si="23"/>
        <v>1</v>
      </c>
      <c r="L67" s="36">
        <f t="shared" si="28"/>
        <v>0.95058728671359149</v>
      </c>
      <c r="M67" s="37" t="str">
        <f t="shared" si="29"/>
        <v>-</v>
      </c>
      <c r="N67" s="37" t="str">
        <f t="shared" si="30"/>
        <v>-</v>
      </c>
      <c r="O67" s="21">
        <f t="shared" si="31"/>
        <v>0.71323529411764708</v>
      </c>
      <c r="P67" s="21">
        <f t="shared" si="24"/>
        <v>0</v>
      </c>
      <c r="Q67" s="21">
        <f t="shared" si="25"/>
        <v>0</v>
      </c>
      <c r="R67" s="21">
        <f t="shared" si="26"/>
        <v>0</v>
      </c>
      <c r="S67" s="21">
        <f t="shared" si="32"/>
        <v>0.8</v>
      </c>
      <c r="T67" s="21">
        <f t="shared" si="33"/>
        <v>0.79090909090909089</v>
      </c>
      <c r="U67" s="37" t="str">
        <f t="shared" si="34"/>
        <v>-</v>
      </c>
      <c r="V67" s="21">
        <f t="shared" si="35"/>
        <v>0.35661764705882354</v>
      </c>
      <c r="W67" s="10"/>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row>
    <row r="68" spans="1:56" ht="14.25" customHeight="1">
      <c r="A68" s="8"/>
      <c r="B68" s="12" t="s">
        <v>89</v>
      </c>
      <c r="C68" s="36">
        <f t="shared" si="27"/>
        <v>0.90740740740740744</v>
      </c>
      <c r="D68" s="36">
        <f t="shared" si="16"/>
        <v>0.94495412844036697</v>
      </c>
      <c r="E68" s="36">
        <f t="shared" si="17"/>
        <v>0.93577981651376152</v>
      </c>
      <c r="F68" s="36">
        <f t="shared" si="18"/>
        <v>0.9</v>
      </c>
      <c r="G68" s="36">
        <f t="shared" si="19"/>
        <v>0.94036697247706424</v>
      </c>
      <c r="H68" s="36">
        <f t="shared" si="20"/>
        <v>0.92080378250591022</v>
      </c>
      <c r="I68" s="36">
        <f t="shared" si="21"/>
        <v>1</v>
      </c>
      <c r="J68" s="36">
        <f t="shared" si="22"/>
        <v>1</v>
      </c>
      <c r="K68" s="36">
        <f t="shared" si="23"/>
        <v>1</v>
      </c>
      <c r="L68" s="36">
        <f t="shared" si="28"/>
        <v>0.95038443186500965</v>
      </c>
      <c r="M68" s="37" t="str">
        <f t="shared" si="29"/>
        <v>-</v>
      </c>
      <c r="N68" s="37" t="str">
        <f t="shared" si="30"/>
        <v>-</v>
      </c>
      <c r="O68" s="21">
        <f t="shared" si="31"/>
        <v>0.71323529411764708</v>
      </c>
      <c r="P68" s="21">
        <f t="shared" si="24"/>
        <v>0</v>
      </c>
      <c r="Q68" s="21">
        <f t="shared" si="25"/>
        <v>0</v>
      </c>
      <c r="R68" s="21">
        <f t="shared" si="26"/>
        <v>0</v>
      </c>
      <c r="S68" s="21">
        <f t="shared" si="32"/>
        <v>0.82608695652173914</v>
      </c>
      <c r="T68" s="21">
        <f t="shared" si="33"/>
        <v>0.7857142857142857</v>
      </c>
      <c r="U68" s="37" t="str">
        <f t="shared" si="34"/>
        <v>-</v>
      </c>
      <c r="V68" s="21">
        <f t="shared" si="35"/>
        <v>0.35661764705882354</v>
      </c>
      <c r="W68" s="10"/>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row>
    <row r="69" spans="1:56" ht="14.25" customHeight="1">
      <c r="A69" s="8"/>
      <c r="B69" s="12" t="s">
        <v>90</v>
      </c>
      <c r="C69" s="36">
        <f t="shared" si="27"/>
        <v>0.93333333333333335</v>
      </c>
      <c r="D69" s="36">
        <f t="shared" si="16"/>
        <v>0.93333333333333335</v>
      </c>
      <c r="E69" s="36">
        <f t="shared" si="17"/>
        <v>0.92727272727272725</v>
      </c>
      <c r="F69" s="36">
        <f t="shared" si="18"/>
        <v>0.93478260869565222</v>
      </c>
      <c r="G69" s="36">
        <f t="shared" si="19"/>
        <v>0.94425087108013939</v>
      </c>
      <c r="H69" s="36">
        <f t="shared" si="20"/>
        <v>0.94003868471953578</v>
      </c>
      <c r="I69" s="36">
        <f t="shared" si="21"/>
        <v>1</v>
      </c>
      <c r="J69" s="36">
        <f t="shared" si="22"/>
        <v>1</v>
      </c>
      <c r="K69" s="36">
        <f t="shared" si="23"/>
        <v>1</v>
      </c>
      <c r="L69" s="36">
        <f t="shared" si="28"/>
        <v>0.95016118633139912</v>
      </c>
      <c r="M69" s="37" t="str">
        <f t="shared" si="29"/>
        <v>-</v>
      </c>
      <c r="N69" s="37" t="str">
        <f t="shared" si="30"/>
        <v>-</v>
      </c>
      <c r="O69" s="21">
        <f t="shared" si="31"/>
        <v>0.75980392156862742</v>
      </c>
      <c r="P69" s="21">
        <f t="shared" si="24"/>
        <v>0</v>
      </c>
      <c r="Q69" s="21">
        <f t="shared" si="25"/>
        <v>0</v>
      </c>
      <c r="R69" s="21">
        <f t="shared" si="26"/>
        <v>0</v>
      </c>
      <c r="S69" s="21">
        <f t="shared" si="32"/>
        <v>0.79166666666666663</v>
      </c>
      <c r="T69" s="21">
        <f t="shared" si="33"/>
        <v>0.77210884353741494</v>
      </c>
      <c r="U69" s="37" t="str">
        <f t="shared" si="34"/>
        <v>-</v>
      </c>
      <c r="V69" s="21">
        <f t="shared" si="35"/>
        <v>0.37990196078431371</v>
      </c>
      <c r="W69" s="10"/>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row>
    <row r="70" spans="1:56" ht="14.25" customHeight="1">
      <c r="A70" s="8"/>
      <c r="B70" s="12" t="s">
        <v>91</v>
      </c>
      <c r="C70" s="36">
        <f t="shared" si="27"/>
        <v>0.85789473684210527</v>
      </c>
      <c r="D70" s="36">
        <f t="shared" si="16"/>
        <v>0.88070175438596487</v>
      </c>
      <c r="E70" s="36">
        <f t="shared" si="17"/>
        <v>0.87676767676767675</v>
      </c>
      <c r="F70" s="36">
        <f t="shared" si="18"/>
        <v>0.92078399346672113</v>
      </c>
      <c r="G70" s="36">
        <f t="shared" si="19"/>
        <v>0.94246031746031744</v>
      </c>
      <c r="H70" s="36">
        <f t="shared" si="20"/>
        <v>0.93057110862262038</v>
      </c>
      <c r="I70" s="36">
        <f t="shared" si="21"/>
        <v>1</v>
      </c>
      <c r="J70" s="36">
        <f t="shared" si="22"/>
        <v>1</v>
      </c>
      <c r="K70" s="36">
        <f t="shared" si="23"/>
        <v>1</v>
      </c>
      <c r="L70" s="36">
        <f t="shared" si="28"/>
        <v>0.92201013494406547</v>
      </c>
      <c r="M70" s="37" t="str">
        <f t="shared" si="29"/>
        <v>-</v>
      </c>
      <c r="N70" s="37" t="str">
        <f t="shared" si="30"/>
        <v>-</v>
      </c>
      <c r="O70" s="21">
        <f t="shared" si="31"/>
        <v>0.78917050691244239</v>
      </c>
      <c r="P70" s="21">
        <f t="shared" si="24"/>
        <v>0</v>
      </c>
      <c r="Q70" s="21">
        <f t="shared" si="25"/>
        <v>0</v>
      </c>
      <c r="R70" s="21">
        <f t="shared" si="26"/>
        <v>0</v>
      </c>
      <c r="S70" s="21">
        <f t="shared" si="32"/>
        <v>0.83898305084745761</v>
      </c>
      <c r="T70" s="21">
        <f t="shared" si="33"/>
        <v>0.85170178282009723</v>
      </c>
      <c r="U70" s="37" t="str">
        <f t="shared" si="34"/>
        <v>-</v>
      </c>
      <c r="V70" s="21">
        <f t="shared" si="35"/>
        <v>0.3945852534562212</v>
      </c>
      <c r="W70" s="10"/>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row>
    <row r="71" spans="1:56" ht="14.25" customHeight="1">
      <c r="A71" s="8"/>
      <c r="B71" s="12" t="s">
        <v>92</v>
      </c>
      <c r="C71" s="36">
        <f t="shared" si="27"/>
        <v>0.72670807453416153</v>
      </c>
      <c r="D71" s="36">
        <f t="shared" si="16"/>
        <v>0.87172774869109948</v>
      </c>
      <c r="E71" s="36">
        <f t="shared" si="17"/>
        <v>0.66502463054187189</v>
      </c>
      <c r="F71" s="36">
        <f t="shared" si="18"/>
        <v>0.86257928118393234</v>
      </c>
      <c r="G71" s="36">
        <f t="shared" si="19"/>
        <v>0.90284005979073245</v>
      </c>
      <c r="H71" s="36">
        <f t="shared" si="20"/>
        <v>0.88616462346760072</v>
      </c>
      <c r="I71" s="36">
        <f t="shared" si="21"/>
        <v>1</v>
      </c>
      <c r="J71" s="36">
        <f t="shared" si="22"/>
        <v>1</v>
      </c>
      <c r="K71" s="36">
        <f t="shared" si="23"/>
        <v>1</v>
      </c>
      <c r="L71" s="36">
        <f t="shared" si="28"/>
        <v>0.85572925067514305</v>
      </c>
      <c r="M71" s="15"/>
      <c r="N71" s="15"/>
      <c r="O71" s="15"/>
      <c r="P71" s="15"/>
      <c r="Q71" s="15"/>
      <c r="R71" s="15"/>
      <c r="S71" s="15"/>
      <c r="T71" s="15"/>
      <c r="U71" s="15"/>
      <c r="V71" s="15"/>
      <c r="W71" s="10"/>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row>
    <row r="72" spans="1:56" ht="14.25" customHeight="1">
      <c r="A72" s="8"/>
      <c r="B72" s="12" t="s">
        <v>93</v>
      </c>
      <c r="C72" s="36">
        <f t="shared" si="27"/>
        <v>0.96376811594202894</v>
      </c>
      <c r="D72" s="36">
        <f t="shared" si="16"/>
        <v>0.94202898550724634</v>
      </c>
      <c r="E72" s="36">
        <f t="shared" si="17"/>
        <v>0.85507246376811596</v>
      </c>
      <c r="F72" s="36">
        <f t="shared" si="18"/>
        <v>0.89857651245551606</v>
      </c>
      <c r="G72" s="36">
        <f t="shared" si="19"/>
        <v>0.93970588235294117</v>
      </c>
      <c r="H72" s="36">
        <f t="shared" si="20"/>
        <v>0.92109500805152977</v>
      </c>
      <c r="I72" s="36">
        <f t="shared" si="21"/>
        <v>1</v>
      </c>
      <c r="J72" s="36">
        <f t="shared" si="22"/>
        <v>1</v>
      </c>
      <c r="K72" s="36">
        <f t="shared" si="23"/>
        <v>1</v>
      </c>
      <c r="L72" s="36">
        <f t="shared" si="28"/>
        <v>0.92954911433172305</v>
      </c>
      <c r="M72" s="37" t="str">
        <f t="shared" ref="M72:M80" si="36">AF137</f>
        <v>-</v>
      </c>
      <c r="N72" s="37" t="str">
        <f t="shared" ref="N72:N80" si="37">AI137</f>
        <v>-</v>
      </c>
      <c r="O72" s="21">
        <f t="shared" ref="O72:O80" si="38">AL137</f>
        <v>0.67584745762711862</v>
      </c>
      <c r="P72" s="21">
        <f t="shared" ref="P72:P80" si="39">X225</f>
        <v>0</v>
      </c>
      <c r="Q72" s="21">
        <f t="shared" ref="Q72:Q80" si="40">Y225</f>
        <v>0</v>
      </c>
      <c r="R72" s="21">
        <f t="shared" ref="R72:R80" si="41">Z225</f>
        <v>0</v>
      </c>
      <c r="S72" s="21">
        <f t="shared" ref="S72:S80" si="42">AR137</f>
        <v>0.80555555555555558</v>
      </c>
      <c r="T72" s="21">
        <f t="shared" ref="T72:T80" si="43">AU137</f>
        <v>0.73525721455457971</v>
      </c>
      <c r="U72" s="37" t="str">
        <f t="shared" ref="U72:U80" si="44">AX137</f>
        <v>-</v>
      </c>
      <c r="V72" s="21">
        <f t="shared" ref="V72:V80" si="45">IFERROR(AVERAGE(U72,R72,O72,N72),"-")</f>
        <v>0.33792372881355931</v>
      </c>
      <c r="W72" s="10"/>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row>
    <row r="73" spans="1:56" ht="14.25" customHeight="1">
      <c r="A73" s="8"/>
      <c r="B73" s="12" t="s">
        <v>94</v>
      </c>
      <c r="C73" s="36">
        <f t="shared" si="27"/>
        <v>0.97530864197530864</v>
      </c>
      <c r="D73" s="36">
        <f t="shared" si="16"/>
        <v>0.93827160493827155</v>
      </c>
      <c r="E73" s="36">
        <f t="shared" si="17"/>
        <v>0.66666666666666663</v>
      </c>
      <c r="F73" s="36">
        <f t="shared" si="18"/>
        <v>0.90228013029315957</v>
      </c>
      <c r="G73" s="36">
        <f t="shared" si="19"/>
        <v>0.90028490028490027</v>
      </c>
      <c r="H73" s="36">
        <f t="shared" si="20"/>
        <v>0.90121580547112456</v>
      </c>
      <c r="I73" s="36">
        <f t="shared" si="21"/>
        <v>1</v>
      </c>
      <c r="J73" s="36">
        <f t="shared" si="22"/>
        <v>1</v>
      </c>
      <c r="K73" s="36">
        <f t="shared" si="23"/>
        <v>1</v>
      </c>
      <c r="L73" s="36">
        <f t="shared" si="28"/>
        <v>0.87653851926901571</v>
      </c>
      <c r="M73" s="37" t="str">
        <f t="shared" si="36"/>
        <v>-</v>
      </c>
      <c r="N73" s="37" t="str">
        <f t="shared" si="37"/>
        <v>-</v>
      </c>
      <c r="O73" s="21">
        <f t="shared" si="38"/>
        <v>0.73124999999999996</v>
      </c>
      <c r="P73" s="21">
        <f t="shared" si="39"/>
        <v>0</v>
      </c>
      <c r="Q73" s="21">
        <f t="shared" si="40"/>
        <v>0</v>
      </c>
      <c r="R73" s="21">
        <f t="shared" si="41"/>
        <v>0</v>
      </c>
      <c r="S73" s="21">
        <f t="shared" si="42"/>
        <v>0.78125</v>
      </c>
      <c r="T73" s="21">
        <f t="shared" si="43"/>
        <v>0.81666666666666665</v>
      </c>
      <c r="U73" s="37" t="str">
        <f t="shared" si="44"/>
        <v>-</v>
      </c>
      <c r="V73" s="21">
        <f t="shared" si="45"/>
        <v>0.36562499999999998</v>
      </c>
      <c r="W73" s="10"/>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row>
    <row r="74" spans="1:56" ht="14.25" customHeight="1">
      <c r="A74" s="8"/>
      <c r="B74" s="12" t="s">
        <v>95</v>
      </c>
      <c r="C74" s="36">
        <f t="shared" si="27"/>
        <v>0.92682926829268297</v>
      </c>
      <c r="D74" s="36">
        <f t="shared" si="16"/>
        <v>0.90476190476190477</v>
      </c>
      <c r="E74" s="36">
        <f t="shared" si="17"/>
        <v>0.80769230769230771</v>
      </c>
      <c r="F74" s="36">
        <f t="shared" si="18"/>
        <v>0.900709219858156</v>
      </c>
      <c r="G74" s="36">
        <f t="shared" si="19"/>
        <v>0.92796610169491522</v>
      </c>
      <c r="H74" s="36">
        <f t="shared" si="20"/>
        <v>0.91777188328912462</v>
      </c>
      <c r="I74" s="36">
        <f t="shared" si="21"/>
        <v>1</v>
      </c>
      <c r="J74" s="36">
        <f t="shared" si="22"/>
        <v>1</v>
      </c>
      <c r="K74" s="36">
        <f t="shared" si="23"/>
        <v>1</v>
      </c>
      <c r="L74" s="36">
        <f t="shared" si="28"/>
        <v>0.9075565239358343</v>
      </c>
      <c r="M74" s="37" t="str">
        <f t="shared" si="36"/>
        <v>-</v>
      </c>
      <c r="N74" s="37" t="str">
        <f t="shared" si="37"/>
        <v>-</v>
      </c>
      <c r="O74" s="21">
        <f t="shared" si="38"/>
        <v>0.76190476190476186</v>
      </c>
      <c r="P74" s="21">
        <f t="shared" si="39"/>
        <v>0</v>
      </c>
      <c r="Q74" s="21">
        <f t="shared" si="40"/>
        <v>0</v>
      </c>
      <c r="R74" s="21">
        <f t="shared" si="41"/>
        <v>0</v>
      </c>
      <c r="S74" s="21">
        <f t="shared" si="42"/>
        <v>1</v>
      </c>
      <c r="T74" s="21">
        <f t="shared" si="43"/>
        <v>0.85763888888888884</v>
      </c>
      <c r="U74" s="37" t="str">
        <f t="shared" si="44"/>
        <v>-</v>
      </c>
      <c r="V74" s="21">
        <f t="shared" si="45"/>
        <v>0.38095238095238093</v>
      </c>
      <c r="W74" s="10"/>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row>
    <row r="75" spans="1:56" ht="14.25" customHeight="1">
      <c r="A75" s="8"/>
      <c r="B75" s="12" t="s">
        <v>96</v>
      </c>
      <c r="C75" s="36">
        <f t="shared" si="27"/>
        <v>0.93650793650793651</v>
      </c>
      <c r="D75" s="36">
        <f t="shared" si="16"/>
        <v>0.96825396825396826</v>
      </c>
      <c r="E75" s="36">
        <f t="shared" si="17"/>
        <v>0.9152542372881356</v>
      </c>
      <c r="F75" s="36">
        <f t="shared" si="18"/>
        <v>0.96682464454976302</v>
      </c>
      <c r="G75" s="36">
        <f t="shared" si="19"/>
        <v>0.94859813084112155</v>
      </c>
      <c r="H75" s="36">
        <f t="shared" si="20"/>
        <v>0.95764705882352941</v>
      </c>
      <c r="I75" s="36">
        <f t="shared" si="21"/>
        <v>1</v>
      </c>
      <c r="J75" s="36">
        <f t="shared" si="22"/>
        <v>1</v>
      </c>
      <c r="K75" s="36">
        <f t="shared" si="23"/>
        <v>1</v>
      </c>
      <c r="L75" s="36">
        <f t="shared" si="28"/>
        <v>0.96028881609140826</v>
      </c>
      <c r="M75" s="37" t="str">
        <f t="shared" si="36"/>
        <v>-</v>
      </c>
      <c r="N75" s="37" t="str">
        <f t="shared" si="37"/>
        <v>-</v>
      </c>
      <c r="O75" s="21">
        <f t="shared" si="38"/>
        <v>0.87962962962962965</v>
      </c>
      <c r="P75" s="21">
        <f t="shared" si="39"/>
        <v>0</v>
      </c>
      <c r="Q75" s="21">
        <f t="shared" si="40"/>
        <v>0</v>
      </c>
      <c r="R75" s="21">
        <f t="shared" si="41"/>
        <v>0</v>
      </c>
      <c r="S75" s="21">
        <f t="shared" si="42"/>
        <v>0.75</v>
      </c>
      <c r="T75" s="21">
        <f t="shared" si="43"/>
        <v>0.90476190476190477</v>
      </c>
      <c r="U75" s="37" t="str">
        <f t="shared" si="44"/>
        <v>-</v>
      </c>
      <c r="V75" s="21">
        <f t="shared" si="45"/>
        <v>0.43981481481481483</v>
      </c>
      <c r="W75" s="10"/>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row>
    <row r="76" spans="1:56" ht="14.25" customHeight="1">
      <c r="A76" s="8"/>
      <c r="B76" s="43" t="s">
        <v>97</v>
      </c>
      <c r="C76" s="44" t="str">
        <f t="shared" si="27"/>
        <v>-</v>
      </c>
      <c r="D76" s="36">
        <f t="shared" si="16"/>
        <v>0.89898989898989901</v>
      </c>
      <c r="E76" s="36">
        <f t="shared" si="17"/>
        <v>0.5</v>
      </c>
      <c r="F76" s="36">
        <f t="shared" si="18"/>
        <v>0.76422764227642281</v>
      </c>
      <c r="G76" s="36">
        <f t="shared" si="19"/>
        <v>0.80571428571428572</v>
      </c>
      <c r="H76" s="36">
        <f t="shared" si="20"/>
        <v>0.78859060402684567</v>
      </c>
      <c r="I76" s="44" t="str">
        <f t="shared" si="21"/>
        <v>-</v>
      </c>
      <c r="J76" s="44" t="str">
        <f t="shared" si="22"/>
        <v>-</v>
      </c>
      <c r="K76" s="44" t="str">
        <f t="shared" si="23"/>
        <v>-</v>
      </c>
      <c r="L76" s="36">
        <f t="shared" si="28"/>
        <v>0.72919350100558156</v>
      </c>
      <c r="M76" s="37" t="str">
        <f t="shared" si="36"/>
        <v>-</v>
      </c>
      <c r="N76" s="37" t="str">
        <f t="shared" si="37"/>
        <v>-</v>
      </c>
      <c r="O76" s="21">
        <f t="shared" si="38"/>
        <v>0.76388888888888884</v>
      </c>
      <c r="P76" s="21">
        <f t="shared" si="39"/>
        <v>0</v>
      </c>
      <c r="Q76" s="21">
        <f t="shared" si="40"/>
        <v>0</v>
      </c>
      <c r="R76" s="21">
        <f t="shared" si="41"/>
        <v>0</v>
      </c>
      <c r="S76" s="37" t="str">
        <f t="shared" si="42"/>
        <v>-</v>
      </c>
      <c r="T76" s="37" t="str">
        <f t="shared" si="43"/>
        <v>-</v>
      </c>
      <c r="U76" s="37" t="str">
        <f t="shared" si="44"/>
        <v>-</v>
      </c>
      <c r="V76" s="21">
        <f t="shared" si="45"/>
        <v>0.38194444444444442</v>
      </c>
      <c r="W76" s="10"/>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row>
    <row r="77" spans="1:56" ht="14.25" customHeight="1">
      <c r="A77" s="8"/>
      <c r="B77" s="43" t="s">
        <v>98</v>
      </c>
      <c r="C77" s="44" t="str">
        <f t="shared" si="27"/>
        <v>-</v>
      </c>
      <c r="D77" s="36">
        <f t="shared" si="16"/>
        <v>0.82352941176470584</v>
      </c>
      <c r="E77" s="36">
        <f t="shared" si="17"/>
        <v>0.6</v>
      </c>
      <c r="F77" s="36">
        <f t="shared" si="18"/>
        <v>0.8</v>
      </c>
      <c r="G77" s="36">
        <f t="shared" si="19"/>
        <v>0.91666666666666663</v>
      </c>
      <c r="H77" s="36">
        <f t="shared" si="20"/>
        <v>0.86885245901639341</v>
      </c>
      <c r="I77" s="44" t="str">
        <f t="shared" si="21"/>
        <v>-</v>
      </c>
      <c r="J77" s="44" t="str">
        <f t="shared" si="22"/>
        <v>-</v>
      </c>
      <c r="K77" s="44" t="str">
        <f t="shared" si="23"/>
        <v>-</v>
      </c>
      <c r="L77" s="36">
        <f t="shared" si="28"/>
        <v>0.7641272902603663</v>
      </c>
      <c r="M77" s="37" t="str">
        <f t="shared" si="36"/>
        <v>-</v>
      </c>
      <c r="N77" s="37" t="str">
        <f t="shared" si="37"/>
        <v>-</v>
      </c>
      <c r="O77" s="21">
        <f t="shared" si="38"/>
        <v>0.96296296296296291</v>
      </c>
      <c r="P77" s="21">
        <f t="shared" si="39"/>
        <v>0</v>
      </c>
      <c r="Q77" s="21">
        <f t="shared" si="40"/>
        <v>0</v>
      </c>
      <c r="R77" s="21">
        <f t="shared" si="41"/>
        <v>0</v>
      </c>
      <c r="S77" s="37" t="str">
        <f t="shared" si="42"/>
        <v>-</v>
      </c>
      <c r="T77" s="37" t="str">
        <f t="shared" si="43"/>
        <v>-</v>
      </c>
      <c r="U77" s="37" t="str">
        <f t="shared" si="44"/>
        <v>-</v>
      </c>
      <c r="V77" s="21">
        <f t="shared" si="45"/>
        <v>0.48148148148148145</v>
      </c>
      <c r="W77" s="10"/>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row>
    <row r="78" spans="1:56" ht="14.25" customHeight="1">
      <c r="A78" s="8"/>
      <c r="B78" s="43" t="s">
        <v>99</v>
      </c>
      <c r="C78" s="44" t="str">
        <f t="shared" si="27"/>
        <v>-</v>
      </c>
      <c r="D78" s="36">
        <f t="shared" si="16"/>
        <v>0.9455445544554455</v>
      </c>
      <c r="E78" s="36">
        <f t="shared" si="17"/>
        <v>0.66949152542372881</v>
      </c>
      <c r="F78" s="36">
        <f t="shared" si="18"/>
        <v>0.82</v>
      </c>
      <c r="G78" s="36">
        <f t="shared" si="19"/>
        <v>0.92057761732851984</v>
      </c>
      <c r="H78" s="36">
        <f t="shared" si="20"/>
        <v>0.88524590163934425</v>
      </c>
      <c r="I78" s="44" t="str">
        <f t="shared" si="21"/>
        <v>-</v>
      </c>
      <c r="J78" s="36">
        <f t="shared" si="22"/>
        <v>1</v>
      </c>
      <c r="K78" s="36">
        <f t="shared" si="23"/>
        <v>1</v>
      </c>
      <c r="L78" s="36">
        <f t="shared" si="28"/>
        <v>0.87507049537962966</v>
      </c>
      <c r="M78" s="37" t="str">
        <f t="shared" si="36"/>
        <v>-</v>
      </c>
      <c r="N78" s="37" t="str">
        <f t="shared" si="37"/>
        <v>-</v>
      </c>
      <c r="O78" s="21">
        <f t="shared" si="38"/>
        <v>0.89732770745428969</v>
      </c>
      <c r="P78" s="21">
        <f t="shared" si="39"/>
        <v>0</v>
      </c>
      <c r="Q78" s="21">
        <f t="shared" si="40"/>
        <v>0</v>
      </c>
      <c r="R78" s="21">
        <f t="shared" si="41"/>
        <v>0</v>
      </c>
      <c r="S78" s="37" t="str">
        <f t="shared" si="42"/>
        <v>-</v>
      </c>
      <c r="T78" s="37" t="str">
        <f t="shared" si="43"/>
        <v>-</v>
      </c>
      <c r="U78" s="37" t="str">
        <f t="shared" si="44"/>
        <v>-</v>
      </c>
      <c r="V78" s="21">
        <f t="shared" si="45"/>
        <v>0.44866385372714485</v>
      </c>
      <c r="W78" s="10"/>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row>
    <row r="79" spans="1:56" ht="14.25" customHeight="1">
      <c r="A79" s="8"/>
      <c r="B79" s="45" t="s">
        <v>100</v>
      </c>
      <c r="C79" s="36">
        <f t="shared" si="27"/>
        <v>0.96666666666666667</v>
      </c>
      <c r="D79" s="36">
        <f t="shared" si="16"/>
        <v>0.96666666666666667</v>
      </c>
      <c r="E79" s="44" t="str">
        <f t="shared" si="17"/>
        <v>-</v>
      </c>
      <c r="F79" s="36">
        <f t="shared" si="18"/>
        <v>0.97727272727272729</v>
      </c>
      <c r="G79" s="44" t="str">
        <f t="shared" si="19"/>
        <v>-</v>
      </c>
      <c r="H79" s="36">
        <f t="shared" si="20"/>
        <v>0.97727272727272729</v>
      </c>
      <c r="I79" s="44" t="str">
        <f t="shared" si="21"/>
        <v>-</v>
      </c>
      <c r="J79" s="44" t="str">
        <f t="shared" si="22"/>
        <v>-</v>
      </c>
      <c r="K79" s="44" t="str">
        <f t="shared" si="23"/>
        <v>-</v>
      </c>
      <c r="L79" s="36">
        <f t="shared" si="28"/>
        <v>0.97196969696969693</v>
      </c>
      <c r="M79" s="37" t="str">
        <f t="shared" si="36"/>
        <v>-</v>
      </c>
      <c r="N79" s="37" t="str">
        <f t="shared" si="37"/>
        <v>-</v>
      </c>
      <c r="O79" s="37" t="str">
        <f t="shared" si="38"/>
        <v>-</v>
      </c>
      <c r="P79" s="21">
        <f t="shared" si="39"/>
        <v>0</v>
      </c>
      <c r="Q79" s="21">
        <f t="shared" si="40"/>
        <v>0</v>
      </c>
      <c r="R79" s="21">
        <f t="shared" si="41"/>
        <v>0</v>
      </c>
      <c r="S79" s="37" t="str">
        <f t="shared" si="42"/>
        <v>-</v>
      </c>
      <c r="T79" s="37" t="str">
        <f t="shared" si="43"/>
        <v>-</v>
      </c>
      <c r="U79" s="37" t="str">
        <f t="shared" si="44"/>
        <v>-</v>
      </c>
      <c r="V79" s="21">
        <f t="shared" si="45"/>
        <v>0</v>
      </c>
      <c r="W79" s="10"/>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row>
    <row r="80" spans="1:56" ht="14.25" customHeight="1">
      <c r="A80" s="8"/>
      <c r="B80" s="45" t="s">
        <v>101</v>
      </c>
      <c r="C80" s="36">
        <f t="shared" si="27"/>
        <v>0.96296296296296291</v>
      </c>
      <c r="D80" s="36">
        <f t="shared" si="16"/>
        <v>0.96296296296296291</v>
      </c>
      <c r="E80" s="44" t="str">
        <f t="shared" si="17"/>
        <v>-</v>
      </c>
      <c r="F80" s="36">
        <f t="shared" si="18"/>
        <v>0.97916666666666663</v>
      </c>
      <c r="G80" s="44" t="str">
        <f t="shared" si="19"/>
        <v>-</v>
      </c>
      <c r="H80" s="36">
        <f t="shared" si="20"/>
        <v>0.97916666666666663</v>
      </c>
      <c r="I80" s="44" t="str">
        <f t="shared" si="21"/>
        <v>-</v>
      </c>
      <c r="J80" s="44" t="str">
        <f t="shared" si="22"/>
        <v>-</v>
      </c>
      <c r="K80" s="44" t="str">
        <f t="shared" si="23"/>
        <v>-</v>
      </c>
      <c r="L80" s="36">
        <f t="shared" si="28"/>
        <v>0.97106481481481477</v>
      </c>
      <c r="M80" s="37" t="str">
        <f t="shared" si="36"/>
        <v>-</v>
      </c>
      <c r="N80" s="37" t="str">
        <f t="shared" si="37"/>
        <v>-</v>
      </c>
      <c r="O80" s="37" t="str">
        <f t="shared" si="38"/>
        <v>-</v>
      </c>
      <c r="P80" s="21">
        <f t="shared" si="39"/>
        <v>0</v>
      </c>
      <c r="Q80" s="21">
        <f t="shared" si="40"/>
        <v>0</v>
      </c>
      <c r="R80" s="21">
        <f t="shared" si="41"/>
        <v>0</v>
      </c>
      <c r="S80" s="37" t="str">
        <f t="shared" si="42"/>
        <v>-</v>
      </c>
      <c r="T80" s="37" t="str">
        <f t="shared" si="43"/>
        <v>-</v>
      </c>
      <c r="U80" s="37" t="str">
        <f t="shared" si="44"/>
        <v>-</v>
      </c>
      <c r="V80" s="21">
        <f t="shared" si="45"/>
        <v>0</v>
      </c>
      <c r="W80" s="10"/>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row>
    <row r="81" spans="1:56" ht="14.25" customHeight="1">
      <c r="A81" s="2"/>
      <c r="B81" s="23"/>
      <c r="C81" s="46"/>
      <c r="D81" s="46"/>
      <c r="E81" s="46"/>
      <c r="F81" s="46"/>
      <c r="G81" s="46"/>
      <c r="H81" s="46"/>
      <c r="I81" s="46"/>
      <c r="J81" s="46"/>
      <c r="K81" s="46"/>
      <c r="L81" s="47"/>
      <c r="M81" s="46"/>
      <c r="N81" s="46"/>
      <c r="O81" s="46"/>
      <c r="P81" s="46"/>
      <c r="Q81" s="46"/>
      <c r="R81" s="46"/>
      <c r="S81" s="46"/>
      <c r="T81" s="46"/>
      <c r="U81" s="23"/>
      <c r="V81" s="23"/>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row>
    <row r="82" spans="1:56" ht="14.25" customHeight="1">
      <c r="A82" s="2"/>
      <c r="B82" s="2"/>
      <c r="C82" s="48"/>
      <c r="D82" s="48"/>
      <c r="E82" s="48"/>
      <c r="F82" s="48"/>
      <c r="G82" s="48"/>
      <c r="H82" s="48"/>
      <c r="I82" s="48"/>
      <c r="J82" s="48"/>
      <c r="K82" s="48"/>
      <c r="L82" s="49"/>
      <c r="M82" s="24"/>
      <c r="N82" s="24"/>
      <c r="O82" s="24"/>
      <c r="P82" s="24"/>
      <c r="Q82" s="24"/>
      <c r="R82" s="24"/>
      <c r="S82" s="24"/>
      <c r="T82" s="24"/>
      <c r="U82" s="25"/>
      <c r="V82" s="25"/>
      <c r="W82" s="25"/>
      <c r="X82" s="25"/>
      <c r="Y82" s="25"/>
      <c r="Z82" s="25"/>
      <c r="AA82" s="25"/>
      <c r="AB82" s="25"/>
      <c r="AC82" s="25"/>
      <c r="AD82" s="2"/>
      <c r="AE82" s="2"/>
      <c r="AF82" s="2"/>
      <c r="AG82" s="25"/>
      <c r="AH82" s="25"/>
      <c r="AI82" s="25"/>
      <c r="AJ82" s="25"/>
      <c r="AK82" s="25"/>
      <c r="AL82" s="25"/>
      <c r="AM82" s="25"/>
      <c r="AN82" s="25"/>
      <c r="AO82" s="25"/>
      <c r="AP82" s="25"/>
      <c r="AQ82" s="25"/>
      <c r="AR82" s="25"/>
      <c r="AS82" s="25"/>
      <c r="AT82" s="25"/>
      <c r="AU82" s="25"/>
      <c r="AV82" s="25"/>
      <c r="AW82" s="25"/>
      <c r="AX82" s="25"/>
      <c r="AY82" s="25"/>
      <c r="AZ82" s="25"/>
      <c r="BA82" s="2"/>
      <c r="BB82" s="2"/>
      <c r="BC82" s="2"/>
      <c r="BD82" s="2"/>
    </row>
    <row r="83" spans="1:56" ht="14.25" customHeight="1">
      <c r="A83" s="2"/>
      <c r="B83" s="50"/>
      <c r="C83" s="51"/>
      <c r="D83" s="52"/>
      <c r="E83" s="51"/>
      <c r="F83" s="53"/>
      <c r="G83" s="53"/>
      <c r="H83" s="53"/>
      <c r="I83" s="51"/>
      <c r="J83" s="51"/>
      <c r="K83" s="51"/>
      <c r="L83" s="54"/>
      <c r="M83" s="55"/>
      <c r="N83" s="25"/>
      <c r="O83" s="25"/>
      <c r="P83" s="25"/>
      <c r="Q83" s="25"/>
      <c r="R83" s="25"/>
      <c r="S83" s="25"/>
      <c r="T83" s="50"/>
      <c r="U83" s="51"/>
      <c r="V83" s="51"/>
      <c r="W83" s="51"/>
      <c r="X83" s="51"/>
      <c r="Y83" s="51"/>
      <c r="Z83" s="51"/>
      <c r="AA83" s="51"/>
      <c r="AB83" s="51"/>
      <c r="AC83" s="51"/>
      <c r="AD83" s="55"/>
      <c r="AE83" s="25"/>
      <c r="AF83" s="50"/>
      <c r="AG83" s="56"/>
      <c r="AH83" s="56"/>
      <c r="AI83" s="56"/>
      <c r="AJ83" s="57"/>
      <c r="AK83" s="57"/>
      <c r="AL83" s="57"/>
      <c r="AM83" s="54"/>
      <c r="AN83" s="54"/>
      <c r="AO83" s="54"/>
      <c r="AP83" s="57"/>
      <c r="AQ83" s="57"/>
      <c r="AR83" s="57"/>
      <c r="AS83" s="57"/>
      <c r="AT83" s="57"/>
      <c r="AU83" s="57"/>
      <c r="AV83" s="57"/>
      <c r="AW83" s="57"/>
      <c r="AX83" s="57"/>
      <c r="AY83" s="54"/>
      <c r="AZ83" s="54"/>
      <c r="BA83" s="31"/>
      <c r="BB83" s="2"/>
      <c r="BC83" s="2"/>
      <c r="BD83" s="2"/>
    </row>
    <row r="84" spans="1:56" ht="14.25" customHeight="1">
      <c r="A84" s="26"/>
      <c r="B84" s="58"/>
      <c r="C84" s="59" t="s">
        <v>102</v>
      </c>
      <c r="D84" s="60"/>
      <c r="E84" s="60"/>
      <c r="F84" s="61" t="s">
        <v>103</v>
      </c>
      <c r="G84" s="58"/>
      <c r="H84" s="58"/>
      <c r="I84" s="59" t="s">
        <v>104</v>
      </c>
      <c r="J84" s="60"/>
      <c r="K84" s="60"/>
      <c r="L84" s="61" t="s">
        <v>105</v>
      </c>
      <c r="M84" s="58"/>
      <c r="N84" s="58"/>
      <c r="O84" s="58"/>
      <c r="P84" s="58"/>
      <c r="Q84" s="58"/>
      <c r="R84" s="58"/>
      <c r="S84" s="58"/>
      <c r="T84" s="58"/>
      <c r="U84" s="59" t="s">
        <v>106</v>
      </c>
      <c r="V84" s="60"/>
      <c r="W84" s="60"/>
      <c r="X84" s="60"/>
      <c r="Y84" s="60"/>
      <c r="Z84" s="60"/>
      <c r="AA84" s="60"/>
      <c r="AB84" s="60"/>
      <c r="AC84" s="60"/>
      <c r="AD84" s="29" t="s">
        <v>107</v>
      </c>
      <c r="AE84" s="30"/>
      <c r="AF84" s="30"/>
      <c r="AG84" s="27" t="s">
        <v>108</v>
      </c>
      <c r="AH84" s="28"/>
      <c r="AI84" s="28"/>
      <c r="AJ84" s="29" t="s">
        <v>109</v>
      </c>
      <c r="AK84" s="30"/>
      <c r="AL84" s="30"/>
      <c r="AM84" s="27" t="s">
        <v>110</v>
      </c>
      <c r="AN84" s="28"/>
      <c r="AO84" s="28"/>
      <c r="AP84" s="29" t="s">
        <v>111</v>
      </c>
      <c r="AQ84" s="30"/>
      <c r="AR84" s="30"/>
      <c r="AS84" s="30"/>
      <c r="AT84" s="30"/>
      <c r="AU84" s="30"/>
      <c r="AV84" s="30"/>
      <c r="AW84" s="30"/>
      <c r="AX84" s="30"/>
      <c r="AY84" s="62"/>
      <c r="AZ84" s="63"/>
      <c r="BA84" s="2"/>
      <c r="BB84" s="2"/>
      <c r="BC84" s="2"/>
      <c r="BD84" s="2"/>
    </row>
    <row r="85" spans="1:56" ht="15" customHeight="1">
      <c r="A85" s="8"/>
      <c r="B85" s="511" t="s">
        <v>112</v>
      </c>
      <c r="C85" s="502" t="s">
        <v>11</v>
      </c>
      <c r="D85" s="503"/>
      <c r="E85" s="505"/>
      <c r="F85" s="502" t="s">
        <v>11</v>
      </c>
      <c r="G85" s="503"/>
      <c r="H85" s="505"/>
      <c r="I85" s="502" t="s">
        <v>11</v>
      </c>
      <c r="J85" s="503"/>
      <c r="K85" s="505"/>
      <c r="L85" s="520">
        <v>44927</v>
      </c>
      <c r="M85" s="503"/>
      <c r="N85" s="505"/>
      <c r="O85" s="520">
        <v>44958</v>
      </c>
      <c r="P85" s="503"/>
      <c r="Q85" s="505"/>
      <c r="R85" s="502" t="s">
        <v>11</v>
      </c>
      <c r="S85" s="503"/>
      <c r="T85" s="505"/>
      <c r="U85" s="520">
        <v>44927</v>
      </c>
      <c r="V85" s="503"/>
      <c r="W85" s="505"/>
      <c r="X85" s="520">
        <v>44958</v>
      </c>
      <c r="Y85" s="503"/>
      <c r="Z85" s="505"/>
      <c r="AA85" s="502" t="s">
        <v>11</v>
      </c>
      <c r="AB85" s="503"/>
      <c r="AC85" s="505"/>
      <c r="AD85" s="502" t="s">
        <v>11</v>
      </c>
      <c r="AE85" s="503"/>
      <c r="AF85" s="505"/>
      <c r="AG85" s="502" t="s">
        <v>11</v>
      </c>
      <c r="AH85" s="503"/>
      <c r="AI85" s="505"/>
      <c r="AJ85" s="502" t="s">
        <v>11</v>
      </c>
      <c r="AK85" s="503"/>
      <c r="AL85" s="505"/>
      <c r="AM85" s="522">
        <v>44927</v>
      </c>
      <c r="AN85" s="528">
        <v>44958</v>
      </c>
      <c r="AO85" s="530" t="s">
        <v>11</v>
      </c>
      <c r="AP85" s="520">
        <v>44927</v>
      </c>
      <c r="AQ85" s="503"/>
      <c r="AR85" s="505"/>
      <c r="AS85" s="520">
        <v>44958</v>
      </c>
      <c r="AT85" s="503"/>
      <c r="AU85" s="505"/>
      <c r="AV85" s="502" t="s">
        <v>11</v>
      </c>
      <c r="AW85" s="503"/>
      <c r="AX85" s="505"/>
      <c r="AY85" s="10"/>
      <c r="AZ85" s="2"/>
      <c r="BA85" s="2"/>
      <c r="BB85" s="2"/>
      <c r="BC85" s="2"/>
      <c r="BD85" s="2"/>
    </row>
    <row r="86" spans="1:56" ht="30" customHeight="1">
      <c r="A86" s="8"/>
      <c r="B86" s="521"/>
      <c r="C86" s="32" t="s">
        <v>113</v>
      </c>
      <c r="D86" s="32" t="s">
        <v>114</v>
      </c>
      <c r="E86" s="32" t="s">
        <v>14</v>
      </c>
      <c r="F86" s="32" t="s">
        <v>113</v>
      </c>
      <c r="G86" s="32" t="s">
        <v>114</v>
      </c>
      <c r="H86" s="32" t="s">
        <v>14</v>
      </c>
      <c r="I86" s="32" t="s">
        <v>113</v>
      </c>
      <c r="J86" s="32" t="s">
        <v>114</v>
      </c>
      <c r="K86" s="32" t="s">
        <v>14</v>
      </c>
      <c r="L86" s="32" t="s">
        <v>113</v>
      </c>
      <c r="M86" s="32" t="s">
        <v>114</v>
      </c>
      <c r="N86" s="32" t="s">
        <v>14</v>
      </c>
      <c r="O86" s="32" t="s">
        <v>113</v>
      </c>
      <c r="P86" s="32" t="s">
        <v>114</v>
      </c>
      <c r="Q86" s="32" t="s">
        <v>14</v>
      </c>
      <c r="R86" s="32" t="s">
        <v>113</v>
      </c>
      <c r="S86" s="32" t="s">
        <v>114</v>
      </c>
      <c r="T86" s="32" t="s">
        <v>14</v>
      </c>
      <c r="U86" s="32" t="s">
        <v>113</v>
      </c>
      <c r="V86" s="32" t="s">
        <v>114</v>
      </c>
      <c r="W86" s="32" t="s">
        <v>14</v>
      </c>
      <c r="X86" s="32" t="s">
        <v>113</v>
      </c>
      <c r="Y86" s="32" t="s">
        <v>114</v>
      </c>
      <c r="Z86" s="32" t="s">
        <v>14</v>
      </c>
      <c r="AA86" s="32" t="s">
        <v>113</v>
      </c>
      <c r="AB86" s="32" t="s">
        <v>114</v>
      </c>
      <c r="AC86" s="32" t="s">
        <v>14</v>
      </c>
      <c r="AD86" s="32" t="s">
        <v>115</v>
      </c>
      <c r="AE86" s="32" t="s">
        <v>116</v>
      </c>
      <c r="AF86" s="32" t="s">
        <v>17</v>
      </c>
      <c r="AG86" s="32" t="s">
        <v>117</v>
      </c>
      <c r="AH86" s="32" t="s">
        <v>118</v>
      </c>
      <c r="AI86" s="32" t="s">
        <v>17</v>
      </c>
      <c r="AJ86" s="32" t="s">
        <v>117</v>
      </c>
      <c r="AK86" s="32" t="s">
        <v>118</v>
      </c>
      <c r="AL86" s="32" t="s">
        <v>17</v>
      </c>
      <c r="AM86" s="523"/>
      <c r="AN86" s="529"/>
      <c r="AO86" s="531"/>
      <c r="AP86" s="32" t="s">
        <v>117</v>
      </c>
      <c r="AQ86" s="32" t="s">
        <v>118</v>
      </c>
      <c r="AR86" s="32" t="s">
        <v>17</v>
      </c>
      <c r="AS86" s="32" t="s">
        <v>117</v>
      </c>
      <c r="AT86" s="32" t="s">
        <v>118</v>
      </c>
      <c r="AU86" s="32" t="s">
        <v>17</v>
      </c>
      <c r="AV86" s="32" t="s">
        <v>117</v>
      </c>
      <c r="AW86" s="32" t="s">
        <v>118</v>
      </c>
      <c r="AX86" s="32" t="s">
        <v>17</v>
      </c>
      <c r="AY86" s="10"/>
      <c r="AZ86" s="2"/>
      <c r="BA86" s="2"/>
      <c r="BB86" s="2"/>
      <c r="BC86" s="2"/>
      <c r="BD86" s="2"/>
    </row>
    <row r="87" spans="1:56" ht="14.25" customHeight="1">
      <c r="A87" s="8"/>
      <c r="B87" s="12" t="s">
        <v>43</v>
      </c>
      <c r="C87" s="64">
        <f>SUM(C89,C90,C91)</f>
        <v>1377</v>
      </c>
      <c r="D87" s="64">
        <f>SUM(D89,D90,D91)</f>
        <v>1573</v>
      </c>
      <c r="E87" s="65">
        <f t="shared" ref="E87:E118" si="46">IFERROR(C87/D87,"-")</f>
        <v>0.87539732994278452</v>
      </c>
      <c r="F87" s="66">
        <f>SUM(F89,F90,F91)</f>
        <v>1778</v>
      </c>
      <c r="G87" s="66">
        <f>SUM(G89,G90,G91)</f>
        <v>1985</v>
      </c>
      <c r="H87" s="67">
        <f t="shared" ref="H87:H101" si="47">IFERROR(F87/G87,"-")</f>
        <v>0.89571788413098241</v>
      </c>
      <c r="I87" s="64">
        <f>SUM(I89,I90,I91)</f>
        <v>15709</v>
      </c>
      <c r="J87" s="64">
        <f>SUM(J89,J90,J91)</f>
        <v>21401</v>
      </c>
      <c r="K87" s="65">
        <f t="shared" ref="K87:K118" si="48">IFERROR(I87/J87,"-")</f>
        <v>0.73403112004111959</v>
      </c>
      <c r="L87" s="66">
        <f t="shared" ref="L87:M91" si="49">IFERROR(SUM(C240,L240,U240),"-")</f>
        <v>9548</v>
      </c>
      <c r="M87" s="66">
        <f t="shared" si="49"/>
        <v>10401</v>
      </c>
      <c r="N87" s="67">
        <f t="shared" ref="N87:N118" si="50">IFERROR(L87/M87,"-")</f>
        <v>0.91798865493702531</v>
      </c>
      <c r="O87" s="66">
        <f t="shared" ref="O87:P91" si="51">IFERROR(SUM(F240,O240,X240),"-")</f>
        <v>8588</v>
      </c>
      <c r="P87" s="66">
        <f t="shared" si="51"/>
        <v>9348</v>
      </c>
      <c r="Q87" s="67">
        <f t="shared" ref="Q87:Q118" si="52">IFERROR(O87/P87,"-")</f>
        <v>0.91869918699186992</v>
      </c>
      <c r="R87" s="66">
        <f t="shared" ref="R87:S91" si="53">IFERROR(SUM(I240,R240,AA240),"-")</f>
        <v>18136</v>
      </c>
      <c r="S87" s="66">
        <f t="shared" si="53"/>
        <v>19749</v>
      </c>
      <c r="T87" s="67">
        <f t="shared" ref="T87:T118" si="54">IFERROR(R87/S87,"-")</f>
        <v>0.918324978479923</v>
      </c>
      <c r="U87" s="64">
        <f>SUM(U89,U90,U91)</f>
        <v>155</v>
      </c>
      <c r="V87" s="64">
        <f>SUM(V89,V90,V91)</f>
        <v>155</v>
      </c>
      <c r="W87" s="65">
        <f t="shared" ref="W87:W118" si="55">IFERROR(U87/V87,"-")</f>
        <v>1</v>
      </c>
      <c r="X87" s="64">
        <f>SUM(X89,X90,X91)</f>
        <v>1066</v>
      </c>
      <c r="Y87" s="64">
        <f>SUM(Y89,Y90,Y91)</f>
        <v>1066</v>
      </c>
      <c r="Z87" s="65">
        <f t="shared" ref="Z87:Z118" si="56">IFERROR(X87/Y87,"-")</f>
        <v>1</v>
      </c>
      <c r="AA87" s="64">
        <f t="shared" ref="AA87:AB91" si="57">SUM(U87,X87)</f>
        <v>1221</v>
      </c>
      <c r="AB87" s="64">
        <f t="shared" si="57"/>
        <v>1221</v>
      </c>
      <c r="AC87" s="65">
        <f t="shared" ref="AC87:AC101" si="58">IFERROR(AA87/AB87,"-")</f>
        <v>1</v>
      </c>
      <c r="AD87" s="68"/>
      <c r="AE87" s="68"/>
      <c r="AF87" s="37" t="str">
        <f t="shared" ref="AF87:AF118" si="59">IFERROR(AD87/AE87,"-")</f>
        <v>-</v>
      </c>
      <c r="AG87" s="69">
        <f>SUM(AG90:AG91,AG89)</f>
        <v>6036</v>
      </c>
      <c r="AH87" s="69">
        <f>SUM(AH90:AH91,AH89)</f>
        <v>6702</v>
      </c>
      <c r="AI87" s="36">
        <f t="shared" ref="AI87:AI118" si="60">IFERROR(AG87/AH87,"-")</f>
        <v>0.90062667860340195</v>
      </c>
      <c r="AJ87" s="70">
        <f>SUM(AJ90:AJ91,AJ89)</f>
        <v>129202</v>
      </c>
      <c r="AK87" s="70">
        <f>SUM(AK90:AK91,AK89)</f>
        <v>143603</v>
      </c>
      <c r="AL87" s="21">
        <f t="shared" ref="AL87:AL98" si="61">IFERROR(AJ87/AK87,"-")</f>
        <v>0.8997165797371921</v>
      </c>
      <c r="AM87" s="36">
        <f t="shared" ref="AM87:AO91" si="62">X195</f>
        <v>0</v>
      </c>
      <c r="AN87" s="36">
        <f t="shared" si="62"/>
        <v>0</v>
      </c>
      <c r="AO87" s="36">
        <f t="shared" si="62"/>
        <v>0</v>
      </c>
      <c r="AP87" s="70">
        <f>SUM(AP90:AP91,AP89)</f>
        <v>763</v>
      </c>
      <c r="AQ87" s="70">
        <f>SUM(AQ90:AQ91,AQ89)</f>
        <v>926</v>
      </c>
      <c r="AR87" s="21">
        <f t="shared" ref="AR87:AR118" si="63">IFERROR(AP87/AQ87,"-")</f>
        <v>0.82397408207343414</v>
      </c>
      <c r="AS87" s="70">
        <f>SUM(AS90:AS91,AS89)</f>
        <v>5131</v>
      </c>
      <c r="AT87" s="70">
        <f>SUM(AT90:AT91,AT89)</f>
        <v>6251</v>
      </c>
      <c r="AU87" s="21">
        <f t="shared" ref="AU87:AU118" si="64">IFERROR(AS87/AT87,"-")</f>
        <v>0.82082866741321392</v>
      </c>
      <c r="AV87" s="70"/>
      <c r="AW87" s="70"/>
      <c r="AX87" s="37" t="str">
        <f t="shared" ref="AX87:AX118" si="65">IFERROR(AV87/AW87,"-")</f>
        <v>-</v>
      </c>
      <c r="AY87" s="10"/>
      <c r="AZ87" s="2"/>
      <c r="BA87" s="2"/>
      <c r="BB87" s="2"/>
      <c r="BC87" s="2"/>
      <c r="BD87" s="2"/>
    </row>
    <row r="88" spans="1:56" ht="14.25" customHeight="1">
      <c r="A88" s="8"/>
      <c r="B88" s="38" t="s">
        <v>44</v>
      </c>
      <c r="C88" s="64">
        <f>SUM(C89,C90)</f>
        <v>1377</v>
      </c>
      <c r="D88" s="64">
        <f>SUM(D89,D90)</f>
        <v>1573</v>
      </c>
      <c r="E88" s="65">
        <f t="shared" si="46"/>
        <v>0.87539732994278452</v>
      </c>
      <c r="F88" s="66">
        <f>SUM(F89,F90)</f>
        <v>1723</v>
      </c>
      <c r="G88" s="66">
        <f>SUM(G89,G90)</f>
        <v>1928</v>
      </c>
      <c r="H88" s="67">
        <f t="shared" si="47"/>
        <v>0.89367219917012453</v>
      </c>
      <c r="I88" s="64">
        <f>SUM(I89,I90)</f>
        <v>15709</v>
      </c>
      <c r="J88" s="64">
        <f>SUM(J89,J90)</f>
        <v>21401</v>
      </c>
      <c r="K88" s="65">
        <f t="shared" si="48"/>
        <v>0.73403112004111959</v>
      </c>
      <c r="L88" s="66">
        <f t="shared" si="49"/>
        <v>9548</v>
      </c>
      <c r="M88" s="66">
        <f t="shared" si="49"/>
        <v>10401</v>
      </c>
      <c r="N88" s="67">
        <f t="shared" si="50"/>
        <v>0.91798865493702531</v>
      </c>
      <c r="O88" s="66">
        <f t="shared" si="51"/>
        <v>8588</v>
      </c>
      <c r="P88" s="66">
        <f t="shared" si="51"/>
        <v>9348</v>
      </c>
      <c r="Q88" s="67">
        <f t="shared" si="52"/>
        <v>0.91869918699186992</v>
      </c>
      <c r="R88" s="66">
        <f t="shared" si="53"/>
        <v>18136</v>
      </c>
      <c r="S88" s="66">
        <f t="shared" si="53"/>
        <v>19749</v>
      </c>
      <c r="T88" s="67">
        <f t="shared" si="54"/>
        <v>0.918324978479923</v>
      </c>
      <c r="U88" s="64">
        <f>SUM(U89,U90)</f>
        <v>155</v>
      </c>
      <c r="V88" s="64">
        <f>SUM(V89,V90)</f>
        <v>155</v>
      </c>
      <c r="W88" s="65">
        <f t="shared" si="55"/>
        <v>1</v>
      </c>
      <c r="X88" s="64">
        <f>SUM(X89,X90)</f>
        <v>1066</v>
      </c>
      <c r="Y88" s="64">
        <f>SUM(Y89,Y90)</f>
        <v>1066</v>
      </c>
      <c r="Z88" s="65">
        <f t="shared" si="56"/>
        <v>1</v>
      </c>
      <c r="AA88" s="64">
        <f t="shared" si="57"/>
        <v>1221</v>
      </c>
      <c r="AB88" s="64">
        <f t="shared" si="57"/>
        <v>1221</v>
      </c>
      <c r="AC88" s="65">
        <f t="shared" si="58"/>
        <v>1</v>
      </c>
      <c r="AD88" s="68"/>
      <c r="AE88" s="68"/>
      <c r="AF88" s="37" t="str">
        <f t="shared" si="59"/>
        <v>-</v>
      </c>
      <c r="AG88" s="69">
        <f>SUM(AG89,AG90)</f>
        <v>6036</v>
      </c>
      <c r="AH88" s="69">
        <f>SUM(AH89,AH90)</f>
        <v>6702</v>
      </c>
      <c r="AI88" s="36">
        <f t="shared" si="60"/>
        <v>0.90062667860340195</v>
      </c>
      <c r="AJ88" s="70">
        <f>SUM(AJ89,AJ90)</f>
        <v>129202</v>
      </c>
      <c r="AK88" s="70">
        <f>SUM(AK89,AK90)</f>
        <v>143603</v>
      </c>
      <c r="AL88" s="21">
        <f t="shared" si="61"/>
        <v>0.8997165797371921</v>
      </c>
      <c r="AM88" s="36">
        <f t="shared" si="62"/>
        <v>0</v>
      </c>
      <c r="AN88" s="36">
        <f t="shared" si="62"/>
        <v>0</v>
      </c>
      <c r="AO88" s="36">
        <f t="shared" si="62"/>
        <v>0</v>
      </c>
      <c r="AP88" s="70">
        <f>SUM(AP89,AP90)</f>
        <v>763</v>
      </c>
      <c r="AQ88" s="70">
        <f>SUM(AQ89,AQ90)</f>
        <v>926</v>
      </c>
      <c r="AR88" s="21">
        <f t="shared" si="63"/>
        <v>0.82397408207343414</v>
      </c>
      <c r="AS88" s="70">
        <f>SUM(AS89,AS90)</f>
        <v>5131</v>
      </c>
      <c r="AT88" s="70">
        <f>SUM(AT89,AT90)</f>
        <v>6251</v>
      </c>
      <c r="AU88" s="21">
        <f t="shared" si="64"/>
        <v>0.82082866741321392</v>
      </c>
      <c r="AV88" s="70"/>
      <c r="AW88" s="70"/>
      <c r="AX88" s="37" t="str">
        <f t="shared" si="65"/>
        <v>-</v>
      </c>
      <c r="AY88" s="10"/>
      <c r="AZ88" s="2"/>
      <c r="BA88" s="2"/>
      <c r="BB88" s="2"/>
      <c r="BC88" s="2"/>
      <c r="BD88" s="2"/>
    </row>
    <row r="89" spans="1:56" ht="14.25" customHeight="1">
      <c r="A89" s="8"/>
      <c r="B89" s="38" t="s">
        <v>45</v>
      </c>
      <c r="C89" s="71">
        <f>SUM(C113:C132)</f>
        <v>1377</v>
      </c>
      <c r="D89" s="71">
        <f>SUM(D113:D132)</f>
        <v>1573</v>
      </c>
      <c r="E89" s="72">
        <f t="shared" si="46"/>
        <v>0.87539732994278452</v>
      </c>
      <c r="F89" s="71">
        <f>SUM(F113:F132)</f>
        <v>1415</v>
      </c>
      <c r="G89" s="71">
        <f>SUM(G113:G132)</f>
        <v>1593</v>
      </c>
      <c r="H89" s="72">
        <f t="shared" si="47"/>
        <v>0.88826114249843069</v>
      </c>
      <c r="I89" s="73">
        <f>SUM(I113:I132)+SUM(I96:I98)+SUM(I101:I111)</f>
        <v>15619</v>
      </c>
      <c r="J89" s="73">
        <f>SUM(J113:J132)+SUM(J96:J98)+SUM(J101:J111)</f>
        <v>21262</v>
      </c>
      <c r="K89" s="74">
        <f t="shared" si="48"/>
        <v>0.73459693349637856</v>
      </c>
      <c r="L89" s="71">
        <f t="shared" si="49"/>
        <v>9311</v>
      </c>
      <c r="M89" s="71">
        <f t="shared" si="49"/>
        <v>10103</v>
      </c>
      <c r="N89" s="72">
        <f t="shared" si="50"/>
        <v>0.92160744333366329</v>
      </c>
      <c r="O89" s="71">
        <f t="shared" si="51"/>
        <v>8265</v>
      </c>
      <c r="P89" s="71">
        <f t="shared" si="51"/>
        <v>8865</v>
      </c>
      <c r="Q89" s="72">
        <f t="shared" si="52"/>
        <v>0.93231810490693734</v>
      </c>
      <c r="R89" s="71">
        <f t="shared" si="53"/>
        <v>17576</v>
      </c>
      <c r="S89" s="71">
        <f t="shared" si="53"/>
        <v>18968</v>
      </c>
      <c r="T89" s="72">
        <f t="shared" si="54"/>
        <v>0.92661324335723327</v>
      </c>
      <c r="U89" s="75">
        <f>SUM(U113:U132)</f>
        <v>155</v>
      </c>
      <c r="V89" s="75">
        <f>SUM(V113:V132)</f>
        <v>155</v>
      </c>
      <c r="W89" s="74">
        <f t="shared" si="55"/>
        <v>1</v>
      </c>
      <c r="X89" s="75">
        <f>SUM(X113:X132)</f>
        <v>1043</v>
      </c>
      <c r="Y89" s="75">
        <f>SUM(Y113:Y132)</f>
        <v>1043</v>
      </c>
      <c r="Z89" s="74">
        <f t="shared" si="56"/>
        <v>1</v>
      </c>
      <c r="AA89" s="75">
        <f t="shared" si="57"/>
        <v>1198</v>
      </c>
      <c r="AB89" s="75">
        <f t="shared" si="57"/>
        <v>1198</v>
      </c>
      <c r="AC89" s="74">
        <f t="shared" si="58"/>
        <v>1</v>
      </c>
      <c r="AD89" s="68"/>
      <c r="AE89" s="68"/>
      <c r="AF89" s="40" t="str">
        <f t="shared" si="59"/>
        <v>-</v>
      </c>
      <c r="AG89" s="76">
        <v>4867</v>
      </c>
      <c r="AH89" s="76">
        <v>5470</v>
      </c>
      <c r="AI89" s="39">
        <f t="shared" si="60"/>
        <v>0.88976234003656307</v>
      </c>
      <c r="AJ89" s="73">
        <f>SUM(AJ113:AJ132)+SUM(AJ96:AJ98)+SUM(AJ101:AJ111)</f>
        <v>128967</v>
      </c>
      <c r="AK89" s="73">
        <f>SUM(AK113:AK132)+SUM(AK96:AK98)+SUM(AK101:AK111)</f>
        <v>143342</v>
      </c>
      <c r="AL89" s="41">
        <f t="shared" si="61"/>
        <v>0.89971536604763436</v>
      </c>
      <c r="AM89" s="39">
        <f t="shared" si="62"/>
        <v>0</v>
      </c>
      <c r="AN89" s="39">
        <f t="shared" si="62"/>
        <v>0</v>
      </c>
      <c r="AO89" s="39">
        <f t="shared" si="62"/>
        <v>0</v>
      </c>
      <c r="AP89" s="77">
        <v>763</v>
      </c>
      <c r="AQ89" s="77">
        <v>926</v>
      </c>
      <c r="AR89" s="41">
        <f t="shared" si="63"/>
        <v>0.82397408207343414</v>
      </c>
      <c r="AS89" s="77">
        <v>5131</v>
      </c>
      <c r="AT89" s="77">
        <v>6251</v>
      </c>
      <c r="AU89" s="41">
        <f t="shared" si="64"/>
        <v>0.82082866741321392</v>
      </c>
      <c r="AV89" s="78"/>
      <c r="AW89" s="78"/>
      <c r="AX89" s="40" t="str">
        <f t="shared" si="65"/>
        <v>-</v>
      </c>
      <c r="AY89" s="10"/>
      <c r="AZ89" s="2"/>
      <c r="BA89" s="2"/>
      <c r="BB89" s="2"/>
      <c r="BC89" s="2"/>
      <c r="BD89" s="2"/>
    </row>
    <row r="90" spans="1:56" ht="14.25" customHeight="1">
      <c r="A90" s="8"/>
      <c r="B90" s="43" t="s">
        <v>46</v>
      </c>
      <c r="C90" s="79"/>
      <c r="D90" s="79"/>
      <c r="E90" s="80" t="str">
        <f t="shared" si="46"/>
        <v>-</v>
      </c>
      <c r="F90" s="66">
        <f>SUM(F141:F143)</f>
        <v>308</v>
      </c>
      <c r="G90" s="66">
        <f>SUM(G141:G143)</f>
        <v>335</v>
      </c>
      <c r="H90" s="67">
        <f t="shared" si="47"/>
        <v>0.91940298507462681</v>
      </c>
      <c r="I90" s="64">
        <f>SUM(I141:I143)</f>
        <v>90</v>
      </c>
      <c r="J90" s="64">
        <f>SUM(J141:J143)</f>
        <v>139</v>
      </c>
      <c r="K90" s="65">
        <f t="shared" si="48"/>
        <v>0.64748201438848918</v>
      </c>
      <c r="L90" s="66">
        <f t="shared" si="49"/>
        <v>237</v>
      </c>
      <c r="M90" s="66">
        <f t="shared" si="49"/>
        <v>298</v>
      </c>
      <c r="N90" s="67">
        <f t="shared" si="50"/>
        <v>0.79530201342281881</v>
      </c>
      <c r="O90" s="66">
        <f t="shared" si="51"/>
        <v>323</v>
      </c>
      <c r="P90" s="66">
        <f t="shared" si="51"/>
        <v>483</v>
      </c>
      <c r="Q90" s="67">
        <f t="shared" si="52"/>
        <v>0.66873706004140787</v>
      </c>
      <c r="R90" s="66">
        <f t="shared" si="53"/>
        <v>560</v>
      </c>
      <c r="S90" s="66">
        <f t="shared" si="53"/>
        <v>781</v>
      </c>
      <c r="T90" s="67">
        <f t="shared" si="54"/>
        <v>0.71702944942381563</v>
      </c>
      <c r="U90" s="64">
        <f>SUM(U141:U143)</f>
        <v>0</v>
      </c>
      <c r="V90" s="64">
        <f>SUM(V141:V143)</f>
        <v>0</v>
      </c>
      <c r="W90" s="80" t="str">
        <f t="shared" si="55"/>
        <v>-</v>
      </c>
      <c r="X90" s="64">
        <f>SUM(X141:X143)</f>
        <v>23</v>
      </c>
      <c r="Y90" s="64">
        <f>SUM(Y141:Y143)</f>
        <v>23</v>
      </c>
      <c r="Z90" s="65">
        <f t="shared" si="56"/>
        <v>1</v>
      </c>
      <c r="AA90" s="64">
        <f t="shared" si="57"/>
        <v>23</v>
      </c>
      <c r="AB90" s="64">
        <f t="shared" si="57"/>
        <v>23</v>
      </c>
      <c r="AC90" s="65">
        <f t="shared" si="58"/>
        <v>1</v>
      </c>
      <c r="AD90" s="68"/>
      <c r="AE90" s="68"/>
      <c r="AF90" s="37" t="str">
        <f t="shared" si="59"/>
        <v>-</v>
      </c>
      <c r="AG90" s="76">
        <v>1169</v>
      </c>
      <c r="AH90" s="76">
        <v>1232</v>
      </c>
      <c r="AI90" s="36">
        <f t="shared" si="60"/>
        <v>0.94886363636363635</v>
      </c>
      <c r="AJ90" s="73">
        <v>235</v>
      </c>
      <c r="AK90" s="73">
        <v>261</v>
      </c>
      <c r="AL90" s="21">
        <f t="shared" si="61"/>
        <v>0.90038314176245215</v>
      </c>
      <c r="AM90" s="36">
        <f t="shared" si="62"/>
        <v>0</v>
      </c>
      <c r="AN90" s="36">
        <f t="shared" si="62"/>
        <v>0</v>
      </c>
      <c r="AO90" s="36">
        <f t="shared" si="62"/>
        <v>0</v>
      </c>
      <c r="AP90" s="81" t="s">
        <v>19</v>
      </c>
      <c r="AQ90" s="81" t="s">
        <v>19</v>
      </c>
      <c r="AR90" s="37" t="str">
        <f t="shared" si="63"/>
        <v>-</v>
      </c>
      <c r="AS90" s="81" t="s">
        <v>19</v>
      </c>
      <c r="AT90" s="81" t="s">
        <v>19</v>
      </c>
      <c r="AU90" s="37" t="str">
        <f t="shared" si="64"/>
        <v>-</v>
      </c>
      <c r="AV90" s="70"/>
      <c r="AW90" s="70"/>
      <c r="AX90" s="37" t="str">
        <f t="shared" si="65"/>
        <v>-</v>
      </c>
      <c r="AY90" s="10"/>
      <c r="AZ90" s="2"/>
      <c r="BA90" s="2"/>
      <c r="BB90" s="2"/>
      <c r="BC90" s="2"/>
      <c r="BD90" s="2"/>
    </row>
    <row r="91" spans="1:56" ht="14.25" customHeight="1">
      <c r="A91" s="8"/>
      <c r="B91" s="45" t="s">
        <v>47</v>
      </c>
      <c r="C91" s="79"/>
      <c r="D91" s="79"/>
      <c r="E91" s="80" t="str">
        <f t="shared" si="46"/>
        <v>-</v>
      </c>
      <c r="F91" s="82">
        <f>SUM(F144:F145)</f>
        <v>55</v>
      </c>
      <c r="G91" s="82">
        <f>SUM(G144:G145)</f>
        <v>57</v>
      </c>
      <c r="H91" s="67">
        <f t="shared" si="47"/>
        <v>0.96491228070175439</v>
      </c>
      <c r="I91" s="64">
        <f>SUM(I144:I145)</f>
        <v>0</v>
      </c>
      <c r="J91" s="64">
        <f>SUM(J144:J145)</f>
        <v>0</v>
      </c>
      <c r="K91" s="80" t="str">
        <f t="shared" si="48"/>
        <v>-</v>
      </c>
      <c r="L91" s="66">
        <f t="shared" si="49"/>
        <v>0</v>
      </c>
      <c r="M91" s="66">
        <f t="shared" si="49"/>
        <v>0</v>
      </c>
      <c r="N91" s="83" t="str">
        <f t="shared" si="50"/>
        <v>-</v>
      </c>
      <c r="O91" s="66">
        <f t="shared" si="51"/>
        <v>0</v>
      </c>
      <c r="P91" s="66">
        <f t="shared" si="51"/>
        <v>0</v>
      </c>
      <c r="Q91" s="83" t="str">
        <f t="shared" si="52"/>
        <v>-</v>
      </c>
      <c r="R91" s="66">
        <f t="shared" si="53"/>
        <v>0</v>
      </c>
      <c r="S91" s="66">
        <f t="shared" si="53"/>
        <v>0</v>
      </c>
      <c r="T91" s="83" t="str">
        <f t="shared" si="54"/>
        <v>-</v>
      </c>
      <c r="U91" s="64">
        <f>SUM(U144:U145)</f>
        <v>0</v>
      </c>
      <c r="V91" s="64">
        <f>SUM(V144:V145)</f>
        <v>0</v>
      </c>
      <c r="W91" s="80" t="str">
        <f t="shared" si="55"/>
        <v>-</v>
      </c>
      <c r="X91" s="64">
        <f>SUM(X144:X145)</f>
        <v>0</v>
      </c>
      <c r="Y91" s="64">
        <f>SUM(Y144:Y145)</f>
        <v>0</v>
      </c>
      <c r="Z91" s="80" t="str">
        <f t="shared" si="56"/>
        <v>-</v>
      </c>
      <c r="AA91" s="64">
        <f t="shared" si="57"/>
        <v>0</v>
      </c>
      <c r="AB91" s="64">
        <f t="shared" si="57"/>
        <v>0</v>
      </c>
      <c r="AC91" s="80" t="str">
        <f t="shared" si="58"/>
        <v>-</v>
      </c>
      <c r="AD91" s="68"/>
      <c r="AE91" s="68"/>
      <c r="AF91" s="37" t="str">
        <f t="shared" si="59"/>
        <v>-</v>
      </c>
      <c r="AG91" s="44" t="s">
        <v>19</v>
      </c>
      <c r="AH91" s="44" t="s">
        <v>19</v>
      </c>
      <c r="AI91" s="44" t="str">
        <f t="shared" si="60"/>
        <v>-</v>
      </c>
      <c r="AJ91" s="68"/>
      <c r="AK91" s="68"/>
      <c r="AL91" s="37" t="str">
        <f t="shared" si="61"/>
        <v>-</v>
      </c>
      <c r="AM91" s="36">
        <f t="shared" si="62"/>
        <v>0</v>
      </c>
      <c r="AN91" s="36">
        <f t="shared" si="62"/>
        <v>0</v>
      </c>
      <c r="AO91" s="36">
        <f t="shared" si="62"/>
        <v>0</v>
      </c>
      <c r="AP91" s="81" t="s">
        <v>19</v>
      </c>
      <c r="AQ91" s="81" t="s">
        <v>19</v>
      </c>
      <c r="AR91" s="37" t="str">
        <f t="shared" si="63"/>
        <v>-</v>
      </c>
      <c r="AS91" s="81" t="s">
        <v>19</v>
      </c>
      <c r="AT91" s="81" t="s">
        <v>19</v>
      </c>
      <c r="AU91" s="37" t="str">
        <f t="shared" si="64"/>
        <v>-</v>
      </c>
      <c r="AV91" s="70"/>
      <c r="AW91" s="70"/>
      <c r="AX91" s="37" t="str">
        <f t="shared" si="65"/>
        <v>-</v>
      </c>
      <c r="AY91" s="10"/>
      <c r="AZ91" s="2"/>
      <c r="BA91" s="2"/>
      <c r="BB91" s="2"/>
      <c r="BC91" s="2"/>
      <c r="BD91" s="2"/>
    </row>
    <row r="92" spans="1:56" ht="14.25" customHeight="1">
      <c r="A92" s="8"/>
      <c r="B92" s="12" t="s">
        <v>48</v>
      </c>
      <c r="C92" s="64">
        <f>C89</f>
        <v>1377</v>
      </c>
      <c r="D92" s="64">
        <f>D89</f>
        <v>1573</v>
      </c>
      <c r="E92" s="65">
        <f t="shared" si="46"/>
        <v>0.87539732994278452</v>
      </c>
      <c r="F92" s="66">
        <f>F89</f>
        <v>1415</v>
      </c>
      <c r="G92" s="66">
        <f>G89</f>
        <v>1593</v>
      </c>
      <c r="H92" s="67">
        <f t="shared" si="47"/>
        <v>0.88826114249843069</v>
      </c>
      <c r="I92" s="64">
        <f>I89</f>
        <v>15619</v>
      </c>
      <c r="J92" s="64">
        <f>J89</f>
        <v>21262</v>
      </c>
      <c r="K92" s="65">
        <f t="shared" si="48"/>
        <v>0.73459693349637856</v>
      </c>
      <c r="L92" s="66">
        <f>L89</f>
        <v>9311</v>
      </c>
      <c r="M92" s="66">
        <f>M89</f>
        <v>10103</v>
      </c>
      <c r="N92" s="67">
        <f t="shared" si="50"/>
        <v>0.92160744333366329</v>
      </c>
      <c r="O92" s="66">
        <f>O89</f>
        <v>8265</v>
      </c>
      <c r="P92" s="66">
        <f>P89</f>
        <v>8865</v>
      </c>
      <c r="Q92" s="67">
        <f t="shared" si="52"/>
        <v>0.93231810490693734</v>
      </c>
      <c r="R92" s="66">
        <f>R89</f>
        <v>17576</v>
      </c>
      <c r="S92" s="66">
        <f>S89</f>
        <v>18968</v>
      </c>
      <c r="T92" s="67">
        <f t="shared" si="54"/>
        <v>0.92661324335723327</v>
      </c>
      <c r="U92" s="64">
        <f>U89</f>
        <v>155</v>
      </c>
      <c r="V92" s="64">
        <f>V89</f>
        <v>155</v>
      </c>
      <c r="W92" s="65">
        <f t="shared" si="55"/>
        <v>1</v>
      </c>
      <c r="X92" s="64">
        <f>X89</f>
        <v>1043</v>
      </c>
      <c r="Y92" s="64">
        <f>Y89</f>
        <v>1043</v>
      </c>
      <c r="Z92" s="65">
        <f t="shared" si="56"/>
        <v>1</v>
      </c>
      <c r="AA92" s="64">
        <f>AA89</f>
        <v>1198</v>
      </c>
      <c r="AB92" s="64">
        <f>AB89</f>
        <v>1198</v>
      </c>
      <c r="AC92" s="65">
        <f t="shared" si="58"/>
        <v>1</v>
      </c>
      <c r="AD92" s="68">
        <f>AD89</f>
        <v>0</v>
      </c>
      <c r="AE92" s="68">
        <f>AE89</f>
        <v>0</v>
      </c>
      <c r="AF92" s="37" t="str">
        <f t="shared" si="59"/>
        <v>-</v>
      </c>
      <c r="AG92" s="69">
        <f>AG89</f>
        <v>4867</v>
      </c>
      <c r="AH92" s="69">
        <f>AH89</f>
        <v>5470</v>
      </c>
      <c r="AI92" s="36">
        <f t="shared" si="60"/>
        <v>0.88976234003656307</v>
      </c>
      <c r="AJ92" s="70">
        <f>AJ89</f>
        <v>128967</v>
      </c>
      <c r="AK92" s="70">
        <f>AK89</f>
        <v>143342</v>
      </c>
      <c r="AL92" s="21">
        <f t="shared" si="61"/>
        <v>0.89971536604763436</v>
      </c>
      <c r="AM92" s="36">
        <f>AM89</f>
        <v>0</v>
      </c>
      <c r="AN92" s="36">
        <f>AN89</f>
        <v>0</v>
      </c>
      <c r="AO92" s="36">
        <f>AO89</f>
        <v>0</v>
      </c>
      <c r="AP92" s="70">
        <f>AP89</f>
        <v>763</v>
      </c>
      <c r="AQ92" s="70">
        <f>AQ89</f>
        <v>926</v>
      </c>
      <c r="AR92" s="21">
        <f t="shared" si="63"/>
        <v>0.82397408207343414</v>
      </c>
      <c r="AS92" s="70">
        <f>AS89</f>
        <v>5131</v>
      </c>
      <c r="AT92" s="70">
        <f>AT89</f>
        <v>6251</v>
      </c>
      <c r="AU92" s="21">
        <f t="shared" si="64"/>
        <v>0.82082866741321392</v>
      </c>
      <c r="AV92" s="70"/>
      <c r="AW92" s="70"/>
      <c r="AX92" s="37" t="str">
        <f t="shared" si="65"/>
        <v>-</v>
      </c>
      <c r="AY92" s="10"/>
      <c r="AZ92" s="2"/>
      <c r="BA92" s="2"/>
      <c r="BB92" s="2"/>
      <c r="BC92" s="2"/>
      <c r="BD92" s="2"/>
    </row>
    <row r="93" spans="1:56" ht="14.25" customHeight="1">
      <c r="A93" s="8"/>
      <c r="B93" s="12" t="s">
        <v>49</v>
      </c>
      <c r="C93" s="84">
        <f>SUM(C96,C105,C106,C108,C112)</f>
        <v>0</v>
      </c>
      <c r="D93" s="84">
        <f>SUM(D96,D105,D106,D108,D112)</f>
        <v>0</v>
      </c>
      <c r="E93" s="80" t="str">
        <f t="shared" si="46"/>
        <v>-</v>
      </c>
      <c r="F93" s="83" t="s">
        <v>19</v>
      </c>
      <c r="G93" s="83" t="s">
        <v>19</v>
      </c>
      <c r="H93" s="83" t="str">
        <f t="shared" si="47"/>
        <v>-</v>
      </c>
      <c r="I93" s="64">
        <f>I96+I106+I108</f>
        <v>8146</v>
      </c>
      <c r="J93" s="64">
        <f>J96+J106+J108</f>
        <v>11872</v>
      </c>
      <c r="K93" s="65">
        <f t="shared" si="48"/>
        <v>0.68615229110512133</v>
      </c>
      <c r="L93" s="66">
        <f>L89</f>
        <v>9311</v>
      </c>
      <c r="M93" s="66">
        <f>M89</f>
        <v>10103</v>
      </c>
      <c r="N93" s="67">
        <f t="shared" si="50"/>
        <v>0.92160744333366329</v>
      </c>
      <c r="O93" s="66">
        <f>O89</f>
        <v>8265</v>
      </c>
      <c r="P93" s="66">
        <f>P89</f>
        <v>8865</v>
      </c>
      <c r="Q93" s="67">
        <f t="shared" si="52"/>
        <v>0.93231810490693734</v>
      </c>
      <c r="R93" s="66">
        <f>R89</f>
        <v>17576</v>
      </c>
      <c r="S93" s="66">
        <f>S89</f>
        <v>18968</v>
      </c>
      <c r="T93" s="67">
        <f t="shared" si="54"/>
        <v>0.92661324335723327</v>
      </c>
      <c r="U93" s="64">
        <f>U89</f>
        <v>155</v>
      </c>
      <c r="V93" s="64">
        <f>V89</f>
        <v>155</v>
      </c>
      <c r="W93" s="65">
        <f t="shared" si="55"/>
        <v>1</v>
      </c>
      <c r="X93" s="64">
        <f>X89</f>
        <v>1043</v>
      </c>
      <c r="Y93" s="64">
        <f>Y89</f>
        <v>1043</v>
      </c>
      <c r="Z93" s="65">
        <f t="shared" si="56"/>
        <v>1</v>
      </c>
      <c r="AA93" s="64">
        <f>AA89</f>
        <v>1198</v>
      </c>
      <c r="AB93" s="64">
        <f>AB89</f>
        <v>1198</v>
      </c>
      <c r="AC93" s="65">
        <f t="shared" si="58"/>
        <v>1</v>
      </c>
      <c r="AD93" s="70">
        <f>SUM(AD96,AD105,AD106,AD108,AD112)</f>
        <v>0</v>
      </c>
      <c r="AE93" s="70">
        <f>SUM(AE96,AE105,AE106,AE108,AE112)</f>
        <v>0</v>
      </c>
      <c r="AF93" s="37" t="str">
        <f t="shared" si="59"/>
        <v>-</v>
      </c>
      <c r="AG93" s="69">
        <f>SUM(AG96,AG105,AG106,AG108,AG112)</f>
        <v>0</v>
      </c>
      <c r="AH93" s="69">
        <f>SUM(AH96,AH105,AH106,AH108,AH112)</f>
        <v>0</v>
      </c>
      <c r="AI93" s="44" t="str">
        <f t="shared" si="60"/>
        <v>-</v>
      </c>
      <c r="AJ93" s="70">
        <f>SUM(AJ96,AJ105,AJ106,AJ108,AJ112)</f>
        <v>62889</v>
      </c>
      <c r="AK93" s="70">
        <f>SUM(AK96,AK105,AK106,AK108,AK112)</f>
        <v>67796</v>
      </c>
      <c r="AL93" s="21">
        <f t="shared" si="61"/>
        <v>0.92762109858988728</v>
      </c>
      <c r="AM93" s="44" t="s">
        <v>19</v>
      </c>
      <c r="AN93" s="36">
        <f>AN89</f>
        <v>0</v>
      </c>
      <c r="AO93" s="44" t="s">
        <v>19</v>
      </c>
      <c r="AP93" s="70">
        <f>SUM(AP96,AP105,AP106,AP108,AP112)</f>
        <v>116</v>
      </c>
      <c r="AQ93" s="70">
        <f>SUM(AQ96,AQ105,AQ106,AQ108,AQ112)</f>
        <v>155</v>
      </c>
      <c r="AR93" s="21">
        <f t="shared" si="63"/>
        <v>0.74838709677419357</v>
      </c>
      <c r="AS93" s="70">
        <f>SUM(AS96,AS105,AS106,AS108,AS112)</f>
        <v>796</v>
      </c>
      <c r="AT93" s="70">
        <f>SUM(AT96,AT105,AT106,AT108,AT112)</f>
        <v>1043</v>
      </c>
      <c r="AU93" s="21">
        <f t="shared" si="64"/>
        <v>0.76318312559923296</v>
      </c>
      <c r="AV93" s="70"/>
      <c r="AW93" s="70"/>
      <c r="AX93" s="37" t="str">
        <f t="shared" si="65"/>
        <v>-</v>
      </c>
      <c r="AY93" s="10"/>
      <c r="AZ93" s="2"/>
      <c r="BA93" s="2"/>
      <c r="BB93" s="2"/>
      <c r="BC93" s="2"/>
      <c r="BD93" s="2"/>
    </row>
    <row r="94" spans="1:56" ht="14.25" customHeight="1">
      <c r="A94" s="8"/>
      <c r="B94" s="12" t="s">
        <v>50</v>
      </c>
      <c r="C94" s="84">
        <f>SUM(C101,C102,C103,C104,C107,C109)</f>
        <v>0</v>
      </c>
      <c r="D94" s="84">
        <f>SUM(D101,D102,D103,D104,D107,D109)</f>
        <v>0</v>
      </c>
      <c r="E94" s="80" t="str">
        <f t="shared" si="46"/>
        <v>-</v>
      </c>
      <c r="F94" s="66">
        <f>F89</f>
        <v>1415</v>
      </c>
      <c r="G94" s="66">
        <f>G89</f>
        <v>1593</v>
      </c>
      <c r="H94" s="67">
        <f t="shared" si="47"/>
        <v>0.88826114249843069</v>
      </c>
      <c r="I94" s="64">
        <f>I104</f>
        <v>418</v>
      </c>
      <c r="J94" s="64">
        <f>J104</f>
        <v>418</v>
      </c>
      <c r="K94" s="65">
        <f t="shared" si="48"/>
        <v>1</v>
      </c>
      <c r="L94" s="83" t="s">
        <v>19</v>
      </c>
      <c r="M94" s="83" t="s">
        <v>19</v>
      </c>
      <c r="N94" s="83" t="str">
        <f t="shared" si="50"/>
        <v>-</v>
      </c>
      <c r="O94" s="83" t="s">
        <v>19</v>
      </c>
      <c r="P94" s="83" t="s">
        <v>19</v>
      </c>
      <c r="Q94" s="83" t="str">
        <f t="shared" si="52"/>
        <v>-</v>
      </c>
      <c r="R94" s="83" t="s">
        <v>19</v>
      </c>
      <c r="S94" s="83" t="s">
        <v>19</v>
      </c>
      <c r="T94" s="83" t="str">
        <f t="shared" si="54"/>
        <v>-</v>
      </c>
      <c r="U94" s="64">
        <f>U89</f>
        <v>155</v>
      </c>
      <c r="V94" s="64">
        <f>V89</f>
        <v>155</v>
      </c>
      <c r="W94" s="65">
        <f t="shared" si="55"/>
        <v>1</v>
      </c>
      <c r="X94" s="64">
        <f>X89</f>
        <v>1043</v>
      </c>
      <c r="Y94" s="64">
        <f>Y89</f>
        <v>1043</v>
      </c>
      <c r="Z94" s="65">
        <f t="shared" si="56"/>
        <v>1</v>
      </c>
      <c r="AA94" s="64">
        <f>AA89</f>
        <v>1198</v>
      </c>
      <c r="AB94" s="64">
        <f>AB89</f>
        <v>1198</v>
      </c>
      <c r="AC94" s="65">
        <f t="shared" si="58"/>
        <v>1</v>
      </c>
      <c r="AD94" s="70">
        <f>SUM(AD101,AD102,AD103,AD104,AD107,AD109)</f>
        <v>0</v>
      </c>
      <c r="AE94" s="70">
        <f>SUM(AE101,AE102,AE103,AE104,AE107,AE109)</f>
        <v>0</v>
      </c>
      <c r="AF94" s="37" t="str">
        <f t="shared" si="59"/>
        <v>-</v>
      </c>
      <c r="AG94" s="69">
        <f>SUM(AG101,AG102,AG103,AG104,AG107,AG109)</f>
        <v>4103</v>
      </c>
      <c r="AH94" s="69">
        <f>SUM(AH101,AH102,AH103,AH104,AH107,AH109)</f>
        <v>4553</v>
      </c>
      <c r="AI94" s="36">
        <f t="shared" si="60"/>
        <v>0.90116406764770485</v>
      </c>
      <c r="AJ94" s="70">
        <f>SUM(AJ101,AJ102,AJ103,AJ104,AJ107,AJ109)</f>
        <v>12959</v>
      </c>
      <c r="AK94" s="70">
        <f>SUM(AK101,AK102,AK103,AK104,AK107,AK109)</f>
        <v>16841</v>
      </c>
      <c r="AL94" s="21">
        <f t="shared" si="61"/>
        <v>0.76949112285493737</v>
      </c>
      <c r="AM94" s="44" t="s">
        <v>19</v>
      </c>
      <c r="AN94" s="44" t="s">
        <v>19</v>
      </c>
      <c r="AO94" s="44" t="s">
        <v>19</v>
      </c>
      <c r="AP94" s="70">
        <f>SUM(AP101,AP102,AP103,AP104,AP107,AP109)</f>
        <v>134</v>
      </c>
      <c r="AQ94" s="70">
        <f>SUM(AQ101,AQ102,AQ103,AQ104,AQ107,AQ109)</f>
        <v>155</v>
      </c>
      <c r="AR94" s="21">
        <f t="shared" si="63"/>
        <v>0.86451612903225805</v>
      </c>
      <c r="AS94" s="70">
        <f>SUM(AS101,AS102,AS103,AS104,AS107,AS109)</f>
        <v>862</v>
      </c>
      <c r="AT94" s="70">
        <f>SUM(AT101,AT102,AT103,AT104,AT107,AT109)</f>
        <v>1043</v>
      </c>
      <c r="AU94" s="21">
        <f t="shared" si="64"/>
        <v>0.82646212847555134</v>
      </c>
      <c r="AV94" s="70"/>
      <c r="AW94" s="70"/>
      <c r="AX94" s="37" t="str">
        <f t="shared" si="65"/>
        <v>-</v>
      </c>
      <c r="AY94" s="10"/>
      <c r="AZ94" s="2"/>
      <c r="BA94" s="2"/>
      <c r="BB94" s="2"/>
      <c r="BC94" s="2"/>
      <c r="BD94" s="2"/>
    </row>
    <row r="95" spans="1:56" ht="14.25" customHeight="1">
      <c r="A95" s="8"/>
      <c r="B95" s="12" t="s">
        <v>51</v>
      </c>
      <c r="C95" s="85">
        <f>C97</f>
        <v>0</v>
      </c>
      <c r="D95" s="85">
        <f>D97</f>
        <v>0</v>
      </c>
      <c r="E95" s="80" t="str">
        <f t="shared" si="46"/>
        <v>-</v>
      </c>
      <c r="F95" s="66">
        <f>F89</f>
        <v>1415</v>
      </c>
      <c r="G95" s="66">
        <f>G89</f>
        <v>1593</v>
      </c>
      <c r="H95" s="67">
        <f t="shared" si="47"/>
        <v>0.88826114249843069</v>
      </c>
      <c r="I95" s="86">
        <f>I97</f>
        <v>0</v>
      </c>
      <c r="J95" s="86">
        <f>J97</f>
        <v>0</v>
      </c>
      <c r="K95" s="80" t="str">
        <f t="shared" si="48"/>
        <v>-</v>
      </c>
      <c r="L95" s="83" t="s">
        <v>19</v>
      </c>
      <c r="M95" s="83" t="s">
        <v>19</v>
      </c>
      <c r="N95" s="83" t="str">
        <f t="shared" si="50"/>
        <v>-</v>
      </c>
      <c r="O95" s="83" t="s">
        <v>19</v>
      </c>
      <c r="P95" s="83" t="s">
        <v>19</v>
      </c>
      <c r="Q95" s="83" t="str">
        <f t="shared" si="52"/>
        <v>-</v>
      </c>
      <c r="R95" s="83" t="s">
        <v>19</v>
      </c>
      <c r="S95" s="83" t="s">
        <v>19</v>
      </c>
      <c r="T95" s="83" t="str">
        <f t="shared" si="54"/>
        <v>-</v>
      </c>
      <c r="U95" s="80" t="s">
        <v>19</v>
      </c>
      <c r="V95" s="80" t="s">
        <v>19</v>
      </c>
      <c r="W95" s="80" t="str">
        <f t="shared" si="55"/>
        <v>-</v>
      </c>
      <c r="X95" s="80" t="s">
        <v>19</v>
      </c>
      <c r="Y95" s="80" t="s">
        <v>19</v>
      </c>
      <c r="Z95" s="80" t="str">
        <f t="shared" si="56"/>
        <v>-</v>
      </c>
      <c r="AA95" s="80" t="s">
        <v>19</v>
      </c>
      <c r="AB95" s="80" t="s">
        <v>19</v>
      </c>
      <c r="AC95" s="80" t="str">
        <f t="shared" si="58"/>
        <v>-</v>
      </c>
      <c r="AD95" s="68">
        <f>AD97</f>
        <v>0</v>
      </c>
      <c r="AE95" s="68">
        <f>AE97</f>
        <v>0</v>
      </c>
      <c r="AF95" s="37" t="str">
        <f t="shared" si="59"/>
        <v>-</v>
      </c>
      <c r="AG95" s="69">
        <f>AG97</f>
        <v>1337</v>
      </c>
      <c r="AH95" s="69">
        <f>AH97</f>
        <v>1533</v>
      </c>
      <c r="AI95" s="36">
        <f t="shared" si="60"/>
        <v>0.87214611872146119</v>
      </c>
      <c r="AJ95" s="70">
        <f>AJ97</f>
        <v>2519</v>
      </c>
      <c r="AK95" s="70">
        <f>AK97</f>
        <v>3285</v>
      </c>
      <c r="AL95" s="21">
        <f t="shared" si="61"/>
        <v>0.76681887366818868</v>
      </c>
      <c r="AM95" s="44" t="s">
        <v>19</v>
      </c>
      <c r="AN95" s="44" t="s">
        <v>19</v>
      </c>
      <c r="AO95" s="44" t="s">
        <v>19</v>
      </c>
      <c r="AP95" s="37" t="str">
        <f>AP97</f>
        <v>-</v>
      </c>
      <c r="AQ95" s="37" t="str">
        <f>AQ97</f>
        <v>-</v>
      </c>
      <c r="AR95" s="37" t="str">
        <f t="shared" si="63"/>
        <v>-</v>
      </c>
      <c r="AS95" s="37" t="str">
        <f>AS97</f>
        <v>-</v>
      </c>
      <c r="AT95" s="37" t="str">
        <f>AT97</f>
        <v>-</v>
      </c>
      <c r="AU95" s="37" t="str">
        <f t="shared" si="64"/>
        <v>-</v>
      </c>
      <c r="AV95" s="70"/>
      <c r="AW95" s="70"/>
      <c r="AX95" s="37" t="str">
        <f t="shared" si="65"/>
        <v>-</v>
      </c>
      <c r="AY95" s="10"/>
      <c r="AZ95" s="2"/>
      <c r="BA95" s="2"/>
      <c r="BB95" s="2"/>
      <c r="BC95" s="2"/>
      <c r="BD95" s="2"/>
    </row>
    <row r="96" spans="1:56" ht="14.25" customHeight="1">
      <c r="A96" s="8"/>
      <c r="B96" s="12" t="s">
        <v>52</v>
      </c>
      <c r="C96" s="79"/>
      <c r="D96" s="79"/>
      <c r="E96" s="80" t="str">
        <f t="shared" si="46"/>
        <v>-</v>
      </c>
      <c r="F96" s="83" t="s">
        <v>19</v>
      </c>
      <c r="G96" s="83" t="s">
        <v>19</v>
      </c>
      <c r="H96" s="83" t="str">
        <f t="shared" si="47"/>
        <v>-</v>
      </c>
      <c r="I96" s="87">
        <v>351</v>
      </c>
      <c r="J96" s="87">
        <v>351</v>
      </c>
      <c r="K96" s="65">
        <f t="shared" si="48"/>
        <v>1</v>
      </c>
      <c r="L96" s="83" t="s">
        <v>19</v>
      </c>
      <c r="M96" s="83" t="s">
        <v>19</v>
      </c>
      <c r="N96" s="83" t="str">
        <f t="shared" si="50"/>
        <v>-</v>
      </c>
      <c r="O96" s="83" t="s">
        <v>19</v>
      </c>
      <c r="P96" s="83" t="s">
        <v>19</v>
      </c>
      <c r="Q96" s="83" t="str">
        <f t="shared" si="52"/>
        <v>-</v>
      </c>
      <c r="R96" s="83" t="s">
        <v>19</v>
      </c>
      <c r="S96" s="83" t="s">
        <v>19</v>
      </c>
      <c r="T96" s="83" t="str">
        <f t="shared" si="54"/>
        <v>-</v>
      </c>
      <c r="U96" s="64">
        <f>U89</f>
        <v>155</v>
      </c>
      <c r="V96" s="64">
        <f>V89</f>
        <v>155</v>
      </c>
      <c r="W96" s="65">
        <f t="shared" si="55"/>
        <v>1</v>
      </c>
      <c r="X96" s="64">
        <f>X89</f>
        <v>1043</v>
      </c>
      <c r="Y96" s="64">
        <f>Y89</f>
        <v>1043</v>
      </c>
      <c r="Z96" s="65">
        <f t="shared" si="56"/>
        <v>1</v>
      </c>
      <c r="AA96" s="64">
        <f>AA89</f>
        <v>1198</v>
      </c>
      <c r="AB96" s="64">
        <f>AB89</f>
        <v>1198</v>
      </c>
      <c r="AC96" s="65">
        <f t="shared" si="58"/>
        <v>1</v>
      </c>
      <c r="AD96" s="68"/>
      <c r="AE96" s="68"/>
      <c r="AF96" s="37" t="str">
        <f t="shared" si="59"/>
        <v>-</v>
      </c>
      <c r="AG96" s="44" t="s">
        <v>19</v>
      </c>
      <c r="AH96" s="44" t="s">
        <v>19</v>
      </c>
      <c r="AI96" s="44" t="str">
        <f t="shared" si="60"/>
        <v>-</v>
      </c>
      <c r="AJ96" s="77">
        <f>2571+351</f>
        <v>2922</v>
      </c>
      <c r="AK96" s="77">
        <f>3285+351</f>
        <v>3636</v>
      </c>
      <c r="AL96" s="21">
        <f t="shared" si="61"/>
        <v>0.80363036303630364</v>
      </c>
      <c r="AM96" s="44" t="s">
        <v>19</v>
      </c>
      <c r="AN96" s="44" t="s">
        <v>19</v>
      </c>
      <c r="AO96" s="44" t="s">
        <v>19</v>
      </c>
      <c r="AP96" s="73">
        <v>116</v>
      </c>
      <c r="AQ96" s="73">
        <v>155</v>
      </c>
      <c r="AR96" s="21">
        <f t="shared" si="63"/>
        <v>0.74838709677419357</v>
      </c>
      <c r="AS96" s="77">
        <v>796</v>
      </c>
      <c r="AT96" s="77">
        <v>1043</v>
      </c>
      <c r="AU96" s="21">
        <f t="shared" si="64"/>
        <v>0.76318312559923296</v>
      </c>
      <c r="AV96" s="70"/>
      <c r="AW96" s="70"/>
      <c r="AX96" s="37" t="str">
        <f t="shared" si="65"/>
        <v>-</v>
      </c>
      <c r="AY96" s="10"/>
      <c r="AZ96" s="2"/>
      <c r="BA96" s="2"/>
      <c r="BB96" s="2"/>
      <c r="BC96" s="2"/>
      <c r="BD96" s="2"/>
    </row>
    <row r="97" spans="1:56" ht="14.25" customHeight="1">
      <c r="A97" s="8"/>
      <c r="B97" s="12" t="s">
        <v>53</v>
      </c>
      <c r="C97" s="79"/>
      <c r="D97" s="79"/>
      <c r="E97" s="80" t="str">
        <f t="shared" si="46"/>
        <v>-</v>
      </c>
      <c r="F97" s="66">
        <f>F89+F90</f>
        <v>1723</v>
      </c>
      <c r="G97" s="66">
        <f>G89+G90</f>
        <v>1928</v>
      </c>
      <c r="H97" s="67">
        <f t="shared" si="47"/>
        <v>0.89367219917012453</v>
      </c>
      <c r="I97" s="86"/>
      <c r="J97" s="86"/>
      <c r="K97" s="80" t="str">
        <f t="shared" si="48"/>
        <v>-</v>
      </c>
      <c r="L97" s="83" t="s">
        <v>19</v>
      </c>
      <c r="M97" s="83" t="s">
        <v>19</v>
      </c>
      <c r="N97" s="83" t="str">
        <f t="shared" si="50"/>
        <v>-</v>
      </c>
      <c r="O97" s="83" t="s">
        <v>19</v>
      </c>
      <c r="P97" s="83" t="s">
        <v>19</v>
      </c>
      <c r="Q97" s="83" t="str">
        <f t="shared" si="52"/>
        <v>-</v>
      </c>
      <c r="R97" s="83" t="s">
        <v>19</v>
      </c>
      <c r="S97" s="83" t="s">
        <v>19</v>
      </c>
      <c r="T97" s="83" t="str">
        <f t="shared" si="54"/>
        <v>-</v>
      </c>
      <c r="U97" s="80" t="s">
        <v>19</v>
      </c>
      <c r="V97" s="80" t="s">
        <v>19</v>
      </c>
      <c r="W97" s="80" t="str">
        <f t="shared" si="55"/>
        <v>-</v>
      </c>
      <c r="X97" s="80" t="s">
        <v>19</v>
      </c>
      <c r="Y97" s="80" t="s">
        <v>19</v>
      </c>
      <c r="Z97" s="80" t="str">
        <f t="shared" si="56"/>
        <v>-</v>
      </c>
      <c r="AA97" s="80" t="s">
        <v>19</v>
      </c>
      <c r="AB97" s="80" t="s">
        <v>19</v>
      </c>
      <c r="AC97" s="80" t="str">
        <f t="shared" si="58"/>
        <v>-</v>
      </c>
      <c r="AD97" s="14"/>
      <c r="AE97" s="14"/>
      <c r="AF97" s="37" t="str">
        <f t="shared" si="59"/>
        <v>-</v>
      </c>
      <c r="AG97" s="88">
        <f>1055+(115+167)</f>
        <v>1337</v>
      </c>
      <c r="AH97" s="88">
        <f>1225+(132+176)</f>
        <v>1533</v>
      </c>
      <c r="AI97" s="36">
        <f t="shared" si="60"/>
        <v>0.87214611872146119</v>
      </c>
      <c r="AJ97" s="77">
        <f>2519</f>
        <v>2519</v>
      </c>
      <c r="AK97" s="77">
        <f>3285</f>
        <v>3285</v>
      </c>
      <c r="AL97" s="21">
        <f t="shared" si="61"/>
        <v>0.76681887366818868</v>
      </c>
      <c r="AM97" s="44" t="s">
        <v>19</v>
      </c>
      <c r="AN97" s="44" t="s">
        <v>19</v>
      </c>
      <c r="AO97" s="44" t="s">
        <v>19</v>
      </c>
      <c r="AP97" s="37" t="s">
        <v>19</v>
      </c>
      <c r="AQ97" s="37" t="s">
        <v>19</v>
      </c>
      <c r="AR97" s="37" t="str">
        <f t="shared" si="63"/>
        <v>-</v>
      </c>
      <c r="AS97" s="37" t="s">
        <v>19</v>
      </c>
      <c r="AT97" s="37" t="s">
        <v>19</v>
      </c>
      <c r="AU97" s="37" t="str">
        <f t="shared" si="64"/>
        <v>-</v>
      </c>
      <c r="AV97" s="70"/>
      <c r="AW97" s="70"/>
      <c r="AX97" s="37" t="str">
        <f t="shared" si="65"/>
        <v>-</v>
      </c>
      <c r="AY97" s="10"/>
      <c r="AZ97" s="2"/>
      <c r="BA97" s="2"/>
      <c r="BB97" s="2"/>
      <c r="BC97" s="2"/>
      <c r="BD97" s="2"/>
    </row>
    <row r="98" spans="1:56" ht="14.25" customHeight="1">
      <c r="A98" s="8"/>
      <c r="B98" s="12" t="s">
        <v>54</v>
      </c>
      <c r="C98" s="79"/>
      <c r="D98" s="79"/>
      <c r="E98" s="80" t="str">
        <f t="shared" si="46"/>
        <v>-</v>
      </c>
      <c r="F98" s="66">
        <f>F90+F91</f>
        <v>363</v>
      </c>
      <c r="G98" s="66">
        <f>G90+G91</f>
        <v>392</v>
      </c>
      <c r="H98" s="67">
        <f t="shared" si="47"/>
        <v>0.92602040816326525</v>
      </c>
      <c r="I98" s="87">
        <v>5960</v>
      </c>
      <c r="J98" s="87">
        <v>7640</v>
      </c>
      <c r="K98" s="65">
        <f t="shared" si="48"/>
        <v>0.78010471204188481</v>
      </c>
      <c r="L98" s="83" t="s">
        <v>19</v>
      </c>
      <c r="M98" s="83" t="s">
        <v>19</v>
      </c>
      <c r="N98" s="83" t="str">
        <f t="shared" si="50"/>
        <v>-</v>
      </c>
      <c r="O98" s="83" t="s">
        <v>19</v>
      </c>
      <c r="P98" s="83" t="s">
        <v>19</v>
      </c>
      <c r="Q98" s="83" t="str">
        <f t="shared" si="52"/>
        <v>-</v>
      </c>
      <c r="R98" s="83" t="s">
        <v>19</v>
      </c>
      <c r="S98" s="83" t="s">
        <v>19</v>
      </c>
      <c r="T98" s="83" t="str">
        <f t="shared" si="54"/>
        <v>-</v>
      </c>
      <c r="U98" s="80" t="s">
        <v>19</v>
      </c>
      <c r="V98" s="80" t="s">
        <v>19</v>
      </c>
      <c r="W98" s="80" t="str">
        <f t="shared" si="55"/>
        <v>-</v>
      </c>
      <c r="X98" s="80" t="s">
        <v>19</v>
      </c>
      <c r="Y98" s="80" t="s">
        <v>19</v>
      </c>
      <c r="Z98" s="80" t="str">
        <f t="shared" si="56"/>
        <v>-</v>
      </c>
      <c r="AA98" s="80" t="s">
        <v>19</v>
      </c>
      <c r="AB98" s="80" t="s">
        <v>19</v>
      </c>
      <c r="AC98" s="80" t="str">
        <f t="shared" si="58"/>
        <v>-</v>
      </c>
      <c r="AD98" s="14"/>
      <c r="AE98" s="14"/>
      <c r="AF98" s="37" t="str">
        <f t="shared" si="59"/>
        <v>-</v>
      </c>
      <c r="AG98" s="44" t="s">
        <v>19</v>
      </c>
      <c r="AH98" s="44" t="s">
        <v>19</v>
      </c>
      <c r="AI98" s="44" t="str">
        <f t="shared" si="60"/>
        <v>-</v>
      </c>
      <c r="AJ98" s="77">
        <v>44727</v>
      </c>
      <c r="AK98" s="77">
        <v>47762</v>
      </c>
      <c r="AL98" s="21">
        <f t="shared" si="61"/>
        <v>0.93645575980905327</v>
      </c>
      <c r="AM98" s="44" t="s">
        <v>19</v>
      </c>
      <c r="AN98" s="44" t="s">
        <v>19</v>
      </c>
      <c r="AO98" s="44" t="s">
        <v>19</v>
      </c>
      <c r="AP98" s="37" t="s">
        <v>19</v>
      </c>
      <c r="AQ98" s="37" t="s">
        <v>19</v>
      </c>
      <c r="AR98" s="37" t="str">
        <f t="shared" si="63"/>
        <v>-</v>
      </c>
      <c r="AS98" s="37" t="s">
        <v>19</v>
      </c>
      <c r="AT98" s="37" t="s">
        <v>19</v>
      </c>
      <c r="AU98" s="37" t="str">
        <f t="shared" si="64"/>
        <v>-</v>
      </c>
      <c r="AV98" s="70"/>
      <c r="AW98" s="70"/>
      <c r="AX98" s="37" t="str">
        <f t="shared" si="65"/>
        <v>-</v>
      </c>
      <c r="AY98" s="10"/>
      <c r="AZ98" s="2"/>
      <c r="BA98" s="2"/>
      <c r="BB98" s="2"/>
      <c r="BC98" s="2"/>
      <c r="BD98" s="2"/>
    </row>
    <row r="99" spans="1:56" ht="14.25" customHeight="1">
      <c r="A99" s="8"/>
      <c r="B99" s="43" t="s">
        <v>55</v>
      </c>
      <c r="C99" s="79"/>
      <c r="D99" s="79"/>
      <c r="E99" s="80" t="str">
        <f t="shared" si="46"/>
        <v>-</v>
      </c>
      <c r="F99" s="66">
        <f>F90</f>
        <v>308</v>
      </c>
      <c r="G99" s="66">
        <f>G90</f>
        <v>335</v>
      </c>
      <c r="H99" s="67">
        <f t="shared" si="47"/>
        <v>0.91940298507462681</v>
      </c>
      <c r="I99" s="80" t="s">
        <v>19</v>
      </c>
      <c r="J99" s="80" t="s">
        <v>19</v>
      </c>
      <c r="K99" s="80" t="str">
        <f t="shared" si="48"/>
        <v>-</v>
      </c>
      <c r="L99" s="83" t="s">
        <v>19</v>
      </c>
      <c r="M99" s="83" t="s">
        <v>19</v>
      </c>
      <c r="N99" s="83" t="str">
        <f t="shared" si="50"/>
        <v>-</v>
      </c>
      <c r="O99" s="83" t="s">
        <v>19</v>
      </c>
      <c r="P99" s="83" t="s">
        <v>19</v>
      </c>
      <c r="Q99" s="83" t="str">
        <f t="shared" si="52"/>
        <v>-</v>
      </c>
      <c r="R99" s="83" t="s">
        <v>19</v>
      </c>
      <c r="S99" s="83" t="s">
        <v>19</v>
      </c>
      <c r="T99" s="83" t="str">
        <f t="shared" si="54"/>
        <v>-</v>
      </c>
      <c r="U99" s="80" t="s">
        <v>19</v>
      </c>
      <c r="V99" s="80" t="s">
        <v>19</v>
      </c>
      <c r="W99" s="80" t="str">
        <f t="shared" si="55"/>
        <v>-</v>
      </c>
      <c r="X99" s="80" t="s">
        <v>19</v>
      </c>
      <c r="Y99" s="80" t="s">
        <v>19</v>
      </c>
      <c r="Z99" s="80" t="str">
        <f t="shared" si="56"/>
        <v>-</v>
      </c>
      <c r="AA99" s="80" t="s">
        <v>19</v>
      </c>
      <c r="AB99" s="80" t="s">
        <v>19</v>
      </c>
      <c r="AC99" s="80" t="str">
        <f t="shared" si="58"/>
        <v>-</v>
      </c>
      <c r="AD99" s="68"/>
      <c r="AE99" s="68"/>
      <c r="AF99" s="37" t="str">
        <f t="shared" si="59"/>
        <v>-</v>
      </c>
      <c r="AG99" s="89">
        <f>(124+173)+(127+172)</f>
        <v>596</v>
      </c>
      <c r="AH99" s="89">
        <f>(132+176)+(132+176)</f>
        <v>616</v>
      </c>
      <c r="AI99" s="36">
        <f t="shared" si="60"/>
        <v>0.96753246753246758</v>
      </c>
      <c r="AJ99" s="37" t="s">
        <v>19</v>
      </c>
      <c r="AK99" s="37" t="s">
        <v>19</v>
      </c>
      <c r="AL99" s="37" t="s">
        <v>19</v>
      </c>
      <c r="AM99" s="44" t="s">
        <v>19</v>
      </c>
      <c r="AN99" s="44" t="s">
        <v>19</v>
      </c>
      <c r="AO99" s="44" t="s">
        <v>19</v>
      </c>
      <c r="AP99" s="37" t="s">
        <v>19</v>
      </c>
      <c r="AQ99" s="37" t="s">
        <v>19</v>
      </c>
      <c r="AR99" s="37" t="str">
        <f t="shared" si="63"/>
        <v>-</v>
      </c>
      <c r="AS99" s="37" t="s">
        <v>19</v>
      </c>
      <c r="AT99" s="37" t="s">
        <v>19</v>
      </c>
      <c r="AU99" s="37" t="str">
        <f t="shared" si="64"/>
        <v>-</v>
      </c>
      <c r="AV99" s="70"/>
      <c r="AW99" s="70"/>
      <c r="AX99" s="37" t="str">
        <f t="shared" si="65"/>
        <v>-</v>
      </c>
      <c r="AY99" s="10"/>
      <c r="AZ99" s="2"/>
      <c r="BA99" s="2"/>
      <c r="BB99" s="2"/>
      <c r="BC99" s="2"/>
      <c r="BD99" s="2"/>
    </row>
    <row r="100" spans="1:56" ht="14.25" customHeight="1">
      <c r="A100" s="8"/>
      <c r="B100" s="43" t="s">
        <v>56</v>
      </c>
      <c r="C100" s="79"/>
      <c r="D100" s="79"/>
      <c r="E100" s="80" t="str">
        <f t="shared" si="46"/>
        <v>-</v>
      </c>
      <c r="F100" s="66">
        <f>F90</f>
        <v>308</v>
      </c>
      <c r="G100" s="66">
        <f>G90</f>
        <v>335</v>
      </c>
      <c r="H100" s="67">
        <f t="shared" si="47"/>
        <v>0.91940298507462681</v>
      </c>
      <c r="I100" s="80" t="s">
        <v>19</v>
      </c>
      <c r="J100" s="80" t="s">
        <v>19</v>
      </c>
      <c r="K100" s="80" t="str">
        <f t="shared" si="48"/>
        <v>-</v>
      </c>
      <c r="L100" s="83" t="s">
        <v>19</v>
      </c>
      <c r="M100" s="83" t="s">
        <v>19</v>
      </c>
      <c r="N100" s="83" t="str">
        <f t="shared" si="50"/>
        <v>-</v>
      </c>
      <c r="O100" s="83" t="s">
        <v>19</v>
      </c>
      <c r="P100" s="83" t="s">
        <v>19</v>
      </c>
      <c r="Q100" s="83" t="str">
        <f t="shared" si="52"/>
        <v>-</v>
      </c>
      <c r="R100" s="83" t="s">
        <v>19</v>
      </c>
      <c r="S100" s="83" t="s">
        <v>19</v>
      </c>
      <c r="T100" s="83" t="str">
        <f t="shared" si="54"/>
        <v>-</v>
      </c>
      <c r="U100" s="80" t="s">
        <v>19</v>
      </c>
      <c r="V100" s="80" t="s">
        <v>19</v>
      </c>
      <c r="W100" s="80" t="str">
        <f t="shared" si="55"/>
        <v>-</v>
      </c>
      <c r="X100" s="80" t="s">
        <v>19</v>
      </c>
      <c r="Y100" s="80" t="s">
        <v>19</v>
      </c>
      <c r="Z100" s="80" t="str">
        <f t="shared" si="56"/>
        <v>-</v>
      </c>
      <c r="AA100" s="80" t="s">
        <v>19</v>
      </c>
      <c r="AB100" s="80" t="s">
        <v>19</v>
      </c>
      <c r="AC100" s="80" t="str">
        <f t="shared" si="58"/>
        <v>-</v>
      </c>
      <c r="AD100" s="68"/>
      <c r="AE100" s="68"/>
      <c r="AF100" s="37" t="str">
        <f t="shared" si="59"/>
        <v>-</v>
      </c>
      <c r="AG100" s="89">
        <f>(115+167)</f>
        <v>282</v>
      </c>
      <c r="AH100" s="89">
        <f>(132+176)</f>
        <v>308</v>
      </c>
      <c r="AI100" s="36">
        <f t="shared" si="60"/>
        <v>0.91558441558441561</v>
      </c>
      <c r="AJ100" s="73">
        <v>111</v>
      </c>
      <c r="AK100" s="73">
        <v>116</v>
      </c>
      <c r="AL100" s="21">
        <f t="shared" ref="AL100:AL109" si="66">IFERROR(AJ100/AK100,"-")</f>
        <v>0.9568965517241379</v>
      </c>
      <c r="AM100" s="44" t="s">
        <v>19</v>
      </c>
      <c r="AN100" s="44" t="s">
        <v>19</v>
      </c>
      <c r="AO100" s="44" t="s">
        <v>19</v>
      </c>
      <c r="AP100" s="37" t="s">
        <v>19</v>
      </c>
      <c r="AQ100" s="37" t="s">
        <v>19</v>
      </c>
      <c r="AR100" s="37" t="str">
        <f t="shared" si="63"/>
        <v>-</v>
      </c>
      <c r="AS100" s="37" t="s">
        <v>19</v>
      </c>
      <c r="AT100" s="37" t="s">
        <v>19</v>
      </c>
      <c r="AU100" s="37" t="str">
        <f t="shared" si="64"/>
        <v>-</v>
      </c>
      <c r="AV100" s="70"/>
      <c r="AW100" s="70"/>
      <c r="AX100" s="37" t="str">
        <f t="shared" si="65"/>
        <v>-</v>
      </c>
      <c r="AY100" s="10"/>
      <c r="AZ100" s="2"/>
      <c r="BA100" s="2"/>
      <c r="BB100" s="2"/>
      <c r="BC100" s="2"/>
      <c r="BD100" s="2"/>
    </row>
    <row r="101" spans="1:56" ht="14.25" customHeight="1">
      <c r="A101" s="8"/>
      <c r="B101" s="12" t="s">
        <v>57</v>
      </c>
      <c r="C101" s="79"/>
      <c r="D101" s="79"/>
      <c r="E101" s="80" t="str">
        <f t="shared" si="46"/>
        <v>-</v>
      </c>
      <c r="F101" s="66">
        <f>F89+F90</f>
        <v>1723</v>
      </c>
      <c r="G101" s="66">
        <f>G89+G90</f>
        <v>1928</v>
      </c>
      <c r="H101" s="67">
        <f t="shared" si="47"/>
        <v>0.89367219917012453</v>
      </c>
      <c r="I101" s="86"/>
      <c r="J101" s="86"/>
      <c r="K101" s="80" t="str">
        <f t="shared" si="48"/>
        <v>-</v>
      </c>
      <c r="L101" s="83" t="s">
        <v>19</v>
      </c>
      <c r="M101" s="83" t="s">
        <v>19</v>
      </c>
      <c r="N101" s="83" t="str">
        <f t="shared" si="50"/>
        <v>-</v>
      </c>
      <c r="O101" s="83" t="s">
        <v>19</v>
      </c>
      <c r="P101" s="83" t="s">
        <v>19</v>
      </c>
      <c r="Q101" s="83" t="str">
        <f t="shared" si="52"/>
        <v>-</v>
      </c>
      <c r="R101" s="83" t="s">
        <v>19</v>
      </c>
      <c r="S101" s="83" t="s">
        <v>19</v>
      </c>
      <c r="T101" s="83" t="str">
        <f t="shared" si="54"/>
        <v>-</v>
      </c>
      <c r="U101" s="80" t="s">
        <v>19</v>
      </c>
      <c r="V101" s="80" t="s">
        <v>19</v>
      </c>
      <c r="W101" s="80" t="str">
        <f t="shared" si="55"/>
        <v>-</v>
      </c>
      <c r="X101" s="80" t="s">
        <v>19</v>
      </c>
      <c r="Y101" s="80" t="s">
        <v>19</v>
      </c>
      <c r="Z101" s="80" t="str">
        <f t="shared" si="56"/>
        <v>-</v>
      </c>
      <c r="AA101" s="80" t="s">
        <v>19</v>
      </c>
      <c r="AB101" s="80" t="s">
        <v>19</v>
      </c>
      <c r="AC101" s="80" t="str">
        <f t="shared" si="58"/>
        <v>-</v>
      </c>
      <c r="AD101" s="14"/>
      <c r="AE101" s="14"/>
      <c r="AF101" s="37" t="str">
        <f t="shared" si="59"/>
        <v>-</v>
      </c>
      <c r="AG101" s="88">
        <f>(1131+81)+(124+167)</f>
        <v>1503</v>
      </c>
      <c r="AH101" s="88">
        <f>(1328+87)+(132+176)</f>
        <v>1723</v>
      </c>
      <c r="AI101" s="36">
        <f t="shared" si="60"/>
        <v>0.87231572838073124</v>
      </c>
      <c r="AJ101" s="77">
        <f>2568</f>
        <v>2568</v>
      </c>
      <c r="AK101" s="77">
        <f>3283</f>
        <v>3283</v>
      </c>
      <c r="AL101" s="21">
        <f t="shared" si="66"/>
        <v>0.78221139201949441</v>
      </c>
      <c r="AM101" s="44" t="s">
        <v>19</v>
      </c>
      <c r="AN101" s="44" t="s">
        <v>19</v>
      </c>
      <c r="AO101" s="44" t="s">
        <v>19</v>
      </c>
      <c r="AP101" s="37" t="s">
        <v>19</v>
      </c>
      <c r="AQ101" s="37" t="s">
        <v>19</v>
      </c>
      <c r="AR101" s="37" t="str">
        <f t="shared" si="63"/>
        <v>-</v>
      </c>
      <c r="AS101" s="37" t="s">
        <v>19</v>
      </c>
      <c r="AT101" s="37" t="s">
        <v>19</v>
      </c>
      <c r="AU101" s="37" t="str">
        <f t="shared" si="64"/>
        <v>-</v>
      </c>
      <c r="AV101" s="70"/>
      <c r="AW101" s="70"/>
      <c r="AX101" s="37" t="str">
        <f t="shared" si="65"/>
        <v>-</v>
      </c>
      <c r="AY101" s="10"/>
      <c r="AZ101" s="2"/>
      <c r="BA101" s="2"/>
      <c r="BB101" s="2"/>
      <c r="BC101" s="2"/>
      <c r="BD101" s="2"/>
    </row>
    <row r="102" spans="1:56" ht="14.25" customHeight="1">
      <c r="A102" s="8"/>
      <c r="B102" s="12" t="s">
        <v>58</v>
      </c>
      <c r="C102" s="79"/>
      <c r="D102" s="79"/>
      <c r="E102" s="80" t="str">
        <f t="shared" si="46"/>
        <v>-</v>
      </c>
      <c r="F102" s="83" t="s">
        <v>19</v>
      </c>
      <c r="G102" s="83" t="s">
        <v>19</v>
      </c>
      <c r="H102" s="90"/>
      <c r="I102" s="86">
        <f>I101</f>
        <v>0</v>
      </c>
      <c r="J102" s="86">
        <f>J101</f>
        <v>0</v>
      </c>
      <c r="K102" s="80" t="str">
        <f t="shared" si="48"/>
        <v>-</v>
      </c>
      <c r="L102" s="83" t="s">
        <v>19</v>
      </c>
      <c r="M102" s="83" t="s">
        <v>19</v>
      </c>
      <c r="N102" s="83" t="str">
        <f t="shared" si="50"/>
        <v>-</v>
      </c>
      <c r="O102" s="83" t="s">
        <v>19</v>
      </c>
      <c r="P102" s="83" t="s">
        <v>19</v>
      </c>
      <c r="Q102" s="83" t="str">
        <f t="shared" si="52"/>
        <v>-</v>
      </c>
      <c r="R102" s="83" t="s">
        <v>19</v>
      </c>
      <c r="S102" s="83" t="s">
        <v>19</v>
      </c>
      <c r="T102" s="83" t="str">
        <f t="shared" si="54"/>
        <v>-</v>
      </c>
      <c r="U102" s="80" t="s">
        <v>19</v>
      </c>
      <c r="V102" s="80" t="s">
        <v>19</v>
      </c>
      <c r="W102" s="80" t="str">
        <f t="shared" si="55"/>
        <v>-</v>
      </c>
      <c r="X102" s="80" t="s">
        <v>19</v>
      </c>
      <c r="Y102" s="80" t="s">
        <v>19</v>
      </c>
      <c r="Z102" s="80" t="str">
        <f t="shared" si="56"/>
        <v>-</v>
      </c>
      <c r="AA102" s="80" t="s">
        <v>19</v>
      </c>
      <c r="AB102" s="80" t="s">
        <v>19</v>
      </c>
      <c r="AC102" s="91"/>
      <c r="AD102" s="14"/>
      <c r="AE102" s="14"/>
      <c r="AF102" s="37" t="str">
        <f t="shared" si="59"/>
        <v>-</v>
      </c>
      <c r="AG102" s="44" t="s">
        <v>19</v>
      </c>
      <c r="AH102" s="44" t="s">
        <v>19</v>
      </c>
      <c r="AI102" s="44" t="str">
        <f t="shared" si="60"/>
        <v>-</v>
      </c>
      <c r="AJ102" s="37" t="s">
        <v>19</v>
      </c>
      <c r="AK102" s="37" t="s">
        <v>19</v>
      </c>
      <c r="AL102" s="37" t="str">
        <f t="shared" si="66"/>
        <v>-</v>
      </c>
      <c r="AM102" s="44" t="s">
        <v>19</v>
      </c>
      <c r="AN102" s="44" t="s">
        <v>19</v>
      </c>
      <c r="AO102" s="44" t="s">
        <v>19</v>
      </c>
      <c r="AP102" s="37" t="s">
        <v>19</v>
      </c>
      <c r="AQ102" s="37" t="s">
        <v>19</v>
      </c>
      <c r="AR102" s="37" t="str">
        <f t="shared" si="63"/>
        <v>-</v>
      </c>
      <c r="AS102" s="37" t="s">
        <v>19</v>
      </c>
      <c r="AT102" s="37" t="s">
        <v>19</v>
      </c>
      <c r="AU102" s="37" t="str">
        <f t="shared" si="64"/>
        <v>-</v>
      </c>
      <c r="AV102" s="70"/>
      <c r="AW102" s="70"/>
      <c r="AX102" s="37" t="str">
        <f t="shared" si="65"/>
        <v>-</v>
      </c>
      <c r="AY102" s="10"/>
      <c r="AZ102" s="2"/>
      <c r="BA102" s="2"/>
      <c r="BB102" s="2"/>
      <c r="BC102" s="2"/>
      <c r="BD102" s="2"/>
    </row>
    <row r="103" spans="1:56" ht="14.25" customHeight="1">
      <c r="A103" s="8"/>
      <c r="B103" s="12" t="s">
        <v>59</v>
      </c>
      <c r="C103" s="79"/>
      <c r="D103" s="79"/>
      <c r="E103" s="80" t="str">
        <f t="shared" si="46"/>
        <v>-</v>
      </c>
      <c r="F103" s="83" t="s">
        <v>19</v>
      </c>
      <c r="G103" s="83" t="s">
        <v>19</v>
      </c>
      <c r="H103" s="83" t="str">
        <f>IFERROR(F103/G103,"-")</f>
        <v>-</v>
      </c>
      <c r="I103" s="86">
        <f>I101</f>
        <v>0</v>
      </c>
      <c r="J103" s="86">
        <f>J101</f>
        <v>0</v>
      </c>
      <c r="K103" s="80" t="str">
        <f t="shared" si="48"/>
        <v>-</v>
      </c>
      <c r="L103" s="83" t="s">
        <v>19</v>
      </c>
      <c r="M103" s="83" t="s">
        <v>19</v>
      </c>
      <c r="N103" s="83" t="str">
        <f t="shared" si="50"/>
        <v>-</v>
      </c>
      <c r="O103" s="83" t="s">
        <v>19</v>
      </c>
      <c r="P103" s="83" t="s">
        <v>19</v>
      </c>
      <c r="Q103" s="83" t="str">
        <f t="shared" si="52"/>
        <v>-</v>
      </c>
      <c r="R103" s="83" t="s">
        <v>19</v>
      </c>
      <c r="S103" s="83" t="s">
        <v>19</v>
      </c>
      <c r="T103" s="83" t="str">
        <f t="shared" si="54"/>
        <v>-</v>
      </c>
      <c r="U103" s="80" t="s">
        <v>19</v>
      </c>
      <c r="V103" s="80" t="s">
        <v>19</v>
      </c>
      <c r="W103" s="80" t="str">
        <f t="shared" si="55"/>
        <v>-</v>
      </c>
      <c r="X103" s="80" t="s">
        <v>19</v>
      </c>
      <c r="Y103" s="80" t="s">
        <v>19</v>
      </c>
      <c r="Z103" s="80" t="str">
        <f t="shared" si="56"/>
        <v>-</v>
      </c>
      <c r="AA103" s="80" t="s">
        <v>19</v>
      </c>
      <c r="AB103" s="80" t="s">
        <v>19</v>
      </c>
      <c r="AC103" s="80" t="str">
        <f t="shared" ref="AC103:AC109" si="67">IFERROR(AA103/AB103,"-")</f>
        <v>-</v>
      </c>
      <c r="AD103" s="68"/>
      <c r="AE103" s="68"/>
      <c r="AF103" s="37" t="str">
        <f t="shared" si="59"/>
        <v>-</v>
      </c>
      <c r="AG103" s="44" t="s">
        <v>19</v>
      </c>
      <c r="AH103" s="44" t="s">
        <v>19</v>
      </c>
      <c r="AI103" s="44" t="str">
        <f t="shared" si="60"/>
        <v>-</v>
      </c>
      <c r="AJ103" s="77">
        <f>3244</f>
        <v>3244</v>
      </c>
      <c r="AK103" s="77">
        <f t="shared" ref="AK103:AK109" si="68">4380</f>
        <v>4380</v>
      </c>
      <c r="AL103" s="21">
        <f t="shared" si="66"/>
        <v>0.74063926940639269</v>
      </c>
      <c r="AM103" s="44" t="s">
        <v>19</v>
      </c>
      <c r="AN103" s="44" t="s">
        <v>19</v>
      </c>
      <c r="AO103" s="44" t="s">
        <v>19</v>
      </c>
      <c r="AP103" s="37" t="s">
        <v>19</v>
      </c>
      <c r="AQ103" s="37" t="s">
        <v>19</v>
      </c>
      <c r="AR103" s="37" t="str">
        <f t="shared" si="63"/>
        <v>-</v>
      </c>
      <c r="AS103" s="37" t="s">
        <v>19</v>
      </c>
      <c r="AT103" s="37" t="s">
        <v>19</v>
      </c>
      <c r="AU103" s="37" t="str">
        <f t="shared" si="64"/>
        <v>-</v>
      </c>
      <c r="AV103" s="70"/>
      <c r="AW103" s="70"/>
      <c r="AX103" s="37" t="str">
        <f t="shared" si="65"/>
        <v>-</v>
      </c>
      <c r="AY103" s="10"/>
      <c r="AZ103" s="2"/>
      <c r="BA103" s="2"/>
      <c r="BB103" s="2"/>
      <c r="BC103" s="2"/>
      <c r="BD103" s="2"/>
    </row>
    <row r="104" spans="1:56" ht="14.25" customHeight="1">
      <c r="A104" s="8"/>
      <c r="B104" s="12" t="s">
        <v>60</v>
      </c>
      <c r="C104" s="79"/>
      <c r="D104" s="79"/>
      <c r="E104" s="80" t="str">
        <f t="shared" si="46"/>
        <v>-</v>
      </c>
      <c r="F104" s="83" t="s">
        <v>19</v>
      </c>
      <c r="G104" s="83" t="s">
        <v>19</v>
      </c>
      <c r="H104" s="83" t="str">
        <f>IFERROR(F104/G104,"-")</f>
        <v>-</v>
      </c>
      <c r="I104" s="87">
        <v>418</v>
      </c>
      <c r="J104" s="87">
        <v>418</v>
      </c>
      <c r="K104" s="65">
        <f t="shared" si="48"/>
        <v>1</v>
      </c>
      <c r="L104" s="83" t="s">
        <v>19</v>
      </c>
      <c r="M104" s="83" t="s">
        <v>19</v>
      </c>
      <c r="N104" s="83" t="str">
        <f t="shared" si="50"/>
        <v>-</v>
      </c>
      <c r="O104" s="83" t="s">
        <v>19</v>
      </c>
      <c r="P104" s="83" t="s">
        <v>19</v>
      </c>
      <c r="Q104" s="83" t="str">
        <f t="shared" si="52"/>
        <v>-</v>
      </c>
      <c r="R104" s="83" t="s">
        <v>19</v>
      </c>
      <c r="S104" s="83" t="s">
        <v>19</v>
      </c>
      <c r="T104" s="83" t="str">
        <f t="shared" si="54"/>
        <v>-</v>
      </c>
      <c r="U104" s="80" t="s">
        <v>19</v>
      </c>
      <c r="V104" s="80" t="s">
        <v>19</v>
      </c>
      <c r="W104" s="80" t="str">
        <f t="shared" si="55"/>
        <v>-</v>
      </c>
      <c r="X104" s="64">
        <f>X96</f>
        <v>1043</v>
      </c>
      <c r="Y104" s="64">
        <f>Y96</f>
        <v>1043</v>
      </c>
      <c r="Z104" s="65">
        <f t="shared" si="56"/>
        <v>1</v>
      </c>
      <c r="AA104" s="80" t="s">
        <v>19</v>
      </c>
      <c r="AB104" s="80" t="s">
        <v>19</v>
      </c>
      <c r="AC104" s="80" t="str">
        <f t="shared" si="67"/>
        <v>-</v>
      </c>
      <c r="AD104" s="68"/>
      <c r="AE104" s="68"/>
      <c r="AF104" s="37" t="str">
        <f t="shared" si="59"/>
        <v>-</v>
      </c>
      <c r="AG104" s="44" t="s">
        <v>19</v>
      </c>
      <c r="AH104" s="44" t="s">
        <v>19</v>
      </c>
      <c r="AI104" s="44" t="str">
        <f t="shared" si="60"/>
        <v>-</v>
      </c>
      <c r="AJ104" s="77">
        <f>3414+413</f>
        <v>3827</v>
      </c>
      <c r="AK104" s="77">
        <f>4380+418</f>
        <v>4798</v>
      </c>
      <c r="AL104" s="21">
        <f t="shared" si="66"/>
        <v>0.79762401000416838</v>
      </c>
      <c r="AM104" s="44" t="s">
        <v>19</v>
      </c>
      <c r="AN104" s="44" t="s">
        <v>19</v>
      </c>
      <c r="AO104" s="44" t="s">
        <v>19</v>
      </c>
      <c r="AP104" s="73">
        <v>134</v>
      </c>
      <c r="AQ104" s="73">
        <v>155</v>
      </c>
      <c r="AR104" s="21">
        <f t="shared" si="63"/>
        <v>0.86451612903225805</v>
      </c>
      <c r="AS104" s="77">
        <v>862</v>
      </c>
      <c r="AT104" s="77">
        <v>1043</v>
      </c>
      <c r="AU104" s="21">
        <f t="shared" si="64"/>
        <v>0.82646212847555134</v>
      </c>
      <c r="AV104" s="70"/>
      <c r="AW104" s="70"/>
      <c r="AX104" s="37" t="str">
        <f t="shared" si="65"/>
        <v>-</v>
      </c>
      <c r="AY104" s="10"/>
      <c r="AZ104" s="2"/>
      <c r="BA104" s="2"/>
      <c r="BB104" s="2"/>
      <c r="BC104" s="2"/>
      <c r="BD104" s="2"/>
    </row>
    <row r="105" spans="1:56" ht="14.25" customHeight="1">
      <c r="A105" s="8"/>
      <c r="B105" s="12" t="s">
        <v>61</v>
      </c>
      <c r="C105" s="79"/>
      <c r="D105" s="79"/>
      <c r="E105" s="80" t="str">
        <f t="shared" si="46"/>
        <v>-</v>
      </c>
      <c r="F105" s="83" t="s">
        <v>19</v>
      </c>
      <c r="G105" s="83" t="s">
        <v>19</v>
      </c>
      <c r="H105" s="90"/>
      <c r="I105" s="86">
        <f>I101</f>
        <v>0</v>
      </c>
      <c r="J105" s="86">
        <f>J101</f>
        <v>0</v>
      </c>
      <c r="K105" s="80" t="str">
        <f t="shared" si="48"/>
        <v>-</v>
      </c>
      <c r="L105" s="83" t="s">
        <v>19</v>
      </c>
      <c r="M105" s="83" t="s">
        <v>19</v>
      </c>
      <c r="N105" s="83" t="str">
        <f t="shared" si="50"/>
        <v>-</v>
      </c>
      <c r="O105" s="83" t="s">
        <v>19</v>
      </c>
      <c r="P105" s="83" t="s">
        <v>19</v>
      </c>
      <c r="Q105" s="83" t="str">
        <f t="shared" si="52"/>
        <v>-</v>
      </c>
      <c r="R105" s="83" t="s">
        <v>19</v>
      </c>
      <c r="S105" s="83" t="s">
        <v>19</v>
      </c>
      <c r="T105" s="83" t="str">
        <f t="shared" si="54"/>
        <v>-</v>
      </c>
      <c r="U105" s="80" t="s">
        <v>19</v>
      </c>
      <c r="V105" s="80" t="s">
        <v>19</v>
      </c>
      <c r="W105" s="80" t="str">
        <f t="shared" si="55"/>
        <v>-</v>
      </c>
      <c r="X105" s="80" t="s">
        <v>19</v>
      </c>
      <c r="Y105" s="80" t="s">
        <v>19</v>
      </c>
      <c r="Z105" s="80" t="str">
        <f t="shared" si="56"/>
        <v>-</v>
      </c>
      <c r="AA105" s="80" t="s">
        <v>19</v>
      </c>
      <c r="AB105" s="80" t="s">
        <v>19</v>
      </c>
      <c r="AC105" s="80" t="str">
        <f t="shared" si="67"/>
        <v>-</v>
      </c>
      <c r="AD105" s="68"/>
      <c r="AE105" s="68"/>
      <c r="AF105" s="37" t="str">
        <f t="shared" si="59"/>
        <v>-</v>
      </c>
      <c r="AG105" s="44" t="s">
        <v>19</v>
      </c>
      <c r="AH105" s="44" t="s">
        <v>19</v>
      </c>
      <c r="AI105" s="44" t="str">
        <f t="shared" si="60"/>
        <v>-</v>
      </c>
      <c r="AJ105" s="37" t="s">
        <v>19</v>
      </c>
      <c r="AK105" s="37" t="s">
        <v>19</v>
      </c>
      <c r="AL105" s="37" t="str">
        <f t="shared" si="66"/>
        <v>-</v>
      </c>
      <c r="AM105" s="44" t="s">
        <v>19</v>
      </c>
      <c r="AN105" s="44" t="s">
        <v>19</v>
      </c>
      <c r="AO105" s="44" t="s">
        <v>19</v>
      </c>
      <c r="AP105" s="37" t="s">
        <v>19</v>
      </c>
      <c r="AQ105" s="37" t="s">
        <v>19</v>
      </c>
      <c r="AR105" s="37" t="str">
        <f t="shared" si="63"/>
        <v>-</v>
      </c>
      <c r="AS105" s="37" t="s">
        <v>19</v>
      </c>
      <c r="AT105" s="37" t="s">
        <v>19</v>
      </c>
      <c r="AU105" s="37" t="str">
        <f t="shared" si="64"/>
        <v>-</v>
      </c>
      <c r="AV105" s="70"/>
      <c r="AW105" s="70"/>
      <c r="AX105" s="37" t="str">
        <f t="shared" si="65"/>
        <v>-</v>
      </c>
      <c r="AY105" s="10"/>
      <c r="AZ105" s="2"/>
      <c r="BA105" s="2"/>
      <c r="BB105" s="2"/>
      <c r="BC105" s="2"/>
      <c r="BD105" s="2"/>
    </row>
    <row r="106" spans="1:56" ht="14.25" customHeight="1">
      <c r="A106" s="8"/>
      <c r="B106" s="12" t="s">
        <v>62</v>
      </c>
      <c r="C106" s="79"/>
      <c r="D106" s="79"/>
      <c r="E106" s="80" t="str">
        <f t="shared" si="46"/>
        <v>-</v>
      </c>
      <c r="F106" s="83" t="s">
        <v>19</v>
      </c>
      <c r="G106" s="83" t="s">
        <v>19</v>
      </c>
      <c r="H106" s="90"/>
      <c r="I106" s="87">
        <v>845</v>
      </c>
      <c r="J106" s="87">
        <v>867</v>
      </c>
      <c r="K106" s="65">
        <f t="shared" si="48"/>
        <v>0.9746251441753172</v>
      </c>
      <c r="L106" s="83" t="s">
        <v>19</v>
      </c>
      <c r="M106" s="83" t="s">
        <v>19</v>
      </c>
      <c r="N106" s="83" t="str">
        <f t="shared" si="50"/>
        <v>-</v>
      </c>
      <c r="O106" s="83" t="s">
        <v>19</v>
      </c>
      <c r="P106" s="83" t="s">
        <v>19</v>
      </c>
      <c r="Q106" s="83" t="str">
        <f t="shared" si="52"/>
        <v>-</v>
      </c>
      <c r="R106" s="83" t="s">
        <v>19</v>
      </c>
      <c r="S106" s="83" t="s">
        <v>19</v>
      </c>
      <c r="T106" s="83" t="str">
        <f t="shared" si="54"/>
        <v>-</v>
      </c>
      <c r="U106" s="80" t="s">
        <v>19</v>
      </c>
      <c r="V106" s="80" t="s">
        <v>19</v>
      </c>
      <c r="W106" s="80" t="str">
        <f t="shared" si="55"/>
        <v>-</v>
      </c>
      <c r="X106" s="80" t="s">
        <v>19</v>
      </c>
      <c r="Y106" s="80" t="s">
        <v>19</v>
      </c>
      <c r="Z106" s="80" t="str">
        <f t="shared" si="56"/>
        <v>-</v>
      </c>
      <c r="AA106" s="80" t="s">
        <v>19</v>
      </c>
      <c r="AB106" s="80" t="s">
        <v>19</v>
      </c>
      <c r="AC106" s="80" t="str">
        <f t="shared" si="67"/>
        <v>-</v>
      </c>
      <c r="AD106" s="68"/>
      <c r="AE106" s="68"/>
      <c r="AF106" s="37" t="str">
        <f t="shared" si="59"/>
        <v>-</v>
      </c>
      <c r="AG106" s="44" t="s">
        <v>19</v>
      </c>
      <c r="AH106" s="44" t="s">
        <v>19</v>
      </c>
      <c r="AI106" s="44" t="str">
        <f t="shared" si="60"/>
        <v>-</v>
      </c>
      <c r="AJ106" s="73">
        <v>7696</v>
      </c>
      <c r="AK106" s="73">
        <v>8450</v>
      </c>
      <c r="AL106" s="21">
        <f t="shared" si="66"/>
        <v>0.91076923076923078</v>
      </c>
      <c r="AM106" s="44" t="s">
        <v>19</v>
      </c>
      <c r="AN106" s="44" t="s">
        <v>19</v>
      </c>
      <c r="AO106" s="44" t="s">
        <v>19</v>
      </c>
      <c r="AP106" s="37" t="s">
        <v>19</v>
      </c>
      <c r="AQ106" s="37" t="s">
        <v>19</v>
      </c>
      <c r="AR106" s="37" t="str">
        <f t="shared" si="63"/>
        <v>-</v>
      </c>
      <c r="AS106" s="37" t="s">
        <v>19</v>
      </c>
      <c r="AT106" s="37" t="s">
        <v>19</v>
      </c>
      <c r="AU106" s="37" t="str">
        <f t="shared" si="64"/>
        <v>-</v>
      </c>
      <c r="AV106" s="70"/>
      <c r="AW106" s="70"/>
      <c r="AX106" s="37" t="str">
        <f t="shared" si="65"/>
        <v>-</v>
      </c>
      <c r="AY106" s="10"/>
      <c r="AZ106" s="2"/>
      <c r="BA106" s="2"/>
      <c r="BB106" s="2"/>
      <c r="BC106" s="2"/>
      <c r="BD106" s="2"/>
    </row>
    <row r="107" spans="1:56" ht="14.25" customHeight="1">
      <c r="A107" s="8"/>
      <c r="B107" s="12" t="s">
        <v>63</v>
      </c>
      <c r="C107" s="79"/>
      <c r="D107" s="79"/>
      <c r="E107" s="80" t="str">
        <f t="shared" si="46"/>
        <v>-</v>
      </c>
      <c r="F107" s="66">
        <f>F89</f>
        <v>1415</v>
      </c>
      <c r="G107" s="66">
        <f>G89</f>
        <v>1593</v>
      </c>
      <c r="H107" s="67">
        <f>IFERROR(F107/G107,"-")</f>
        <v>0.88826114249843069</v>
      </c>
      <c r="I107" s="80" t="s">
        <v>19</v>
      </c>
      <c r="J107" s="80" t="s">
        <v>19</v>
      </c>
      <c r="K107" s="80" t="str">
        <f t="shared" si="48"/>
        <v>-</v>
      </c>
      <c r="L107" s="83" t="s">
        <v>19</v>
      </c>
      <c r="M107" s="83" t="s">
        <v>19</v>
      </c>
      <c r="N107" s="83" t="str">
        <f t="shared" si="50"/>
        <v>-</v>
      </c>
      <c r="O107" s="83" t="s">
        <v>19</v>
      </c>
      <c r="P107" s="83" t="s">
        <v>19</v>
      </c>
      <c r="Q107" s="83" t="str">
        <f t="shared" si="52"/>
        <v>-</v>
      </c>
      <c r="R107" s="83" t="s">
        <v>19</v>
      </c>
      <c r="S107" s="83" t="s">
        <v>19</v>
      </c>
      <c r="T107" s="83" t="str">
        <f t="shared" si="54"/>
        <v>-</v>
      </c>
      <c r="U107" s="80" t="s">
        <v>19</v>
      </c>
      <c r="V107" s="80" t="s">
        <v>19</v>
      </c>
      <c r="W107" s="80" t="str">
        <f t="shared" si="55"/>
        <v>-</v>
      </c>
      <c r="X107" s="80" t="s">
        <v>19</v>
      </c>
      <c r="Y107" s="80" t="s">
        <v>19</v>
      </c>
      <c r="Z107" s="80" t="str">
        <f t="shared" si="56"/>
        <v>-</v>
      </c>
      <c r="AA107" s="80" t="s">
        <v>19</v>
      </c>
      <c r="AB107" s="80" t="s">
        <v>19</v>
      </c>
      <c r="AC107" s="80" t="str">
        <f t="shared" si="67"/>
        <v>-</v>
      </c>
      <c r="AD107" s="68"/>
      <c r="AE107" s="14"/>
      <c r="AF107" s="37" t="str">
        <f t="shared" si="59"/>
        <v>-</v>
      </c>
      <c r="AG107" s="89">
        <f>(1219+82)+(1215+84)</f>
        <v>2600</v>
      </c>
      <c r="AH107" s="88">
        <f>(1328+87)+(1328+87)</f>
        <v>2830</v>
      </c>
      <c r="AI107" s="36">
        <f t="shared" si="60"/>
        <v>0.91872791519434627</v>
      </c>
      <c r="AJ107" s="37" t="s">
        <v>19</v>
      </c>
      <c r="AK107" s="37" t="s">
        <v>19</v>
      </c>
      <c r="AL107" s="37" t="str">
        <f t="shared" si="66"/>
        <v>-</v>
      </c>
      <c r="AM107" s="44" t="s">
        <v>19</v>
      </c>
      <c r="AN107" s="44" t="s">
        <v>19</v>
      </c>
      <c r="AO107" s="44" t="s">
        <v>19</v>
      </c>
      <c r="AP107" s="37" t="s">
        <v>19</v>
      </c>
      <c r="AQ107" s="37" t="s">
        <v>19</v>
      </c>
      <c r="AR107" s="37" t="str">
        <f t="shared" si="63"/>
        <v>-</v>
      </c>
      <c r="AS107" s="37" t="s">
        <v>19</v>
      </c>
      <c r="AT107" s="37" t="s">
        <v>19</v>
      </c>
      <c r="AU107" s="37" t="str">
        <f t="shared" si="64"/>
        <v>-</v>
      </c>
      <c r="AV107" s="70"/>
      <c r="AW107" s="70"/>
      <c r="AX107" s="37" t="str">
        <f t="shared" si="65"/>
        <v>-</v>
      </c>
      <c r="AY107" s="10"/>
      <c r="AZ107" s="2"/>
      <c r="BA107" s="2"/>
      <c r="BB107" s="2"/>
      <c r="BC107" s="2"/>
      <c r="BD107" s="2"/>
    </row>
    <row r="108" spans="1:56" ht="14.25" customHeight="1">
      <c r="A108" s="8"/>
      <c r="B108" s="12" t="s">
        <v>64</v>
      </c>
      <c r="C108" s="79"/>
      <c r="D108" s="79"/>
      <c r="E108" s="80" t="str">
        <f t="shared" si="46"/>
        <v>-</v>
      </c>
      <c r="F108" s="83" t="s">
        <v>19</v>
      </c>
      <c r="G108" s="83" t="s">
        <v>19</v>
      </c>
      <c r="H108" s="83" t="str">
        <f>IFERROR(F108/G108,"-")</f>
        <v>-</v>
      </c>
      <c r="I108" s="87">
        <v>6950</v>
      </c>
      <c r="J108" s="87">
        <v>10654</v>
      </c>
      <c r="K108" s="65">
        <f t="shared" si="48"/>
        <v>0.65233715036605966</v>
      </c>
      <c r="L108" s="83" t="s">
        <v>19</v>
      </c>
      <c r="M108" s="83" t="s">
        <v>19</v>
      </c>
      <c r="N108" s="83" t="str">
        <f t="shared" si="50"/>
        <v>-</v>
      </c>
      <c r="O108" s="83" t="s">
        <v>19</v>
      </c>
      <c r="P108" s="83" t="s">
        <v>19</v>
      </c>
      <c r="Q108" s="83" t="str">
        <f t="shared" si="52"/>
        <v>-</v>
      </c>
      <c r="R108" s="83" t="s">
        <v>19</v>
      </c>
      <c r="S108" s="83" t="s">
        <v>19</v>
      </c>
      <c r="T108" s="83" t="str">
        <f t="shared" si="54"/>
        <v>-</v>
      </c>
      <c r="U108" s="80" t="s">
        <v>19</v>
      </c>
      <c r="V108" s="80" t="s">
        <v>19</v>
      </c>
      <c r="W108" s="80" t="str">
        <f t="shared" si="55"/>
        <v>-</v>
      </c>
      <c r="X108" s="64">
        <f>X89</f>
        <v>1043</v>
      </c>
      <c r="Y108" s="64">
        <f>Y89</f>
        <v>1043</v>
      </c>
      <c r="Z108" s="65">
        <f t="shared" si="56"/>
        <v>1</v>
      </c>
      <c r="AA108" s="64">
        <f>AA89</f>
        <v>1198</v>
      </c>
      <c r="AB108" s="64">
        <f>AB89</f>
        <v>1198</v>
      </c>
      <c r="AC108" s="65">
        <f t="shared" si="67"/>
        <v>1</v>
      </c>
      <c r="AD108" s="68"/>
      <c r="AE108" s="68"/>
      <c r="AF108" s="37" t="str">
        <f t="shared" si="59"/>
        <v>-</v>
      </c>
      <c r="AG108" s="44" t="s">
        <v>19</v>
      </c>
      <c r="AH108" s="44" t="s">
        <v>19</v>
      </c>
      <c r="AI108" s="44" t="str">
        <f t="shared" si="60"/>
        <v>-</v>
      </c>
      <c r="AJ108" s="73">
        <v>52271</v>
      </c>
      <c r="AK108" s="73">
        <v>55710</v>
      </c>
      <c r="AL108" s="21">
        <f t="shared" si="66"/>
        <v>0.93826961048285762</v>
      </c>
      <c r="AM108" s="44" t="s">
        <v>19</v>
      </c>
      <c r="AN108" s="44" t="s">
        <v>19</v>
      </c>
      <c r="AO108" s="44" t="s">
        <v>19</v>
      </c>
      <c r="AP108" s="37" t="s">
        <v>19</v>
      </c>
      <c r="AQ108" s="37" t="s">
        <v>19</v>
      </c>
      <c r="AR108" s="37" t="str">
        <f t="shared" si="63"/>
        <v>-</v>
      </c>
      <c r="AS108" s="37" t="s">
        <v>19</v>
      </c>
      <c r="AT108" s="37" t="s">
        <v>19</v>
      </c>
      <c r="AU108" s="37" t="str">
        <f t="shared" si="64"/>
        <v>-</v>
      </c>
      <c r="AV108" s="70"/>
      <c r="AW108" s="70"/>
      <c r="AX108" s="37" t="str">
        <f t="shared" si="65"/>
        <v>-</v>
      </c>
      <c r="AY108" s="10"/>
      <c r="AZ108" s="2"/>
      <c r="BA108" s="2"/>
      <c r="BB108" s="2"/>
      <c r="BC108" s="2"/>
      <c r="BD108" s="2"/>
    </row>
    <row r="109" spans="1:56" ht="14.25" customHeight="1">
      <c r="A109" s="8"/>
      <c r="B109" s="12" t="s">
        <v>65</v>
      </c>
      <c r="C109" s="79"/>
      <c r="D109" s="79"/>
      <c r="E109" s="80" t="str">
        <f t="shared" si="46"/>
        <v>-</v>
      </c>
      <c r="F109" s="83" t="s">
        <v>19</v>
      </c>
      <c r="G109" s="83" t="s">
        <v>19</v>
      </c>
      <c r="H109" s="83" t="str">
        <f>IFERROR(F109/G109,"-")</f>
        <v>-</v>
      </c>
      <c r="I109" s="86">
        <f>I101</f>
        <v>0</v>
      </c>
      <c r="J109" s="86">
        <f>J101</f>
        <v>0</v>
      </c>
      <c r="K109" s="80" t="str">
        <f t="shared" si="48"/>
        <v>-</v>
      </c>
      <c r="L109" s="83" t="s">
        <v>19</v>
      </c>
      <c r="M109" s="83" t="s">
        <v>19</v>
      </c>
      <c r="N109" s="83" t="str">
        <f t="shared" si="50"/>
        <v>-</v>
      </c>
      <c r="O109" s="83" t="s">
        <v>19</v>
      </c>
      <c r="P109" s="83" t="s">
        <v>19</v>
      </c>
      <c r="Q109" s="83" t="str">
        <f t="shared" si="52"/>
        <v>-</v>
      </c>
      <c r="R109" s="83" t="s">
        <v>19</v>
      </c>
      <c r="S109" s="83" t="s">
        <v>19</v>
      </c>
      <c r="T109" s="83" t="str">
        <f t="shared" si="54"/>
        <v>-</v>
      </c>
      <c r="U109" s="80" t="s">
        <v>19</v>
      </c>
      <c r="V109" s="80" t="s">
        <v>19</v>
      </c>
      <c r="W109" s="80" t="str">
        <f t="shared" si="55"/>
        <v>-</v>
      </c>
      <c r="X109" s="80" t="s">
        <v>19</v>
      </c>
      <c r="Y109" s="80" t="s">
        <v>19</v>
      </c>
      <c r="Z109" s="80" t="str">
        <f t="shared" si="56"/>
        <v>-</v>
      </c>
      <c r="AA109" s="80" t="s">
        <v>19</v>
      </c>
      <c r="AB109" s="80" t="s">
        <v>19</v>
      </c>
      <c r="AC109" s="80" t="str">
        <f t="shared" si="67"/>
        <v>-</v>
      </c>
      <c r="AD109" s="68"/>
      <c r="AE109" s="68"/>
      <c r="AF109" s="37" t="str">
        <f t="shared" si="59"/>
        <v>-</v>
      </c>
      <c r="AG109" s="44" t="s">
        <v>19</v>
      </c>
      <c r="AH109" s="44" t="s">
        <v>19</v>
      </c>
      <c r="AI109" s="44" t="str">
        <f t="shared" si="60"/>
        <v>-</v>
      </c>
      <c r="AJ109" s="77">
        <f>3320</f>
        <v>3320</v>
      </c>
      <c r="AK109" s="77">
        <f t="shared" si="68"/>
        <v>4380</v>
      </c>
      <c r="AL109" s="21">
        <f t="shared" si="66"/>
        <v>0.75799086757990863</v>
      </c>
      <c r="AM109" s="44" t="s">
        <v>19</v>
      </c>
      <c r="AN109" s="44" t="s">
        <v>19</v>
      </c>
      <c r="AO109" s="44" t="s">
        <v>19</v>
      </c>
      <c r="AP109" s="37" t="s">
        <v>19</v>
      </c>
      <c r="AQ109" s="37" t="s">
        <v>19</v>
      </c>
      <c r="AR109" s="37" t="str">
        <f t="shared" si="63"/>
        <v>-</v>
      </c>
      <c r="AS109" s="37" t="s">
        <v>19</v>
      </c>
      <c r="AT109" s="37" t="s">
        <v>19</v>
      </c>
      <c r="AU109" s="37" t="str">
        <f t="shared" si="64"/>
        <v>-</v>
      </c>
      <c r="AV109" s="70"/>
      <c r="AW109" s="70"/>
      <c r="AX109" s="37" t="str">
        <f t="shared" si="65"/>
        <v>-</v>
      </c>
      <c r="AY109" s="10"/>
      <c r="AZ109" s="2"/>
      <c r="BA109" s="2"/>
      <c r="BB109" s="2"/>
      <c r="BC109" s="2"/>
      <c r="BD109" s="2"/>
    </row>
    <row r="110" spans="1:56" ht="14.25" customHeight="1">
      <c r="A110" s="8"/>
      <c r="B110" s="12" t="s">
        <v>66</v>
      </c>
      <c r="C110" s="79"/>
      <c r="D110" s="79"/>
      <c r="E110" s="80" t="str">
        <f t="shared" si="46"/>
        <v>-</v>
      </c>
      <c r="F110" s="83" t="s">
        <v>19</v>
      </c>
      <c r="G110" s="83" t="s">
        <v>19</v>
      </c>
      <c r="H110" s="90"/>
      <c r="I110" s="80" t="s">
        <v>19</v>
      </c>
      <c r="J110" s="80" t="s">
        <v>19</v>
      </c>
      <c r="K110" s="80" t="str">
        <f t="shared" si="48"/>
        <v>-</v>
      </c>
      <c r="L110" s="83" t="s">
        <v>19</v>
      </c>
      <c r="M110" s="83" t="s">
        <v>19</v>
      </c>
      <c r="N110" s="83" t="str">
        <f t="shared" si="50"/>
        <v>-</v>
      </c>
      <c r="O110" s="83" t="s">
        <v>19</v>
      </c>
      <c r="P110" s="83" t="s">
        <v>19</v>
      </c>
      <c r="Q110" s="83" t="str">
        <f t="shared" si="52"/>
        <v>-</v>
      </c>
      <c r="R110" s="83" t="s">
        <v>19</v>
      </c>
      <c r="S110" s="83" t="s">
        <v>19</v>
      </c>
      <c r="T110" s="83" t="str">
        <f t="shared" si="54"/>
        <v>-</v>
      </c>
      <c r="U110" s="80" t="s">
        <v>19</v>
      </c>
      <c r="V110" s="80" t="s">
        <v>19</v>
      </c>
      <c r="W110" s="80" t="str">
        <f t="shared" si="55"/>
        <v>-</v>
      </c>
      <c r="X110" s="80" t="s">
        <v>19</v>
      </c>
      <c r="Y110" s="80" t="s">
        <v>19</v>
      </c>
      <c r="Z110" s="80" t="str">
        <f t="shared" si="56"/>
        <v>-</v>
      </c>
      <c r="AA110" s="80" t="s">
        <v>19</v>
      </c>
      <c r="AB110" s="80" t="s">
        <v>19</v>
      </c>
      <c r="AC110" s="91"/>
      <c r="AD110" s="68"/>
      <c r="AE110" s="68"/>
      <c r="AF110" s="37" t="str">
        <f t="shared" si="59"/>
        <v>-</v>
      </c>
      <c r="AG110" s="44" t="s">
        <v>19</v>
      </c>
      <c r="AH110" s="44" t="s">
        <v>19</v>
      </c>
      <c r="AI110" s="44" t="str">
        <f t="shared" si="60"/>
        <v>-</v>
      </c>
      <c r="AJ110" s="37" t="s">
        <v>19</v>
      </c>
      <c r="AK110" s="37" t="s">
        <v>19</v>
      </c>
      <c r="AL110" s="37" t="s">
        <v>19</v>
      </c>
      <c r="AM110" s="44" t="s">
        <v>19</v>
      </c>
      <c r="AN110" s="44" t="s">
        <v>19</v>
      </c>
      <c r="AO110" s="44" t="s">
        <v>19</v>
      </c>
      <c r="AP110" s="37" t="s">
        <v>19</v>
      </c>
      <c r="AQ110" s="37" t="s">
        <v>19</v>
      </c>
      <c r="AR110" s="37" t="str">
        <f t="shared" si="63"/>
        <v>-</v>
      </c>
      <c r="AS110" s="37" t="s">
        <v>19</v>
      </c>
      <c r="AT110" s="37" t="s">
        <v>19</v>
      </c>
      <c r="AU110" s="37" t="str">
        <f t="shared" si="64"/>
        <v>-</v>
      </c>
      <c r="AV110" s="70"/>
      <c r="AW110" s="70"/>
      <c r="AX110" s="37" t="str">
        <f t="shared" si="65"/>
        <v>-</v>
      </c>
      <c r="AY110" s="10"/>
      <c r="AZ110" s="2"/>
      <c r="BA110" s="2"/>
      <c r="BB110" s="2"/>
      <c r="BC110" s="2"/>
      <c r="BD110" s="2"/>
    </row>
    <row r="111" spans="1:56" ht="14.25" customHeight="1">
      <c r="A111" s="8"/>
      <c r="B111" s="12" t="s">
        <v>67</v>
      </c>
      <c r="C111" s="79"/>
      <c r="D111" s="79"/>
      <c r="E111" s="80" t="str">
        <f t="shared" si="46"/>
        <v>-</v>
      </c>
      <c r="F111" s="83" t="s">
        <v>19</v>
      </c>
      <c r="G111" s="83" t="s">
        <v>19</v>
      </c>
      <c r="H111" s="83" t="str">
        <f>IFERROR(F111/G111,"-")</f>
        <v>-</v>
      </c>
      <c r="I111" s="86">
        <f>I101</f>
        <v>0</v>
      </c>
      <c r="J111" s="86">
        <f>J101</f>
        <v>0</v>
      </c>
      <c r="K111" s="80" t="str">
        <f t="shared" si="48"/>
        <v>-</v>
      </c>
      <c r="L111" s="66">
        <f>IFERROR(SUM(C245,L245,U245),"-")</f>
        <v>3965</v>
      </c>
      <c r="M111" s="66">
        <f>IFERROR(SUM(D245,M245,V245),"-")</f>
        <v>4262</v>
      </c>
      <c r="N111" s="67">
        <f t="shared" si="50"/>
        <v>0.93031440638198026</v>
      </c>
      <c r="O111" s="66">
        <f>IFERROR(SUM(F245,O245,X245),"-")</f>
        <v>2878</v>
      </c>
      <c r="P111" s="66">
        <f>IFERROR(SUM(G245,P245,Y245),"-")</f>
        <v>3091</v>
      </c>
      <c r="Q111" s="67">
        <f t="shared" si="52"/>
        <v>0.93109026205111611</v>
      </c>
      <c r="R111" s="66">
        <f>IFERROR(SUM(I245,R245,AA245),"-")</f>
        <v>6843</v>
      </c>
      <c r="S111" s="66">
        <f>IFERROR(SUM(J245,S245,AB245),"-")</f>
        <v>7353</v>
      </c>
      <c r="T111" s="67">
        <f t="shared" si="54"/>
        <v>0.93064055487556097</v>
      </c>
      <c r="U111" s="80" t="s">
        <v>19</v>
      </c>
      <c r="V111" s="80" t="s">
        <v>19</v>
      </c>
      <c r="W111" s="80" t="str">
        <f t="shared" si="55"/>
        <v>-</v>
      </c>
      <c r="X111" s="80" t="s">
        <v>19</v>
      </c>
      <c r="Y111" s="80" t="s">
        <v>19</v>
      </c>
      <c r="Z111" s="80" t="str">
        <f t="shared" si="56"/>
        <v>-</v>
      </c>
      <c r="AA111" s="80" t="s">
        <v>19</v>
      </c>
      <c r="AB111" s="80" t="s">
        <v>19</v>
      </c>
      <c r="AC111" s="80" t="str">
        <f t="shared" ref="AC111:AC145" si="69">IFERROR(AA111/AB111,"-")</f>
        <v>-</v>
      </c>
      <c r="AD111" s="68"/>
      <c r="AE111" s="68"/>
      <c r="AF111" s="37" t="str">
        <f t="shared" si="59"/>
        <v>-</v>
      </c>
      <c r="AG111" s="44" t="s">
        <v>19</v>
      </c>
      <c r="AH111" s="44" t="s">
        <v>19</v>
      </c>
      <c r="AI111" s="44" t="str">
        <f t="shared" si="60"/>
        <v>-</v>
      </c>
      <c r="AJ111" s="77">
        <f>2477</f>
        <v>2477</v>
      </c>
      <c r="AK111" s="77">
        <f>3282</f>
        <v>3282</v>
      </c>
      <c r="AL111" s="21">
        <f>IFERROR(AJ111/AK111,"-")</f>
        <v>0.75472273004265689</v>
      </c>
      <c r="AM111" s="36">
        <f>X200</f>
        <v>0</v>
      </c>
      <c r="AN111" s="36">
        <f>Y200</f>
        <v>0</v>
      </c>
      <c r="AO111" s="36">
        <f>Z200</f>
        <v>0</v>
      </c>
      <c r="AP111" s="37" t="s">
        <v>19</v>
      </c>
      <c r="AQ111" s="37" t="s">
        <v>19</v>
      </c>
      <c r="AR111" s="37" t="str">
        <f t="shared" si="63"/>
        <v>-</v>
      </c>
      <c r="AS111" s="37" t="s">
        <v>19</v>
      </c>
      <c r="AT111" s="37" t="s">
        <v>19</v>
      </c>
      <c r="AU111" s="37" t="str">
        <f t="shared" si="64"/>
        <v>-</v>
      </c>
      <c r="AV111" s="70"/>
      <c r="AW111" s="70"/>
      <c r="AX111" s="37" t="str">
        <f t="shared" si="65"/>
        <v>-</v>
      </c>
      <c r="AY111" s="10"/>
      <c r="AZ111" s="2"/>
      <c r="BA111" s="2"/>
      <c r="BB111" s="2"/>
      <c r="BC111" s="2"/>
      <c r="BD111" s="2"/>
    </row>
    <row r="112" spans="1:56" ht="14.25" customHeight="1">
      <c r="A112" s="8"/>
      <c r="B112" s="12" t="s">
        <v>68</v>
      </c>
      <c r="C112" s="79"/>
      <c r="D112" s="79"/>
      <c r="E112" s="80" t="str">
        <f t="shared" si="46"/>
        <v>-</v>
      </c>
      <c r="F112" s="83" t="s">
        <v>19</v>
      </c>
      <c r="G112" s="83" t="s">
        <v>19</v>
      </c>
      <c r="H112" s="90"/>
      <c r="I112" s="80" t="s">
        <v>19</v>
      </c>
      <c r="J112" s="80" t="s">
        <v>19</v>
      </c>
      <c r="K112" s="80" t="str">
        <f t="shared" si="48"/>
        <v>-</v>
      </c>
      <c r="L112" s="83" t="s">
        <v>19</v>
      </c>
      <c r="M112" s="83" t="s">
        <v>19</v>
      </c>
      <c r="N112" s="83" t="str">
        <f t="shared" si="50"/>
        <v>-</v>
      </c>
      <c r="O112" s="83" t="s">
        <v>19</v>
      </c>
      <c r="P112" s="83" t="s">
        <v>19</v>
      </c>
      <c r="Q112" s="83" t="str">
        <f t="shared" si="52"/>
        <v>-</v>
      </c>
      <c r="R112" s="83" t="s">
        <v>19</v>
      </c>
      <c r="S112" s="83" t="s">
        <v>19</v>
      </c>
      <c r="T112" s="83" t="str">
        <f t="shared" si="54"/>
        <v>-</v>
      </c>
      <c r="U112" s="80" t="s">
        <v>19</v>
      </c>
      <c r="V112" s="80" t="s">
        <v>19</v>
      </c>
      <c r="W112" s="80" t="str">
        <f t="shared" si="55"/>
        <v>-</v>
      </c>
      <c r="X112" s="80" t="s">
        <v>19</v>
      </c>
      <c r="Y112" s="80" t="s">
        <v>19</v>
      </c>
      <c r="Z112" s="80" t="str">
        <f t="shared" si="56"/>
        <v>-</v>
      </c>
      <c r="AA112" s="80" t="s">
        <v>19</v>
      </c>
      <c r="AB112" s="80" t="s">
        <v>19</v>
      </c>
      <c r="AC112" s="80" t="str">
        <f t="shared" si="69"/>
        <v>-</v>
      </c>
      <c r="AD112" s="68"/>
      <c r="AE112" s="68"/>
      <c r="AF112" s="37" t="str">
        <f t="shared" si="59"/>
        <v>-</v>
      </c>
      <c r="AG112" s="44" t="s">
        <v>19</v>
      </c>
      <c r="AH112" s="44" t="s">
        <v>19</v>
      </c>
      <c r="AI112" s="44" t="str">
        <f t="shared" si="60"/>
        <v>-</v>
      </c>
      <c r="AJ112" s="37" t="s">
        <v>19</v>
      </c>
      <c r="AK112" s="37" t="s">
        <v>19</v>
      </c>
      <c r="AL112" s="37" t="s">
        <v>19</v>
      </c>
      <c r="AM112" s="44" t="s">
        <v>19</v>
      </c>
      <c r="AN112" s="44" t="s">
        <v>19</v>
      </c>
      <c r="AO112" s="44" t="s">
        <v>19</v>
      </c>
      <c r="AP112" s="37" t="s">
        <v>19</v>
      </c>
      <c r="AQ112" s="37" t="s">
        <v>19</v>
      </c>
      <c r="AR112" s="37" t="str">
        <f t="shared" si="63"/>
        <v>-</v>
      </c>
      <c r="AS112" s="37" t="s">
        <v>19</v>
      </c>
      <c r="AT112" s="37" t="s">
        <v>19</v>
      </c>
      <c r="AU112" s="37" t="str">
        <f t="shared" si="64"/>
        <v>-</v>
      </c>
      <c r="AV112" s="70"/>
      <c r="AW112" s="70"/>
      <c r="AX112" s="37" t="str">
        <f t="shared" si="65"/>
        <v>-</v>
      </c>
      <c r="AY112" s="10"/>
      <c r="AZ112" s="2"/>
      <c r="BA112" s="2"/>
      <c r="BB112" s="2"/>
      <c r="BC112" s="2"/>
      <c r="BD112" s="2"/>
    </row>
    <row r="113" spans="1:56" ht="14.25" customHeight="1">
      <c r="A113" s="8"/>
      <c r="B113" s="12" t="s">
        <v>69</v>
      </c>
      <c r="C113" s="92">
        <v>49</v>
      </c>
      <c r="D113" s="92">
        <v>54</v>
      </c>
      <c r="E113" s="65">
        <f t="shared" si="46"/>
        <v>0.90740740740740744</v>
      </c>
      <c r="F113" s="93">
        <v>49</v>
      </c>
      <c r="G113" s="93">
        <v>54</v>
      </c>
      <c r="H113" s="67">
        <f t="shared" ref="H113:H145" si="70">IFERROR(F113/G113,"-")</f>
        <v>0.90740740740740744</v>
      </c>
      <c r="I113" s="92">
        <v>28</v>
      </c>
      <c r="J113" s="92">
        <v>35</v>
      </c>
      <c r="K113" s="65">
        <f t="shared" si="48"/>
        <v>0.8</v>
      </c>
      <c r="L113" s="66">
        <f t="shared" ref="L113:L145" si="71">IFERROR(SUM(C246,L246,U246),"-")</f>
        <v>157</v>
      </c>
      <c r="M113" s="66">
        <f t="shared" ref="M113:M145" si="72">IFERROR(SUM(D246,M246,V246),"-")</f>
        <v>175</v>
      </c>
      <c r="N113" s="67">
        <f t="shared" si="50"/>
        <v>0.89714285714285713</v>
      </c>
      <c r="O113" s="66">
        <f t="shared" ref="O113:P116" si="73">IFERROR(SUM(F246,O246,X246),"-")</f>
        <v>182</v>
      </c>
      <c r="P113" s="66">
        <f t="shared" si="73"/>
        <v>203</v>
      </c>
      <c r="Q113" s="67">
        <f t="shared" si="52"/>
        <v>0.89655172413793105</v>
      </c>
      <c r="R113" s="66">
        <f t="shared" ref="R113:R145" si="74">IFERROR(SUM(I246,R246,AA246),"-")</f>
        <v>339</v>
      </c>
      <c r="S113" s="66">
        <f t="shared" ref="S113:S145" si="75">IFERROR(SUM(J246,S246,AB246),"-")</f>
        <v>378</v>
      </c>
      <c r="T113" s="67">
        <f t="shared" si="54"/>
        <v>0.89682539682539686</v>
      </c>
      <c r="U113" s="87">
        <v>1</v>
      </c>
      <c r="V113" s="87">
        <v>1</v>
      </c>
      <c r="W113" s="65">
        <f t="shared" si="55"/>
        <v>1</v>
      </c>
      <c r="X113" s="92">
        <v>30</v>
      </c>
      <c r="Y113" s="92">
        <v>30</v>
      </c>
      <c r="Z113" s="65">
        <f t="shared" si="56"/>
        <v>1</v>
      </c>
      <c r="AA113" s="64">
        <f t="shared" ref="AA113:AA132" si="76">SUM(U113,X113)</f>
        <v>31</v>
      </c>
      <c r="AB113" s="64">
        <f t="shared" ref="AB113:AB132" si="77">SUM(V113,Y113)</f>
        <v>31</v>
      </c>
      <c r="AC113" s="65">
        <f t="shared" si="69"/>
        <v>1</v>
      </c>
      <c r="AD113" s="68"/>
      <c r="AE113" s="68"/>
      <c r="AF113" s="37" t="str">
        <f t="shared" si="59"/>
        <v>-</v>
      </c>
      <c r="AG113" s="44" t="s">
        <v>19</v>
      </c>
      <c r="AH113" s="44" t="s">
        <v>19</v>
      </c>
      <c r="AI113" s="44" t="str">
        <f t="shared" si="60"/>
        <v>-</v>
      </c>
      <c r="AJ113" s="77">
        <f>101</f>
        <v>101</v>
      </c>
      <c r="AK113" s="77">
        <f>112</f>
        <v>112</v>
      </c>
      <c r="AL113" s="21">
        <f t="shared" ref="AL113:AL145" si="78">IFERROR(AJ113/AK113,"-")</f>
        <v>0.9017857142857143</v>
      </c>
      <c r="AM113" s="36">
        <f t="shared" ref="AM113:AO115" si="79">X201</f>
        <v>0</v>
      </c>
      <c r="AN113" s="36">
        <f t="shared" si="79"/>
        <v>0</v>
      </c>
      <c r="AO113" s="36">
        <f t="shared" si="79"/>
        <v>0</v>
      </c>
      <c r="AP113" s="77">
        <v>3</v>
      </c>
      <c r="AQ113" s="77">
        <v>4</v>
      </c>
      <c r="AR113" s="21">
        <f t="shared" si="63"/>
        <v>0.75</v>
      </c>
      <c r="AS113" s="77">
        <v>155</v>
      </c>
      <c r="AT113" s="77">
        <v>180</v>
      </c>
      <c r="AU113" s="21">
        <f t="shared" si="64"/>
        <v>0.86111111111111116</v>
      </c>
      <c r="AV113" s="70"/>
      <c r="AW113" s="70"/>
      <c r="AX113" s="37" t="str">
        <f t="shared" si="65"/>
        <v>-</v>
      </c>
      <c r="AY113" s="10"/>
      <c r="AZ113" s="2"/>
      <c r="BA113" s="2"/>
      <c r="BB113" s="2"/>
      <c r="BC113" s="2"/>
      <c r="BD113" s="2"/>
    </row>
    <row r="114" spans="1:56" ht="14.25" customHeight="1">
      <c r="A114" s="8"/>
      <c r="B114" s="12" t="s">
        <v>70</v>
      </c>
      <c r="C114" s="92">
        <v>88</v>
      </c>
      <c r="D114" s="92">
        <v>93</v>
      </c>
      <c r="E114" s="65">
        <f t="shared" si="46"/>
        <v>0.94623655913978499</v>
      </c>
      <c r="F114" s="93">
        <v>89</v>
      </c>
      <c r="G114" s="93">
        <v>93</v>
      </c>
      <c r="H114" s="67">
        <f t="shared" si="70"/>
        <v>0.956989247311828</v>
      </c>
      <c r="I114" s="92">
        <v>75</v>
      </c>
      <c r="J114" s="92">
        <v>89</v>
      </c>
      <c r="K114" s="65">
        <f t="shared" si="48"/>
        <v>0.84269662921348309</v>
      </c>
      <c r="L114" s="66">
        <f t="shared" si="71"/>
        <v>320</v>
      </c>
      <c r="M114" s="66">
        <f t="shared" si="72"/>
        <v>357</v>
      </c>
      <c r="N114" s="67">
        <f t="shared" si="50"/>
        <v>0.89635854341736698</v>
      </c>
      <c r="O114" s="66">
        <f t="shared" si="73"/>
        <v>396</v>
      </c>
      <c r="P114" s="66">
        <f t="shared" si="73"/>
        <v>421</v>
      </c>
      <c r="Q114" s="67">
        <f t="shared" si="52"/>
        <v>0.94061757719714967</v>
      </c>
      <c r="R114" s="66">
        <f t="shared" si="74"/>
        <v>716</v>
      </c>
      <c r="S114" s="66">
        <f t="shared" si="75"/>
        <v>778</v>
      </c>
      <c r="T114" s="67">
        <f t="shared" si="54"/>
        <v>0.92030848329048842</v>
      </c>
      <c r="U114" s="92">
        <v>5</v>
      </c>
      <c r="V114" s="92">
        <v>5</v>
      </c>
      <c r="W114" s="65">
        <f t="shared" si="55"/>
        <v>1</v>
      </c>
      <c r="X114" s="92">
        <v>82</v>
      </c>
      <c r="Y114" s="92">
        <v>82</v>
      </c>
      <c r="Z114" s="65">
        <f t="shared" si="56"/>
        <v>1</v>
      </c>
      <c r="AA114" s="64">
        <f t="shared" si="76"/>
        <v>87</v>
      </c>
      <c r="AB114" s="64">
        <f t="shared" si="77"/>
        <v>87</v>
      </c>
      <c r="AC114" s="65">
        <f t="shared" si="69"/>
        <v>1</v>
      </c>
      <c r="AD114" s="68"/>
      <c r="AE114" s="68"/>
      <c r="AF114" s="37" t="str">
        <f t="shared" si="59"/>
        <v>-</v>
      </c>
      <c r="AG114" s="44" t="s">
        <v>19</v>
      </c>
      <c r="AH114" s="44" t="s">
        <v>19</v>
      </c>
      <c r="AI114" s="44" t="str">
        <f t="shared" si="60"/>
        <v>-</v>
      </c>
      <c r="AJ114" s="77">
        <f>207</f>
        <v>207</v>
      </c>
      <c r="AK114" s="77">
        <f>300</f>
        <v>300</v>
      </c>
      <c r="AL114" s="21">
        <f t="shared" si="78"/>
        <v>0.69</v>
      </c>
      <c r="AM114" s="36">
        <f t="shared" si="79"/>
        <v>0</v>
      </c>
      <c r="AN114" s="36">
        <f t="shared" si="79"/>
        <v>0</v>
      </c>
      <c r="AO114" s="36">
        <f t="shared" si="79"/>
        <v>0</v>
      </c>
      <c r="AP114" s="77">
        <v>16</v>
      </c>
      <c r="AQ114" s="77">
        <v>20</v>
      </c>
      <c r="AR114" s="21">
        <f t="shared" si="63"/>
        <v>0.8</v>
      </c>
      <c r="AS114" s="77">
        <v>354</v>
      </c>
      <c r="AT114" s="77">
        <v>491</v>
      </c>
      <c r="AU114" s="21">
        <f t="shared" si="64"/>
        <v>0.72097759674134421</v>
      </c>
      <c r="AV114" s="70"/>
      <c r="AW114" s="70"/>
      <c r="AX114" s="37" t="str">
        <f t="shared" si="65"/>
        <v>-</v>
      </c>
      <c r="AY114" s="10"/>
      <c r="AZ114" s="2"/>
      <c r="BA114" s="2"/>
      <c r="BB114" s="2"/>
      <c r="BC114" s="2"/>
      <c r="BD114" s="2"/>
    </row>
    <row r="115" spans="1:56" ht="14.25" customHeight="1">
      <c r="A115" s="8"/>
      <c r="B115" s="12" t="s">
        <v>71</v>
      </c>
      <c r="C115" s="92">
        <v>79</v>
      </c>
      <c r="D115" s="92">
        <v>81</v>
      </c>
      <c r="E115" s="65">
        <f t="shared" si="46"/>
        <v>0.97530864197530864</v>
      </c>
      <c r="F115" s="93">
        <v>76</v>
      </c>
      <c r="G115" s="93">
        <v>81</v>
      </c>
      <c r="H115" s="67">
        <f t="shared" si="70"/>
        <v>0.93827160493827155</v>
      </c>
      <c r="I115" s="92">
        <v>40</v>
      </c>
      <c r="J115" s="92">
        <v>60</v>
      </c>
      <c r="K115" s="65">
        <f t="shared" si="48"/>
        <v>0.66666666666666663</v>
      </c>
      <c r="L115" s="66">
        <f t="shared" si="71"/>
        <v>277</v>
      </c>
      <c r="M115" s="66">
        <f t="shared" si="72"/>
        <v>306</v>
      </c>
      <c r="N115" s="67">
        <f t="shared" si="50"/>
        <v>0.90522875816993464</v>
      </c>
      <c r="O115" s="66">
        <f t="shared" si="73"/>
        <v>316</v>
      </c>
      <c r="P115" s="66">
        <f t="shared" si="73"/>
        <v>351</v>
      </c>
      <c r="Q115" s="67">
        <f t="shared" si="52"/>
        <v>0.90028490028490027</v>
      </c>
      <c r="R115" s="66">
        <f t="shared" si="74"/>
        <v>593</v>
      </c>
      <c r="S115" s="66">
        <f t="shared" si="75"/>
        <v>657</v>
      </c>
      <c r="T115" s="67">
        <f t="shared" si="54"/>
        <v>0.9025875190258752</v>
      </c>
      <c r="U115" s="87">
        <v>8</v>
      </c>
      <c r="V115" s="87">
        <v>8</v>
      </c>
      <c r="W115" s="65">
        <f t="shared" si="55"/>
        <v>1</v>
      </c>
      <c r="X115" s="87">
        <v>59</v>
      </c>
      <c r="Y115" s="87">
        <v>59</v>
      </c>
      <c r="Z115" s="65">
        <f t="shared" si="56"/>
        <v>1</v>
      </c>
      <c r="AA115" s="64">
        <f t="shared" si="76"/>
        <v>67</v>
      </c>
      <c r="AB115" s="64">
        <f t="shared" si="77"/>
        <v>67</v>
      </c>
      <c r="AC115" s="65">
        <f t="shared" si="69"/>
        <v>1</v>
      </c>
      <c r="AD115" s="68"/>
      <c r="AE115" s="68"/>
      <c r="AF115" s="37" t="str">
        <f t="shared" si="59"/>
        <v>-</v>
      </c>
      <c r="AG115" s="44" t="s">
        <v>19</v>
      </c>
      <c r="AH115" s="44" t="s">
        <v>19</v>
      </c>
      <c r="AI115" s="44" t="str">
        <f t="shared" si="60"/>
        <v>-</v>
      </c>
      <c r="AJ115" s="77">
        <f>117</f>
        <v>117</v>
      </c>
      <c r="AK115" s="77">
        <f>160</f>
        <v>160</v>
      </c>
      <c r="AL115" s="21">
        <f t="shared" si="78"/>
        <v>0.73124999999999996</v>
      </c>
      <c r="AM115" s="36">
        <f t="shared" si="79"/>
        <v>0</v>
      </c>
      <c r="AN115" s="36">
        <f t="shared" si="79"/>
        <v>0</v>
      </c>
      <c r="AO115" s="36">
        <f t="shared" si="79"/>
        <v>0</v>
      </c>
      <c r="AP115" s="73">
        <v>25</v>
      </c>
      <c r="AQ115" s="73">
        <v>32</v>
      </c>
      <c r="AR115" s="21">
        <f t="shared" si="63"/>
        <v>0.78125</v>
      </c>
      <c r="AS115" s="77">
        <v>288</v>
      </c>
      <c r="AT115" s="77">
        <v>354</v>
      </c>
      <c r="AU115" s="21">
        <f t="shared" si="64"/>
        <v>0.81355932203389836</v>
      </c>
      <c r="AV115" s="70"/>
      <c r="AW115" s="70"/>
      <c r="AX115" s="37" t="str">
        <f t="shared" si="65"/>
        <v>-</v>
      </c>
      <c r="AY115" s="10"/>
      <c r="AZ115" s="2"/>
      <c r="BA115" s="2"/>
      <c r="BB115" s="2"/>
      <c r="BC115" s="2"/>
      <c r="BD115" s="2"/>
    </row>
    <row r="116" spans="1:56" ht="14.25" customHeight="1">
      <c r="A116" s="8"/>
      <c r="B116" s="12" t="s">
        <v>72</v>
      </c>
      <c r="C116" s="92">
        <v>23</v>
      </c>
      <c r="D116" s="92">
        <v>34</v>
      </c>
      <c r="E116" s="65">
        <f t="shared" si="46"/>
        <v>0.67647058823529416</v>
      </c>
      <c r="F116" s="93">
        <f>16+8</f>
        <v>24</v>
      </c>
      <c r="G116" s="93">
        <f>17+16</f>
        <v>33</v>
      </c>
      <c r="H116" s="67">
        <f t="shared" si="70"/>
        <v>0.72727272727272729</v>
      </c>
      <c r="I116" s="92">
        <v>6</v>
      </c>
      <c r="J116" s="92">
        <v>17</v>
      </c>
      <c r="K116" s="65">
        <f t="shared" si="48"/>
        <v>0.35294117647058826</v>
      </c>
      <c r="L116" s="66">
        <f t="shared" si="71"/>
        <v>23</v>
      </c>
      <c r="M116" s="66">
        <f t="shared" si="72"/>
        <v>27</v>
      </c>
      <c r="N116" s="67">
        <f t="shared" si="50"/>
        <v>0.85185185185185186</v>
      </c>
      <c r="O116" s="66">
        <f t="shared" si="73"/>
        <v>29</v>
      </c>
      <c r="P116" s="66">
        <f t="shared" si="73"/>
        <v>34</v>
      </c>
      <c r="Q116" s="67">
        <f t="shared" si="52"/>
        <v>0.8529411764705882</v>
      </c>
      <c r="R116" s="66">
        <f t="shared" si="74"/>
        <v>52</v>
      </c>
      <c r="S116" s="66">
        <f t="shared" si="75"/>
        <v>61</v>
      </c>
      <c r="T116" s="67">
        <f t="shared" si="54"/>
        <v>0.85245901639344257</v>
      </c>
      <c r="U116" s="94" t="s">
        <v>19</v>
      </c>
      <c r="V116" s="94" t="s">
        <v>19</v>
      </c>
      <c r="W116" s="80" t="str">
        <f t="shared" si="55"/>
        <v>-</v>
      </c>
      <c r="X116" s="95" t="s">
        <v>19</v>
      </c>
      <c r="Y116" s="95" t="s">
        <v>19</v>
      </c>
      <c r="Z116" s="80" t="str">
        <f t="shared" si="56"/>
        <v>-</v>
      </c>
      <c r="AA116" s="64">
        <f t="shared" si="76"/>
        <v>0</v>
      </c>
      <c r="AB116" s="64">
        <f t="shared" si="77"/>
        <v>0</v>
      </c>
      <c r="AC116" s="80" t="str">
        <f t="shared" si="69"/>
        <v>-</v>
      </c>
      <c r="AD116" s="68"/>
      <c r="AE116" s="68"/>
      <c r="AF116" s="37" t="str">
        <f t="shared" si="59"/>
        <v>-</v>
      </c>
      <c r="AG116" s="44" t="s">
        <v>19</v>
      </c>
      <c r="AH116" s="44" t="s">
        <v>19</v>
      </c>
      <c r="AI116" s="44" t="str">
        <f t="shared" si="60"/>
        <v>-</v>
      </c>
      <c r="AJ116" s="77">
        <f t="shared" ref="AJ116:AK116" si="80">24</f>
        <v>24</v>
      </c>
      <c r="AK116" s="77">
        <f t="shared" si="80"/>
        <v>24</v>
      </c>
      <c r="AL116" s="21">
        <f t="shared" si="78"/>
        <v>1</v>
      </c>
      <c r="AM116" s="36">
        <f>X205</f>
        <v>0</v>
      </c>
      <c r="AN116" s="36">
        <f>Y205</f>
        <v>0</v>
      </c>
      <c r="AO116" s="36">
        <f>Z205</f>
        <v>0</v>
      </c>
      <c r="AP116" s="81" t="s">
        <v>19</v>
      </c>
      <c r="AQ116" s="81" t="s">
        <v>19</v>
      </c>
      <c r="AR116" s="37" t="str">
        <f t="shared" si="63"/>
        <v>-</v>
      </c>
      <c r="AS116" s="81" t="s">
        <v>19</v>
      </c>
      <c r="AT116" s="81" t="s">
        <v>19</v>
      </c>
      <c r="AU116" s="37" t="str">
        <f t="shared" si="64"/>
        <v>-</v>
      </c>
      <c r="AV116" s="70"/>
      <c r="AW116" s="70"/>
      <c r="AX116" s="37" t="str">
        <f t="shared" si="65"/>
        <v>-</v>
      </c>
      <c r="AY116" s="10"/>
      <c r="AZ116" s="2"/>
      <c r="BA116" s="2"/>
      <c r="BB116" s="2"/>
      <c r="BC116" s="2"/>
      <c r="BD116" s="2"/>
    </row>
    <row r="117" spans="1:56" ht="14.25" customHeight="1">
      <c r="A117" s="8"/>
      <c r="B117" s="12" t="s">
        <v>73</v>
      </c>
      <c r="C117" s="94" t="s">
        <v>19</v>
      </c>
      <c r="D117" s="94" t="s">
        <v>19</v>
      </c>
      <c r="E117" s="80" t="str">
        <f t="shared" si="46"/>
        <v>-</v>
      </c>
      <c r="F117" s="96" t="s">
        <v>19</v>
      </c>
      <c r="G117" s="96" t="s">
        <v>19</v>
      </c>
      <c r="H117" s="83" t="str">
        <f t="shared" si="70"/>
        <v>-</v>
      </c>
      <c r="I117" s="94" t="s">
        <v>19</v>
      </c>
      <c r="J117" s="94" t="s">
        <v>19</v>
      </c>
      <c r="K117" s="80" t="str">
        <f t="shared" si="48"/>
        <v>-</v>
      </c>
      <c r="L117" s="66">
        <f t="shared" si="71"/>
        <v>2</v>
      </c>
      <c r="M117" s="66">
        <f t="shared" si="72"/>
        <v>3</v>
      </c>
      <c r="N117" s="67">
        <f t="shared" si="50"/>
        <v>0.66666666666666663</v>
      </c>
      <c r="O117" s="83" t="s">
        <v>19</v>
      </c>
      <c r="P117" s="83" t="s">
        <v>19</v>
      </c>
      <c r="Q117" s="83" t="str">
        <f t="shared" si="52"/>
        <v>-</v>
      </c>
      <c r="R117" s="66">
        <f t="shared" si="74"/>
        <v>3</v>
      </c>
      <c r="S117" s="66">
        <f t="shared" si="75"/>
        <v>4</v>
      </c>
      <c r="T117" s="67">
        <f t="shared" si="54"/>
        <v>0.75</v>
      </c>
      <c r="U117" s="92">
        <v>1</v>
      </c>
      <c r="V117" s="92">
        <v>1</v>
      </c>
      <c r="W117" s="65">
        <f t="shared" si="55"/>
        <v>1</v>
      </c>
      <c r="X117" s="92">
        <v>1</v>
      </c>
      <c r="Y117" s="92">
        <v>1</v>
      </c>
      <c r="Z117" s="65">
        <f t="shared" si="56"/>
        <v>1</v>
      </c>
      <c r="AA117" s="64">
        <f t="shared" si="76"/>
        <v>2</v>
      </c>
      <c r="AB117" s="64">
        <f t="shared" si="77"/>
        <v>2</v>
      </c>
      <c r="AC117" s="65">
        <f t="shared" si="69"/>
        <v>1</v>
      </c>
      <c r="AD117" s="81" t="s">
        <v>19</v>
      </c>
      <c r="AE117" s="81" t="s">
        <v>19</v>
      </c>
      <c r="AF117" s="37" t="str">
        <f t="shared" si="59"/>
        <v>-</v>
      </c>
      <c r="AG117" s="44" t="s">
        <v>19</v>
      </c>
      <c r="AH117" s="44" t="s">
        <v>19</v>
      </c>
      <c r="AI117" s="44" t="str">
        <f t="shared" si="60"/>
        <v>-</v>
      </c>
      <c r="AJ117" s="81" t="s">
        <v>19</v>
      </c>
      <c r="AK117" s="81" t="s">
        <v>19</v>
      </c>
      <c r="AL117" s="37" t="str">
        <f t="shared" si="78"/>
        <v>-</v>
      </c>
      <c r="AM117" s="36">
        <f t="shared" ref="AM117:AM145" si="81">X205</f>
        <v>0</v>
      </c>
      <c r="AN117" s="36">
        <f t="shared" ref="AN117:AN145" si="82">Y205</f>
        <v>0</v>
      </c>
      <c r="AO117" s="36">
        <f t="shared" ref="AO117:AO145" si="83">Z205</f>
        <v>0</v>
      </c>
      <c r="AP117" s="77">
        <v>3</v>
      </c>
      <c r="AQ117" s="77">
        <v>3</v>
      </c>
      <c r="AR117" s="21">
        <f t="shared" si="63"/>
        <v>1</v>
      </c>
      <c r="AS117" s="77">
        <v>3</v>
      </c>
      <c r="AT117" s="77">
        <v>6</v>
      </c>
      <c r="AU117" s="21">
        <f t="shared" si="64"/>
        <v>0.5</v>
      </c>
      <c r="AV117" s="70"/>
      <c r="AW117" s="70"/>
      <c r="AX117" s="37" t="str">
        <f t="shared" si="65"/>
        <v>-</v>
      </c>
      <c r="AY117" s="10"/>
      <c r="AZ117" s="2"/>
      <c r="BA117" s="2"/>
      <c r="BB117" s="2"/>
      <c r="BC117" s="2"/>
      <c r="BD117" s="2"/>
    </row>
    <row r="118" spans="1:56" ht="14.25" customHeight="1">
      <c r="A118" s="8"/>
      <c r="B118" s="12" t="s">
        <v>74</v>
      </c>
      <c r="C118" s="92">
        <v>38</v>
      </c>
      <c r="D118" s="92">
        <v>41</v>
      </c>
      <c r="E118" s="65">
        <f t="shared" si="46"/>
        <v>0.92682926829268297</v>
      </c>
      <c r="F118" s="93">
        <v>38</v>
      </c>
      <c r="G118" s="93">
        <v>42</v>
      </c>
      <c r="H118" s="67">
        <f t="shared" si="70"/>
        <v>0.90476190476190477</v>
      </c>
      <c r="I118" s="92">
        <v>42</v>
      </c>
      <c r="J118" s="92">
        <v>52</v>
      </c>
      <c r="K118" s="65">
        <f t="shared" si="48"/>
        <v>0.80769230769230771</v>
      </c>
      <c r="L118" s="66">
        <f t="shared" si="71"/>
        <v>125</v>
      </c>
      <c r="M118" s="66">
        <f t="shared" si="72"/>
        <v>138</v>
      </c>
      <c r="N118" s="67">
        <f t="shared" si="50"/>
        <v>0.90579710144927539</v>
      </c>
      <c r="O118" s="66">
        <f>IFERROR(SUM(F251,O250,X251),"-")</f>
        <v>214</v>
      </c>
      <c r="P118" s="66">
        <f>IFERROR(SUM(G251,P250,Y251),"-")</f>
        <v>229</v>
      </c>
      <c r="Q118" s="67">
        <f t="shared" si="52"/>
        <v>0.93449781659388642</v>
      </c>
      <c r="R118" s="66">
        <f t="shared" si="74"/>
        <v>343</v>
      </c>
      <c r="S118" s="66">
        <f t="shared" si="75"/>
        <v>373</v>
      </c>
      <c r="T118" s="67">
        <f t="shared" si="54"/>
        <v>0.91957104557640745</v>
      </c>
      <c r="U118" s="94" t="s">
        <v>19</v>
      </c>
      <c r="V118" s="94" t="s">
        <v>19</v>
      </c>
      <c r="W118" s="80" t="str">
        <f t="shared" si="55"/>
        <v>-</v>
      </c>
      <c r="X118" s="87">
        <v>47</v>
      </c>
      <c r="Y118" s="87">
        <v>47</v>
      </c>
      <c r="Z118" s="65">
        <f t="shared" si="56"/>
        <v>1</v>
      </c>
      <c r="AA118" s="64">
        <f t="shared" si="76"/>
        <v>47</v>
      </c>
      <c r="AB118" s="64">
        <f t="shared" si="77"/>
        <v>47</v>
      </c>
      <c r="AC118" s="65">
        <f t="shared" si="69"/>
        <v>1</v>
      </c>
      <c r="AD118" s="68"/>
      <c r="AE118" s="68"/>
      <c r="AF118" s="37" t="str">
        <f t="shared" si="59"/>
        <v>-</v>
      </c>
      <c r="AG118" s="44" t="s">
        <v>19</v>
      </c>
      <c r="AH118" s="44" t="s">
        <v>19</v>
      </c>
      <c r="AI118" s="44" t="str">
        <f t="shared" si="60"/>
        <v>-</v>
      </c>
      <c r="AJ118" s="77">
        <f>128</f>
        <v>128</v>
      </c>
      <c r="AK118" s="77">
        <f>168</f>
        <v>168</v>
      </c>
      <c r="AL118" s="21">
        <f t="shared" si="78"/>
        <v>0.76190476190476186</v>
      </c>
      <c r="AM118" s="36">
        <f t="shared" si="81"/>
        <v>0</v>
      </c>
      <c r="AN118" s="36">
        <f t="shared" si="82"/>
        <v>0</v>
      </c>
      <c r="AO118" s="36">
        <f t="shared" si="83"/>
        <v>0</v>
      </c>
      <c r="AP118" s="81" t="s">
        <v>19</v>
      </c>
      <c r="AQ118" s="81" t="s">
        <v>19</v>
      </c>
      <c r="AR118" s="37" t="str">
        <f t="shared" si="63"/>
        <v>-</v>
      </c>
      <c r="AS118" s="77">
        <v>244</v>
      </c>
      <c r="AT118" s="77">
        <v>282</v>
      </c>
      <c r="AU118" s="21">
        <f t="shared" si="64"/>
        <v>0.86524822695035464</v>
      </c>
      <c r="AV118" s="70"/>
      <c r="AW118" s="70"/>
      <c r="AX118" s="37" t="str">
        <f t="shared" si="65"/>
        <v>-</v>
      </c>
      <c r="AY118" s="10"/>
      <c r="AZ118" s="2"/>
      <c r="BA118" s="2"/>
      <c r="BB118" s="2"/>
      <c r="BC118" s="2"/>
      <c r="BD118" s="2"/>
    </row>
    <row r="119" spans="1:56" ht="14.25" customHeight="1">
      <c r="A119" s="8"/>
      <c r="B119" s="12" t="s">
        <v>75</v>
      </c>
      <c r="C119" s="92">
        <v>16</v>
      </c>
      <c r="D119" s="92">
        <v>19</v>
      </c>
      <c r="E119" s="65">
        <f t="shared" ref="E119:E145" si="84">IFERROR(C119/D119,"-")</f>
        <v>0.84210526315789469</v>
      </c>
      <c r="F119" s="93">
        <v>17</v>
      </c>
      <c r="G119" s="93">
        <v>19</v>
      </c>
      <c r="H119" s="67">
        <f t="shared" si="70"/>
        <v>0.89473684210526316</v>
      </c>
      <c r="I119" s="92">
        <v>16</v>
      </c>
      <c r="J119" s="92">
        <v>18</v>
      </c>
      <c r="K119" s="65">
        <f t="shared" ref="K119:K145" si="85">IFERROR(I119/J119,"-")</f>
        <v>0.88888888888888884</v>
      </c>
      <c r="L119" s="66">
        <f t="shared" si="71"/>
        <v>106</v>
      </c>
      <c r="M119" s="66">
        <f t="shared" si="72"/>
        <v>112</v>
      </c>
      <c r="N119" s="67">
        <f t="shared" ref="N119:N145" si="86">IFERROR(L119/M119,"-")</f>
        <v>0.9464285714285714</v>
      </c>
      <c r="O119" s="66">
        <f t="shared" ref="O119:O145" si="87">IFERROR(SUM(F252,O252,X252),"-")</f>
        <v>99</v>
      </c>
      <c r="P119" s="66">
        <f t="shared" ref="P119:P145" si="88">IFERROR(SUM(G252,P252,Y252),"-")</f>
        <v>109</v>
      </c>
      <c r="Q119" s="67">
        <f t="shared" ref="Q119:Q145" si="89">IFERROR(O119/P119,"-")</f>
        <v>0.90825688073394495</v>
      </c>
      <c r="R119" s="66">
        <f t="shared" si="74"/>
        <v>205</v>
      </c>
      <c r="S119" s="66">
        <f t="shared" si="75"/>
        <v>221</v>
      </c>
      <c r="T119" s="67">
        <f t="shared" ref="T119:T145" si="90">IFERROR(R119/S119,"-")</f>
        <v>0.92760180995475117</v>
      </c>
      <c r="U119" s="87">
        <v>4</v>
      </c>
      <c r="V119" s="87">
        <v>4</v>
      </c>
      <c r="W119" s="65">
        <f t="shared" ref="W119:W145" si="91">IFERROR(U119/V119,"-")</f>
        <v>1</v>
      </c>
      <c r="X119" s="87">
        <v>23</v>
      </c>
      <c r="Y119" s="87">
        <v>23</v>
      </c>
      <c r="Z119" s="65">
        <f t="shared" ref="Z119:Z145" si="92">IFERROR(X119/Y119,"-")</f>
        <v>1</v>
      </c>
      <c r="AA119" s="64">
        <f t="shared" si="76"/>
        <v>27</v>
      </c>
      <c r="AB119" s="64">
        <f t="shared" si="77"/>
        <v>27</v>
      </c>
      <c r="AC119" s="65">
        <f t="shared" si="69"/>
        <v>1</v>
      </c>
      <c r="AD119" s="68"/>
      <c r="AE119" s="68"/>
      <c r="AF119" s="37" t="str">
        <f t="shared" ref="AF119:AF145" si="93">IFERROR(AD119/AE119,"-")</f>
        <v>-</v>
      </c>
      <c r="AG119" s="44" t="s">
        <v>19</v>
      </c>
      <c r="AH119" s="44" t="s">
        <v>19</v>
      </c>
      <c r="AI119" s="44" t="str">
        <f t="shared" ref="AI119:AI145" si="94">IFERROR(AG119/AH119,"-")</f>
        <v>-</v>
      </c>
      <c r="AJ119" s="77">
        <f>55</f>
        <v>55</v>
      </c>
      <c r="AK119" s="77">
        <f>64</f>
        <v>64</v>
      </c>
      <c r="AL119" s="21">
        <f t="shared" si="78"/>
        <v>0.859375</v>
      </c>
      <c r="AM119" s="36">
        <f t="shared" si="81"/>
        <v>0</v>
      </c>
      <c r="AN119" s="36">
        <f t="shared" si="82"/>
        <v>0</v>
      </c>
      <c r="AO119" s="36">
        <f t="shared" si="83"/>
        <v>0</v>
      </c>
      <c r="AP119" s="73">
        <v>15</v>
      </c>
      <c r="AQ119" s="73">
        <v>16</v>
      </c>
      <c r="AR119" s="21">
        <f t="shared" ref="AR119:AR145" si="95">IFERROR(AP119/AQ119,"-")</f>
        <v>0.9375</v>
      </c>
      <c r="AS119" s="77">
        <v>88</v>
      </c>
      <c r="AT119" s="77">
        <v>138</v>
      </c>
      <c r="AU119" s="21">
        <f t="shared" ref="AU119:AU145" si="96">IFERROR(AS119/AT119,"-")</f>
        <v>0.6376811594202898</v>
      </c>
      <c r="AV119" s="70"/>
      <c r="AW119" s="70"/>
      <c r="AX119" s="37" t="str">
        <f t="shared" ref="AX119:AX145" si="97">IFERROR(AV119/AW119,"-")</f>
        <v>-</v>
      </c>
      <c r="AY119" s="10"/>
      <c r="AZ119" s="2"/>
      <c r="BA119" s="2"/>
      <c r="BB119" s="2"/>
      <c r="BC119" s="2"/>
      <c r="BD119" s="2"/>
    </row>
    <row r="120" spans="1:56" ht="14.25" customHeight="1">
      <c r="A120" s="8"/>
      <c r="B120" s="12" t="s">
        <v>76</v>
      </c>
      <c r="C120" s="92">
        <v>45</v>
      </c>
      <c r="D120" s="92">
        <v>45</v>
      </c>
      <c r="E120" s="65">
        <f t="shared" si="84"/>
        <v>1</v>
      </c>
      <c r="F120" s="93">
        <v>41</v>
      </c>
      <c r="G120" s="93">
        <v>45</v>
      </c>
      <c r="H120" s="67">
        <f t="shared" si="70"/>
        <v>0.91111111111111109</v>
      </c>
      <c r="I120" s="92">
        <v>43</v>
      </c>
      <c r="J120" s="92">
        <v>49</v>
      </c>
      <c r="K120" s="65">
        <f t="shared" si="85"/>
        <v>0.87755102040816324</v>
      </c>
      <c r="L120" s="66">
        <f t="shared" si="71"/>
        <v>185</v>
      </c>
      <c r="M120" s="66">
        <f t="shared" si="72"/>
        <v>205</v>
      </c>
      <c r="N120" s="67">
        <f t="shared" si="86"/>
        <v>0.90243902439024393</v>
      </c>
      <c r="O120" s="66">
        <f t="shared" si="87"/>
        <v>243</v>
      </c>
      <c r="P120" s="66">
        <f t="shared" si="88"/>
        <v>259</v>
      </c>
      <c r="Q120" s="67">
        <f t="shared" si="89"/>
        <v>0.93822393822393824</v>
      </c>
      <c r="R120" s="66">
        <f t="shared" si="74"/>
        <v>428</v>
      </c>
      <c r="S120" s="66">
        <f t="shared" si="75"/>
        <v>464</v>
      </c>
      <c r="T120" s="67">
        <f t="shared" si="90"/>
        <v>0.92241379310344829</v>
      </c>
      <c r="U120" s="92">
        <v>4</v>
      </c>
      <c r="V120" s="92">
        <v>4</v>
      </c>
      <c r="W120" s="65">
        <f t="shared" si="91"/>
        <v>1</v>
      </c>
      <c r="X120" s="92">
        <v>51</v>
      </c>
      <c r="Y120" s="92">
        <v>51</v>
      </c>
      <c r="Z120" s="65">
        <f t="shared" si="92"/>
        <v>1</v>
      </c>
      <c r="AA120" s="64">
        <f t="shared" si="76"/>
        <v>55</v>
      </c>
      <c r="AB120" s="64">
        <f t="shared" si="77"/>
        <v>55</v>
      </c>
      <c r="AC120" s="65">
        <f t="shared" si="69"/>
        <v>1</v>
      </c>
      <c r="AD120" s="68"/>
      <c r="AE120" s="68"/>
      <c r="AF120" s="37" t="str">
        <f t="shared" si="93"/>
        <v>-</v>
      </c>
      <c r="AG120" s="44" t="s">
        <v>19</v>
      </c>
      <c r="AH120" s="44" t="s">
        <v>19</v>
      </c>
      <c r="AI120" s="44" t="str">
        <f t="shared" si="94"/>
        <v>-</v>
      </c>
      <c r="AJ120" s="77">
        <f>112</f>
        <v>112</v>
      </c>
      <c r="AK120" s="77">
        <f>172</f>
        <v>172</v>
      </c>
      <c r="AL120" s="21">
        <f t="shared" si="78"/>
        <v>0.65116279069767447</v>
      </c>
      <c r="AM120" s="36">
        <f t="shared" si="81"/>
        <v>0</v>
      </c>
      <c r="AN120" s="36">
        <f t="shared" si="82"/>
        <v>0</v>
      </c>
      <c r="AO120" s="36">
        <f t="shared" si="83"/>
        <v>0</v>
      </c>
      <c r="AP120" s="73">
        <v>13</v>
      </c>
      <c r="AQ120" s="73">
        <v>16</v>
      </c>
      <c r="AR120" s="21">
        <f t="shared" si="95"/>
        <v>0.8125</v>
      </c>
      <c r="AS120" s="77">
        <v>232</v>
      </c>
      <c r="AT120" s="77">
        <v>306</v>
      </c>
      <c r="AU120" s="21">
        <f t="shared" si="96"/>
        <v>0.75816993464052285</v>
      </c>
      <c r="AV120" s="70"/>
      <c r="AW120" s="70"/>
      <c r="AX120" s="37" t="str">
        <f t="shared" si="97"/>
        <v>-</v>
      </c>
      <c r="AY120" s="10"/>
      <c r="AZ120" s="2"/>
      <c r="BA120" s="2"/>
      <c r="BB120" s="2"/>
      <c r="BC120" s="2"/>
      <c r="BD120" s="2"/>
    </row>
    <row r="121" spans="1:56" ht="14.25" customHeight="1">
      <c r="A121" s="8"/>
      <c r="B121" s="12" t="s">
        <v>77</v>
      </c>
      <c r="C121" s="92">
        <v>106</v>
      </c>
      <c r="D121" s="92">
        <v>118</v>
      </c>
      <c r="E121" s="65">
        <f t="shared" si="84"/>
        <v>0.89830508474576276</v>
      </c>
      <c r="F121" s="93">
        <v>111</v>
      </c>
      <c r="G121" s="93">
        <v>118</v>
      </c>
      <c r="H121" s="67">
        <f t="shared" si="70"/>
        <v>0.94067796610169496</v>
      </c>
      <c r="I121" s="92">
        <v>76</v>
      </c>
      <c r="J121" s="92">
        <v>85</v>
      </c>
      <c r="K121" s="65">
        <f t="shared" si="85"/>
        <v>0.89411764705882357</v>
      </c>
      <c r="L121" s="66">
        <f t="shared" si="71"/>
        <v>333</v>
      </c>
      <c r="M121" s="66">
        <f t="shared" si="72"/>
        <v>391</v>
      </c>
      <c r="N121" s="67">
        <f t="shared" si="86"/>
        <v>0.85166240409207161</v>
      </c>
      <c r="O121" s="66">
        <f t="shared" si="87"/>
        <v>315</v>
      </c>
      <c r="P121" s="66">
        <f t="shared" si="88"/>
        <v>335</v>
      </c>
      <c r="Q121" s="67">
        <f t="shared" si="89"/>
        <v>0.94029850746268662</v>
      </c>
      <c r="R121" s="66">
        <f t="shared" si="74"/>
        <v>648</v>
      </c>
      <c r="S121" s="66">
        <f t="shared" si="75"/>
        <v>726</v>
      </c>
      <c r="T121" s="67">
        <f t="shared" si="90"/>
        <v>0.8925619834710744</v>
      </c>
      <c r="U121" s="92">
        <v>5</v>
      </c>
      <c r="V121" s="92">
        <v>5</v>
      </c>
      <c r="W121" s="65">
        <f t="shared" si="91"/>
        <v>1</v>
      </c>
      <c r="X121" s="92">
        <v>57</v>
      </c>
      <c r="Y121" s="92">
        <v>57</v>
      </c>
      <c r="Z121" s="65">
        <f t="shared" si="92"/>
        <v>1</v>
      </c>
      <c r="AA121" s="64">
        <f t="shared" si="76"/>
        <v>62</v>
      </c>
      <c r="AB121" s="64">
        <f t="shared" si="77"/>
        <v>62</v>
      </c>
      <c r="AC121" s="65">
        <f t="shared" si="69"/>
        <v>1</v>
      </c>
      <c r="AD121" s="68"/>
      <c r="AE121" s="68"/>
      <c r="AF121" s="37" t="str">
        <f t="shared" si="93"/>
        <v>-</v>
      </c>
      <c r="AG121" s="44" t="s">
        <v>19</v>
      </c>
      <c r="AH121" s="44" t="s">
        <v>19</v>
      </c>
      <c r="AI121" s="44" t="str">
        <f t="shared" si="94"/>
        <v>-</v>
      </c>
      <c r="AJ121" s="77">
        <v>244</v>
      </c>
      <c r="AK121" s="77">
        <v>304</v>
      </c>
      <c r="AL121" s="21">
        <f t="shared" si="78"/>
        <v>0.80263157894736847</v>
      </c>
      <c r="AM121" s="36">
        <f t="shared" si="81"/>
        <v>0</v>
      </c>
      <c r="AN121" s="36">
        <f t="shared" si="82"/>
        <v>0</v>
      </c>
      <c r="AO121" s="36">
        <f t="shared" si="83"/>
        <v>0</v>
      </c>
      <c r="AP121" s="77">
        <v>11</v>
      </c>
      <c r="AQ121" s="77">
        <v>18</v>
      </c>
      <c r="AR121" s="21">
        <f t="shared" si="95"/>
        <v>0.61111111111111116</v>
      </c>
      <c r="AS121" s="77">
        <v>266</v>
      </c>
      <c r="AT121" s="77">
        <v>341</v>
      </c>
      <c r="AU121" s="21">
        <f t="shared" si="96"/>
        <v>0.78005865102639294</v>
      </c>
      <c r="AV121" s="70"/>
      <c r="AW121" s="70"/>
      <c r="AX121" s="37" t="str">
        <f t="shared" si="97"/>
        <v>-</v>
      </c>
      <c r="AY121" s="10"/>
      <c r="AZ121" s="2"/>
      <c r="BA121" s="2"/>
      <c r="BB121" s="2"/>
      <c r="BC121" s="2"/>
      <c r="BD121" s="2"/>
    </row>
    <row r="122" spans="1:56" ht="14.25" customHeight="1">
      <c r="A122" s="8"/>
      <c r="B122" s="12" t="s">
        <v>78</v>
      </c>
      <c r="C122" s="92">
        <v>383</v>
      </c>
      <c r="D122" s="92">
        <v>452</v>
      </c>
      <c r="E122" s="65">
        <f t="shared" si="84"/>
        <v>0.84734513274336287</v>
      </c>
      <c r="F122" s="93">
        <v>391</v>
      </c>
      <c r="G122" s="93">
        <v>452</v>
      </c>
      <c r="H122" s="67">
        <f t="shared" si="70"/>
        <v>0.86504424778761058</v>
      </c>
      <c r="I122" s="92">
        <v>358</v>
      </c>
      <c r="J122" s="92">
        <v>410</v>
      </c>
      <c r="K122" s="65">
        <f t="shared" si="85"/>
        <v>0.87317073170731707</v>
      </c>
      <c r="L122" s="66">
        <f t="shared" si="71"/>
        <v>1922</v>
      </c>
      <c r="M122" s="66">
        <f t="shared" si="72"/>
        <v>2057</v>
      </c>
      <c r="N122" s="67">
        <f t="shared" si="86"/>
        <v>0.93437044239183276</v>
      </c>
      <c r="O122" s="66">
        <f t="shared" si="87"/>
        <v>1585</v>
      </c>
      <c r="P122" s="66">
        <f t="shared" si="88"/>
        <v>1681</v>
      </c>
      <c r="Q122" s="67">
        <f t="shared" si="89"/>
        <v>0.94289113622843546</v>
      </c>
      <c r="R122" s="66">
        <f t="shared" si="74"/>
        <v>3507</v>
      </c>
      <c r="S122" s="66">
        <f t="shared" si="75"/>
        <v>3738</v>
      </c>
      <c r="T122" s="67">
        <f t="shared" si="90"/>
        <v>0.9382022471910112</v>
      </c>
      <c r="U122" s="92">
        <v>25</v>
      </c>
      <c r="V122" s="92">
        <v>25</v>
      </c>
      <c r="W122" s="65">
        <f t="shared" si="91"/>
        <v>1</v>
      </c>
      <c r="X122" s="92">
        <v>354</v>
      </c>
      <c r="Y122" s="92">
        <v>354</v>
      </c>
      <c r="Z122" s="65">
        <f t="shared" si="92"/>
        <v>1</v>
      </c>
      <c r="AA122" s="64">
        <f t="shared" si="76"/>
        <v>379</v>
      </c>
      <c r="AB122" s="64">
        <f t="shared" si="77"/>
        <v>379</v>
      </c>
      <c r="AC122" s="65">
        <f t="shared" si="69"/>
        <v>1</v>
      </c>
      <c r="AD122" s="68"/>
      <c r="AE122" s="68"/>
      <c r="AF122" s="37" t="str">
        <f t="shared" si="93"/>
        <v>-</v>
      </c>
      <c r="AG122" s="44" t="s">
        <v>19</v>
      </c>
      <c r="AH122" s="44" t="s">
        <v>19</v>
      </c>
      <c r="AI122" s="44" t="str">
        <f t="shared" si="94"/>
        <v>-</v>
      </c>
      <c r="AJ122" s="77">
        <v>1126</v>
      </c>
      <c r="AK122" s="77">
        <v>1432</v>
      </c>
      <c r="AL122" s="21">
        <f t="shared" si="78"/>
        <v>0.78631284916201116</v>
      </c>
      <c r="AM122" s="36">
        <f t="shared" si="81"/>
        <v>0</v>
      </c>
      <c r="AN122" s="36">
        <f t="shared" si="82"/>
        <v>0</v>
      </c>
      <c r="AO122" s="36">
        <f t="shared" si="83"/>
        <v>0</v>
      </c>
      <c r="AP122" s="77">
        <v>88</v>
      </c>
      <c r="AQ122" s="77">
        <v>100</v>
      </c>
      <c r="AR122" s="21">
        <f t="shared" si="95"/>
        <v>0.88</v>
      </c>
      <c r="AS122" s="77">
        <v>1830</v>
      </c>
      <c r="AT122" s="77">
        <v>2121</v>
      </c>
      <c r="AU122" s="21">
        <f t="shared" si="96"/>
        <v>0.86280056577086284</v>
      </c>
      <c r="AV122" s="70"/>
      <c r="AW122" s="70"/>
      <c r="AX122" s="37" t="str">
        <f t="shared" si="97"/>
        <v>-</v>
      </c>
      <c r="AY122" s="10"/>
      <c r="AZ122" s="2"/>
      <c r="BA122" s="2"/>
      <c r="BB122" s="2"/>
      <c r="BC122" s="2"/>
      <c r="BD122" s="2"/>
    </row>
    <row r="123" spans="1:56" ht="14.25" customHeight="1">
      <c r="A123" s="8"/>
      <c r="B123" s="12" t="s">
        <v>79</v>
      </c>
      <c r="C123" s="92">
        <v>56</v>
      </c>
      <c r="D123" s="92">
        <v>60</v>
      </c>
      <c r="E123" s="65">
        <f t="shared" si="84"/>
        <v>0.93333333333333335</v>
      </c>
      <c r="F123" s="93">
        <v>56</v>
      </c>
      <c r="G123" s="93">
        <v>60</v>
      </c>
      <c r="H123" s="67">
        <f t="shared" si="70"/>
        <v>0.93333333333333335</v>
      </c>
      <c r="I123" s="92">
        <v>51</v>
      </c>
      <c r="J123" s="92">
        <v>55</v>
      </c>
      <c r="K123" s="65">
        <f t="shared" si="85"/>
        <v>0.92727272727272725</v>
      </c>
      <c r="L123" s="66">
        <f t="shared" si="71"/>
        <v>215</v>
      </c>
      <c r="M123" s="66">
        <f t="shared" si="72"/>
        <v>230</v>
      </c>
      <c r="N123" s="67">
        <f t="shared" si="86"/>
        <v>0.93478260869565222</v>
      </c>
      <c r="O123" s="66">
        <f t="shared" si="87"/>
        <v>271</v>
      </c>
      <c r="P123" s="66">
        <f t="shared" si="88"/>
        <v>287</v>
      </c>
      <c r="Q123" s="67">
        <f t="shared" si="89"/>
        <v>0.94425087108013939</v>
      </c>
      <c r="R123" s="66">
        <f t="shared" si="74"/>
        <v>486</v>
      </c>
      <c r="S123" s="66">
        <f t="shared" si="75"/>
        <v>517</v>
      </c>
      <c r="T123" s="67">
        <f t="shared" si="90"/>
        <v>0.94003868471953578</v>
      </c>
      <c r="U123" s="92">
        <v>6</v>
      </c>
      <c r="V123" s="92">
        <v>6</v>
      </c>
      <c r="W123" s="65">
        <f t="shared" si="91"/>
        <v>1</v>
      </c>
      <c r="X123" s="92">
        <v>49</v>
      </c>
      <c r="Y123" s="92">
        <v>49</v>
      </c>
      <c r="Z123" s="65">
        <f t="shared" si="92"/>
        <v>1</v>
      </c>
      <c r="AA123" s="64">
        <f t="shared" si="76"/>
        <v>55</v>
      </c>
      <c r="AB123" s="64">
        <f t="shared" si="77"/>
        <v>55</v>
      </c>
      <c r="AC123" s="65">
        <f t="shared" si="69"/>
        <v>1</v>
      </c>
      <c r="AD123" s="68"/>
      <c r="AE123" s="68"/>
      <c r="AF123" s="37" t="str">
        <f t="shared" si="93"/>
        <v>-</v>
      </c>
      <c r="AG123" s="44" t="s">
        <v>19</v>
      </c>
      <c r="AH123" s="44" t="s">
        <v>19</v>
      </c>
      <c r="AI123" s="44" t="str">
        <f t="shared" si="94"/>
        <v>-</v>
      </c>
      <c r="AJ123" s="77">
        <f>155</f>
        <v>155</v>
      </c>
      <c r="AK123" s="77">
        <f>204</f>
        <v>204</v>
      </c>
      <c r="AL123" s="21">
        <f t="shared" si="78"/>
        <v>0.75980392156862742</v>
      </c>
      <c r="AM123" s="36">
        <f t="shared" si="81"/>
        <v>0</v>
      </c>
      <c r="AN123" s="36">
        <f t="shared" si="82"/>
        <v>0</v>
      </c>
      <c r="AO123" s="36">
        <f t="shared" si="83"/>
        <v>0</v>
      </c>
      <c r="AP123" s="77">
        <v>19</v>
      </c>
      <c r="AQ123" s="77">
        <v>24</v>
      </c>
      <c r="AR123" s="21">
        <f t="shared" si="95"/>
        <v>0.79166666666666663</v>
      </c>
      <c r="AS123" s="77">
        <v>227</v>
      </c>
      <c r="AT123" s="77">
        <v>294</v>
      </c>
      <c r="AU123" s="21">
        <f t="shared" si="96"/>
        <v>0.77210884353741494</v>
      </c>
      <c r="AV123" s="70"/>
      <c r="AW123" s="70"/>
      <c r="AX123" s="37" t="str">
        <f t="shared" si="97"/>
        <v>-</v>
      </c>
      <c r="AY123" s="10"/>
      <c r="AZ123" s="2"/>
      <c r="BA123" s="2"/>
      <c r="BB123" s="2"/>
      <c r="BC123" s="2"/>
      <c r="BD123" s="2"/>
    </row>
    <row r="124" spans="1:56" ht="14.25" customHeight="1">
      <c r="A124" s="8"/>
      <c r="B124" s="12" t="s">
        <v>80</v>
      </c>
      <c r="C124" s="92">
        <v>55</v>
      </c>
      <c r="D124" s="92">
        <v>57</v>
      </c>
      <c r="E124" s="65">
        <f t="shared" si="84"/>
        <v>0.96491228070175439</v>
      </c>
      <c r="F124" s="93">
        <v>54</v>
      </c>
      <c r="G124" s="93">
        <v>57</v>
      </c>
      <c r="H124" s="67">
        <f t="shared" si="70"/>
        <v>0.94736842105263153</v>
      </c>
      <c r="I124" s="92">
        <v>44</v>
      </c>
      <c r="J124" s="92">
        <v>51</v>
      </c>
      <c r="K124" s="65">
        <f t="shared" si="85"/>
        <v>0.86274509803921573</v>
      </c>
      <c r="L124" s="66">
        <f t="shared" si="71"/>
        <v>208</v>
      </c>
      <c r="M124" s="66">
        <f t="shared" si="72"/>
        <v>228</v>
      </c>
      <c r="N124" s="67">
        <f t="shared" si="86"/>
        <v>0.91228070175438591</v>
      </c>
      <c r="O124" s="66">
        <f t="shared" si="87"/>
        <v>210</v>
      </c>
      <c r="P124" s="66">
        <f t="shared" si="88"/>
        <v>221</v>
      </c>
      <c r="Q124" s="67">
        <f t="shared" si="89"/>
        <v>0.95022624434389136</v>
      </c>
      <c r="R124" s="66">
        <f t="shared" si="74"/>
        <v>418</v>
      </c>
      <c r="S124" s="66">
        <f t="shared" si="75"/>
        <v>449</v>
      </c>
      <c r="T124" s="67">
        <f t="shared" si="90"/>
        <v>0.93095768374164811</v>
      </c>
      <c r="U124" s="92">
        <v>3</v>
      </c>
      <c r="V124" s="92">
        <v>3</v>
      </c>
      <c r="W124" s="65">
        <f t="shared" si="91"/>
        <v>1</v>
      </c>
      <c r="X124" s="92">
        <v>45</v>
      </c>
      <c r="Y124" s="92">
        <v>45</v>
      </c>
      <c r="Z124" s="65">
        <f t="shared" si="92"/>
        <v>1</v>
      </c>
      <c r="AA124" s="64">
        <f t="shared" si="76"/>
        <v>48</v>
      </c>
      <c r="AB124" s="64">
        <f t="shared" si="77"/>
        <v>48</v>
      </c>
      <c r="AC124" s="65">
        <f t="shared" si="69"/>
        <v>1</v>
      </c>
      <c r="AD124" s="68"/>
      <c r="AE124" s="68"/>
      <c r="AF124" s="37" t="str">
        <f t="shared" si="93"/>
        <v>-</v>
      </c>
      <c r="AG124" s="44" t="s">
        <v>19</v>
      </c>
      <c r="AH124" s="44" t="s">
        <v>19</v>
      </c>
      <c r="AI124" s="44" t="str">
        <f t="shared" si="94"/>
        <v>-</v>
      </c>
      <c r="AJ124" s="77">
        <f>109</f>
        <v>109</v>
      </c>
      <c r="AK124" s="77">
        <f>176</f>
        <v>176</v>
      </c>
      <c r="AL124" s="21">
        <f t="shared" si="78"/>
        <v>0.61931818181818177</v>
      </c>
      <c r="AM124" s="36">
        <f t="shared" si="81"/>
        <v>0</v>
      </c>
      <c r="AN124" s="36">
        <f t="shared" si="82"/>
        <v>0</v>
      </c>
      <c r="AO124" s="36">
        <f t="shared" si="83"/>
        <v>0</v>
      </c>
      <c r="AP124" s="77">
        <v>8</v>
      </c>
      <c r="AQ124" s="77">
        <v>12</v>
      </c>
      <c r="AR124" s="21">
        <f t="shared" si="95"/>
        <v>0.66666666666666663</v>
      </c>
      <c r="AS124" s="77">
        <v>194</v>
      </c>
      <c r="AT124" s="77">
        <v>270</v>
      </c>
      <c r="AU124" s="21">
        <f t="shared" si="96"/>
        <v>0.71851851851851856</v>
      </c>
      <c r="AV124" s="70"/>
      <c r="AW124" s="70"/>
      <c r="AX124" s="37" t="str">
        <f t="shared" si="97"/>
        <v>-</v>
      </c>
      <c r="AY124" s="10"/>
      <c r="AZ124" s="2"/>
      <c r="BA124" s="2"/>
      <c r="BB124" s="2"/>
      <c r="BC124" s="2"/>
      <c r="BD124" s="2"/>
    </row>
    <row r="125" spans="1:56" ht="14.25" customHeight="1">
      <c r="A125" s="8"/>
      <c r="B125" s="12" t="s">
        <v>81</v>
      </c>
      <c r="C125" s="92">
        <v>59</v>
      </c>
      <c r="D125" s="92">
        <v>63</v>
      </c>
      <c r="E125" s="65">
        <f t="shared" si="84"/>
        <v>0.93650793650793651</v>
      </c>
      <c r="F125" s="93">
        <v>61</v>
      </c>
      <c r="G125" s="93">
        <v>63</v>
      </c>
      <c r="H125" s="67">
        <f t="shared" si="70"/>
        <v>0.96825396825396826</v>
      </c>
      <c r="I125" s="92">
        <v>54</v>
      </c>
      <c r="J125" s="92">
        <v>59</v>
      </c>
      <c r="K125" s="65">
        <f t="shared" si="85"/>
        <v>0.9152542372881356</v>
      </c>
      <c r="L125" s="66">
        <f t="shared" si="71"/>
        <v>204</v>
      </c>
      <c r="M125" s="66">
        <f t="shared" si="72"/>
        <v>211</v>
      </c>
      <c r="N125" s="67">
        <f t="shared" si="86"/>
        <v>0.96682464454976302</v>
      </c>
      <c r="O125" s="66">
        <f t="shared" si="87"/>
        <v>203</v>
      </c>
      <c r="P125" s="66">
        <f t="shared" si="88"/>
        <v>214</v>
      </c>
      <c r="Q125" s="67">
        <f t="shared" si="89"/>
        <v>0.94859813084112155</v>
      </c>
      <c r="R125" s="66">
        <f t="shared" si="74"/>
        <v>407</v>
      </c>
      <c r="S125" s="66">
        <f t="shared" si="75"/>
        <v>425</v>
      </c>
      <c r="T125" s="67">
        <f t="shared" si="90"/>
        <v>0.95764705882352941</v>
      </c>
      <c r="U125" s="87">
        <v>4</v>
      </c>
      <c r="V125" s="87">
        <v>4</v>
      </c>
      <c r="W125" s="65">
        <f t="shared" si="91"/>
        <v>1</v>
      </c>
      <c r="X125" s="92">
        <v>28</v>
      </c>
      <c r="Y125" s="92">
        <v>28</v>
      </c>
      <c r="Z125" s="65">
        <f t="shared" si="92"/>
        <v>1</v>
      </c>
      <c r="AA125" s="64">
        <f t="shared" si="76"/>
        <v>32</v>
      </c>
      <c r="AB125" s="64">
        <f t="shared" si="77"/>
        <v>32</v>
      </c>
      <c r="AC125" s="65">
        <f t="shared" si="69"/>
        <v>1</v>
      </c>
      <c r="AD125" s="68"/>
      <c r="AE125" s="68"/>
      <c r="AF125" s="37" t="str">
        <f t="shared" si="93"/>
        <v>-</v>
      </c>
      <c r="AG125" s="44" t="s">
        <v>19</v>
      </c>
      <c r="AH125" s="44" t="s">
        <v>19</v>
      </c>
      <c r="AI125" s="44" t="str">
        <f t="shared" si="94"/>
        <v>-</v>
      </c>
      <c r="AJ125" s="77">
        <f>190</f>
        <v>190</v>
      </c>
      <c r="AK125" s="77">
        <f>216</f>
        <v>216</v>
      </c>
      <c r="AL125" s="21">
        <f t="shared" si="78"/>
        <v>0.87962962962962965</v>
      </c>
      <c r="AM125" s="36">
        <f t="shared" si="81"/>
        <v>0</v>
      </c>
      <c r="AN125" s="36">
        <f t="shared" si="82"/>
        <v>0</v>
      </c>
      <c r="AO125" s="36">
        <f t="shared" si="83"/>
        <v>0</v>
      </c>
      <c r="AP125" s="73">
        <v>12</v>
      </c>
      <c r="AQ125" s="73">
        <v>16</v>
      </c>
      <c r="AR125" s="21">
        <f t="shared" si="95"/>
        <v>0.75</v>
      </c>
      <c r="AS125" s="77">
        <v>152</v>
      </c>
      <c r="AT125" s="77">
        <v>168</v>
      </c>
      <c r="AU125" s="21">
        <f t="shared" si="96"/>
        <v>0.90476190476190477</v>
      </c>
      <c r="AV125" s="70"/>
      <c r="AW125" s="70"/>
      <c r="AX125" s="37" t="str">
        <f t="shared" si="97"/>
        <v>-</v>
      </c>
      <c r="AY125" s="10"/>
      <c r="AZ125" s="2"/>
      <c r="BA125" s="2"/>
      <c r="BB125" s="2"/>
      <c r="BC125" s="2"/>
      <c r="BD125" s="2"/>
    </row>
    <row r="126" spans="1:56" ht="14.25" customHeight="1">
      <c r="A126" s="8"/>
      <c r="B126" s="12" t="s">
        <v>82</v>
      </c>
      <c r="C126" s="94" t="s">
        <v>19</v>
      </c>
      <c r="D126" s="94" t="s">
        <v>19</v>
      </c>
      <c r="E126" s="80" t="str">
        <f t="shared" si="84"/>
        <v>-</v>
      </c>
      <c r="F126" s="96" t="s">
        <v>19</v>
      </c>
      <c r="G126" s="96" t="s">
        <v>19</v>
      </c>
      <c r="H126" s="83" t="str">
        <f t="shared" si="70"/>
        <v>-</v>
      </c>
      <c r="I126" s="94" t="s">
        <v>19</v>
      </c>
      <c r="J126" s="94" t="s">
        <v>19</v>
      </c>
      <c r="K126" s="80" t="str">
        <f t="shared" si="85"/>
        <v>-</v>
      </c>
      <c r="L126" s="66">
        <f t="shared" si="71"/>
        <v>0</v>
      </c>
      <c r="M126" s="66">
        <f t="shared" si="72"/>
        <v>1</v>
      </c>
      <c r="N126" s="67">
        <f t="shared" si="86"/>
        <v>0</v>
      </c>
      <c r="O126" s="66">
        <f t="shared" si="87"/>
        <v>0</v>
      </c>
      <c r="P126" s="66">
        <f t="shared" si="88"/>
        <v>0</v>
      </c>
      <c r="Q126" s="83" t="str">
        <f t="shared" si="89"/>
        <v>-</v>
      </c>
      <c r="R126" s="66">
        <f t="shared" si="74"/>
        <v>0</v>
      </c>
      <c r="S126" s="66">
        <f t="shared" si="75"/>
        <v>1</v>
      </c>
      <c r="T126" s="67">
        <f t="shared" si="90"/>
        <v>0</v>
      </c>
      <c r="U126" s="94" t="s">
        <v>19</v>
      </c>
      <c r="V126" s="94" t="s">
        <v>19</v>
      </c>
      <c r="W126" s="80" t="str">
        <f t="shared" si="91"/>
        <v>-</v>
      </c>
      <c r="X126" s="92">
        <v>1</v>
      </c>
      <c r="Y126" s="92">
        <v>1</v>
      </c>
      <c r="Z126" s="65">
        <f t="shared" si="92"/>
        <v>1</v>
      </c>
      <c r="AA126" s="64">
        <f t="shared" si="76"/>
        <v>1</v>
      </c>
      <c r="AB126" s="64">
        <f t="shared" si="77"/>
        <v>1</v>
      </c>
      <c r="AC126" s="65">
        <f t="shared" si="69"/>
        <v>1</v>
      </c>
      <c r="AD126" s="81" t="s">
        <v>19</v>
      </c>
      <c r="AE126" s="81" t="s">
        <v>19</v>
      </c>
      <c r="AF126" s="37" t="str">
        <f t="shared" si="93"/>
        <v>-</v>
      </c>
      <c r="AG126" s="44" t="s">
        <v>19</v>
      </c>
      <c r="AH126" s="44" t="s">
        <v>19</v>
      </c>
      <c r="AI126" s="44" t="str">
        <f t="shared" si="94"/>
        <v>-</v>
      </c>
      <c r="AJ126" s="81" t="s">
        <v>19</v>
      </c>
      <c r="AK126" s="81" t="s">
        <v>19</v>
      </c>
      <c r="AL126" s="37" t="str">
        <f t="shared" si="78"/>
        <v>-</v>
      </c>
      <c r="AM126" s="36">
        <f t="shared" si="81"/>
        <v>0</v>
      </c>
      <c r="AN126" s="36">
        <f t="shared" si="82"/>
        <v>0</v>
      </c>
      <c r="AO126" s="36">
        <f t="shared" si="83"/>
        <v>0</v>
      </c>
      <c r="AP126" s="81" t="s">
        <v>19</v>
      </c>
      <c r="AQ126" s="81" t="s">
        <v>19</v>
      </c>
      <c r="AR126" s="37" t="str">
        <f t="shared" si="95"/>
        <v>-</v>
      </c>
      <c r="AS126" s="77">
        <v>6</v>
      </c>
      <c r="AT126" s="77">
        <v>6</v>
      </c>
      <c r="AU126" s="21">
        <f t="shared" si="96"/>
        <v>1</v>
      </c>
      <c r="AV126" s="70"/>
      <c r="AW126" s="70"/>
      <c r="AX126" s="37" t="str">
        <f t="shared" si="97"/>
        <v>-</v>
      </c>
      <c r="AY126" s="10"/>
      <c r="AZ126" s="2"/>
      <c r="BA126" s="2"/>
      <c r="BB126" s="2"/>
      <c r="BC126" s="2"/>
      <c r="BD126" s="2"/>
    </row>
    <row r="127" spans="1:56" ht="14.25" customHeight="1">
      <c r="A127" s="8"/>
      <c r="B127" s="12" t="s">
        <v>83</v>
      </c>
      <c r="C127" s="92">
        <v>24</v>
      </c>
      <c r="D127" s="92">
        <v>28</v>
      </c>
      <c r="E127" s="65">
        <f t="shared" si="84"/>
        <v>0.8571428571428571</v>
      </c>
      <c r="F127" s="93">
        <v>24</v>
      </c>
      <c r="G127" s="93">
        <v>28</v>
      </c>
      <c r="H127" s="67">
        <f t="shared" si="70"/>
        <v>0.8571428571428571</v>
      </c>
      <c r="I127" s="92">
        <v>14</v>
      </c>
      <c r="J127" s="92">
        <v>26</v>
      </c>
      <c r="K127" s="65">
        <f t="shared" si="85"/>
        <v>0.53846153846153844</v>
      </c>
      <c r="L127" s="66">
        <f t="shared" si="71"/>
        <v>49</v>
      </c>
      <c r="M127" s="66">
        <f t="shared" si="72"/>
        <v>79</v>
      </c>
      <c r="N127" s="67">
        <f t="shared" si="86"/>
        <v>0.620253164556962</v>
      </c>
      <c r="O127" s="66">
        <f t="shared" si="87"/>
        <v>62</v>
      </c>
      <c r="P127" s="66">
        <f t="shared" si="88"/>
        <v>70</v>
      </c>
      <c r="Q127" s="67">
        <f t="shared" si="89"/>
        <v>0.88571428571428568</v>
      </c>
      <c r="R127" s="66">
        <f t="shared" si="74"/>
        <v>111</v>
      </c>
      <c r="S127" s="66">
        <f t="shared" si="75"/>
        <v>149</v>
      </c>
      <c r="T127" s="67">
        <f t="shared" si="90"/>
        <v>0.74496644295302017</v>
      </c>
      <c r="U127" s="87">
        <v>32</v>
      </c>
      <c r="V127" s="87">
        <v>32</v>
      </c>
      <c r="W127" s="65">
        <f t="shared" si="91"/>
        <v>1</v>
      </c>
      <c r="X127" s="87">
        <v>18</v>
      </c>
      <c r="Y127" s="87">
        <v>18</v>
      </c>
      <c r="Z127" s="65">
        <f t="shared" si="92"/>
        <v>1</v>
      </c>
      <c r="AA127" s="64">
        <f t="shared" si="76"/>
        <v>50</v>
      </c>
      <c r="AB127" s="64">
        <f t="shared" si="77"/>
        <v>50</v>
      </c>
      <c r="AC127" s="65">
        <f t="shared" si="69"/>
        <v>1</v>
      </c>
      <c r="AD127" s="68"/>
      <c r="AE127" s="68"/>
      <c r="AF127" s="37" t="str">
        <f t="shared" si="93"/>
        <v>-</v>
      </c>
      <c r="AG127" s="44" t="s">
        <v>19</v>
      </c>
      <c r="AH127" s="44" t="s">
        <v>19</v>
      </c>
      <c r="AI127" s="44" t="str">
        <f t="shared" si="94"/>
        <v>-</v>
      </c>
      <c r="AJ127" s="77">
        <f>49</f>
        <v>49</v>
      </c>
      <c r="AK127" s="77">
        <f>56</f>
        <v>56</v>
      </c>
      <c r="AL127" s="21">
        <f t="shared" si="78"/>
        <v>0.875</v>
      </c>
      <c r="AM127" s="36">
        <f t="shared" si="81"/>
        <v>0</v>
      </c>
      <c r="AN127" s="36">
        <f t="shared" si="82"/>
        <v>0</v>
      </c>
      <c r="AO127" s="36">
        <f t="shared" si="83"/>
        <v>0</v>
      </c>
      <c r="AP127" s="73">
        <v>109</v>
      </c>
      <c r="AQ127" s="73">
        <v>128</v>
      </c>
      <c r="AR127" s="21">
        <f t="shared" si="95"/>
        <v>0.8515625</v>
      </c>
      <c r="AS127" s="77">
        <v>98</v>
      </c>
      <c r="AT127" s="77">
        <v>108</v>
      </c>
      <c r="AU127" s="21">
        <f t="shared" si="96"/>
        <v>0.90740740740740744</v>
      </c>
      <c r="AV127" s="70"/>
      <c r="AW127" s="70"/>
      <c r="AX127" s="37" t="str">
        <f t="shared" si="97"/>
        <v>-</v>
      </c>
      <c r="AY127" s="10"/>
      <c r="AZ127" s="2"/>
      <c r="BA127" s="2"/>
      <c r="BB127" s="2"/>
      <c r="BC127" s="2"/>
      <c r="BD127" s="2"/>
    </row>
    <row r="128" spans="1:56" ht="14.25" customHeight="1">
      <c r="A128" s="8"/>
      <c r="B128" s="12" t="s">
        <v>84</v>
      </c>
      <c r="C128" s="92">
        <v>85</v>
      </c>
      <c r="D128" s="92">
        <v>99</v>
      </c>
      <c r="E128" s="65">
        <f t="shared" si="84"/>
        <v>0.85858585858585856</v>
      </c>
      <c r="F128" s="93">
        <v>84</v>
      </c>
      <c r="G128" s="93">
        <v>99</v>
      </c>
      <c r="H128" s="67">
        <f t="shared" si="70"/>
        <v>0.84848484848484851</v>
      </c>
      <c r="I128" s="92">
        <v>42</v>
      </c>
      <c r="J128" s="92">
        <v>76</v>
      </c>
      <c r="K128" s="65">
        <f t="shared" si="85"/>
        <v>0.55263157894736847</v>
      </c>
      <c r="L128" s="66">
        <f t="shared" si="71"/>
        <v>341</v>
      </c>
      <c r="M128" s="66">
        <f t="shared" si="72"/>
        <v>343</v>
      </c>
      <c r="N128" s="67">
        <f t="shared" si="86"/>
        <v>0.99416909620991256</v>
      </c>
      <c r="O128" s="66">
        <f t="shared" si="87"/>
        <v>295</v>
      </c>
      <c r="P128" s="66">
        <f t="shared" si="88"/>
        <v>296</v>
      </c>
      <c r="Q128" s="67">
        <f t="shared" si="89"/>
        <v>0.9966216216216216</v>
      </c>
      <c r="R128" s="66">
        <f t="shared" si="74"/>
        <v>636</v>
      </c>
      <c r="S128" s="66">
        <f t="shared" si="75"/>
        <v>639</v>
      </c>
      <c r="T128" s="67">
        <f t="shared" si="90"/>
        <v>0.99530516431924887</v>
      </c>
      <c r="U128" s="87">
        <v>3</v>
      </c>
      <c r="V128" s="87">
        <v>3</v>
      </c>
      <c r="W128" s="65">
        <f t="shared" si="91"/>
        <v>1</v>
      </c>
      <c r="X128" s="92">
        <v>27</v>
      </c>
      <c r="Y128" s="92">
        <v>27</v>
      </c>
      <c r="Z128" s="65">
        <f t="shared" si="92"/>
        <v>1</v>
      </c>
      <c r="AA128" s="64">
        <f t="shared" si="76"/>
        <v>30</v>
      </c>
      <c r="AB128" s="64">
        <f t="shared" si="77"/>
        <v>30</v>
      </c>
      <c r="AC128" s="65">
        <f t="shared" si="69"/>
        <v>1</v>
      </c>
      <c r="AD128" s="68"/>
      <c r="AE128" s="68"/>
      <c r="AF128" s="37" t="str">
        <f t="shared" si="93"/>
        <v>-</v>
      </c>
      <c r="AG128" s="44" t="s">
        <v>19</v>
      </c>
      <c r="AH128" s="44" t="s">
        <v>19</v>
      </c>
      <c r="AI128" s="44" t="str">
        <f t="shared" si="94"/>
        <v>-</v>
      </c>
      <c r="AJ128" s="77">
        <f>148</f>
        <v>148</v>
      </c>
      <c r="AK128" s="77">
        <v>168</v>
      </c>
      <c r="AL128" s="21">
        <f t="shared" si="78"/>
        <v>0.88095238095238093</v>
      </c>
      <c r="AM128" s="36">
        <f t="shared" si="81"/>
        <v>0</v>
      </c>
      <c r="AN128" s="36">
        <f t="shared" si="82"/>
        <v>0</v>
      </c>
      <c r="AO128" s="36">
        <f t="shared" si="83"/>
        <v>0</v>
      </c>
      <c r="AP128" s="73">
        <v>8</v>
      </c>
      <c r="AQ128" s="73">
        <v>12</v>
      </c>
      <c r="AR128" s="21">
        <f t="shared" si="95"/>
        <v>0.66666666666666663</v>
      </c>
      <c r="AS128" s="77">
        <v>154</v>
      </c>
      <c r="AT128" s="77">
        <v>162</v>
      </c>
      <c r="AU128" s="21">
        <f t="shared" si="96"/>
        <v>0.95061728395061729</v>
      </c>
      <c r="AV128" s="70"/>
      <c r="AW128" s="70"/>
      <c r="AX128" s="37" t="str">
        <f t="shared" si="97"/>
        <v>-</v>
      </c>
      <c r="AY128" s="10"/>
      <c r="AZ128" s="2"/>
      <c r="BA128" s="2"/>
      <c r="BB128" s="2"/>
      <c r="BC128" s="2"/>
      <c r="BD128" s="2"/>
    </row>
    <row r="129" spans="1:56" ht="14.25" customHeight="1">
      <c r="A129" s="8"/>
      <c r="B129" s="12" t="s">
        <v>85</v>
      </c>
      <c r="C129" s="92">
        <v>117</v>
      </c>
      <c r="D129" s="92">
        <v>161</v>
      </c>
      <c r="E129" s="65">
        <f t="shared" si="84"/>
        <v>0.72670807453416153</v>
      </c>
      <c r="F129" s="93">
        <f>63+79</f>
        <v>142</v>
      </c>
      <c r="G129" s="93">
        <f>76+104</f>
        <v>180</v>
      </c>
      <c r="H129" s="67">
        <f t="shared" si="70"/>
        <v>0.78888888888888886</v>
      </c>
      <c r="I129" s="92">
        <v>56</v>
      </c>
      <c r="J129" s="92">
        <v>85</v>
      </c>
      <c r="K129" s="65">
        <f t="shared" si="85"/>
        <v>0.6588235294117647</v>
      </c>
      <c r="L129" s="66">
        <f t="shared" si="71"/>
        <v>285</v>
      </c>
      <c r="M129" s="66">
        <f t="shared" si="72"/>
        <v>323</v>
      </c>
      <c r="N129" s="67">
        <f t="shared" si="86"/>
        <v>0.88235294117647056</v>
      </c>
      <c r="O129" s="66">
        <f t="shared" si="87"/>
        <v>349</v>
      </c>
      <c r="P129" s="66">
        <f t="shared" si="88"/>
        <v>392</v>
      </c>
      <c r="Q129" s="67">
        <f t="shared" si="89"/>
        <v>0.89030612244897955</v>
      </c>
      <c r="R129" s="66">
        <f t="shared" si="74"/>
        <v>634</v>
      </c>
      <c r="S129" s="66">
        <f t="shared" si="75"/>
        <v>715</v>
      </c>
      <c r="T129" s="67">
        <f t="shared" si="90"/>
        <v>0.88671328671328675</v>
      </c>
      <c r="U129" s="87">
        <v>48</v>
      </c>
      <c r="V129" s="87">
        <v>48</v>
      </c>
      <c r="W129" s="65">
        <f t="shared" si="91"/>
        <v>1</v>
      </c>
      <c r="X129" s="92">
        <v>66</v>
      </c>
      <c r="Y129" s="92">
        <v>66</v>
      </c>
      <c r="Z129" s="65">
        <f t="shared" si="92"/>
        <v>1</v>
      </c>
      <c r="AA129" s="64">
        <f t="shared" si="76"/>
        <v>114</v>
      </c>
      <c r="AB129" s="64">
        <f t="shared" si="77"/>
        <v>114</v>
      </c>
      <c r="AC129" s="65">
        <f t="shared" si="69"/>
        <v>1</v>
      </c>
      <c r="AD129" s="68"/>
      <c r="AE129" s="68"/>
      <c r="AF129" s="37" t="str">
        <f t="shared" si="93"/>
        <v>-</v>
      </c>
      <c r="AG129" s="44" t="s">
        <v>19</v>
      </c>
      <c r="AH129" s="44" t="s">
        <v>19</v>
      </c>
      <c r="AI129" s="44" t="str">
        <f t="shared" si="94"/>
        <v>-</v>
      </c>
      <c r="AJ129" s="77">
        <f>142+40</f>
        <v>182</v>
      </c>
      <c r="AK129" s="77">
        <f>172+48</f>
        <v>220</v>
      </c>
      <c r="AL129" s="21">
        <f t="shared" si="78"/>
        <v>0.82727272727272727</v>
      </c>
      <c r="AM129" s="36">
        <f t="shared" si="81"/>
        <v>0</v>
      </c>
      <c r="AN129" s="36">
        <f t="shared" si="82"/>
        <v>0</v>
      </c>
      <c r="AO129" s="36">
        <f t="shared" si="83"/>
        <v>0</v>
      </c>
      <c r="AP129" s="77">
        <v>164</v>
      </c>
      <c r="AQ129" s="77">
        <v>191</v>
      </c>
      <c r="AR129" s="21">
        <f t="shared" si="95"/>
        <v>0.8586387434554974</v>
      </c>
      <c r="AS129" s="77">
        <v>315</v>
      </c>
      <c r="AT129" s="77">
        <v>394</v>
      </c>
      <c r="AU129" s="21">
        <f t="shared" si="96"/>
        <v>0.79949238578680204</v>
      </c>
      <c r="AV129" s="70"/>
      <c r="AW129" s="70"/>
      <c r="AX129" s="37" t="str">
        <f t="shared" si="97"/>
        <v>-</v>
      </c>
      <c r="AY129" s="10"/>
      <c r="AZ129" s="2"/>
      <c r="BA129" s="2"/>
      <c r="BB129" s="2"/>
      <c r="BC129" s="2"/>
      <c r="BD129" s="2"/>
    </row>
    <row r="130" spans="1:56" ht="14.25" customHeight="1">
      <c r="A130" s="8"/>
      <c r="B130" s="12" t="s">
        <v>86</v>
      </c>
      <c r="C130" s="94" t="s">
        <v>19</v>
      </c>
      <c r="D130" s="94" t="s">
        <v>19</v>
      </c>
      <c r="E130" s="80" t="str">
        <f t="shared" si="84"/>
        <v>-</v>
      </c>
      <c r="F130" s="96" t="s">
        <v>19</v>
      </c>
      <c r="G130" s="96" t="s">
        <v>19</v>
      </c>
      <c r="H130" s="83" t="str">
        <f t="shared" si="70"/>
        <v>-</v>
      </c>
      <c r="I130" s="94" t="s">
        <v>19</v>
      </c>
      <c r="J130" s="94" t="s">
        <v>19</v>
      </c>
      <c r="K130" s="80" t="str">
        <f t="shared" si="85"/>
        <v>-</v>
      </c>
      <c r="L130" s="66">
        <f t="shared" si="71"/>
        <v>0</v>
      </c>
      <c r="M130" s="66">
        <f t="shared" si="72"/>
        <v>0</v>
      </c>
      <c r="N130" s="83" t="str">
        <f t="shared" si="86"/>
        <v>-</v>
      </c>
      <c r="O130" s="66">
        <f t="shared" si="87"/>
        <v>0</v>
      </c>
      <c r="P130" s="66">
        <f t="shared" si="88"/>
        <v>0</v>
      </c>
      <c r="Q130" s="83" t="str">
        <f t="shared" si="89"/>
        <v>-</v>
      </c>
      <c r="R130" s="66">
        <f t="shared" si="74"/>
        <v>0</v>
      </c>
      <c r="S130" s="66">
        <f t="shared" si="75"/>
        <v>0</v>
      </c>
      <c r="T130" s="83" t="str">
        <f t="shared" si="90"/>
        <v>-</v>
      </c>
      <c r="U130" s="94" t="s">
        <v>19</v>
      </c>
      <c r="V130" s="94" t="s">
        <v>19</v>
      </c>
      <c r="W130" s="80" t="str">
        <f t="shared" si="91"/>
        <v>-</v>
      </c>
      <c r="X130" s="95" t="s">
        <v>19</v>
      </c>
      <c r="Y130" s="95" t="s">
        <v>19</v>
      </c>
      <c r="Z130" s="80" t="str">
        <f t="shared" si="92"/>
        <v>-</v>
      </c>
      <c r="AA130" s="64">
        <f t="shared" si="76"/>
        <v>0</v>
      </c>
      <c r="AB130" s="64">
        <f t="shared" si="77"/>
        <v>0</v>
      </c>
      <c r="AC130" s="80" t="str">
        <f t="shared" si="69"/>
        <v>-</v>
      </c>
      <c r="AD130" s="81" t="s">
        <v>19</v>
      </c>
      <c r="AE130" s="81" t="s">
        <v>19</v>
      </c>
      <c r="AF130" s="37" t="str">
        <f t="shared" si="93"/>
        <v>-</v>
      </c>
      <c r="AG130" s="44" t="s">
        <v>19</v>
      </c>
      <c r="AH130" s="44" t="s">
        <v>19</v>
      </c>
      <c r="AI130" s="44" t="str">
        <f t="shared" si="94"/>
        <v>-</v>
      </c>
      <c r="AJ130" s="81" t="s">
        <v>19</v>
      </c>
      <c r="AK130" s="81" t="s">
        <v>19</v>
      </c>
      <c r="AL130" s="37" t="str">
        <f t="shared" si="78"/>
        <v>-</v>
      </c>
      <c r="AM130" s="36">
        <f t="shared" si="81"/>
        <v>0</v>
      </c>
      <c r="AN130" s="36">
        <f t="shared" si="82"/>
        <v>0</v>
      </c>
      <c r="AO130" s="36">
        <f t="shared" si="83"/>
        <v>0</v>
      </c>
      <c r="AP130" s="81" t="s">
        <v>19</v>
      </c>
      <c r="AQ130" s="81" t="s">
        <v>19</v>
      </c>
      <c r="AR130" s="37" t="str">
        <f t="shared" si="95"/>
        <v>-</v>
      </c>
      <c r="AS130" s="81" t="s">
        <v>19</v>
      </c>
      <c r="AT130" s="81" t="s">
        <v>19</v>
      </c>
      <c r="AU130" s="37" t="str">
        <f t="shared" si="96"/>
        <v>-</v>
      </c>
      <c r="AV130" s="70"/>
      <c r="AW130" s="70"/>
      <c r="AX130" s="37" t="str">
        <f t="shared" si="97"/>
        <v>-</v>
      </c>
      <c r="AY130" s="10"/>
      <c r="AZ130" s="2"/>
      <c r="BA130" s="2"/>
      <c r="BB130" s="2"/>
      <c r="BC130" s="2"/>
      <c r="BD130" s="2"/>
    </row>
    <row r="131" spans="1:56" ht="14.25" customHeight="1">
      <c r="A131" s="8"/>
      <c r="B131" s="12" t="s">
        <v>87</v>
      </c>
      <c r="C131" s="92">
        <v>56</v>
      </c>
      <c r="D131" s="92">
        <v>60</v>
      </c>
      <c r="E131" s="65">
        <f t="shared" si="84"/>
        <v>0.93333333333333335</v>
      </c>
      <c r="F131" s="93">
        <v>55</v>
      </c>
      <c r="G131" s="93">
        <v>60</v>
      </c>
      <c r="H131" s="67">
        <f t="shared" si="70"/>
        <v>0.91666666666666663</v>
      </c>
      <c r="I131" s="92">
        <v>48</v>
      </c>
      <c r="J131" s="92">
        <v>56</v>
      </c>
      <c r="K131" s="65">
        <f t="shared" si="85"/>
        <v>0.8571428571428571</v>
      </c>
      <c r="L131" s="66">
        <f t="shared" si="71"/>
        <v>227</v>
      </c>
      <c r="M131" s="66">
        <f t="shared" si="72"/>
        <v>248</v>
      </c>
      <c r="N131" s="67">
        <f t="shared" si="86"/>
        <v>0.91532258064516125</v>
      </c>
      <c r="O131" s="66">
        <f t="shared" si="87"/>
        <v>204</v>
      </c>
      <c r="P131" s="66">
        <f t="shared" si="88"/>
        <v>230</v>
      </c>
      <c r="Q131" s="67">
        <f t="shared" si="89"/>
        <v>0.88695652173913042</v>
      </c>
      <c r="R131" s="66">
        <f t="shared" si="74"/>
        <v>431</v>
      </c>
      <c r="S131" s="66">
        <f t="shared" si="75"/>
        <v>478</v>
      </c>
      <c r="T131" s="67">
        <f t="shared" si="90"/>
        <v>0.90167364016736407</v>
      </c>
      <c r="U131" s="87">
        <v>1</v>
      </c>
      <c r="V131" s="87">
        <v>1</v>
      </c>
      <c r="W131" s="65">
        <f t="shared" si="91"/>
        <v>1</v>
      </c>
      <c r="X131" s="92">
        <v>50</v>
      </c>
      <c r="Y131" s="92">
        <v>50</v>
      </c>
      <c r="Z131" s="65">
        <f t="shared" si="92"/>
        <v>1</v>
      </c>
      <c r="AA131" s="64">
        <f t="shared" si="76"/>
        <v>51</v>
      </c>
      <c r="AB131" s="64">
        <f t="shared" si="77"/>
        <v>51</v>
      </c>
      <c r="AC131" s="65">
        <f t="shared" si="69"/>
        <v>1</v>
      </c>
      <c r="AD131" s="68"/>
      <c r="AE131" s="68"/>
      <c r="AF131" s="37" t="str">
        <f t="shared" si="93"/>
        <v>-</v>
      </c>
      <c r="AG131" s="44" t="s">
        <v>19</v>
      </c>
      <c r="AH131" s="44" t="s">
        <v>19</v>
      </c>
      <c r="AI131" s="44" t="str">
        <f t="shared" si="94"/>
        <v>-</v>
      </c>
      <c r="AJ131" s="77">
        <f>158</f>
        <v>158</v>
      </c>
      <c r="AK131" s="77">
        <f>192</f>
        <v>192</v>
      </c>
      <c r="AL131" s="21">
        <f t="shared" si="78"/>
        <v>0.82291666666666663</v>
      </c>
      <c r="AM131" s="36">
        <f t="shared" si="81"/>
        <v>0</v>
      </c>
      <c r="AN131" s="36">
        <f t="shared" si="82"/>
        <v>0</v>
      </c>
      <c r="AO131" s="36">
        <f t="shared" si="83"/>
        <v>0</v>
      </c>
      <c r="AP131" s="77">
        <v>3</v>
      </c>
      <c r="AQ131" s="77">
        <v>4</v>
      </c>
      <c r="AR131" s="21">
        <f t="shared" si="95"/>
        <v>0.75</v>
      </c>
      <c r="AS131" s="77">
        <v>264</v>
      </c>
      <c r="AT131" s="77">
        <v>300</v>
      </c>
      <c r="AU131" s="21">
        <f t="shared" si="96"/>
        <v>0.88</v>
      </c>
      <c r="AV131" s="70"/>
      <c r="AW131" s="70"/>
      <c r="AX131" s="37" t="str">
        <f t="shared" si="97"/>
        <v>-</v>
      </c>
      <c r="AY131" s="10"/>
      <c r="AZ131" s="2"/>
      <c r="BA131" s="2"/>
      <c r="BB131" s="2"/>
      <c r="BC131" s="2"/>
      <c r="BD131" s="2"/>
    </row>
    <row r="132" spans="1:56" ht="14.25" customHeight="1">
      <c r="A132" s="8"/>
      <c r="B132" s="12" t="s">
        <v>88</v>
      </c>
      <c r="C132" s="92">
        <v>98</v>
      </c>
      <c r="D132" s="92">
        <v>108</v>
      </c>
      <c r="E132" s="65">
        <f t="shared" si="84"/>
        <v>0.90740740740740744</v>
      </c>
      <c r="F132" s="93">
        <v>103</v>
      </c>
      <c r="G132" s="93">
        <v>109</v>
      </c>
      <c r="H132" s="67">
        <f t="shared" si="70"/>
        <v>0.94495412844036697</v>
      </c>
      <c r="I132" s="92">
        <v>102</v>
      </c>
      <c r="J132" s="92">
        <v>109</v>
      </c>
      <c r="K132" s="65">
        <f t="shared" si="85"/>
        <v>0.93577981651376152</v>
      </c>
      <c r="L132" s="66">
        <f t="shared" si="71"/>
        <v>367</v>
      </c>
      <c r="M132" s="66">
        <f t="shared" si="72"/>
        <v>407</v>
      </c>
      <c r="N132" s="67">
        <f t="shared" si="86"/>
        <v>0.90171990171990168</v>
      </c>
      <c r="O132" s="66">
        <f t="shared" si="87"/>
        <v>409</v>
      </c>
      <c r="P132" s="66">
        <f t="shared" si="88"/>
        <v>435</v>
      </c>
      <c r="Q132" s="67">
        <f t="shared" si="89"/>
        <v>0.94022988505747129</v>
      </c>
      <c r="R132" s="66">
        <f t="shared" si="74"/>
        <v>776</v>
      </c>
      <c r="S132" s="66">
        <f t="shared" si="75"/>
        <v>842</v>
      </c>
      <c r="T132" s="67">
        <f t="shared" si="90"/>
        <v>0.92161520190023749</v>
      </c>
      <c r="U132" s="87">
        <v>5</v>
      </c>
      <c r="V132" s="87">
        <v>5</v>
      </c>
      <c r="W132" s="65">
        <f t="shared" si="91"/>
        <v>1</v>
      </c>
      <c r="X132" s="92">
        <v>55</v>
      </c>
      <c r="Y132" s="92">
        <v>55</v>
      </c>
      <c r="Z132" s="65">
        <f t="shared" si="92"/>
        <v>1</v>
      </c>
      <c r="AA132" s="64">
        <f t="shared" si="76"/>
        <v>60</v>
      </c>
      <c r="AB132" s="64">
        <f t="shared" si="77"/>
        <v>60</v>
      </c>
      <c r="AC132" s="65">
        <f t="shared" si="69"/>
        <v>1</v>
      </c>
      <c r="AD132" s="68"/>
      <c r="AE132" s="68"/>
      <c r="AF132" s="37" t="str">
        <f t="shared" si="93"/>
        <v>-</v>
      </c>
      <c r="AG132" s="44" t="s">
        <v>19</v>
      </c>
      <c r="AH132" s="44" t="s">
        <v>19</v>
      </c>
      <c r="AI132" s="44" t="str">
        <f t="shared" si="94"/>
        <v>-</v>
      </c>
      <c r="AJ132" s="77">
        <f>291</f>
        <v>291</v>
      </c>
      <c r="AK132" s="77">
        <f>408</f>
        <v>408</v>
      </c>
      <c r="AL132" s="21">
        <f t="shared" si="78"/>
        <v>0.71323529411764708</v>
      </c>
      <c r="AM132" s="36">
        <f t="shared" si="81"/>
        <v>0</v>
      </c>
      <c r="AN132" s="36">
        <f t="shared" si="82"/>
        <v>0</v>
      </c>
      <c r="AO132" s="36">
        <f t="shared" si="83"/>
        <v>0</v>
      </c>
      <c r="AP132" s="77">
        <v>16</v>
      </c>
      <c r="AQ132" s="77">
        <v>20</v>
      </c>
      <c r="AR132" s="21">
        <f t="shared" si="95"/>
        <v>0.8</v>
      </c>
      <c r="AS132" s="77">
        <v>261</v>
      </c>
      <c r="AT132" s="77">
        <v>330</v>
      </c>
      <c r="AU132" s="21">
        <f t="shared" si="96"/>
        <v>0.79090909090909089</v>
      </c>
      <c r="AV132" s="70"/>
      <c r="AW132" s="70"/>
      <c r="AX132" s="37" t="str">
        <f t="shared" si="97"/>
        <v>-</v>
      </c>
      <c r="AY132" s="10"/>
      <c r="AZ132" s="2"/>
      <c r="BA132" s="2"/>
      <c r="BB132" s="2"/>
      <c r="BC132" s="2"/>
      <c r="BD132" s="2"/>
    </row>
    <row r="133" spans="1:56" ht="14.25" customHeight="1">
      <c r="A133" s="8"/>
      <c r="B133" s="12" t="s">
        <v>89</v>
      </c>
      <c r="C133" s="64">
        <f>SUM(C132,C117)</f>
        <v>98</v>
      </c>
      <c r="D133" s="64">
        <f>SUM(D132,D117)</f>
        <v>108</v>
      </c>
      <c r="E133" s="65">
        <f t="shared" si="84"/>
        <v>0.90740740740740744</v>
      </c>
      <c r="F133" s="66">
        <f>SUM(F132,F117)</f>
        <v>103</v>
      </c>
      <c r="G133" s="66">
        <f>SUM(G132,G117)</f>
        <v>109</v>
      </c>
      <c r="H133" s="67">
        <f t="shared" si="70"/>
        <v>0.94495412844036697</v>
      </c>
      <c r="I133" s="64">
        <f>SUM(I132,I117)</f>
        <v>102</v>
      </c>
      <c r="J133" s="64">
        <f>SUM(J132,J117)</f>
        <v>109</v>
      </c>
      <c r="K133" s="65">
        <f t="shared" si="85"/>
        <v>0.93577981651376152</v>
      </c>
      <c r="L133" s="66">
        <f t="shared" si="71"/>
        <v>369</v>
      </c>
      <c r="M133" s="66">
        <f t="shared" si="72"/>
        <v>410</v>
      </c>
      <c r="N133" s="67">
        <f t="shared" si="86"/>
        <v>0.9</v>
      </c>
      <c r="O133" s="66">
        <f t="shared" si="87"/>
        <v>410</v>
      </c>
      <c r="P133" s="66">
        <f t="shared" si="88"/>
        <v>436</v>
      </c>
      <c r="Q133" s="67">
        <f t="shared" si="89"/>
        <v>0.94036697247706424</v>
      </c>
      <c r="R133" s="66">
        <f t="shared" si="74"/>
        <v>779</v>
      </c>
      <c r="S133" s="66">
        <f t="shared" si="75"/>
        <v>846</v>
      </c>
      <c r="T133" s="67">
        <f t="shared" si="90"/>
        <v>0.92080378250591022</v>
      </c>
      <c r="U133" s="64">
        <f>SUM(U132,U117)</f>
        <v>6</v>
      </c>
      <c r="V133" s="64">
        <f>SUM(V132,V117)</f>
        <v>6</v>
      </c>
      <c r="W133" s="65">
        <f t="shared" si="91"/>
        <v>1</v>
      </c>
      <c r="X133" s="64">
        <f>SUM(X132,X117)</f>
        <v>56</v>
      </c>
      <c r="Y133" s="64">
        <f>SUM(Y132,Y117)</f>
        <v>56</v>
      </c>
      <c r="Z133" s="65">
        <f t="shared" si="92"/>
        <v>1</v>
      </c>
      <c r="AA133" s="64">
        <f>SUM(AA132,AA117)</f>
        <v>62</v>
      </c>
      <c r="AB133" s="64">
        <f>SUM(AB132,AB117)</f>
        <v>62</v>
      </c>
      <c r="AC133" s="65">
        <f t="shared" si="69"/>
        <v>1</v>
      </c>
      <c r="AD133" s="70">
        <f>SUM(AD132,AD117)</f>
        <v>0</v>
      </c>
      <c r="AE133" s="70">
        <f>SUM(AE132,AE117)</f>
        <v>0</v>
      </c>
      <c r="AF133" s="37" t="str">
        <f t="shared" si="93"/>
        <v>-</v>
      </c>
      <c r="AG133" s="69">
        <f>SUM(AG132,AG117)</f>
        <v>0</v>
      </c>
      <c r="AH133" s="69">
        <f>SUM(AH132,AH117)</f>
        <v>0</v>
      </c>
      <c r="AI133" s="44" t="str">
        <f t="shared" si="94"/>
        <v>-</v>
      </c>
      <c r="AJ133" s="70">
        <f>SUM(AJ132,AJ117)</f>
        <v>291</v>
      </c>
      <c r="AK133" s="70">
        <f>SUM(AK132,AK117)</f>
        <v>408</v>
      </c>
      <c r="AL133" s="21">
        <f t="shared" si="78"/>
        <v>0.71323529411764708</v>
      </c>
      <c r="AM133" s="36">
        <f t="shared" si="81"/>
        <v>0</v>
      </c>
      <c r="AN133" s="36">
        <f t="shared" si="82"/>
        <v>0</v>
      </c>
      <c r="AO133" s="36">
        <f t="shared" si="83"/>
        <v>0</v>
      </c>
      <c r="AP133" s="70">
        <f>SUM(AP132,AP117)</f>
        <v>19</v>
      </c>
      <c r="AQ133" s="70">
        <f>SUM(AQ132,AQ117)</f>
        <v>23</v>
      </c>
      <c r="AR133" s="21">
        <f t="shared" si="95"/>
        <v>0.82608695652173914</v>
      </c>
      <c r="AS133" s="70">
        <f>SUM(AS132,AS117)</f>
        <v>264</v>
      </c>
      <c r="AT133" s="70">
        <f>SUM(AT132,AT117)</f>
        <v>336</v>
      </c>
      <c r="AU133" s="21">
        <f t="shared" si="96"/>
        <v>0.7857142857142857</v>
      </c>
      <c r="AV133" s="70"/>
      <c r="AW133" s="70"/>
      <c r="AX133" s="37" t="str">
        <f t="shared" si="97"/>
        <v>-</v>
      </c>
      <c r="AY133" s="10"/>
      <c r="AZ133" s="2"/>
      <c r="BA133" s="2"/>
      <c r="BB133" s="2"/>
      <c r="BC133" s="2"/>
      <c r="BD133" s="2"/>
    </row>
    <row r="134" spans="1:56" ht="14.25" customHeight="1">
      <c r="A134" s="8"/>
      <c r="B134" s="12" t="s">
        <v>90</v>
      </c>
      <c r="C134" s="64">
        <f>SUM(C123,C130)</f>
        <v>56</v>
      </c>
      <c r="D134" s="64">
        <f>SUM(D123,D130)</f>
        <v>60</v>
      </c>
      <c r="E134" s="65">
        <f t="shared" si="84"/>
        <v>0.93333333333333335</v>
      </c>
      <c r="F134" s="66">
        <f>SUM(F123,F130)</f>
        <v>56</v>
      </c>
      <c r="G134" s="66">
        <f>SUM(G123,G130)</f>
        <v>60</v>
      </c>
      <c r="H134" s="67">
        <f t="shared" si="70"/>
        <v>0.93333333333333335</v>
      </c>
      <c r="I134" s="64">
        <f>SUM(I123,I130)</f>
        <v>51</v>
      </c>
      <c r="J134" s="64">
        <f>SUM(J123,J130)</f>
        <v>55</v>
      </c>
      <c r="K134" s="65">
        <f t="shared" si="85"/>
        <v>0.92727272727272725</v>
      </c>
      <c r="L134" s="66">
        <f t="shared" si="71"/>
        <v>215</v>
      </c>
      <c r="M134" s="66">
        <f t="shared" si="72"/>
        <v>230</v>
      </c>
      <c r="N134" s="67">
        <f t="shared" si="86"/>
        <v>0.93478260869565222</v>
      </c>
      <c r="O134" s="66">
        <f t="shared" si="87"/>
        <v>271</v>
      </c>
      <c r="P134" s="66">
        <f t="shared" si="88"/>
        <v>287</v>
      </c>
      <c r="Q134" s="67">
        <f t="shared" si="89"/>
        <v>0.94425087108013939</v>
      </c>
      <c r="R134" s="66">
        <f t="shared" si="74"/>
        <v>486</v>
      </c>
      <c r="S134" s="66">
        <f t="shared" si="75"/>
        <v>517</v>
      </c>
      <c r="T134" s="67">
        <f t="shared" si="90"/>
        <v>0.94003868471953578</v>
      </c>
      <c r="U134" s="64">
        <f>SUM(U123,U130)</f>
        <v>6</v>
      </c>
      <c r="V134" s="64">
        <f>SUM(V123,V130)</f>
        <v>6</v>
      </c>
      <c r="W134" s="65">
        <f t="shared" si="91"/>
        <v>1</v>
      </c>
      <c r="X134" s="64">
        <f>SUM(X123,X130)</f>
        <v>49</v>
      </c>
      <c r="Y134" s="64">
        <f>SUM(Y123,Y130)</f>
        <v>49</v>
      </c>
      <c r="Z134" s="65">
        <f t="shared" si="92"/>
        <v>1</v>
      </c>
      <c r="AA134" s="64">
        <f>SUM(AA123,AA130)</f>
        <v>55</v>
      </c>
      <c r="AB134" s="64">
        <f>SUM(AB123,AB130)</f>
        <v>55</v>
      </c>
      <c r="AC134" s="65">
        <f t="shared" si="69"/>
        <v>1</v>
      </c>
      <c r="AD134" s="70">
        <f>SUM(AD123,AD130)</f>
        <v>0</v>
      </c>
      <c r="AE134" s="70">
        <f>SUM(AE123,AE130)</f>
        <v>0</v>
      </c>
      <c r="AF134" s="37" t="str">
        <f t="shared" si="93"/>
        <v>-</v>
      </c>
      <c r="AG134" s="69">
        <f>SUM(AG123,AG130)</f>
        <v>0</v>
      </c>
      <c r="AH134" s="69">
        <f>SUM(AH123,AH130)</f>
        <v>0</v>
      </c>
      <c r="AI134" s="44" t="str">
        <f t="shared" si="94"/>
        <v>-</v>
      </c>
      <c r="AJ134" s="70">
        <f>SUM(AJ123,AJ130)</f>
        <v>155</v>
      </c>
      <c r="AK134" s="70">
        <f>SUM(AK123,AK130)</f>
        <v>204</v>
      </c>
      <c r="AL134" s="21">
        <f t="shared" si="78"/>
        <v>0.75980392156862742</v>
      </c>
      <c r="AM134" s="36">
        <f t="shared" si="81"/>
        <v>0</v>
      </c>
      <c r="AN134" s="36">
        <f t="shared" si="82"/>
        <v>0</v>
      </c>
      <c r="AO134" s="36">
        <f t="shared" si="83"/>
        <v>0</v>
      </c>
      <c r="AP134" s="70">
        <f>SUM(AP123,AP130)</f>
        <v>19</v>
      </c>
      <c r="AQ134" s="70">
        <f>SUM(AQ123,AQ130)</f>
        <v>24</v>
      </c>
      <c r="AR134" s="21">
        <f t="shared" si="95"/>
        <v>0.79166666666666663</v>
      </c>
      <c r="AS134" s="70">
        <f>SUM(AS123,AS130)</f>
        <v>227</v>
      </c>
      <c r="AT134" s="70">
        <f>SUM(AT123,AT130)</f>
        <v>294</v>
      </c>
      <c r="AU134" s="21">
        <f t="shared" si="96"/>
        <v>0.77210884353741494</v>
      </c>
      <c r="AV134" s="70"/>
      <c r="AW134" s="70"/>
      <c r="AX134" s="37" t="str">
        <f t="shared" si="97"/>
        <v>-</v>
      </c>
      <c r="AY134" s="10"/>
      <c r="AZ134" s="2"/>
      <c r="BA134" s="2"/>
      <c r="BB134" s="2"/>
      <c r="BC134" s="2"/>
      <c r="BD134" s="2"/>
    </row>
    <row r="135" spans="1:56" ht="14.25" customHeight="1">
      <c r="A135" s="8"/>
      <c r="B135" s="12" t="s">
        <v>91</v>
      </c>
      <c r="C135" s="64">
        <f>SUM(C121,C122,C126)</f>
        <v>489</v>
      </c>
      <c r="D135" s="64">
        <f>SUM(D121,D122,D126)</f>
        <v>570</v>
      </c>
      <c r="E135" s="65">
        <f t="shared" si="84"/>
        <v>0.85789473684210527</v>
      </c>
      <c r="F135" s="66">
        <f>SUM(F121:F122,F126)</f>
        <v>502</v>
      </c>
      <c r="G135" s="66">
        <f>SUM(G121:G122,G126)</f>
        <v>570</v>
      </c>
      <c r="H135" s="67">
        <f t="shared" si="70"/>
        <v>0.88070175438596487</v>
      </c>
      <c r="I135" s="64">
        <f>SUM(I121,I122,I126)</f>
        <v>434</v>
      </c>
      <c r="J135" s="64">
        <f>SUM(J121,J122,J126)</f>
        <v>495</v>
      </c>
      <c r="K135" s="65">
        <f t="shared" si="85"/>
        <v>0.87676767676767675</v>
      </c>
      <c r="L135" s="66">
        <f t="shared" si="71"/>
        <v>2255</v>
      </c>
      <c r="M135" s="66">
        <f t="shared" si="72"/>
        <v>2449</v>
      </c>
      <c r="N135" s="67">
        <f t="shared" si="86"/>
        <v>0.92078399346672113</v>
      </c>
      <c r="O135" s="66">
        <f t="shared" si="87"/>
        <v>1900</v>
      </c>
      <c r="P135" s="66">
        <f t="shared" si="88"/>
        <v>2016</v>
      </c>
      <c r="Q135" s="67">
        <f t="shared" si="89"/>
        <v>0.94246031746031744</v>
      </c>
      <c r="R135" s="66">
        <f t="shared" si="74"/>
        <v>4155</v>
      </c>
      <c r="S135" s="66">
        <f t="shared" si="75"/>
        <v>4465</v>
      </c>
      <c r="T135" s="67">
        <f t="shared" si="90"/>
        <v>0.93057110862262038</v>
      </c>
      <c r="U135" s="64">
        <f>SUM(U121:U122,U126)</f>
        <v>30</v>
      </c>
      <c r="V135" s="64">
        <f>SUM(V121:V122,V126)</f>
        <v>30</v>
      </c>
      <c r="W135" s="65">
        <f t="shared" si="91"/>
        <v>1</v>
      </c>
      <c r="X135" s="64">
        <f>SUM(X121:X122,X126)</f>
        <v>412</v>
      </c>
      <c r="Y135" s="64">
        <f>SUM(Y121:Y122,Y126)</f>
        <v>412</v>
      </c>
      <c r="Z135" s="65">
        <f t="shared" si="92"/>
        <v>1</v>
      </c>
      <c r="AA135" s="64">
        <f>SUM(AA121:AA122,AA126)</f>
        <v>442</v>
      </c>
      <c r="AB135" s="64">
        <f>SUM(AB121:AB122,AB126)</f>
        <v>442</v>
      </c>
      <c r="AC135" s="65">
        <f t="shared" si="69"/>
        <v>1</v>
      </c>
      <c r="AD135" s="70">
        <f>SUM(AD121:AD122,AD126)</f>
        <v>0</v>
      </c>
      <c r="AE135" s="70">
        <f>SUM(AE121:AE122,AE126)</f>
        <v>0</v>
      </c>
      <c r="AF135" s="37" t="str">
        <f t="shared" si="93"/>
        <v>-</v>
      </c>
      <c r="AG135" s="69">
        <f>SUM(AG121,AG122,AG126)</f>
        <v>0</v>
      </c>
      <c r="AH135" s="69">
        <f>SUM(AH121,AH122,AH126)</f>
        <v>0</v>
      </c>
      <c r="AI135" s="44" t="str">
        <f t="shared" si="94"/>
        <v>-</v>
      </c>
      <c r="AJ135" s="70">
        <f>SUM(AJ121,AJ122,AJ126)</f>
        <v>1370</v>
      </c>
      <c r="AK135" s="70">
        <f>SUM(AK121,AK122,AK126)</f>
        <v>1736</v>
      </c>
      <c r="AL135" s="21">
        <f t="shared" si="78"/>
        <v>0.78917050691244239</v>
      </c>
      <c r="AM135" s="36">
        <f t="shared" si="81"/>
        <v>0</v>
      </c>
      <c r="AN135" s="36">
        <f t="shared" si="82"/>
        <v>0</v>
      </c>
      <c r="AO135" s="36">
        <f t="shared" si="83"/>
        <v>0</v>
      </c>
      <c r="AP135" s="70">
        <f>SUM(AP121,AP122,AP126)</f>
        <v>99</v>
      </c>
      <c r="AQ135" s="70">
        <f>SUM(AQ121,AQ122,AQ126)</f>
        <v>118</v>
      </c>
      <c r="AR135" s="21">
        <f t="shared" si="95"/>
        <v>0.83898305084745761</v>
      </c>
      <c r="AS135" s="70">
        <f>SUM(AS121,AS122,AS126)</f>
        <v>2102</v>
      </c>
      <c r="AT135" s="70">
        <f>SUM(AT121,AT122,AT126)</f>
        <v>2468</v>
      </c>
      <c r="AU135" s="21">
        <f t="shared" si="96"/>
        <v>0.85170178282009723</v>
      </c>
      <c r="AV135" s="70"/>
      <c r="AW135" s="70"/>
      <c r="AX135" s="37" t="str">
        <f t="shared" si="97"/>
        <v>-</v>
      </c>
      <c r="AY135" s="10"/>
      <c r="AZ135" s="2"/>
      <c r="BA135" s="2"/>
      <c r="BB135" s="2"/>
      <c r="BC135" s="2"/>
      <c r="BD135" s="2"/>
    </row>
    <row r="136" spans="1:56" ht="14.25" customHeight="1">
      <c r="A136" s="8"/>
      <c r="B136" s="12" t="s">
        <v>92</v>
      </c>
      <c r="C136" s="64">
        <f>SUM(C129,C143)</f>
        <v>117</v>
      </c>
      <c r="D136" s="64">
        <f>SUM(D129,D143)</f>
        <v>161</v>
      </c>
      <c r="E136" s="65">
        <f t="shared" si="84"/>
        <v>0.72670807453416153</v>
      </c>
      <c r="F136" s="66">
        <f>SUM(F129,F143)</f>
        <v>333</v>
      </c>
      <c r="G136" s="66">
        <f>SUM(G129,G143)</f>
        <v>382</v>
      </c>
      <c r="H136" s="67">
        <f t="shared" si="70"/>
        <v>0.87172774869109948</v>
      </c>
      <c r="I136" s="64">
        <f>SUM(I129,I143)</f>
        <v>135</v>
      </c>
      <c r="J136" s="64">
        <f>SUM(J129,J143)</f>
        <v>203</v>
      </c>
      <c r="K136" s="65">
        <f t="shared" si="85"/>
        <v>0.66502463054187189</v>
      </c>
      <c r="L136" s="66">
        <f t="shared" si="71"/>
        <v>408</v>
      </c>
      <c r="M136" s="66">
        <f t="shared" si="72"/>
        <v>473</v>
      </c>
      <c r="N136" s="67">
        <f t="shared" si="86"/>
        <v>0.86257928118393234</v>
      </c>
      <c r="O136" s="66">
        <f t="shared" si="87"/>
        <v>604</v>
      </c>
      <c r="P136" s="66">
        <f t="shared" si="88"/>
        <v>669</v>
      </c>
      <c r="Q136" s="67">
        <f t="shared" si="89"/>
        <v>0.90284005979073245</v>
      </c>
      <c r="R136" s="66">
        <f t="shared" si="74"/>
        <v>1012</v>
      </c>
      <c r="S136" s="66">
        <f t="shared" si="75"/>
        <v>1142</v>
      </c>
      <c r="T136" s="67">
        <f t="shared" si="90"/>
        <v>0.88616462346760072</v>
      </c>
      <c r="U136" s="64">
        <f>SUM(U129,U143)</f>
        <v>48</v>
      </c>
      <c r="V136" s="64">
        <f>SUM(V129,V143)</f>
        <v>48</v>
      </c>
      <c r="W136" s="65">
        <f t="shared" si="91"/>
        <v>1</v>
      </c>
      <c r="X136" s="64">
        <f>SUM(X129,X143)</f>
        <v>89</v>
      </c>
      <c r="Y136" s="64">
        <f>SUM(Y129,Y143)</f>
        <v>89</v>
      </c>
      <c r="Z136" s="65">
        <f t="shared" si="92"/>
        <v>1</v>
      </c>
      <c r="AA136" s="64">
        <f>SUM(AA129,AA143)</f>
        <v>137</v>
      </c>
      <c r="AB136" s="64">
        <f>SUM(AB129,AB143)</f>
        <v>137</v>
      </c>
      <c r="AC136" s="65">
        <f t="shared" si="69"/>
        <v>1</v>
      </c>
      <c r="AD136" s="70">
        <f>SUM(AD129,AD143)</f>
        <v>0</v>
      </c>
      <c r="AE136" s="70">
        <f>SUM(AE129,AE143)</f>
        <v>0</v>
      </c>
      <c r="AF136" s="37" t="str">
        <f t="shared" si="93"/>
        <v>-</v>
      </c>
      <c r="AG136" s="69">
        <f>SUM(AG129,AG143)</f>
        <v>0</v>
      </c>
      <c r="AH136" s="69">
        <f>SUM(AH129,AH143)</f>
        <v>0</v>
      </c>
      <c r="AI136" s="44" t="str">
        <f t="shared" si="94"/>
        <v>-</v>
      </c>
      <c r="AJ136" s="70">
        <f>SUM(AJ129,AJ143)</f>
        <v>820</v>
      </c>
      <c r="AK136" s="70">
        <f>SUM(AK129,AK143)</f>
        <v>931</v>
      </c>
      <c r="AL136" s="21">
        <f t="shared" si="78"/>
        <v>0.88077336197636946</v>
      </c>
      <c r="AM136" s="36">
        <f t="shared" si="81"/>
        <v>0</v>
      </c>
      <c r="AN136" s="36">
        <f t="shared" si="82"/>
        <v>0</v>
      </c>
      <c r="AO136" s="36">
        <f t="shared" si="83"/>
        <v>0</v>
      </c>
      <c r="AP136" s="70">
        <f>SUM(AP129,AP143)</f>
        <v>164</v>
      </c>
      <c r="AQ136" s="70">
        <f>SUM(AQ129,AQ143)</f>
        <v>191</v>
      </c>
      <c r="AR136" s="21">
        <f t="shared" si="95"/>
        <v>0.8586387434554974</v>
      </c>
      <c r="AS136" s="70">
        <f>SUM(AS129,AS143)</f>
        <v>315</v>
      </c>
      <c r="AT136" s="70">
        <f>SUM(AT129,AT143)</f>
        <v>394</v>
      </c>
      <c r="AU136" s="21">
        <f t="shared" si="96"/>
        <v>0.79949238578680204</v>
      </c>
      <c r="AV136" s="70">
        <f>SUM(AV129,AV143)</f>
        <v>0</v>
      </c>
      <c r="AW136" s="70">
        <f>SUM(AW129,AW143)</f>
        <v>0</v>
      </c>
      <c r="AX136" s="37" t="str">
        <f t="shared" si="97"/>
        <v>-</v>
      </c>
      <c r="AY136" s="10"/>
      <c r="AZ136" s="2"/>
      <c r="BA136" s="2"/>
      <c r="BB136" s="2"/>
      <c r="BC136" s="2"/>
      <c r="BD136" s="2"/>
    </row>
    <row r="137" spans="1:56" ht="14.25" customHeight="1">
      <c r="A137" s="8"/>
      <c r="B137" s="12" t="s">
        <v>93</v>
      </c>
      <c r="C137" s="84">
        <f>SUM(C114,C120)</f>
        <v>133</v>
      </c>
      <c r="D137" s="84">
        <f>SUM(D114,D120)</f>
        <v>138</v>
      </c>
      <c r="E137" s="65">
        <f t="shared" si="84"/>
        <v>0.96376811594202894</v>
      </c>
      <c r="F137" s="66">
        <f>SUM(F114,F120)</f>
        <v>130</v>
      </c>
      <c r="G137" s="66">
        <f>SUM(G114,G120)</f>
        <v>138</v>
      </c>
      <c r="H137" s="67">
        <f t="shared" si="70"/>
        <v>0.94202898550724634</v>
      </c>
      <c r="I137" s="84">
        <f>SUM(I114,I120)</f>
        <v>118</v>
      </c>
      <c r="J137" s="84">
        <f>SUM(J114,J120)</f>
        <v>138</v>
      </c>
      <c r="K137" s="65">
        <f t="shared" si="85"/>
        <v>0.85507246376811596</v>
      </c>
      <c r="L137" s="66">
        <f t="shared" si="71"/>
        <v>505</v>
      </c>
      <c r="M137" s="66">
        <f t="shared" si="72"/>
        <v>562</v>
      </c>
      <c r="N137" s="67">
        <f t="shared" si="86"/>
        <v>0.89857651245551606</v>
      </c>
      <c r="O137" s="66">
        <f t="shared" si="87"/>
        <v>639</v>
      </c>
      <c r="P137" s="66">
        <f t="shared" si="88"/>
        <v>680</v>
      </c>
      <c r="Q137" s="67">
        <f t="shared" si="89"/>
        <v>0.93970588235294117</v>
      </c>
      <c r="R137" s="66">
        <f t="shared" si="74"/>
        <v>1144</v>
      </c>
      <c r="S137" s="66">
        <f t="shared" si="75"/>
        <v>1242</v>
      </c>
      <c r="T137" s="67">
        <f t="shared" si="90"/>
        <v>0.92109500805152977</v>
      </c>
      <c r="U137" s="64">
        <f>SUM(U114,U120)</f>
        <v>9</v>
      </c>
      <c r="V137" s="64">
        <f>SUM(V114,V120)</f>
        <v>9</v>
      </c>
      <c r="W137" s="65">
        <f t="shared" si="91"/>
        <v>1</v>
      </c>
      <c r="X137" s="64">
        <f>SUM(X114,X120)</f>
        <v>133</v>
      </c>
      <c r="Y137" s="64">
        <f>SUM(Y114,Y120)</f>
        <v>133</v>
      </c>
      <c r="Z137" s="65">
        <f t="shared" si="92"/>
        <v>1</v>
      </c>
      <c r="AA137" s="64">
        <f>SUM(AA114,AA120)</f>
        <v>142</v>
      </c>
      <c r="AB137" s="64">
        <f>SUM(AB114,AB120)</f>
        <v>142</v>
      </c>
      <c r="AC137" s="65">
        <f t="shared" si="69"/>
        <v>1</v>
      </c>
      <c r="AD137" s="70">
        <f>SUM(AD114,AD120)</f>
        <v>0</v>
      </c>
      <c r="AE137" s="70">
        <f>SUM(AE114,AE120)</f>
        <v>0</v>
      </c>
      <c r="AF137" s="37" t="str">
        <f t="shared" si="93"/>
        <v>-</v>
      </c>
      <c r="AG137" s="69">
        <f>SUM(AG114,AG120)</f>
        <v>0</v>
      </c>
      <c r="AH137" s="69">
        <f>SUM(AH114,AH120)</f>
        <v>0</v>
      </c>
      <c r="AI137" s="44" t="str">
        <f t="shared" si="94"/>
        <v>-</v>
      </c>
      <c r="AJ137" s="70">
        <f>SUM(AJ114,AJ120)</f>
        <v>319</v>
      </c>
      <c r="AK137" s="70">
        <f>SUM(AK114,AK120)</f>
        <v>472</v>
      </c>
      <c r="AL137" s="21">
        <f t="shared" si="78"/>
        <v>0.67584745762711862</v>
      </c>
      <c r="AM137" s="36">
        <f t="shared" si="81"/>
        <v>0</v>
      </c>
      <c r="AN137" s="36">
        <f t="shared" si="82"/>
        <v>0</v>
      </c>
      <c r="AO137" s="36">
        <f t="shared" si="83"/>
        <v>0</v>
      </c>
      <c r="AP137" s="70">
        <f>SUM(AP114,AP120)</f>
        <v>29</v>
      </c>
      <c r="AQ137" s="70">
        <f>SUM(AQ114,AQ120)</f>
        <v>36</v>
      </c>
      <c r="AR137" s="21">
        <f t="shared" si="95"/>
        <v>0.80555555555555558</v>
      </c>
      <c r="AS137" s="70">
        <f>SUM(AS114,AS120)</f>
        <v>586</v>
      </c>
      <c r="AT137" s="70">
        <f>SUM(AT114,AT120)</f>
        <v>797</v>
      </c>
      <c r="AU137" s="21">
        <f t="shared" si="96"/>
        <v>0.73525721455457971</v>
      </c>
      <c r="AV137" s="70"/>
      <c r="AW137" s="70"/>
      <c r="AX137" s="37" t="str">
        <f t="shared" si="97"/>
        <v>-</v>
      </c>
      <c r="AY137" s="10"/>
      <c r="AZ137" s="2"/>
      <c r="BA137" s="2"/>
      <c r="BB137" s="2"/>
      <c r="BC137" s="2"/>
      <c r="BD137" s="2"/>
    </row>
    <row r="138" spans="1:56" ht="14.25" customHeight="1">
      <c r="A138" s="8"/>
      <c r="B138" s="12" t="s">
        <v>94</v>
      </c>
      <c r="C138" s="64">
        <f>SUM(C115,C126)</f>
        <v>79</v>
      </c>
      <c r="D138" s="64">
        <f>SUM(D115,D126)</f>
        <v>81</v>
      </c>
      <c r="E138" s="65">
        <f t="shared" si="84"/>
        <v>0.97530864197530864</v>
      </c>
      <c r="F138" s="66">
        <f>SUM(F115,F126)</f>
        <v>76</v>
      </c>
      <c r="G138" s="66">
        <f>SUM(G115,G126)</f>
        <v>81</v>
      </c>
      <c r="H138" s="67">
        <f t="shared" si="70"/>
        <v>0.93827160493827155</v>
      </c>
      <c r="I138" s="64">
        <f>SUM(I115,I126)</f>
        <v>40</v>
      </c>
      <c r="J138" s="64">
        <f>SUM(J115,J126)</f>
        <v>60</v>
      </c>
      <c r="K138" s="65">
        <f t="shared" si="85"/>
        <v>0.66666666666666663</v>
      </c>
      <c r="L138" s="66">
        <f t="shared" si="71"/>
        <v>277</v>
      </c>
      <c r="M138" s="66">
        <f t="shared" si="72"/>
        <v>307</v>
      </c>
      <c r="N138" s="67">
        <f t="shared" si="86"/>
        <v>0.90228013029315957</v>
      </c>
      <c r="O138" s="66">
        <f t="shared" si="87"/>
        <v>316</v>
      </c>
      <c r="P138" s="66">
        <f t="shared" si="88"/>
        <v>351</v>
      </c>
      <c r="Q138" s="67">
        <f t="shared" si="89"/>
        <v>0.90028490028490027</v>
      </c>
      <c r="R138" s="66">
        <f t="shared" si="74"/>
        <v>593</v>
      </c>
      <c r="S138" s="66">
        <f t="shared" si="75"/>
        <v>658</v>
      </c>
      <c r="T138" s="67">
        <f t="shared" si="90"/>
        <v>0.90121580547112456</v>
      </c>
      <c r="U138" s="64">
        <f>SUM(U115,U126)</f>
        <v>8</v>
      </c>
      <c r="V138" s="64">
        <f>SUM(V115,V126)</f>
        <v>8</v>
      </c>
      <c r="W138" s="65">
        <f t="shared" si="91"/>
        <v>1</v>
      </c>
      <c r="X138" s="64">
        <f>SUM(X115,X126)</f>
        <v>60</v>
      </c>
      <c r="Y138" s="64">
        <f>SUM(Y115,Y126)</f>
        <v>60</v>
      </c>
      <c r="Z138" s="65">
        <f t="shared" si="92"/>
        <v>1</v>
      </c>
      <c r="AA138" s="64">
        <f>SUM(AA115,AA126)</f>
        <v>68</v>
      </c>
      <c r="AB138" s="64">
        <f>SUM(AB115,AB126)</f>
        <v>68</v>
      </c>
      <c r="AC138" s="65">
        <f t="shared" si="69"/>
        <v>1</v>
      </c>
      <c r="AD138" s="70">
        <f>SUM(AD115,AD126)</f>
        <v>0</v>
      </c>
      <c r="AE138" s="70">
        <f>SUM(AE115,AE126)</f>
        <v>0</v>
      </c>
      <c r="AF138" s="37" t="str">
        <f t="shared" si="93"/>
        <v>-</v>
      </c>
      <c r="AG138" s="69">
        <f>SUM(AG115,AG126)</f>
        <v>0</v>
      </c>
      <c r="AH138" s="69">
        <f>SUM(AH115,AH126)</f>
        <v>0</v>
      </c>
      <c r="AI138" s="44" t="str">
        <f t="shared" si="94"/>
        <v>-</v>
      </c>
      <c r="AJ138" s="70">
        <f>SUM(AJ115,AJ126)</f>
        <v>117</v>
      </c>
      <c r="AK138" s="70">
        <f>SUM(AK115,AK126)</f>
        <v>160</v>
      </c>
      <c r="AL138" s="21">
        <f t="shared" si="78"/>
        <v>0.73124999999999996</v>
      </c>
      <c r="AM138" s="36">
        <f t="shared" si="81"/>
        <v>0</v>
      </c>
      <c r="AN138" s="36">
        <f t="shared" si="82"/>
        <v>0</v>
      </c>
      <c r="AO138" s="36">
        <f t="shared" si="83"/>
        <v>0</v>
      </c>
      <c r="AP138" s="70">
        <f>SUM(AP115,AP126)</f>
        <v>25</v>
      </c>
      <c r="AQ138" s="70">
        <f>SUM(AQ115,AQ126)</f>
        <v>32</v>
      </c>
      <c r="AR138" s="21">
        <f t="shared" si="95"/>
        <v>0.78125</v>
      </c>
      <c r="AS138" s="97">
        <f>SUM(AS115,AS126)</f>
        <v>294</v>
      </c>
      <c r="AT138" s="97">
        <f>SUM(AT115,AT126)</f>
        <v>360</v>
      </c>
      <c r="AU138" s="21">
        <f t="shared" si="96"/>
        <v>0.81666666666666665</v>
      </c>
      <c r="AV138" s="70"/>
      <c r="AW138" s="70"/>
      <c r="AX138" s="37" t="str">
        <f t="shared" si="97"/>
        <v>-</v>
      </c>
      <c r="AY138" s="10"/>
      <c r="AZ138" s="2"/>
      <c r="BA138" s="2"/>
      <c r="BB138" s="2"/>
      <c r="BC138" s="2"/>
      <c r="BD138" s="2"/>
    </row>
    <row r="139" spans="1:56" ht="14.25" customHeight="1">
      <c r="A139" s="8"/>
      <c r="B139" s="12" t="s">
        <v>95</v>
      </c>
      <c r="C139" s="64">
        <f>SUM(C117:C118)</f>
        <v>38</v>
      </c>
      <c r="D139" s="64">
        <f>SUM(D117:D118)</f>
        <v>41</v>
      </c>
      <c r="E139" s="65">
        <f t="shared" si="84"/>
        <v>0.92682926829268297</v>
      </c>
      <c r="F139" s="66">
        <f>SUM(F117,F118)</f>
        <v>38</v>
      </c>
      <c r="G139" s="66">
        <f>SUM(G117,G118)</f>
        <v>42</v>
      </c>
      <c r="H139" s="67">
        <f t="shared" si="70"/>
        <v>0.90476190476190477</v>
      </c>
      <c r="I139" s="64">
        <f>SUM(I117:I118)</f>
        <v>42</v>
      </c>
      <c r="J139" s="64">
        <f>SUM(J117:J118)</f>
        <v>52</v>
      </c>
      <c r="K139" s="65">
        <f t="shared" si="85"/>
        <v>0.80769230769230771</v>
      </c>
      <c r="L139" s="66">
        <f t="shared" si="71"/>
        <v>127</v>
      </c>
      <c r="M139" s="66">
        <f t="shared" si="72"/>
        <v>141</v>
      </c>
      <c r="N139" s="67">
        <f t="shared" si="86"/>
        <v>0.900709219858156</v>
      </c>
      <c r="O139" s="66">
        <f t="shared" si="87"/>
        <v>219</v>
      </c>
      <c r="P139" s="66">
        <f t="shared" si="88"/>
        <v>236</v>
      </c>
      <c r="Q139" s="67">
        <f t="shared" si="89"/>
        <v>0.92796610169491522</v>
      </c>
      <c r="R139" s="66">
        <f t="shared" si="74"/>
        <v>346</v>
      </c>
      <c r="S139" s="66">
        <f t="shared" si="75"/>
        <v>377</v>
      </c>
      <c r="T139" s="67">
        <f t="shared" si="90"/>
        <v>0.91777188328912462</v>
      </c>
      <c r="U139" s="64">
        <f>SUM(U117,U118)</f>
        <v>1</v>
      </c>
      <c r="V139" s="64">
        <f>SUM(V117,V118)</f>
        <v>1</v>
      </c>
      <c r="W139" s="65">
        <f t="shared" si="91"/>
        <v>1</v>
      </c>
      <c r="X139" s="64">
        <f>SUM(X117,X118)</f>
        <v>48</v>
      </c>
      <c r="Y139" s="64">
        <f>SUM(Y117,Y118)</f>
        <v>48</v>
      </c>
      <c r="Z139" s="65">
        <f t="shared" si="92"/>
        <v>1</v>
      </c>
      <c r="AA139" s="64">
        <f>SUM(AA117,AA118)</f>
        <v>49</v>
      </c>
      <c r="AB139" s="64">
        <f>SUM(AB117,AB118)</f>
        <v>49</v>
      </c>
      <c r="AC139" s="65">
        <f t="shared" si="69"/>
        <v>1</v>
      </c>
      <c r="AD139" s="70">
        <f>SUM(AD117,AD118)</f>
        <v>0</v>
      </c>
      <c r="AE139" s="70">
        <f>SUM(AE117,AE118)</f>
        <v>0</v>
      </c>
      <c r="AF139" s="37" t="str">
        <f t="shared" si="93"/>
        <v>-</v>
      </c>
      <c r="AG139" s="69">
        <f>SUM(AG117,AG118)</f>
        <v>0</v>
      </c>
      <c r="AH139" s="69">
        <f>SUM(AH117,AH118)</f>
        <v>0</v>
      </c>
      <c r="AI139" s="44" t="str">
        <f t="shared" si="94"/>
        <v>-</v>
      </c>
      <c r="AJ139" s="70">
        <f>SUM(AJ117,AJ118)</f>
        <v>128</v>
      </c>
      <c r="AK139" s="70">
        <f>SUM(AK117,AK118)</f>
        <v>168</v>
      </c>
      <c r="AL139" s="21">
        <f t="shared" si="78"/>
        <v>0.76190476190476186</v>
      </c>
      <c r="AM139" s="36">
        <f t="shared" si="81"/>
        <v>0</v>
      </c>
      <c r="AN139" s="36">
        <f t="shared" si="82"/>
        <v>0</v>
      </c>
      <c r="AO139" s="36">
        <f t="shared" si="83"/>
        <v>0</v>
      </c>
      <c r="AP139" s="70">
        <f>SUM(AP117,AP118)</f>
        <v>3</v>
      </c>
      <c r="AQ139" s="70">
        <f>SUM(AQ117,AQ118)</f>
        <v>3</v>
      </c>
      <c r="AR139" s="21">
        <f t="shared" si="95"/>
        <v>1</v>
      </c>
      <c r="AS139" s="97">
        <f>SUM(AS117,AS118)</f>
        <v>247</v>
      </c>
      <c r="AT139" s="97">
        <f>SUM(AT117,AT118)</f>
        <v>288</v>
      </c>
      <c r="AU139" s="21">
        <f t="shared" si="96"/>
        <v>0.85763888888888884</v>
      </c>
      <c r="AV139" s="70"/>
      <c r="AW139" s="70"/>
      <c r="AX139" s="37" t="str">
        <f t="shared" si="97"/>
        <v>-</v>
      </c>
      <c r="AY139" s="10"/>
      <c r="AZ139" s="2"/>
      <c r="BA139" s="2"/>
      <c r="BB139" s="2"/>
      <c r="BC139" s="2"/>
      <c r="BD139" s="2"/>
    </row>
    <row r="140" spans="1:56" ht="14.25" customHeight="1">
      <c r="A140" s="8"/>
      <c r="B140" s="12" t="s">
        <v>96</v>
      </c>
      <c r="C140" s="64">
        <f>SUM(C130,C125)</f>
        <v>59</v>
      </c>
      <c r="D140" s="64">
        <f>SUM(D130,D125)</f>
        <v>63</v>
      </c>
      <c r="E140" s="65">
        <f t="shared" si="84"/>
        <v>0.93650793650793651</v>
      </c>
      <c r="F140" s="66">
        <f>SUM(F125,F130)</f>
        <v>61</v>
      </c>
      <c r="G140" s="66">
        <f>SUM(G125,G130)</f>
        <v>63</v>
      </c>
      <c r="H140" s="67">
        <f t="shared" si="70"/>
        <v>0.96825396825396826</v>
      </c>
      <c r="I140" s="64">
        <f>SUM(I130,I125)</f>
        <v>54</v>
      </c>
      <c r="J140" s="64">
        <f>SUM(J130,J125)</f>
        <v>59</v>
      </c>
      <c r="K140" s="65">
        <f t="shared" si="85"/>
        <v>0.9152542372881356</v>
      </c>
      <c r="L140" s="66">
        <f t="shared" si="71"/>
        <v>204</v>
      </c>
      <c r="M140" s="66">
        <f t="shared" si="72"/>
        <v>211</v>
      </c>
      <c r="N140" s="67">
        <f t="shared" si="86"/>
        <v>0.96682464454976302</v>
      </c>
      <c r="O140" s="66">
        <f t="shared" si="87"/>
        <v>203</v>
      </c>
      <c r="P140" s="66">
        <f t="shared" si="88"/>
        <v>214</v>
      </c>
      <c r="Q140" s="67">
        <f t="shared" si="89"/>
        <v>0.94859813084112155</v>
      </c>
      <c r="R140" s="66">
        <f t="shared" si="74"/>
        <v>407</v>
      </c>
      <c r="S140" s="66">
        <f t="shared" si="75"/>
        <v>425</v>
      </c>
      <c r="T140" s="67">
        <f t="shared" si="90"/>
        <v>0.95764705882352941</v>
      </c>
      <c r="U140" s="64">
        <f>SUM(U125,U130)</f>
        <v>4</v>
      </c>
      <c r="V140" s="64">
        <f>SUM(V125,V130)</f>
        <v>4</v>
      </c>
      <c r="W140" s="65">
        <f t="shared" si="91"/>
        <v>1</v>
      </c>
      <c r="X140" s="64">
        <f>SUM(X125,X130)</f>
        <v>28</v>
      </c>
      <c r="Y140" s="64">
        <f>SUM(Y125,Y130)</f>
        <v>28</v>
      </c>
      <c r="Z140" s="65">
        <f t="shared" si="92"/>
        <v>1</v>
      </c>
      <c r="AA140" s="64">
        <f>SUM(AA125,AA130)</f>
        <v>32</v>
      </c>
      <c r="AB140" s="64">
        <f>SUM(AB125,AB130)</f>
        <v>32</v>
      </c>
      <c r="AC140" s="65">
        <f t="shared" si="69"/>
        <v>1</v>
      </c>
      <c r="AD140" s="70">
        <f>SUM(AD125,AD130)</f>
        <v>0</v>
      </c>
      <c r="AE140" s="70">
        <f>SUM(AE125,AE130)</f>
        <v>0</v>
      </c>
      <c r="AF140" s="37" t="str">
        <f t="shared" si="93"/>
        <v>-</v>
      </c>
      <c r="AG140" s="69">
        <f>SUM(AG125,AG130)</f>
        <v>0</v>
      </c>
      <c r="AH140" s="69">
        <f>SUM(AH125,AH130)</f>
        <v>0</v>
      </c>
      <c r="AI140" s="44" t="str">
        <f t="shared" si="94"/>
        <v>-</v>
      </c>
      <c r="AJ140" s="70">
        <f>SUM(AJ125,AJ130)</f>
        <v>190</v>
      </c>
      <c r="AK140" s="70">
        <f>SUM(AK125,AK130)</f>
        <v>216</v>
      </c>
      <c r="AL140" s="21">
        <f t="shared" si="78"/>
        <v>0.87962962962962965</v>
      </c>
      <c r="AM140" s="36">
        <f t="shared" si="81"/>
        <v>0</v>
      </c>
      <c r="AN140" s="36">
        <f t="shared" si="82"/>
        <v>0</v>
      </c>
      <c r="AO140" s="36">
        <f t="shared" si="83"/>
        <v>0</v>
      </c>
      <c r="AP140" s="70">
        <f>SUM(AP125,AP130)</f>
        <v>12</v>
      </c>
      <c r="AQ140" s="70">
        <f>SUM(AQ125,AQ130)</f>
        <v>16</v>
      </c>
      <c r="AR140" s="21">
        <f t="shared" si="95"/>
        <v>0.75</v>
      </c>
      <c r="AS140" s="97">
        <f>SUM(AS125,AS130)</f>
        <v>152</v>
      </c>
      <c r="AT140" s="97">
        <f>SUM(AT125,AT130)</f>
        <v>168</v>
      </c>
      <c r="AU140" s="21">
        <f t="shared" si="96"/>
        <v>0.90476190476190477</v>
      </c>
      <c r="AV140" s="70"/>
      <c r="AW140" s="70"/>
      <c r="AX140" s="37" t="str">
        <f t="shared" si="97"/>
        <v>-</v>
      </c>
      <c r="AY140" s="10"/>
      <c r="AZ140" s="2"/>
      <c r="BA140" s="2"/>
      <c r="BB140" s="2"/>
      <c r="BC140" s="2"/>
      <c r="BD140" s="2"/>
    </row>
    <row r="141" spans="1:56" ht="14.25" customHeight="1">
      <c r="A141" s="8"/>
      <c r="B141" s="43" t="s">
        <v>97</v>
      </c>
      <c r="C141" s="79"/>
      <c r="D141" s="79"/>
      <c r="E141" s="80" t="str">
        <f t="shared" si="84"/>
        <v>-</v>
      </c>
      <c r="F141" s="93">
        <f>45+44</f>
        <v>89</v>
      </c>
      <c r="G141" s="93">
        <f>52+47</f>
        <v>99</v>
      </c>
      <c r="H141" s="67">
        <f t="shared" si="70"/>
        <v>0.89898989898989901</v>
      </c>
      <c r="I141" s="92">
        <v>8</v>
      </c>
      <c r="J141" s="92">
        <v>16</v>
      </c>
      <c r="K141" s="65">
        <f t="shared" si="85"/>
        <v>0.5</v>
      </c>
      <c r="L141" s="66">
        <f t="shared" si="71"/>
        <v>94</v>
      </c>
      <c r="M141" s="66">
        <f t="shared" si="72"/>
        <v>123</v>
      </c>
      <c r="N141" s="67">
        <f t="shared" si="86"/>
        <v>0.76422764227642281</v>
      </c>
      <c r="O141" s="66">
        <f t="shared" si="87"/>
        <v>141</v>
      </c>
      <c r="P141" s="66">
        <f t="shared" si="88"/>
        <v>175</v>
      </c>
      <c r="Q141" s="67">
        <f t="shared" si="89"/>
        <v>0.80571428571428572</v>
      </c>
      <c r="R141" s="66">
        <f t="shared" si="74"/>
        <v>235</v>
      </c>
      <c r="S141" s="66">
        <f t="shared" si="75"/>
        <v>298</v>
      </c>
      <c r="T141" s="67">
        <f t="shared" si="90"/>
        <v>0.78859060402684567</v>
      </c>
      <c r="U141" s="94" t="s">
        <v>19</v>
      </c>
      <c r="V141" s="94" t="s">
        <v>19</v>
      </c>
      <c r="W141" s="80" t="str">
        <f t="shared" si="91"/>
        <v>-</v>
      </c>
      <c r="X141" s="94" t="s">
        <v>19</v>
      </c>
      <c r="Y141" s="94" t="s">
        <v>19</v>
      </c>
      <c r="Z141" s="80" t="str">
        <f t="shared" si="92"/>
        <v>-</v>
      </c>
      <c r="AA141" s="64">
        <f t="shared" ref="AA141:AB145" si="98">SUM(U141,X141)</f>
        <v>0</v>
      </c>
      <c r="AB141" s="64">
        <f t="shared" si="98"/>
        <v>0</v>
      </c>
      <c r="AC141" s="80" t="str">
        <f t="shared" si="69"/>
        <v>-</v>
      </c>
      <c r="AD141" s="68"/>
      <c r="AE141" s="68"/>
      <c r="AF141" s="37" t="str">
        <f t="shared" si="93"/>
        <v>-</v>
      </c>
      <c r="AG141" s="44" t="s">
        <v>19</v>
      </c>
      <c r="AH141" s="44" t="s">
        <v>19</v>
      </c>
      <c r="AI141" s="44" t="str">
        <f t="shared" si="94"/>
        <v>-</v>
      </c>
      <c r="AJ141" s="77">
        <v>55</v>
      </c>
      <c r="AK141" s="77">
        <v>72</v>
      </c>
      <c r="AL141" s="21">
        <f t="shared" si="78"/>
        <v>0.76388888888888884</v>
      </c>
      <c r="AM141" s="36">
        <f t="shared" si="81"/>
        <v>0</v>
      </c>
      <c r="AN141" s="36">
        <f t="shared" si="82"/>
        <v>0</v>
      </c>
      <c r="AO141" s="36">
        <f t="shared" si="83"/>
        <v>0</v>
      </c>
      <c r="AP141" s="81" t="s">
        <v>19</v>
      </c>
      <c r="AQ141" s="81" t="s">
        <v>19</v>
      </c>
      <c r="AR141" s="37" t="str">
        <f t="shared" si="95"/>
        <v>-</v>
      </c>
      <c r="AS141" s="81" t="s">
        <v>19</v>
      </c>
      <c r="AT141" s="81" t="s">
        <v>19</v>
      </c>
      <c r="AU141" s="37" t="str">
        <f t="shared" si="96"/>
        <v>-</v>
      </c>
      <c r="AV141" s="70"/>
      <c r="AW141" s="70"/>
      <c r="AX141" s="37" t="str">
        <f t="shared" si="97"/>
        <v>-</v>
      </c>
      <c r="AY141" s="10"/>
      <c r="AZ141" s="2"/>
      <c r="BA141" s="2"/>
      <c r="BB141" s="2"/>
      <c r="BC141" s="2"/>
      <c r="BD141" s="2"/>
    </row>
    <row r="142" spans="1:56" ht="14.25" customHeight="1">
      <c r="A142" s="8"/>
      <c r="B142" s="43" t="s">
        <v>98</v>
      </c>
      <c r="C142" s="79"/>
      <c r="D142" s="79"/>
      <c r="E142" s="80" t="str">
        <f t="shared" si="84"/>
        <v>-</v>
      </c>
      <c r="F142" s="93">
        <f>10+18</f>
        <v>28</v>
      </c>
      <c r="G142" s="93">
        <f>14+20</f>
        <v>34</v>
      </c>
      <c r="H142" s="67">
        <f t="shared" si="70"/>
        <v>0.82352941176470584</v>
      </c>
      <c r="I142" s="92">
        <v>3</v>
      </c>
      <c r="J142" s="92">
        <v>5</v>
      </c>
      <c r="K142" s="65">
        <f t="shared" si="85"/>
        <v>0.6</v>
      </c>
      <c r="L142" s="66">
        <f t="shared" si="71"/>
        <v>20</v>
      </c>
      <c r="M142" s="66">
        <f t="shared" si="72"/>
        <v>25</v>
      </c>
      <c r="N142" s="67">
        <f t="shared" si="86"/>
        <v>0.8</v>
      </c>
      <c r="O142" s="66">
        <f t="shared" si="87"/>
        <v>33</v>
      </c>
      <c r="P142" s="66">
        <f t="shared" si="88"/>
        <v>36</v>
      </c>
      <c r="Q142" s="67">
        <f t="shared" si="89"/>
        <v>0.91666666666666663</v>
      </c>
      <c r="R142" s="66">
        <f t="shared" si="74"/>
        <v>53</v>
      </c>
      <c r="S142" s="66">
        <f t="shared" si="75"/>
        <v>61</v>
      </c>
      <c r="T142" s="67">
        <f t="shared" si="90"/>
        <v>0.86885245901639341</v>
      </c>
      <c r="U142" s="94" t="s">
        <v>19</v>
      </c>
      <c r="V142" s="94" t="s">
        <v>19</v>
      </c>
      <c r="W142" s="80" t="str">
        <f t="shared" si="91"/>
        <v>-</v>
      </c>
      <c r="X142" s="94" t="s">
        <v>19</v>
      </c>
      <c r="Y142" s="94" t="s">
        <v>19</v>
      </c>
      <c r="Z142" s="80" t="str">
        <f t="shared" si="92"/>
        <v>-</v>
      </c>
      <c r="AA142" s="64">
        <f t="shared" si="98"/>
        <v>0</v>
      </c>
      <c r="AB142" s="64">
        <f t="shared" si="98"/>
        <v>0</v>
      </c>
      <c r="AC142" s="80" t="str">
        <f t="shared" si="69"/>
        <v>-</v>
      </c>
      <c r="AD142" s="68"/>
      <c r="AE142" s="68"/>
      <c r="AF142" s="37" t="str">
        <f t="shared" si="93"/>
        <v>-</v>
      </c>
      <c r="AG142" s="44" t="s">
        <v>19</v>
      </c>
      <c r="AH142" s="44" t="s">
        <v>19</v>
      </c>
      <c r="AI142" s="44" t="str">
        <f t="shared" si="94"/>
        <v>-</v>
      </c>
      <c r="AJ142" s="77">
        <v>26</v>
      </c>
      <c r="AK142" s="77">
        <v>27</v>
      </c>
      <c r="AL142" s="21">
        <f t="shared" si="78"/>
        <v>0.96296296296296291</v>
      </c>
      <c r="AM142" s="36">
        <f t="shared" si="81"/>
        <v>0</v>
      </c>
      <c r="AN142" s="36">
        <f t="shared" si="82"/>
        <v>0</v>
      </c>
      <c r="AO142" s="36">
        <f t="shared" si="83"/>
        <v>0</v>
      </c>
      <c r="AP142" s="81" t="s">
        <v>19</v>
      </c>
      <c r="AQ142" s="81" t="s">
        <v>19</v>
      </c>
      <c r="AR142" s="37" t="str">
        <f t="shared" si="95"/>
        <v>-</v>
      </c>
      <c r="AS142" s="81" t="s">
        <v>19</v>
      </c>
      <c r="AT142" s="81" t="s">
        <v>19</v>
      </c>
      <c r="AU142" s="37" t="str">
        <f t="shared" si="96"/>
        <v>-</v>
      </c>
      <c r="AV142" s="70"/>
      <c r="AW142" s="70"/>
      <c r="AX142" s="37" t="str">
        <f t="shared" si="97"/>
        <v>-</v>
      </c>
      <c r="AY142" s="10"/>
      <c r="AZ142" s="2"/>
      <c r="BA142" s="2"/>
      <c r="BB142" s="2"/>
      <c r="BC142" s="2"/>
      <c r="BD142" s="2"/>
    </row>
    <row r="143" spans="1:56" ht="14.25" customHeight="1">
      <c r="A143" s="8"/>
      <c r="B143" s="43" t="s">
        <v>99</v>
      </c>
      <c r="C143" s="79"/>
      <c r="D143" s="79"/>
      <c r="E143" s="80" t="str">
        <f t="shared" si="84"/>
        <v>-</v>
      </c>
      <c r="F143" s="93">
        <f>77+114</f>
        <v>191</v>
      </c>
      <c r="G143" s="93">
        <f>83+119</f>
        <v>202</v>
      </c>
      <c r="H143" s="67">
        <f t="shared" si="70"/>
        <v>0.9455445544554455</v>
      </c>
      <c r="I143" s="92">
        <v>79</v>
      </c>
      <c r="J143" s="92">
        <v>118</v>
      </c>
      <c r="K143" s="65">
        <f t="shared" si="85"/>
        <v>0.66949152542372881</v>
      </c>
      <c r="L143" s="66">
        <f t="shared" si="71"/>
        <v>123</v>
      </c>
      <c r="M143" s="66">
        <f t="shared" si="72"/>
        <v>150</v>
      </c>
      <c r="N143" s="67">
        <f t="shared" si="86"/>
        <v>0.82</v>
      </c>
      <c r="O143" s="66">
        <f t="shared" si="87"/>
        <v>255</v>
      </c>
      <c r="P143" s="66">
        <f t="shared" si="88"/>
        <v>277</v>
      </c>
      <c r="Q143" s="67">
        <f t="shared" si="89"/>
        <v>0.92057761732851984</v>
      </c>
      <c r="R143" s="66">
        <f t="shared" si="74"/>
        <v>378</v>
      </c>
      <c r="S143" s="66">
        <f t="shared" si="75"/>
        <v>427</v>
      </c>
      <c r="T143" s="67">
        <f t="shared" si="90"/>
        <v>0.88524590163934425</v>
      </c>
      <c r="U143" s="94" t="s">
        <v>19</v>
      </c>
      <c r="V143" s="94" t="s">
        <v>19</v>
      </c>
      <c r="W143" s="80" t="str">
        <f t="shared" si="91"/>
        <v>-</v>
      </c>
      <c r="X143" s="87">
        <v>23</v>
      </c>
      <c r="Y143" s="87">
        <v>23</v>
      </c>
      <c r="Z143" s="65">
        <f t="shared" si="92"/>
        <v>1</v>
      </c>
      <c r="AA143" s="64">
        <f t="shared" si="98"/>
        <v>23</v>
      </c>
      <c r="AB143" s="64">
        <f t="shared" si="98"/>
        <v>23</v>
      </c>
      <c r="AC143" s="65">
        <f t="shared" si="69"/>
        <v>1</v>
      </c>
      <c r="AD143" s="68"/>
      <c r="AE143" s="68"/>
      <c r="AF143" s="37" t="str">
        <f t="shared" si="93"/>
        <v>-</v>
      </c>
      <c r="AG143" s="44" t="s">
        <v>19</v>
      </c>
      <c r="AH143" s="44" t="s">
        <v>19</v>
      </c>
      <c r="AI143" s="44" t="str">
        <f t="shared" si="94"/>
        <v>-</v>
      </c>
      <c r="AJ143" s="77">
        <v>638</v>
      </c>
      <c r="AK143" s="77">
        <v>711</v>
      </c>
      <c r="AL143" s="21">
        <f t="shared" si="78"/>
        <v>0.89732770745428969</v>
      </c>
      <c r="AM143" s="36">
        <f t="shared" si="81"/>
        <v>0</v>
      </c>
      <c r="AN143" s="36">
        <f t="shared" si="82"/>
        <v>0</v>
      </c>
      <c r="AO143" s="36">
        <f t="shared" si="83"/>
        <v>0</v>
      </c>
      <c r="AP143" s="81" t="s">
        <v>19</v>
      </c>
      <c r="AQ143" s="81" t="s">
        <v>19</v>
      </c>
      <c r="AR143" s="37" t="str">
        <f t="shared" si="95"/>
        <v>-</v>
      </c>
      <c r="AS143" s="81" t="s">
        <v>19</v>
      </c>
      <c r="AT143" s="81" t="s">
        <v>19</v>
      </c>
      <c r="AU143" s="37" t="str">
        <f t="shared" si="96"/>
        <v>-</v>
      </c>
      <c r="AV143" s="70"/>
      <c r="AW143" s="70"/>
      <c r="AX143" s="37" t="str">
        <f t="shared" si="97"/>
        <v>-</v>
      </c>
      <c r="AY143" s="10"/>
      <c r="AZ143" s="2"/>
      <c r="BA143" s="2"/>
      <c r="BB143" s="2"/>
      <c r="BC143" s="2"/>
      <c r="BD143" s="2"/>
    </row>
    <row r="144" spans="1:56" ht="14.25" customHeight="1">
      <c r="A144" s="8"/>
      <c r="B144" s="45" t="s">
        <v>100</v>
      </c>
      <c r="C144" s="98">
        <v>29</v>
      </c>
      <c r="D144" s="98">
        <v>30</v>
      </c>
      <c r="E144" s="65">
        <f t="shared" si="84"/>
        <v>0.96666666666666667</v>
      </c>
      <c r="F144" s="99">
        <v>29</v>
      </c>
      <c r="G144" s="99">
        <v>30</v>
      </c>
      <c r="H144" s="67">
        <f t="shared" si="70"/>
        <v>0.96666666666666667</v>
      </c>
      <c r="I144" s="94" t="s">
        <v>19</v>
      </c>
      <c r="J144" s="94" t="s">
        <v>19</v>
      </c>
      <c r="K144" s="80" t="str">
        <f t="shared" si="85"/>
        <v>-</v>
      </c>
      <c r="L144" s="66">
        <f t="shared" si="71"/>
        <v>43</v>
      </c>
      <c r="M144" s="66">
        <f t="shared" si="72"/>
        <v>44</v>
      </c>
      <c r="N144" s="67">
        <f t="shared" si="86"/>
        <v>0.97727272727272729</v>
      </c>
      <c r="O144" s="66">
        <f t="shared" si="87"/>
        <v>0</v>
      </c>
      <c r="P144" s="66">
        <f t="shared" si="88"/>
        <v>0</v>
      </c>
      <c r="Q144" s="83" t="str">
        <f t="shared" si="89"/>
        <v>-</v>
      </c>
      <c r="R144" s="66">
        <f t="shared" si="74"/>
        <v>43</v>
      </c>
      <c r="S144" s="66">
        <f t="shared" si="75"/>
        <v>44</v>
      </c>
      <c r="T144" s="67">
        <f t="shared" si="90"/>
        <v>0.97727272727272729</v>
      </c>
      <c r="U144" s="94" t="s">
        <v>19</v>
      </c>
      <c r="V144" s="94" t="s">
        <v>19</v>
      </c>
      <c r="W144" s="80" t="str">
        <f t="shared" si="91"/>
        <v>-</v>
      </c>
      <c r="X144" s="95" t="s">
        <v>19</v>
      </c>
      <c r="Y144" s="95" t="s">
        <v>19</v>
      </c>
      <c r="Z144" s="80" t="str">
        <f t="shared" si="92"/>
        <v>-</v>
      </c>
      <c r="AA144" s="64">
        <f t="shared" si="98"/>
        <v>0</v>
      </c>
      <c r="AB144" s="64">
        <f t="shared" si="98"/>
        <v>0</v>
      </c>
      <c r="AC144" s="80" t="str">
        <f t="shared" si="69"/>
        <v>-</v>
      </c>
      <c r="AD144" s="68"/>
      <c r="AE144" s="68"/>
      <c r="AF144" s="37" t="str">
        <f t="shared" si="93"/>
        <v>-</v>
      </c>
      <c r="AG144" s="44" t="s">
        <v>19</v>
      </c>
      <c r="AH144" s="44" t="s">
        <v>19</v>
      </c>
      <c r="AI144" s="44" t="str">
        <f t="shared" si="94"/>
        <v>-</v>
      </c>
      <c r="AJ144" s="14"/>
      <c r="AK144" s="14"/>
      <c r="AL144" s="37" t="str">
        <f t="shared" si="78"/>
        <v>-</v>
      </c>
      <c r="AM144" s="36">
        <f t="shared" si="81"/>
        <v>0</v>
      </c>
      <c r="AN144" s="36">
        <f t="shared" si="82"/>
        <v>0</v>
      </c>
      <c r="AO144" s="36">
        <f t="shared" si="83"/>
        <v>0</v>
      </c>
      <c r="AP144" s="81" t="s">
        <v>19</v>
      </c>
      <c r="AQ144" s="81" t="s">
        <v>19</v>
      </c>
      <c r="AR144" s="37" t="str">
        <f t="shared" si="95"/>
        <v>-</v>
      </c>
      <c r="AS144" s="81" t="s">
        <v>19</v>
      </c>
      <c r="AT144" s="81" t="s">
        <v>19</v>
      </c>
      <c r="AU144" s="37" t="str">
        <f t="shared" si="96"/>
        <v>-</v>
      </c>
      <c r="AV144" s="70"/>
      <c r="AW144" s="70"/>
      <c r="AX144" s="37" t="str">
        <f t="shared" si="97"/>
        <v>-</v>
      </c>
      <c r="AY144" s="10"/>
      <c r="AZ144" s="2"/>
      <c r="BA144" s="2"/>
      <c r="BB144" s="2"/>
      <c r="BC144" s="2"/>
      <c r="BD144" s="2"/>
    </row>
    <row r="145" spans="1:56" ht="14.25" customHeight="1">
      <c r="A145" s="8"/>
      <c r="B145" s="45" t="s">
        <v>101</v>
      </c>
      <c r="C145" s="98">
        <v>26</v>
      </c>
      <c r="D145" s="98">
        <v>27</v>
      </c>
      <c r="E145" s="65">
        <f t="shared" si="84"/>
        <v>0.96296296296296291</v>
      </c>
      <c r="F145" s="99">
        <v>26</v>
      </c>
      <c r="G145" s="99">
        <v>27</v>
      </c>
      <c r="H145" s="67">
        <f t="shared" si="70"/>
        <v>0.96296296296296291</v>
      </c>
      <c r="I145" s="94" t="s">
        <v>19</v>
      </c>
      <c r="J145" s="94" t="s">
        <v>19</v>
      </c>
      <c r="K145" s="80" t="str">
        <f t="shared" si="85"/>
        <v>-</v>
      </c>
      <c r="L145" s="66">
        <f t="shared" si="71"/>
        <v>47</v>
      </c>
      <c r="M145" s="66">
        <f t="shared" si="72"/>
        <v>48</v>
      </c>
      <c r="N145" s="67">
        <f t="shared" si="86"/>
        <v>0.97916666666666663</v>
      </c>
      <c r="O145" s="66">
        <f t="shared" si="87"/>
        <v>0</v>
      </c>
      <c r="P145" s="66">
        <f t="shared" si="88"/>
        <v>0</v>
      </c>
      <c r="Q145" s="83" t="str">
        <f t="shared" si="89"/>
        <v>-</v>
      </c>
      <c r="R145" s="66">
        <f t="shared" si="74"/>
        <v>47</v>
      </c>
      <c r="S145" s="66">
        <f t="shared" si="75"/>
        <v>48</v>
      </c>
      <c r="T145" s="67">
        <f t="shared" si="90"/>
        <v>0.97916666666666663</v>
      </c>
      <c r="U145" s="94" t="s">
        <v>19</v>
      </c>
      <c r="V145" s="94" t="s">
        <v>19</v>
      </c>
      <c r="W145" s="80" t="str">
        <f t="shared" si="91"/>
        <v>-</v>
      </c>
      <c r="X145" s="94" t="s">
        <v>19</v>
      </c>
      <c r="Y145" s="94" t="s">
        <v>19</v>
      </c>
      <c r="Z145" s="80" t="str">
        <f t="shared" si="92"/>
        <v>-</v>
      </c>
      <c r="AA145" s="64">
        <f t="shared" si="98"/>
        <v>0</v>
      </c>
      <c r="AB145" s="64">
        <f t="shared" si="98"/>
        <v>0</v>
      </c>
      <c r="AC145" s="80" t="str">
        <f t="shared" si="69"/>
        <v>-</v>
      </c>
      <c r="AD145" s="68"/>
      <c r="AE145" s="68"/>
      <c r="AF145" s="37" t="str">
        <f t="shared" si="93"/>
        <v>-</v>
      </c>
      <c r="AG145" s="44" t="s">
        <v>19</v>
      </c>
      <c r="AH145" s="44" t="s">
        <v>19</v>
      </c>
      <c r="AI145" s="44" t="str">
        <f t="shared" si="94"/>
        <v>-</v>
      </c>
      <c r="AJ145" s="14"/>
      <c r="AK145" s="14"/>
      <c r="AL145" s="37" t="str">
        <f t="shared" si="78"/>
        <v>-</v>
      </c>
      <c r="AM145" s="36">
        <f t="shared" si="81"/>
        <v>0</v>
      </c>
      <c r="AN145" s="36">
        <f t="shared" si="82"/>
        <v>0</v>
      </c>
      <c r="AO145" s="36">
        <f t="shared" si="83"/>
        <v>0</v>
      </c>
      <c r="AP145" s="81" t="s">
        <v>19</v>
      </c>
      <c r="AQ145" s="81" t="s">
        <v>19</v>
      </c>
      <c r="AR145" s="37" t="str">
        <f t="shared" si="95"/>
        <v>-</v>
      </c>
      <c r="AS145" s="81" t="s">
        <v>19</v>
      </c>
      <c r="AT145" s="81" t="s">
        <v>19</v>
      </c>
      <c r="AU145" s="37" t="str">
        <f t="shared" si="96"/>
        <v>-</v>
      </c>
      <c r="AV145" s="70"/>
      <c r="AW145" s="70"/>
      <c r="AX145" s="37" t="str">
        <f t="shared" si="97"/>
        <v>-</v>
      </c>
      <c r="AY145" s="10"/>
      <c r="AZ145" s="2"/>
      <c r="BA145" s="2"/>
      <c r="BB145" s="2"/>
      <c r="BC145" s="2"/>
      <c r="BD145" s="2"/>
    </row>
    <row r="146" spans="1:56" ht="14.25" customHeight="1">
      <c r="A146" s="2"/>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2"/>
      <c r="AZ146" s="2"/>
      <c r="BA146" s="2"/>
      <c r="BB146" s="2"/>
      <c r="BC146" s="2"/>
      <c r="BD146" s="2"/>
    </row>
    <row r="147" spans="1:56" ht="14.25" customHeight="1">
      <c r="A147" s="2"/>
      <c r="B147" s="2"/>
      <c r="C147" s="2"/>
      <c r="D147" s="2"/>
      <c r="E147" s="2"/>
      <c r="F147" s="24"/>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row>
    <row r="148" spans="1:56" ht="14.25" customHeight="1">
      <c r="A148" s="2"/>
      <c r="B148" s="25"/>
      <c r="C148" s="25"/>
      <c r="D148" s="25"/>
      <c r="E148" s="25"/>
      <c r="F148" s="25"/>
      <c r="G148" s="25"/>
      <c r="H148" s="25"/>
      <c r="I148" s="25"/>
      <c r="J148" s="25"/>
      <c r="K148" s="25"/>
      <c r="L148" s="25"/>
      <c r="M148" s="25"/>
      <c r="N148" s="25"/>
      <c r="O148" s="25"/>
      <c r="P148" s="25"/>
      <c r="Q148" s="25"/>
      <c r="R148" s="25"/>
      <c r="S148" s="25"/>
      <c r="T148" s="25"/>
      <c r="U148" s="25"/>
      <c r="V148" s="25"/>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row>
    <row r="149" spans="1:56" ht="14.25" customHeight="1">
      <c r="A149" s="26"/>
      <c r="B149" s="27" t="s">
        <v>36</v>
      </c>
      <c r="C149" s="28"/>
      <c r="D149" s="28"/>
      <c r="E149" s="28"/>
      <c r="F149" s="28"/>
      <c r="G149" s="28"/>
      <c r="H149" s="28"/>
      <c r="I149" s="28"/>
      <c r="J149" s="28"/>
      <c r="K149" s="28"/>
      <c r="L149" s="28"/>
      <c r="M149" s="29" t="s">
        <v>17</v>
      </c>
      <c r="N149" s="30"/>
      <c r="O149" s="30"/>
      <c r="P149" s="30"/>
      <c r="Q149" s="30"/>
      <c r="R149" s="30"/>
      <c r="S149" s="30"/>
      <c r="T149" s="30"/>
      <c r="U149" s="30"/>
      <c r="V149" s="30"/>
      <c r="W149" s="31"/>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row>
    <row r="150" spans="1:56" ht="15" customHeight="1">
      <c r="A150" s="8"/>
      <c r="B150" s="511" t="s">
        <v>112</v>
      </c>
      <c r="C150" s="511" t="s">
        <v>38</v>
      </c>
      <c r="D150" s="511" t="s">
        <v>18</v>
      </c>
      <c r="E150" s="32" t="s">
        <v>20</v>
      </c>
      <c r="F150" s="502" t="s">
        <v>21</v>
      </c>
      <c r="G150" s="503"/>
      <c r="H150" s="505"/>
      <c r="I150" s="502" t="s">
        <v>25</v>
      </c>
      <c r="J150" s="503"/>
      <c r="K150" s="505"/>
      <c r="L150" s="511" t="s">
        <v>39</v>
      </c>
      <c r="M150" s="511" t="s">
        <v>38</v>
      </c>
      <c r="N150" s="511" t="s">
        <v>18</v>
      </c>
      <c r="O150" s="32" t="s">
        <v>20</v>
      </c>
      <c r="P150" s="502" t="s">
        <v>21</v>
      </c>
      <c r="Q150" s="503"/>
      <c r="R150" s="505"/>
      <c r="S150" s="502" t="s">
        <v>25</v>
      </c>
      <c r="T150" s="503"/>
      <c r="U150" s="505"/>
      <c r="V150" s="511" t="s">
        <v>39</v>
      </c>
      <c r="W150" s="10"/>
      <c r="X150" s="2"/>
      <c r="Y150" s="2"/>
      <c r="Z150" s="24"/>
      <c r="AA150" s="24"/>
      <c r="AB150" s="24"/>
      <c r="AC150" s="24"/>
      <c r="AD150" s="24"/>
      <c r="AE150" s="24"/>
      <c r="AF150" s="24"/>
      <c r="AG150" s="24"/>
      <c r="AH150" s="24"/>
      <c r="AI150" s="24"/>
      <c r="AJ150" s="24"/>
      <c r="AK150" s="24"/>
      <c r="AL150" s="24"/>
      <c r="AM150" s="24"/>
      <c r="AN150" s="24"/>
      <c r="AO150" s="24"/>
      <c r="AP150" s="24"/>
      <c r="AQ150" s="2"/>
      <c r="AR150" s="2"/>
      <c r="AS150" s="2"/>
      <c r="AT150" s="2"/>
      <c r="AU150" s="2"/>
      <c r="AV150" s="2"/>
      <c r="AW150" s="2"/>
      <c r="AX150" s="2"/>
      <c r="AY150" s="2"/>
      <c r="AZ150" s="2"/>
      <c r="BA150" s="2"/>
      <c r="BB150" s="2"/>
      <c r="BC150" s="2"/>
      <c r="BD150" s="2"/>
    </row>
    <row r="151" spans="1:56" ht="30" customHeight="1">
      <c r="A151" s="8"/>
      <c r="B151" s="521"/>
      <c r="C151" s="521"/>
      <c r="D151" s="521"/>
      <c r="E151" s="32" t="s">
        <v>11</v>
      </c>
      <c r="F151" s="34">
        <v>44927</v>
      </c>
      <c r="G151" s="34">
        <v>44958</v>
      </c>
      <c r="H151" s="32" t="s">
        <v>11</v>
      </c>
      <c r="I151" s="34">
        <v>44927</v>
      </c>
      <c r="J151" s="34">
        <v>44958</v>
      </c>
      <c r="K151" s="32" t="s">
        <v>11</v>
      </c>
      <c r="L151" s="521"/>
      <c r="M151" s="521"/>
      <c r="N151" s="521"/>
      <c r="O151" s="32" t="s">
        <v>11</v>
      </c>
      <c r="P151" s="34">
        <v>44927</v>
      </c>
      <c r="Q151" s="34">
        <v>44958</v>
      </c>
      <c r="R151" s="32" t="s">
        <v>11</v>
      </c>
      <c r="S151" s="34">
        <v>44927</v>
      </c>
      <c r="T151" s="34">
        <v>44958</v>
      </c>
      <c r="U151" s="32" t="s">
        <v>11</v>
      </c>
      <c r="V151" s="521"/>
      <c r="W151" s="10"/>
      <c r="X151" s="2"/>
      <c r="Y151" s="2"/>
      <c r="Z151" s="24"/>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row>
    <row r="152" spans="1:56" ht="14.25" customHeight="1">
      <c r="A152" s="8"/>
      <c r="B152" s="12" t="s">
        <v>67</v>
      </c>
      <c r="C152" s="44" t="str">
        <f t="shared" ref="C152:C167" si="99">E173</f>
        <v>-</v>
      </c>
      <c r="D152" s="44" t="str">
        <f t="shared" ref="D152:D167" si="100">H173</f>
        <v>-</v>
      </c>
      <c r="E152" s="44" t="str">
        <f t="shared" ref="E152:E167" si="101">K173</f>
        <v>-</v>
      </c>
      <c r="F152" s="36">
        <f t="shared" ref="F152:F161" si="102">L285</f>
        <v>0.93031440638198026</v>
      </c>
      <c r="G152" s="36">
        <f t="shared" ref="G152:G161" si="103">M285</f>
        <v>0.93109026205111611</v>
      </c>
      <c r="H152" s="36">
        <f t="shared" ref="H152:H161" si="104">N285</f>
        <v>0.93064055487556097</v>
      </c>
      <c r="I152" s="44" t="str">
        <f t="shared" ref="I152:I167" si="105">W173</f>
        <v>-</v>
      </c>
      <c r="J152" s="44" t="str">
        <f t="shared" ref="J152:J167" si="106">Z173</f>
        <v>-</v>
      </c>
      <c r="K152" s="44" t="str">
        <f t="shared" ref="K152:K167" si="107">AC173</f>
        <v>-</v>
      </c>
      <c r="L152" s="36">
        <f t="shared" ref="L152:L167" si="108">AVERAGE(D152,E152,H152,K152)</f>
        <v>0.93064055487556097</v>
      </c>
      <c r="M152" s="37" t="str">
        <f t="shared" ref="M152:M167" si="109">AF173</f>
        <v>-</v>
      </c>
      <c r="N152" s="37" t="str">
        <f>N46</f>
        <v>-</v>
      </c>
      <c r="O152" s="21">
        <f t="shared" ref="O152:O167" si="110">AL173</f>
        <v>0.75472273004265689</v>
      </c>
      <c r="P152" s="21">
        <f t="shared" ref="P152:P167" si="111">X285</f>
        <v>0</v>
      </c>
      <c r="Q152" s="21">
        <f t="shared" ref="Q152:Q167" si="112">Y285</f>
        <v>0</v>
      </c>
      <c r="R152" s="21">
        <f t="shared" ref="R152:R167" si="113">Z285</f>
        <v>0</v>
      </c>
      <c r="S152" s="37" t="str">
        <f>S46</f>
        <v>-</v>
      </c>
      <c r="T152" s="37" t="str">
        <f>T46</f>
        <v>-</v>
      </c>
      <c r="U152" s="37" t="str">
        <f>U46</f>
        <v>-</v>
      </c>
      <c r="V152" s="21">
        <f t="shared" ref="V152:V167" si="114">AVERAGE(U152,R152,O152,N152)</f>
        <v>0.37736136502132844</v>
      </c>
      <c r="W152" s="10"/>
      <c r="X152" s="24"/>
      <c r="Y152" s="24"/>
      <c r="Z152" s="24"/>
      <c r="AA152" s="24"/>
      <c r="AB152" s="24"/>
      <c r="AC152" s="24"/>
      <c r="AD152" s="24"/>
      <c r="AE152" s="24"/>
      <c r="AF152" s="24"/>
      <c r="AG152" s="2"/>
      <c r="AH152" s="2"/>
      <c r="AI152" s="2"/>
      <c r="AJ152" s="2"/>
      <c r="AK152" s="2"/>
      <c r="AL152" s="24"/>
      <c r="AM152" s="2"/>
      <c r="AN152" s="2"/>
      <c r="AO152" s="2"/>
      <c r="AP152" s="2"/>
      <c r="AQ152" s="2"/>
      <c r="AR152" s="2"/>
      <c r="AS152" s="2"/>
      <c r="AT152" s="2"/>
      <c r="AU152" s="2"/>
      <c r="AV152" s="2"/>
      <c r="AW152" s="2"/>
      <c r="AX152" s="2"/>
      <c r="AY152" s="2"/>
      <c r="AZ152" s="2"/>
      <c r="BA152" s="2"/>
      <c r="BB152" s="2"/>
      <c r="BC152" s="2"/>
      <c r="BD152" s="2"/>
    </row>
    <row r="153" spans="1:56" ht="14.25" customHeight="1">
      <c r="A153" s="8"/>
      <c r="B153" s="12" t="s">
        <v>119</v>
      </c>
      <c r="C153" s="36">
        <f t="shared" si="99"/>
        <v>0.82804878048780484</v>
      </c>
      <c r="D153" s="36">
        <f t="shared" si="100"/>
        <v>0.87609841827768009</v>
      </c>
      <c r="E153" s="36">
        <f t="shared" si="101"/>
        <v>0.79765013054830292</v>
      </c>
      <c r="F153" s="36">
        <f t="shared" si="102"/>
        <v>0.90480591497227358</v>
      </c>
      <c r="G153" s="36">
        <f t="shared" si="103"/>
        <v>0.92218275750726508</v>
      </c>
      <c r="H153" s="36">
        <f t="shared" si="104"/>
        <v>0.9132902412107835</v>
      </c>
      <c r="I153" s="36">
        <f t="shared" si="105"/>
        <v>1</v>
      </c>
      <c r="J153" s="36">
        <f t="shared" si="106"/>
        <v>1</v>
      </c>
      <c r="K153" s="36">
        <f t="shared" si="107"/>
        <v>1</v>
      </c>
      <c r="L153" s="36">
        <f t="shared" si="108"/>
        <v>0.8967596975091916</v>
      </c>
      <c r="M153" s="37" t="str">
        <f t="shared" si="109"/>
        <v>-</v>
      </c>
      <c r="N153" s="37" t="str">
        <f t="shared" ref="N153:N167" si="115">AI174</f>
        <v>-</v>
      </c>
      <c r="O153" s="21">
        <f t="shared" si="110"/>
        <v>0.82434782608695656</v>
      </c>
      <c r="P153" s="21">
        <f t="shared" si="111"/>
        <v>0</v>
      </c>
      <c r="Q153" s="21">
        <f t="shared" si="112"/>
        <v>0</v>
      </c>
      <c r="R153" s="21">
        <f t="shared" si="113"/>
        <v>0</v>
      </c>
      <c r="S153" s="21">
        <f t="shared" ref="S153:S167" si="116">AR174</f>
        <v>0.84984025559105436</v>
      </c>
      <c r="T153" s="21">
        <f t="shared" ref="T153:T167" si="117">AU174</f>
        <v>0.84519104084321472</v>
      </c>
      <c r="U153" s="37" t="str">
        <f t="shared" ref="U153:U167" si="118">AX174</f>
        <v>-</v>
      </c>
      <c r="V153" s="21">
        <f t="shared" si="114"/>
        <v>0.41217391304347828</v>
      </c>
      <c r="W153" s="10"/>
      <c r="X153" s="24"/>
      <c r="Y153" s="2"/>
      <c r="Z153" s="24"/>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row>
    <row r="154" spans="1:56" ht="14.25" customHeight="1">
      <c r="A154" s="8"/>
      <c r="B154" s="12" t="s">
        <v>120</v>
      </c>
      <c r="C154" s="36">
        <f t="shared" si="99"/>
        <v>0.92788461538461542</v>
      </c>
      <c r="D154" s="36">
        <f t="shared" si="100"/>
        <v>0.9375</v>
      </c>
      <c r="E154" s="36">
        <f t="shared" si="101"/>
        <v>0.8867924528301887</v>
      </c>
      <c r="F154" s="36">
        <f t="shared" si="102"/>
        <v>0.90463917525773196</v>
      </c>
      <c r="G154" s="36">
        <f t="shared" si="103"/>
        <v>0.94130925507900676</v>
      </c>
      <c r="H154" s="36">
        <f t="shared" si="104"/>
        <v>0.92418772563176899</v>
      </c>
      <c r="I154" s="36">
        <f t="shared" si="105"/>
        <v>1</v>
      </c>
      <c r="J154" s="36">
        <f t="shared" si="106"/>
        <v>1</v>
      </c>
      <c r="K154" s="36">
        <f t="shared" si="107"/>
        <v>1</v>
      </c>
      <c r="L154" s="36">
        <f t="shared" si="108"/>
        <v>0.93712004461548948</v>
      </c>
      <c r="M154" s="37" t="str">
        <f t="shared" si="109"/>
        <v>-</v>
      </c>
      <c r="N154" s="37" t="str">
        <f t="shared" si="115"/>
        <v>-</v>
      </c>
      <c r="O154" s="21">
        <f t="shared" si="110"/>
        <v>0.7021276595744681</v>
      </c>
      <c r="P154" s="21">
        <f t="shared" si="111"/>
        <v>0</v>
      </c>
      <c r="Q154" s="21">
        <f t="shared" si="112"/>
        <v>0</v>
      </c>
      <c r="R154" s="21">
        <f t="shared" si="113"/>
        <v>0</v>
      </c>
      <c r="S154" s="21">
        <f t="shared" si="116"/>
        <v>0.77142857142857146</v>
      </c>
      <c r="T154" s="21">
        <f t="shared" si="117"/>
        <v>0.79054054054054057</v>
      </c>
      <c r="U154" s="37" t="str">
        <f t="shared" si="118"/>
        <v>-</v>
      </c>
      <c r="V154" s="21">
        <f t="shared" si="114"/>
        <v>0.35106382978723405</v>
      </c>
      <c r="W154" s="10"/>
      <c r="X154" s="24"/>
      <c r="Y154" s="2"/>
      <c r="Z154" s="24"/>
      <c r="AA154" s="2"/>
      <c r="AB154" s="2"/>
      <c r="AC154" s="2"/>
      <c r="AD154" s="2"/>
      <c r="AE154" s="2"/>
      <c r="AF154" s="2"/>
      <c r="AG154" s="2"/>
      <c r="AH154" s="2"/>
      <c r="AI154" s="2"/>
      <c r="AJ154" s="2"/>
      <c r="AK154" s="2"/>
      <c r="AL154" s="24"/>
      <c r="AM154" s="2"/>
      <c r="AN154" s="2"/>
      <c r="AO154" s="2"/>
      <c r="AP154" s="2"/>
      <c r="AQ154" s="2"/>
      <c r="AR154" s="2"/>
      <c r="AS154" s="2"/>
      <c r="AT154" s="2"/>
      <c r="AU154" s="2"/>
      <c r="AV154" s="2"/>
      <c r="AW154" s="2"/>
      <c r="AX154" s="2"/>
      <c r="AY154" s="2"/>
      <c r="AZ154" s="2"/>
      <c r="BA154" s="2"/>
      <c r="BB154" s="2"/>
      <c r="BC154" s="2"/>
      <c r="BD154" s="2"/>
    </row>
    <row r="155" spans="1:56" ht="14.25" customHeight="1">
      <c r="A155" s="8"/>
      <c r="B155" s="12" t="s">
        <v>121</v>
      </c>
      <c r="C155" s="36">
        <f t="shared" si="99"/>
        <v>0.92741935483870963</v>
      </c>
      <c r="D155" s="36">
        <f t="shared" si="100"/>
        <v>0.92356687898089174</v>
      </c>
      <c r="E155" s="36">
        <f t="shared" si="101"/>
        <v>0.90756302521008403</v>
      </c>
      <c r="F155" s="36">
        <f t="shared" si="102"/>
        <v>0.94206008583690992</v>
      </c>
      <c r="G155" s="36">
        <f t="shared" si="103"/>
        <v>0.94413407821229045</v>
      </c>
      <c r="H155" s="36">
        <f t="shared" si="104"/>
        <v>0.94317048853439678</v>
      </c>
      <c r="I155" s="36">
        <f t="shared" si="105"/>
        <v>1</v>
      </c>
      <c r="J155" s="36">
        <f t="shared" si="106"/>
        <v>1</v>
      </c>
      <c r="K155" s="36">
        <f t="shared" si="107"/>
        <v>1</v>
      </c>
      <c r="L155" s="36">
        <f t="shared" si="108"/>
        <v>0.94357509818134311</v>
      </c>
      <c r="M155" s="37" t="str">
        <f t="shared" si="109"/>
        <v>-</v>
      </c>
      <c r="N155" s="37" t="str">
        <f t="shared" si="115"/>
        <v>-</v>
      </c>
      <c r="O155" s="21">
        <f t="shared" si="110"/>
        <v>0.82997762863534674</v>
      </c>
      <c r="P155" s="21">
        <f t="shared" si="111"/>
        <v>0</v>
      </c>
      <c r="Q155" s="21">
        <f t="shared" si="112"/>
        <v>0</v>
      </c>
      <c r="R155" s="21">
        <f t="shared" si="113"/>
        <v>0</v>
      </c>
      <c r="S155" s="21">
        <f t="shared" si="116"/>
        <v>0.77500000000000002</v>
      </c>
      <c r="T155" s="21">
        <f t="shared" si="117"/>
        <v>0.82034632034632038</v>
      </c>
      <c r="U155" s="37" t="str">
        <f t="shared" si="118"/>
        <v>-</v>
      </c>
      <c r="V155" s="21">
        <f t="shared" si="114"/>
        <v>0.41498881431767337</v>
      </c>
      <c r="W155" s="10"/>
      <c r="X155" s="24"/>
      <c r="Y155" s="2"/>
      <c r="Z155" s="24"/>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row>
    <row r="156" spans="1:56" ht="14.25" customHeight="1">
      <c r="A156" s="8"/>
      <c r="B156" s="12" t="s">
        <v>122</v>
      </c>
      <c r="C156" s="36">
        <f t="shared" si="99"/>
        <v>0.97560975609756095</v>
      </c>
      <c r="D156" s="36">
        <f t="shared" si="100"/>
        <v>0.93827160493827155</v>
      </c>
      <c r="E156" s="36">
        <f t="shared" si="101"/>
        <v>0.66666666666666663</v>
      </c>
      <c r="F156" s="36">
        <f t="shared" si="102"/>
        <v>0.90228013029315957</v>
      </c>
      <c r="G156" s="36">
        <f t="shared" si="103"/>
        <v>0.90028490028490027</v>
      </c>
      <c r="H156" s="36">
        <f t="shared" si="104"/>
        <v>0.90121580547112456</v>
      </c>
      <c r="I156" s="36">
        <f t="shared" si="105"/>
        <v>1</v>
      </c>
      <c r="J156" s="36">
        <f t="shared" si="106"/>
        <v>1</v>
      </c>
      <c r="K156" s="36">
        <f t="shared" si="107"/>
        <v>1</v>
      </c>
      <c r="L156" s="36">
        <f t="shared" si="108"/>
        <v>0.87653851926901571</v>
      </c>
      <c r="M156" s="37" t="str">
        <f t="shared" si="109"/>
        <v>-</v>
      </c>
      <c r="N156" s="37" t="str">
        <f t="shared" si="115"/>
        <v>-</v>
      </c>
      <c r="O156" s="21">
        <f t="shared" si="110"/>
        <v>0.73124999999999996</v>
      </c>
      <c r="P156" s="21">
        <f t="shared" si="111"/>
        <v>0</v>
      </c>
      <c r="Q156" s="21">
        <f t="shared" si="112"/>
        <v>0</v>
      </c>
      <c r="R156" s="21">
        <f t="shared" si="113"/>
        <v>0</v>
      </c>
      <c r="S156" s="21">
        <f t="shared" si="116"/>
        <v>0.78125</v>
      </c>
      <c r="T156" s="21">
        <f t="shared" si="117"/>
        <v>0.81666666666666665</v>
      </c>
      <c r="U156" s="37" t="str">
        <f t="shared" si="118"/>
        <v>-</v>
      </c>
      <c r="V156" s="21">
        <f t="shared" si="114"/>
        <v>0.36562499999999998</v>
      </c>
      <c r="W156" s="10"/>
      <c r="X156" s="24"/>
      <c r="Y156" s="2"/>
      <c r="Z156" s="24"/>
      <c r="AA156" s="2"/>
      <c r="AB156" s="2"/>
      <c r="AC156" s="2"/>
      <c r="AD156" s="2"/>
      <c r="AE156" s="2"/>
      <c r="AF156" s="2"/>
      <c r="AG156" s="2"/>
      <c r="AH156" s="2"/>
      <c r="AI156" s="2"/>
      <c r="AJ156" s="2"/>
      <c r="AK156" s="2"/>
      <c r="AL156" s="24"/>
      <c r="AM156" s="2"/>
      <c r="AN156" s="2"/>
      <c r="AO156" s="24"/>
      <c r="AP156" s="2"/>
      <c r="AQ156" s="2"/>
      <c r="AR156" s="2"/>
      <c r="AS156" s="2"/>
      <c r="AT156" s="2"/>
      <c r="AU156" s="2"/>
      <c r="AV156" s="2"/>
      <c r="AW156" s="2"/>
      <c r="AX156" s="2"/>
      <c r="AY156" s="2"/>
      <c r="AZ156" s="2"/>
      <c r="BA156" s="2"/>
      <c r="BB156" s="2"/>
      <c r="BC156" s="2"/>
      <c r="BD156" s="2"/>
    </row>
    <row r="157" spans="1:56" ht="14.25" customHeight="1">
      <c r="A157" s="8"/>
      <c r="B157" s="12" t="s">
        <v>123</v>
      </c>
      <c r="C157" s="36">
        <f t="shared" si="99"/>
        <v>0.85606060606060608</v>
      </c>
      <c r="D157" s="36">
        <f t="shared" si="100"/>
        <v>0.85039370078740162</v>
      </c>
      <c r="E157" s="36">
        <f t="shared" si="101"/>
        <v>1</v>
      </c>
      <c r="F157" s="36">
        <f t="shared" si="102"/>
        <v>0.92417061611374407</v>
      </c>
      <c r="G157" s="36">
        <f t="shared" si="103"/>
        <v>0.97540983606557374</v>
      </c>
      <c r="H157" s="36">
        <f t="shared" si="104"/>
        <v>0.94796954314720816</v>
      </c>
      <c r="I157" s="36">
        <f t="shared" si="105"/>
        <v>1</v>
      </c>
      <c r="J157" s="36">
        <f t="shared" si="106"/>
        <v>1</v>
      </c>
      <c r="K157" s="36">
        <f t="shared" si="107"/>
        <v>1</v>
      </c>
      <c r="L157" s="36">
        <f t="shared" si="108"/>
        <v>0.94959081098365239</v>
      </c>
      <c r="M157" s="37" t="str">
        <f t="shared" si="109"/>
        <v>-</v>
      </c>
      <c r="N157" s="37" t="str">
        <f t="shared" si="115"/>
        <v>-</v>
      </c>
      <c r="O157" s="21">
        <f t="shared" si="110"/>
        <v>1</v>
      </c>
      <c r="P157" s="21">
        <f t="shared" si="111"/>
        <v>0</v>
      </c>
      <c r="Q157" s="21">
        <f t="shared" si="112"/>
        <v>0</v>
      </c>
      <c r="R157" s="21">
        <f t="shared" si="113"/>
        <v>0</v>
      </c>
      <c r="S157" s="21">
        <f t="shared" si="116"/>
        <v>0.83571428571428574</v>
      </c>
      <c r="T157" s="21">
        <f t="shared" si="117"/>
        <v>0.93333333333333335</v>
      </c>
      <c r="U157" s="37" t="str">
        <f t="shared" si="118"/>
        <v>-</v>
      </c>
      <c r="V157" s="21">
        <f t="shared" si="114"/>
        <v>0.5</v>
      </c>
      <c r="W157" s="10"/>
      <c r="X157" s="24"/>
      <c r="Y157" s="2"/>
      <c r="Z157" s="24"/>
      <c r="AA157" s="2"/>
      <c r="AB157" s="2"/>
      <c r="AC157" s="2"/>
      <c r="AD157" s="2"/>
      <c r="AE157" s="2"/>
      <c r="AF157" s="2"/>
      <c r="AG157" s="2"/>
      <c r="AH157" s="2"/>
      <c r="AI157" s="2"/>
      <c r="AJ157" s="2"/>
      <c r="AK157" s="2"/>
      <c r="AL157" s="24"/>
      <c r="AM157" s="2"/>
      <c r="AN157" s="2"/>
      <c r="AO157" s="2"/>
      <c r="AP157" s="2"/>
      <c r="AQ157" s="2"/>
      <c r="AR157" s="2"/>
      <c r="AS157" s="2"/>
      <c r="AT157" s="2"/>
      <c r="AU157" s="2"/>
      <c r="AV157" s="2"/>
      <c r="AW157" s="2"/>
      <c r="AX157" s="2"/>
      <c r="AY157" s="2"/>
      <c r="AZ157" s="2"/>
      <c r="BA157" s="2"/>
      <c r="BB157" s="2"/>
      <c r="BC157" s="2"/>
      <c r="BD157" s="2"/>
    </row>
    <row r="158" spans="1:56" ht="14.25" customHeight="1">
      <c r="A158" s="8"/>
      <c r="B158" s="12" t="s">
        <v>124</v>
      </c>
      <c r="C158" s="36">
        <f t="shared" si="99"/>
        <v>0.93548387096774188</v>
      </c>
      <c r="D158" s="36">
        <f t="shared" si="100"/>
        <v>0.91666666666666663</v>
      </c>
      <c r="E158" s="36">
        <f t="shared" si="101"/>
        <v>0.8571428571428571</v>
      </c>
      <c r="F158" s="36">
        <f t="shared" si="102"/>
        <v>0.91532258064516125</v>
      </c>
      <c r="G158" s="36">
        <f t="shared" si="103"/>
        <v>0.88695652173913042</v>
      </c>
      <c r="H158" s="36">
        <f t="shared" si="104"/>
        <v>0.90167364016736407</v>
      </c>
      <c r="I158" s="36">
        <f t="shared" si="105"/>
        <v>1</v>
      </c>
      <c r="J158" s="36">
        <f t="shared" si="106"/>
        <v>1</v>
      </c>
      <c r="K158" s="36">
        <f t="shared" si="107"/>
        <v>1</v>
      </c>
      <c r="L158" s="36">
        <f t="shared" si="108"/>
        <v>0.91887079099422198</v>
      </c>
      <c r="M158" s="37" t="str">
        <f t="shared" si="109"/>
        <v>-</v>
      </c>
      <c r="N158" s="37" t="str">
        <f t="shared" si="115"/>
        <v>-</v>
      </c>
      <c r="O158" s="21">
        <f t="shared" si="110"/>
        <v>0.82291666666666663</v>
      </c>
      <c r="P158" s="21">
        <f t="shared" si="111"/>
        <v>0</v>
      </c>
      <c r="Q158" s="21">
        <f t="shared" si="112"/>
        <v>0</v>
      </c>
      <c r="R158" s="21">
        <f t="shared" si="113"/>
        <v>0</v>
      </c>
      <c r="S158" s="21">
        <f t="shared" si="116"/>
        <v>0.75</v>
      </c>
      <c r="T158" s="21">
        <f t="shared" si="117"/>
        <v>0.88</v>
      </c>
      <c r="U158" s="37" t="str">
        <f t="shared" si="118"/>
        <v>-</v>
      </c>
      <c r="V158" s="21">
        <f t="shared" si="114"/>
        <v>0.41145833333333331</v>
      </c>
      <c r="W158" s="10"/>
      <c r="X158" s="24"/>
      <c r="Y158" s="2"/>
      <c r="Z158" s="24"/>
      <c r="AA158" s="2"/>
      <c r="AB158" s="2"/>
      <c r="AC158" s="2"/>
      <c r="AD158" s="2"/>
      <c r="AE158" s="2"/>
      <c r="AF158" s="2"/>
      <c r="AG158" s="2"/>
      <c r="AH158" s="2"/>
      <c r="AI158" s="2"/>
      <c r="AJ158" s="2"/>
      <c r="AK158" s="2"/>
      <c r="AL158" s="24"/>
      <c r="AM158" s="2"/>
      <c r="AN158" s="2"/>
      <c r="AO158" s="2"/>
      <c r="AP158" s="2"/>
      <c r="AQ158" s="2"/>
      <c r="AR158" s="2"/>
      <c r="AS158" s="2"/>
      <c r="AT158" s="2"/>
      <c r="AU158" s="2"/>
      <c r="AV158" s="2"/>
      <c r="AW158" s="2"/>
      <c r="AX158" s="2"/>
      <c r="AY158" s="2"/>
      <c r="AZ158" s="2"/>
      <c r="BA158" s="2"/>
      <c r="BB158" s="2"/>
      <c r="BC158" s="2"/>
      <c r="BD158" s="2"/>
    </row>
    <row r="159" spans="1:56" ht="14.25" customHeight="1">
      <c r="A159" s="8"/>
      <c r="B159" s="12" t="s">
        <v>125</v>
      </c>
      <c r="C159" s="36">
        <f t="shared" si="99"/>
        <v>0.94968553459119498</v>
      </c>
      <c r="D159" s="36">
        <f t="shared" si="100"/>
        <v>0.93630573248407645</v>
      </c>
      <c r="E159" s="36">
        <f t="shared" si="101"/>
        <v>0.85897435897435892</v>
      </c>
      <c r="F159" s="36">
        <f t="shared" si="102"/>
        <v>0.90652818991097928</v>
      </c>
      <c r="G159" s="36">
        <f t="shared" si="103"/>
        <v>0.93536121673003803</v>
      </c>
      <c r="H159" s="36">
        <f t="shared" si="104"/>
        <v>0.92207792207792205</v>
      </c>
      <c r="I159" s="36">
        <f t="shared" si="105"/>
        <v>1</v>
      </c>
      <c r="J159" s="36">
        <f t="shared" si="106"/>
        <v>1</v>
      </c>
      <c r="K159" s="36">
        <f t="shared" si="107"/>
        <v>1</v>
      </c>
      <c r="L159" s="36">
        <f t="shared" si="108"/>
        <v>0.92933950338408944</v>
      </c>
      <c r="M159" s="37" t="str">
        <f t="shared" si="109"/>
        <v>-</v>
      </c>
      <c r="N159" s="37" t="str">
        <f t="shared" si="115"/>
        <v>-</v>
      </c>
      <c r="O159" s="21">
        <f t="shared" si="110"/>
        <v>0.69776119402985071</v>
      </c>
      <c r="P159" s="21">
        <f t="shared" si="111"/>
        <v>0</v>
      </c>
      <c r="Q159" s="21">
        <f t="shared" si="112"/>
        <v>0</v>
      </c>
      <c r="R159" s="21">
        <f t="shared" si="113"/>
        <v>0</v>
      </c>
      <c r="S159" s="21">
        <f t="shared" si="116"/>
        <v>0.84615384615384615</v>
      </c>
      <c r="T159" s="21">
        <f t="shared" si="117"/>
        <v>0.720855614973262</v>
      </c>
      <c r="U159" s="37" t="str">
        <f t="shared" si="118"/>
        <v>-</v>
      </c>
      <c r="V159" s="21">
        <f t="shared" si="114"/>
        <v>0.34888059701492535</v>
      </c>
      <c r="W159" s="10"/>
      <c r="X159" s="24"/>
      <c r="Y159" s="2"/>
      <c r="Z159" s="24"/>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row>
    <row r="160" spans="1:56" ht="14.25" customHeight="1">
      <c r="A160" s="8"/>
      <c r="B160" s="12" t="s">
        <v>126</v>
      </c>
      <c r="C160" s="36">
        <f t="shared" si="99"/>
        <v>0.82804878048780484</v>
      </c>
      <c r="D160" s="36">
        <f t="shared" si="100"/>
        <v>0.85663082437275984</v>
      </c>
      <c r="E160" s="36">
        <f t="shared" si="101"/>
        <v>0.82911392405063289</v>
      </c>
      <c r="F160" s="36">
        <f t="shared" si="102"/>
        <v>0.91490077362933064</v>
      </c>
      <c r="G160" s="36">
        <f t="shared" si="103"/>
        <v>0.93005671077504726</v>
      </c>
      <c r="H160" s="36">
        <f t="shared" si="104"/>
        <v>0.92203631185475254</v>
      </c>
      <c r="I160" s="36">
        <f t="shared" si="105"/>
        <v>1</v>
      </c>
      <c r="J160" s="36">
        <f t="shared" si="106"/>
        <v>1</v>
      </c>
      <c r="K160" s="36">
        <f t="shared" si="107"/>
        <v>1</v>
      </c>
      <c r="L160" s="36">
        <f t="shared" si="108"/>
        <v>0.90194526506953632</v>
      </c>
      <c r="M160" s="37" t="str">
        <f t="shared" si="109"/>
        <v>-</v>
      </c>
      <c r="N160" s="37" t="str">
        <f t="shared" si="115"/>
        <v>-</v>
      </c>
      <c r="O160" s="21">
        <f t="shared" si="110"/>
        <v>0.80162523900573612</v>
      </c>
      <c r="P160" s="21">
        <f t="shared" si="111"/>
        <v>0</v>
      </c>
      <c r="Q160" s="21">
        <f t="shared" si="112"/>
        <v>0</v>
      </c>
      <c r="R160" s="21">
        <f t="shared" si="113"/>
        <v>0</v>
      </c>
      <c r="S160" s="21">
        <f t="shared" si="116"/>
        <v>0.84984025559105436</v>
      </c>
      <c r="T160" s="21">
        <f t="shared" si="117"/>
        <v>0.84519104084321472</v>
      </c>
      <c r="U160" s="37" t="str">
        <f t="shared" si="118"/>
        <v>-</v>
      </c>
      <c r="V160" s="21">
        <f t="shared" si="114"/>
        <v>0.40081261950286806</v>
      </c>
      <c r="W160" s="10"/>
      <c r="X160" s="24"/>
      <c r="Y160" s="2"/>
      <c r="Z160" s="24"/>
      <c r="AA160" s="2"/>
      <c r="AB160" s="2"/>
      <c r="AC160" s="2"/>
      <c r="AD160" s="2"/>
      <c r="AE160" s="2"/>
      <c r="AF160" s="2"/>
      <c r="AG160" s="2"/>
      <c r="AH160" s="2"/>
      <c r="AI160" s="2"/>
      <c r="AJ160" s="2"/>
      <c r="AK160" s="2"/>
      <c r="AL160" s="24"/>
      <c r="AM160" s="2"/>
      <c r="AN160" s="2"/>
      <c r="AO160" s="2"/>
      <c r="AP160" s="2"/>
      <c r="AQ160" s="2"/>
      <c r="AR160" s="2"/>
      <c r="AS160" s="2"/>
      <c r="AT160" s="2"/>
      <c r="AU160" s="2"/>
      <c r="AV160" s="2"/>
      <c r="AW160" s="2"/>
      <c r="AX160" s="2"/>
      <c r="AY160" s="2"/>
      <c r="AZ160" s="2"/>
      <c r="BA160" s="2"/>
      <c r="BB160" s="2"/>
      <c r="BC160" s="2"/>
      <c r="BD160" s="2"/>
    </row>
    <row r="161" spans="1:56" ht="14.25" customHeight="1">
      <c r="A161" s="8"/>
      <c r="B161" s="12" t="s">
        <v>127</v>
      </c>
      <c r="C161" s="44" t="str">
        <f t="shared" si="99"/>
        <v>-</v>
      </c>
      <c r="D161" s="36">
        <f t="shared" si="100"/>
        <v>0.93023255813953487</v>
      </c>
      <c r="E161" s="36">
        <f t="shared" si="101"/>
        <v>0.64925373134328357</v>
      </c>
      <c r="F161" s="36">
        <f t="shared" si="102"/>
        <v>0.79487179487179482</v>
      </c>
      <c r="G161" s="36">
        <f t="shared" si="103"/>
        <v>0.87610619469026552</v>
      </c>
      <c r="H161" s="36">
        <f t="shared" si="104"/>
        <v>0.84551724137931039</v>
      </c>
      <c r="I161" s="44" t="str">
        <f t="shared" si="105"/>
        <v>-</v>
      </c>
      <c r="J161" s="36">
        <f t="shared" si="106"/>
        <v>1</v>
      </c>
      <c r="K161" s="36">
        <f t="shared" si="107"/>
        <v>1</v>
      </c>
      <c r="L161" s="36">
        <f t="shared" si="108"/>
        <v>0.85625088271553218</v>
      </c>
      <c r="M161" s="37" t="str">
        <f t="shared" si="109"/>
        <v>-</v>
      </c>
      <c r="N161" s="37" t="str">
        <f t="shared" si="115"/>
        <v>-</v>
      </c>
      <c r="O161" s="21">
        <f t="shared" si="110"/>
        <v>0.88505747126436785</v>
      </c>
      <c r="P161" s="21">
        <f t="shared" si="111"/>
        <v>0</v>
      </c>
      <c r="Q161" s="21">
        <f t="shared" si="112"/>
        <v>0</v>
      </c>
      <c r="R161" s="21">
        <f t="shared" si="113"/>
        <v>0</v>
      </c>
      <c r="S161" s="37" t="str">
        <f t="shared" si="116"/>
        <v>-</v>
      </c>
      <c r="T161" s="37" t="str">
        <f t="shared" si="117"/>
        <v>-</v>
      </c>
      <c r="U161" s="37" t="str">
        <f t="shared" si="118"/>
        <v>-</v>
      </c>
      <c r="V161" s="21">
        <f t="shared" si="114"/>
        <v>0.44252873563218392</v>
      </c>
      <c r="W161" s="10"/>
      <c r="X161" s="24"/>
      <c r="Y161" s="2"/>
      <c r="Z161" s="24"/>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row>
    <row r="162" spans="1:56" ht="14.25" customHeight="1">
      <c r="A162" s="8"/>
      <c r="B162" s="45" t="s">
        <v>128</v>
      </c>
      <c r="C162" s="100" t="str">
        <f t="shared" si="99"/>
        <v>-</v>
      </c>
      <c r="D162" s="101">
        <f t="shared" si="100"/>
        <v>0.96296296296296291</v>
      </c>
      <c r="E162" s="100" t="str">
        <f t="shared" si="101"/>
        <v>-</v>
      </c>
      <c r="F162" s="100" t="str">
        <f>N183</f>
        <v>-</v>
      </c>
      <c r="G162" s="100" t="str">
        <f>Q183</f>
        <v>-</v>
      </c>
      <c r="H162" s="100" t="str">
        <f>T183</f>
        <v>-</v>
      </c>
      <c r="I162" s="100" t="str">
        <f t="shared" si="105"/>
        <v>-</v>
      </c>
      <c r="J162" s="100" t="str">
        <f t="shared" si="106"/>
        <v>-</v>
      </c>
      <c r="K162" s="100" t="str">
        <f t="shared" si="107"/>
        <v>-</v>
      </c>
      <c r="L162" s="101">
        <f t="shared" si="108"/>
        <v>0.96296296296296291</v>
      </c>
      <c r="M162" s="102" t="str">
        <f t="shared" si="109"/>
        <v>-</v>
      </c>
      <c r="N162" s="102" t="str">
        <f t="shared" si="115"/>
        <v>-</v>
      </c>
      <c r="O162" s="102" t="str">
        <f t="shared" si="110"/>
        <v>-</v>
      </c>
      <c r="P162" s="15">
        <f t="shared" si="111"/>
        <v>0</v>
      </c>
      <c r="Q162" s="15">
        <f t="shared" si="112"/>
        <v>0</v>
      </c>
      <c r="R162" s="15">
        <f t="shared" si="113"/>
        <v>0</v>
      </c>
      <c r="S162" s="102" t="str">
        <f t="shared" si="116"/>
        <v>-</v>
      </c>
      <c r="T162" s="102" t="str">
        <f t="shared" si="117"/>
        <v>-</v>
      </c>
      <c r="U162" s="102" t="str">
        <f t="shared" si="118"/>
        <v>-</v>
      </c>
      <c r="V162" s="15">
        <f t="shared" si="114"/>
        <v>0</v>
      </c>
      <c r="W162" s="10"/>
      <c r="X162" s="24"/>
      <c r="Y162" s="2"/>
      <c r="Z162" s="24"/>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row>
    <row r="163" spans="1:56" ht="14.25" customHeight="1">
      <c r="A163" s="8"/>
      <c r="B163" s="12" t="s">
        <v>129</v>
      </c>
      <c r="C163" s="100" t="str">
        <f t="shared" si="99"/>
        <v>-</v>
      </c>
      <c r="D163" s="101">
        <f t="shared" si="100"/>
        <v>0.94042553191489364</v>
      </c>
      <c r="E163" s="101">
        <f t="shared" si="101"/>
        <v>0.8867924528301887</v>
      </c>
      <c r="F163" s="100" t="str">
        <f>N184</f>
        <v>-</v>
      </c>
      <c r="G163" s="100" t="str">
        <f>Q184</f>
        <v>-</v>
      </c>
      <c r="H163" s="100" t="str">
        <f>T184</f>
        <v>-</v>
      </c>
      <c r="I163" s="101">
        <f t="shared" si="105"/>
        <v>1</v>
      </c>
      <c r="J163" s="101">
        <f t="shared" si="106"/>
        <v>1</v>
      </c>
      <c r="K163" s="101">
        <f t="shared" si="107"/>
        <v>1</v>
      </c>
      <c r="L163" s="101">
        <f t="shared" si="108"/>
        <v>0.94240599491502752</v>
      </c>
      <c r="M163" s="102" t="str">
        <f t="shared" si="109"/>
        <v>-</v>
      </c>
      <c r="N163" s="102" t="str">
        <f t="shared" si="115"/>
        <v>-</v>
      </c>
      <c r="O163" s="15">
        <f t="shared" si="110"/>
        <v>0.7021276595744681</v>
      </c>
      <c r="P163" s="15">
        <f t="shared" si="111"/>
        <v>0</v>
      </c>
      <c r="Q163" s="15">
        <f t="shared" si="112"/>
        <v>0</v>
      </c>
      <c r="R163" s="15">
        <f t="shared" si="113"/>
        <v>0</v>
      </c>
      <c r="S163" s="15">
        <f t="shared" si="116"/>
        <v>0.77142857142857146</v>
      </c>
      <c r="T163" s="15">
        <f t="shared" si="117"/>
        <v>0.79054054054054057</v>
      </c>
      <c r="U163" s="102" t="str">
        <f t="shared" si="118"/>
        <v>-</v>
      </c>
      <c r="V163" s="15">
        <f t="shared" si="114"/>
        <v>0.35106382978723405</v>
      </c>
      <c r="W163" s="10"/>
      <c r="X163" s="24"/>
      <c r="Y163" s="2"/>
      <c r="Z163" s="24"/>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row>
    <row r="164" spans="1:56" ht="14.25" customHeight="1">
      <c r="A164" s="8"/>
      <c r="B164" s="12" t="s">
        <v>130</v>
      </c>
      <c r="C164" s="36">
        <f t="shared" si="99"/>
        <v>0.92741935483870963</v>
      </c>
      <c r="D164" s="36">
        <f t="shared" si="100"/>
        <v>0.95121951219512191</v>
      </c>
      <c r="E164" s="36">
        <f t="shared" si="101"/>
        <v>0.92105263157894735</v>
      </c>
      <c r="F164" s="36">
        <f t="shared" ref="F164:H165" si="119">L297</f>
        <v>0.95011337868480727</v>
      </c>
      <c r="G164" s="36">
        <f t="shared" si="119"/>
        <v>0.94610778443113774</v>
      </c>
      <c r="H164" s="36">
        <f t="shared" si="119"/>
        <v>0.94798301486199577</v>
      </c>
      <c r="I164" s="36">
        <f t="shared" si="105"/>
        <v>1</v>
      </c>
      <c r="J164" s="36">
        <f t="shared" si="106"/>
        <v>1</v>
      </c>
      <c r="K164" s="36">
        <f t="shared" si="107"/>
        <v>1</v>
      </c>
      <c r="L164" s="36">
        <f t="shared" si="108"/>
        <v>0.95506378965901628</v>
      </c>
      <c r="M164" s="37" t="str">
        <f t="shared" si="109"/>
        <v>-</v>
      </c>
      <c r="N164" s="37" t="str">
        <f t="shared" si="115"/>
        <v>-</v>
      </c>
      <c r="O164" s="21">
        <f t="shared" si="110"/>
        <v>0.8214285714285714</v>
      </c>
      <c r="P164" s="21">
        <f t="shared" si="111"/>
        <v>0</v>
      </c>
      <c r="Q164" s="21">
        <f t="shared" si="112"/>
        <v>0</v>
      </c>
      <c r="R164" s="21">
        <f t="shared" si="113"/>
        <v>0</v>
      </c>
      <c r="S164" s="21">
        <f t="shared" si="116"/>
        <v>0.77500000000000002</v>
      </c>
      <c r="T164" s="21">
        <f t="shared" si="117"/>
        <v>0.82034632034632038</v>
      </c>
      <c r="U164" s="37" t="str">
        <f t="shared" si="118"/>
        <v>-</v>
      </c>
      <c r="V164" s="21">
        <f t="shared" si="114"/>
        <v>0.4107142857142857</v>
      </c>
      <c r="W164" s="10"/>
      <c r="X164" s="24"/>
      <c r="Y164" s="2"/>
      <c r="Z164" s="24"/>
      <c r="AA164" s="2"/>
      <c r="AB164" s="2"/>
      <c r="AC164" s="2"/>
      <c r="AD164" s="2"/>
      <c r="AE164" s="2"/>
      <c r="AF164" s="2"/>
      <c r="AG164" s="2"/>
      <c r="AH164" s="2"/>
      <c r="AI164" s="2"/>
      <c r="AJ164" s="2"/>
      <c r="AK164" s="2"/>
      <c r="AL164" s="24"/>
      <c r="AM164" s="2"/>
      <c r="AN164" s="2"/>
      <c r="AO164" s="2"/>
      <c r="AP164" s="2"/>
      <c r="AQ164" s="2"/>
      <c r="AR164" s="2"/>
      <c r="AS164" s="2"/>
      <c r="AT164" s="2"/>
      <c r="AU164" s="2"/>
      <c r="AV164" s="2"/>
      <c r="AW164" s="2"/>
      <c r="AX164" s="2"/>
      <c r="AY164" s="2"/>
      <c r="AZ164" s="2"/>
      <c r="BA164" s="2"/>
      <c r="BB164" s="2"/>
      <c r="BC164" s="2"/>
      <c r="BD164" s="2"/>
    </row>
    <row r="165" spans="1:56" ht="14.25" customHeight="1">
      <c r="A165" s="8"/>
      <c r="B165" s="12" t="s">
        <v>131</v>
      </c>
      <c r="C165" s="44" t="str">
        <f t="shared" si="99"/>
        <v>-</v>
      </c>
      <c r="D165" s="36">
        <f t="shared" si="100"/>
        <v>0.82352941176470584</v>
      </c>
      <c r="E165" s="36">
        <f t="shared" si="101"/>
        <v>0.6</v>
      </c>
      <c r="F165" s="36">
        <f t="shared" si="119"/>
        <v>0.8</v>
      </c>
      <c r="G165" s="36">
        <f t="shared" si="119"/>
        <v>0.91666666666666663</v>
      </c>
      <c r="H165" s="36">
        <f t="shared" si="119"/>
        <v>0.86885245901639341</v>
      </c>
      <c r="I165" s="44" t="str">
        <f t="shared" si="105"/>
        <v>-</v>
      </c>
      <c r="J165" s="44" t="str">
        <f t="shared" si="106"/>
        <v>-</v>
      </c>
      <c r="K165" s="44" t="str">
        <f t="shared" si="107"/>
        <v>-</v>
      </c>
      <c r="L165" s="36">
        <f t="shared" si="108"/>
        <v>0.7641272902603663</v>
      </c>
      <c r="M165" s="37" t="str">
        <f t="shared" si="109"/>
        <v>-</v>
      </c>
      <c r="N165" s="37" t="str">
        <f t="shared" si="115"/>
        <v>-</v>
      </c>
      <c r="O165" s="21">
        <f t="shared" si="110"/>
        <v>0.96296296296296291</v>
      </c>
      <c r="P165" s="21">
        <f t="shared" si="111"/>
        <v>0</v>
      </c>
      <c r="Q165" s="21">
        <f t="shared" si="112"/>
        <v>0</v>
      </c>
      <c r="R165" s="21">
        <f t="shared" si="113"/>
        <v>0</v>
      </c>
      <c r="S165" s="37" t="str">
        <f t="shared" si="116"/>
        <v>-</v>
      </c>
      <c r="T165" s="37" t="str">
        <f t="shared" si="117"/>
        <v>-</v>
      </c>
      <c r="U165" s="37" t="str">
        <f t="shared" si="118"/>
        <v>-</v>
      </c>
      <c r="V165" s="21">
        <f t="shared" si="114"/>
        <v>0.48148148148148145</v>
      </c>
      <c r="W165" s="10"/>
      <c r="X165" s="24"/>
      <c r="Y165" s="2"/>
      <c r="Z165" s="24"/>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row>
    <row r="166" spans="1:56" ht="14.25" customHeight="1">
      <c r="A166" s="8"/>
      <c r="B166" s="45" t="s">
        <v>132</v>
      </c>
      <c r="C166" s="100" t="str">
        <f t="shared" si="99"/>
        <v>-</v>
      </c>
      <c r="D166" s="101">
        <f t="shared" si="100"/>
        <v>0.96666666666666667</v>
      </c>
      <c r="E166" s="100" t="str">
        <f t="shared" si="101"/>
        <v>-</v>
      </c>
      <c r="F166" s="100" t="str">
        <f>N187</f>
        <v>-</v>
      </c>
      <c r="G166" s="100" t="str">
        <f>Q187</f>
        <v>-</v>
      </c>
      <c r="H166" s="100" t="str">
        <f>T187</f>
        <v>-</v>
      </c>
      <c r="I166" s="100" t="str">
        <f t="shared" si="105"/>
        <v>-</v>
      </c>
      <c r="J166" s="100" t="str">
        <f t="shared" si="106"/>
        <v>-</v>
      </c>
      <c r="K166" s="100" t="str">
        <f t="shared" si="107"/>
        <v>-</v>
      </c>
      <c r="L166" s="101">
        <f t="shared" si="108"/>
        <v>0.96666666666666667</v>
      </c>
      <c r="M166" s="102" t="str">
        <f t="shared" si="109"/>
        <v>-</v>
      </c>
      <c r="N166" s="102" t="str">
        <f t="shared" si="115"/>
        <v>-</v>
      </c>
      <c r="O166" s="102" t="str">
        <f t="shared" si="110"/>
        <v>-</v>
      </c>
      <c r="P166" s="15">
        <f t="shared" si="111"/>
        <v>0</v>
      </c>
      <c r="Q166" s="15">
        <f t="shared" si="112"/>
        <v>0</v>
      </c>
      <c r="R166" s="15">
        <f t="shared" si="113"/>
        <v>0</v>
      </c>
      <c r="S166" s="102" t="str">
        <f t="shared" si="116"/>
        <v>-</v>
      </c>
      <c r="T166" s="102" t="str">
        <f t="shared" si="117"/>
        <v>-</v>
      </c>
      <c r="U166" s="102" t="str">
        <f t="shared" si="118"/>
        <v>-</v>
      </c>
      <c r="V166" s="15">
        <f t="shared" si="114"/>
        <v>0</v>
      </c>
      <c r="W166" s="10"/>
      <c r="X166" s="24"/>
      <c r="Y166" s="2"/>
      <c r="Z166" s="24"/>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row>
    <row r="167" spans="1:56" ht="14.25" customHeight="1">
      <c r="A167" s="8"/>
      <c r="B167" s="12" t="s">
        <v>133</v>
      </c>
      <c r="C167" s="100" t="str">
        <f t="shared" si="99"/>
        <v>-</v>
      </c>
      <c r="D167" s="101">
        <f t="shared" si="100"/>
        <v>0.93048128342245995</v>
      </c>
      <c r="E167" s="101">
        <f t="shared" si="101"/>
        <v>0.90756302521008403</v>
      </c>
      <c r="F167" s="100" t="str">
        <f>N188</f>
        <v>-</v>
      </c>
      <c r="G167" s="100" t="str">
        <f>Q188</f>
        <v>-</v>
      </c>
      <c r="H167" s="100" t="str">
        <f>T188</f>
        <v>-</v>
      </c>
      <c r="I167" s="101">
        <f t="shared" si="105"/>
        <v>1</v>
      </c>
      <c r="J167" s="101">
        <f t="shared" si="106"/>
        <v>1</v>
      </c>
      <c r="K167" s="101">
        <f t="shared" si="107"/>
        <v>1</v>
      </c>
      <c r="L167" s="101">
        <f t="shared" si="108"/>
        <v>0.94601476954418129</v>
      </c>
      <c r="M167" s="102" t="str">
        <f t="shared" si="109"/>
        <v>-</v>
      </c>
      <c r="N167" s="102" t="str">
        <f t="shared" si="115"/>
        <v>-</v>
      </c>
      <c r="O167" s="15">
        <f t="shared" si="110"/>
        <v>0.8214285714285714</v>
      </c>
      <c r="P167" s="15">
        <f t="shared" si="111"/>
        <v>0</v>
      </c>
      <c r="Q167" s="15">
        <f t="shared" si="112"/>
        <v>0</v>
      </c>
      <c r="R167" s="15">
        <f t="shared" si="113"/>
        <v>0</v>
      </c>
      <c r="S167" s="15">
        <f t="shared" si="116"/>
        <v>0.77500000000000002</v>
      </c>
      <c r="T167" s="15">
        <f t="shared" si="117"/>
        <v>0.82034632034632038</v>
      </c>
      <c r="U167" s="102" t="str">
        <f t="shared" si="118"/>
        <v>-</v>
      </c>
      <c r="V167" s="15">
        <f t="shared" si="114"/>
        <v>0.4107142857142857</v>
      </c>
      <c r="W167" s="10"/>
      <c r="X167" s="24"/>
      <c r="Y167" s="2"/>
      <c r="Z167" s="24"/>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row>
    <row r="168" spans="1:56" ht="14.25" customHeight="1">
      <c r="A168" s="2"/>
      <c r="B168" s="23"/>
      <c r="C168" s="23"/>
      <c r="D168" s="23"/>
      <c r="E168" s="23"/>
      <c r="F168" s="23"/>
      <c r="G168" s="23"/>
      <c r="H168" s="23"/>
      <c r="I168" s="23"/>
      <c r="J168" s="23"/>
      <c r="K168" s="23"/>
      <c r="L168" s="23"/>
      <c r="M168" s="23"/>
      <c r="N168" s="23"/>
      <c r="O168" s="23"/>
      <c r="P168" s="23"/>
      <c r="Q168" s="23"/>
      <c r="R168" s="23"/>
      <c r="S168" s="23"/>
      <c r="T168" s="23"/>
      <c r="U168" s="23"/>
      <c r="V168" s="23"/>
      <c r="W168" s="2"/>
      <c r="X168" s="24"/>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row>
    <row r="169" spans="1:56" ht="14.25" customHeight="1">
      <c r="A169" s="2"/>
      <c r="B169" s="25"/>
      <c r="C169" s="25"/>
      <c r="D169" s="25"/>
      <c r="E169" s="25"/>
      <c r="F169" s="25"/>
      <c r="G169" s="25"/>
      <c r="H169" s="25"/>
      <c r="I169" s="25"/>
      <c r="J169" s="25"/>
      <c r="K169" s="25"/>
      <c r="L169" s="25"/>
      <c r="M169" s="25"/>
      <c r="N169" s="25"/>
      <c r="O169" s="25"/>
      <c r="P169" s="25"/>
      <c r="Q169" s="25"/>
      <c r="R169" s="25"/>
      <c r="S169" s="25"/>
      <c r="T169" s="25"/>
      <c r="U169" s="25"/>
      <c r="V169" s="25"/>
      <c r="W169" s="25"/>
      <c r="X169" s="48"/>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c r="AY169" s="2"/>
      <c r="AZ169" s="2"/>
      <c r="BA169" s="2"/>
      <c r="BB169" s="2"/>
      <c r="BC169" s="2"/>
      <c r="BD169" s="2"/>
    </row>
    <row r="170" spans="1:56" ht="14.25" customHeight="1">
      <c r="A170" s="26"/>
      <c r="B170" s="58"/>
      <c r="C170" s="59" t="s">
        <v>102</v>
      </c>
      <c r="D170" s="60"/>
      <c r="E170" s="60"/>
      <c r="F170" s="61" t="s">
        <v>103</v>
      </c>
      <c r="G170" s="58"/>
      <c r="H170" s="58"/>
      <c r="I170" s="59" t="s">
        <v>104</v>
      </c>
      <c r="J170" s="60"/>
      <c r="K170" s="60"/>
      <c r="L170" s="61" t="s">
        <v>105</v>
      </c>
      <c r="M170" s="58"/>
      <c r="N170" s="58"/>
      <c r="O170" s="58"/>
      <c r="P170" s="58"/>
      <c r="Q170" s="58"/>
      <c r="R170" s="58"/>
      <c r="S170" s="58"/>
      <c r="T170" s="58"/>
      <c r="U170" s="59" t="s">
        <v>106</v>
      </c>
      <c r="V170" s="60"/>
      <c r="W170" s="60"/>
      <c r="X170" s="60"/>
      <c r="Y170" s="60"/>
      <c r="Z170" s="60"/>
      <c r="AA170" s="60"/>
      <c r="AB170" s="60"/>
      <c r="AC170" s="60"/>
      <c r="AD170" s="29" t="s">
        <v>107</v>
      </c>
      <c r="AE170" s="30"/>
      <c r="AF170" s="30"/>
      <c r="AG170" s="27" t="s">
        <v>108</v>
      </c>
      <c r="AH170" s="28"/>
      <c r="AI170" s="28"/>
      <c r="AJ170" s="29" t="s">
        <v>109</v>
      </c>
      <c r="AK170" s="30"/>
      <c r="AL170" s="30"/>
      <c r="AM170" s="27" t="s">
        <v>110</v>
      </c>
      <c r="AN170" s="28"/>
      <c r="AO170" s="28"/>
      <c r="AP170" s="29" t="s">
        <v>111</v>
      </c>
      <c r="AQ170" s="30"/>
      <c r="AR170" s="30"/>
      <c r="AS170" s="30"/>
      <c r="AT170" s="30"/>
      <c r="AU170" s="30"/>
      <c r="AV170" s="30"/>
      <c r="AW170" s="30"/>
      <c r="AX170" s="30"/>
      <c r="AY170" s="31"/>
      <c r="AZ170" s="2"/>
      <c r="BA170" s="2"/>
      <c r="BB170" s="2"/>
      <c r="BC170" s="2"/>
      <c r="BD170" s="2"/>
    </row>
    <row r="171" spans="1:56" ht="15" customHeight="1">
      <c r="A171" s="8"/>
      <c r="B171" s="511" t="s">
        <v>112</v>
      </c>
      <c r="C171" s="502" t="s">
        <v>11</v>
      </c>
      <c r="D171" s="503"/>
      <c r="E171" s="505"/>
      <c r="F171" s="502" t="s">
        <v>11</v>
      </c>
      <c r="G171" s="503"/>
      <c r="H171" s="505"/>
      <c r="I171" s="502" t="s">
        <v>11</v>
      </c>
      <c r="J171" s="503"/>
      <c r="K171" s="505"/>
      <c r="L171" s="520">
        <v>44927</v>
      </c>
      <c r="M171" s="503"/>
      <c r="N171" s="505"/>
      <c r="O171" s="520">
        <v>44958</v>
      </c>
      <c r="P171" s="503"/>
      <c r="Q171" s="505"/>
      <c r="R171" s="502" t="s">
        <v>11</v>
      </c>
      <c r="S171" s="503"/>
      <c r="T171" s="505"/>
      <c r="U171" s="520">
        <v>44927</v>
      </c>
      <c r="V171" s="503"/>
      <c r="W171" s="505"/>
      <c r="X171" s="520">
        <v>44958</v>
      </c>
      <c r="Y171" s="503"/>
      <c r="Z171" s="505"/>
      <c r="AA171" s="502" t="s">
        <v>11</v>
      </c>
      <c r="AB171" s="503"/>
      <c r="AC171" s="505"/>
      <c r="AD171" s="502" t="s">
        <v>11</v>
      </c>
      <c r="AE171" s="503"/>
      <c r="AF171" s="505"/>
      <c r="AG171" s="502" t="s">
        <v>11</v>
      </c>
      <c r="AH171" s="503"/>
      <c r="AI171" s="505"/>
      <c r="AJ171" s="502" t="s">
        <v>11</v>
      </c>
      <c r="AK171" s="503"/>
      <c r="AL171" s="505"/>
      <c r="AM171" s="527">
        <v>44927</v>
      </c>
      <c r="AN171" s="522">
        <v>44958</v>
      </c>
      <c r="AO171" s="524" t="s">
        <v>11</v>
      </c>
      <c r="AP171" s="526">
        <v>44927</v>
      </c>
      <c r="AQ171" s="503"/>
      <c r="AR171" s="505"/>
      <c r="AS171" s="520">
        <v>44958</v>
      </c>
      <c r="AT171" s="503"/>
      <c r="AU171" s="505"/>
      <c r="AV171" s="502" t="s">
        <v>11</v>
      </c>
      <c r="AW171" s="503"/>
      <c r="AX171" s="505"/>
      <c r="AY171" s="10"/>
      <c r="AZ171" s="2"/>
      <c r="BA171" s="2"/>
      <c r="BB171" s="2"/>
      <c r="BC171" s="2"/>
      <c r="BD171" s="2"/>
    </row>
    <row r="172" spans="1:56" ht="30" customHeight="1">
      <c r="A172" s="8"/>
      <c r="B172" s="521"/>
      <c r="C172" s="32" t="s">
        <v>113</v>
      </c>
      <c r="D172" s="32" t="s">
        <v>114</v>
      </c>
      <c r="E172" s="32" t="s">
        <v>14</v>
      </c>
      <c r="F172" s="32" t="s">
        <v>113</v>
      </c>
      <c r="G172" s="32" t="s">
        <v>114</v>
      </c>
      <c r="H172" s="32" t="s">
        <v>14</v>
      </c>
      <c r="I172" s="32" t="s">
        <v>113</v>
      </c>
      <c r="J172" s="32" t="s">
        <v>114</v>
      </c>
      <c r="K172" s="32" t="s">
        <v>14</v>
      </c>
      <c r="L172" s="32" t="s">
        <v>113</v>
      </c>
      <c r="M172" s="32" t="s">
        <v>114</v>
      </c>
      <c r="N172" s="32" t="s">
        <v>14</v>
      </c>
      <c r="O172" s="32" t="s">
        <v>113</v>
      </c>
      <c r="P172" s="32" t="s">
        <v>114</v>
      </c>
      <c r="Q172" s="32" t="s">
        <v>14</v>
      </c>
      <c r="R172" s="32" t="s">
        <v>113</v>
      </c>
      <c r="S172" s="32" t="s">
        <v>114</v>
      </c>
      <c r="T172" s="32" t="s">
        <v>14</v>
      </c>
      <c r="U172" s="32" t="s">
        <v>113</v>
      </c>
      <c r="V172" s="32" t="s">
        <v>114</v>
      </c>
      <c r="W172" s="32" t="s">
        <v>14</v>
      </c>
      <c r="X172" s="32" t="s">
        <v>113</v>
      </c>
      <c r="Y172" s="32" t="s">
        <v>114</v>
      </c>
      <c r="Z172" s="32" t="s">
        <v>14</v>
      </c>
      <c r="AA172" s="32" t="s">
        <v>113</v>
      </c>
      <c r="AB172" s="32" t="s">
        <v>114</v>
      </c>
      <c r="AC172" s="32" t="s">
        <v>14</v>
      </c>
      <c r="AD172" s="32" t="s">
        <v>115</v>
      </c>
      <c r="AE172" s="32" t="s">
        <v>116</v>
      </c>
      <c r="AF172" s="32" t="s">
        <v>17</v>
      </c>
      <c r="AG172" s="32" t="s">
        <v>117</v>
      </c>
      <c r="AH172" s="32" t="s">
        <v>118</v>
      </c>
      <c r="AI172" s="32" t="s">
        <v>17</v>
      </c>
      <c r="AJ172" s="32" t="s">
        <v>117</v>
      </c>
      <c r="AK172" s="32" t="s">
        <v>118</v>
      </c>
      <c r="AL172" s="32" t="s">
        <v>17</v>
      </c>
      <c r="AM172" s="521"/>
      <c r="AN172" s="523"/>
      <c r="AO172" s="525"/>
      <c r="AP172" s="103" t="s">
        <v>117</v>
      </c>
      <c r="AQ172" s="32" t="s">
        <v>118</v>
      </c>
      <c r="AR172" s="32" t="s">
        <v>17</v>
      </c>
      <c r="AS172" s="32" t="s">
        <v>117</v>
      </c>
      <c r="AT172" s="32" t="s">
        <v>118</v>
      </c>
      <c r="AU172" s="32" t="s">
        <v>17</v>
      </c>
      <c r="AV172" s="32" t="s">
        <v>117</v>
      </c>
      <c r="AW172" s="32" t="s">
        <v>118</v>
      </c>
      <c r="AX172" s="32" t="s">
        <v>17</v>
      </c>
      <c r="AY172" s="10"/>
      <c r="AZ172" s="2"/>
      <c r="BA172" s="2"/>
      <c r="BB172" s="2"/>
      <c r="BC172" s="2"/>
      <c r="BD172" s="2"/>
    </row>
    <row r="173" spans="1:56" ht="14.25" customHeight="1">
      <c r="A173" s="8"/>
      <c r="B173" s="12" t="s">
        <v>67</v>
      </c>
      <c r="C173" s="85">
        <f>C111</f>
        <v>0</v>
      </c>
      <c r="D173" s="85">
        <f>D111</f>
        <v>0</v>
      </c>
      <c r="E173" s="80" t="str">
        <f t="shared" ref="E173:E188" si="120">IFERROR(C173/D173,"-")</f>
        <v>-</v>
      </c>
      <c r="F173" s="96" t="str">
        <f>F111</f>
        <v>-</v>
      </c>
      <c r="G173" s="96" t="str">
        <f>G111</f>
        <v>-</v>
      </c>
      <c r="H173" s="83" t="str">
        <f t="shared" ref="H173:H182" si="121">IFERROR(F173/G173,"-")</f>
        <v>-</v>
      </c>
      <c r="I173" s="86">
        <f>I111</f>
        <v>0</v>
      </c>
      <c r="J173" s="86">
        <f>J111</f>
        <v>0</v>
      </c>
      <c r="K173" s="80" t="str">
        <f t="shared" ref="K173:K182" si="122">IFERROR(I173/J173,"-")</f>
        <v>-</v>
      </c>
      <c r="L173" s="66">
        <f t="shared" ref="L173:L181" si="123">IFERROR(SUM(C306,L306,U306),"-")</f>
        <v>3965</v>
      </c>
      <c r="M173" s="66">
        <f t="shared" ref="M173:M181" si="124">IFERROR(SUM(D306,M306,V306),"-")</f>
        <v>4262</v>
      </c>
      <c r="N173" s="67">
        <f t="shared" ref="N173:N188" si="125">IFERROR(L173/M173,"-")</f>
        <v>0.93031440638198026</v>
      </c>
      <c r="O173" s="66">
        <f t="shared" ref="O173:O181" si="126">IFERROR(SUM(F306,O306,X306),"-")</f>
        <v>2878</v>
      </c>
      <c r="P173" s="66">
        <f t="shared" ref="P173:P181" si="127">IFERROR(SUM(G306,P306,Y306),"-")</f>
        <v>3091</v>
      </c>
      <c r="Q173" s="67">
        <f t="shared" ref="Q173:Q188" si="128">IFERROR(O173/P173,"-")</f>
        <v>0.93109026205111611</v>
      </c>
      <c r="R173" s="66">
        <f t="shared" ref="R173:R181" si="129">IFERROR(SUM(I306,R306,AA306),"-")</f>
        <v>6843</v>
      </c>
      <c r="S173" s="66">
        <f t="shared" ref="S173:S181" si="130">IFERROR(SUM(J306,S306,AB306),"-")</f>
        <v>7353</v>
      </c>
      <c r="T173" s="67">
        <f t="shared" ref="T173:T188" si="131">IFERROR(R173/S173,"-")</f>
        <v>0.93064055487556097</v>
      </c>
      <c r="U173" s="80" t="str">
        <f>U111</f>
        <v>-</v>
      </c>
      <c r="V173" s="80" t="str">
        <f>V111</f>
        <v>-</v>
      </c>
      <c r="W173" s="80" t="str">
        <f t="shared" ref="W173:W182" si="132">IFERROR(U173/V173,"-")</f>
        <v>-</v>
      </c>
      <c r="X173" s="80" t="str">
        <f>X111</f>
        <v>-</v>
      </c>
      <c r="Y173" s="80" t="str">
        <f>Y111</f>
        <v>-</v>
      </c>
      <c r="Z173" s="80" t="str">
        <f t="shared" ref="Z173:Z182" si="133">IFERROR(X173/Y173,"-")</f>
        <v>-</v>
      </c>
      <c r="AA173" s="80" t="str">
        <f>AA111</f>
        <v>-</v>
      </c>
      <c r="AB173" s="80" t="str">
        <f>AB111</f>
        <v>-</v>
      </c>
      <c r="AC173" s="80" t="str">
        <f t="shared" ref="AC173:AC182" si="134">IFERROR(AA173/AB173,"-")</f>
        <v>-</v>
      </c>
      <c r="AD173" s="68">
        <f>AD111</f>
        <v>0</v>
      </c>
      <c r="AE173" s="68">
        <f>AE111</f>
        <v>0</v>
      </c>
      <c r="AF173" s="37" t="str">
        <f t="shared" ref="AF173:AF188" si="135">IFERROR(AD173/AE173,"-")</f>
        <v>-</v>
      </c>
      <c r="AG173" s="104" t="s">
        <v>19</v>
      </c>
      <c r="AH173" s="104" t="s">
        <v>19</v>
      </c>
      <c r="AI173" s="44" t="str">
        <f t="shared" ref="AI173:AI188" si="136">IFERROR(AG173/AH173,"-")</f>
        <v>-</v>
      </c>
      <c r="AJ173" s="105">
        <f>AJ111</f>
        <v>2477</v>
      </c>
      <c r="AK173" s="105">
        <f>AK111</f>
        <v>3282</v>
      </c>
      <c r="AL173" s="21">
        <f t="shared" ref="AL173:AL187" si="137">IFERROR(AJ173/AK173,"-")</f>
        <v>0.75472273004265689</v>
      </c>
      <c r="AM173" s="36">
        <f t="shared" ref="AM173:AM182" si="138">X285</f>
        <v>0</v>
      </c>
      <c r="AN173" s="36">
        <f t="shared" ref="AN173:AN182" si="139">Y285</f>
        <v>0</v>
      </c>
      <c r="AO173" s="36">
        <f t="shared" ref="AO173:AO182" si="140">Z285</f>
        <v>0</v>
      </c>
      <c r="AP173" s="37" t="str">
        <f>AP111</f>
        <v>-</v>
      </c>
      <c r="AQ173" s="37" t="str">
        <f>AQ111</f>
        <v>-</v>
      </c>
      <c r="AR173" s="37" t="str">
        <f t="shared" ref="AR173:AR188" si="141">IFERROR(AP173/AQ173,"-")</f>
        <v>-</v>
      </c>
      <c r="AS173" s="37" t="str">
        <f>AS111</f>
        <v>-</v>
      </c>
      <c r="AT173" s="37" t="str">
        <f>AT111</f>
        <v>-</v>
      </c>
      <c r="AU173" s="37" t="str">
        <f t="shared" ref="AU173:AU188" si="142">IFERROR(AS173/AT173,"-")</f>
        <v>-</v>
      </c>
      <c r="AV173" s="70"/>
      <c r="AW173" s="70"/>
      <c r="AX173" s="37" t="str">
        <f t="shared" ref="AX173:AX188" si="143">IFERROR(AV173/AW173,"-")</f>
        <v>-</v>
      </c>
      <c r="AY173" s="10"/>
      <c r="AZ173" s="2"/>
      <c r="BA173" s="2"/>
      <c r="BB173" s="2"/>
      <c r="BC173" s="2"/>
      <c r="BD173" s="2"/>
    </row>
    <row r="174" spans="1:56" ht="14.25" customHeight="1">
      <c r="A174" s="8"/>
      <c r="B174" s="12" t="s">
        <v>119</v>
      </c>
      <c r="C174" s="106">
        <f>SUM(C181,C182)</f>
        <v>679</v>
      </c>
      <c r="D174" s="106">
        <f>SUM(D181,D182)</f>
        <v>820</v>
      </c>
      <c r="E174" s="65">
        <f t="shared" si="120"/>
        <v>0.82804878048780484</v>
      </c>
      <c r="F174" s="107">
        <f>SUM(F181,F182)</f>
        <v>997</v>
      </c>
      <c r="G174" s="107">
        <f>SUM(G181,G182)</f>
        <v>1138</v>
      </c>
      <c r="H174" s="67">
        <f t="shared" si="121"/>
        <v>0.87609841827768009</v>
      </c>
      <c r="I174" s="108">
        <f>SUM(I181,I182)</f>
        <v>611</v>
      </c>
      <c r="J174" s="108">
        <f>SUM(J181,J182)</f>
        <v>766</v>
      </c>
      <c r="K174" s="65">
        <f t="shared" si="122"/>
        <v>0.79765013054830292</v>
      </c>
      <c r="L174" s="66">
        <f t="shared" si="123"/>
        <v>2937</v>
      </c>
      <c r="M174" s="66">
        <f t="shared" si="124"/>
        <v>3246</v>
      </c>
      <c r="N174" s="67">
        <f t="shared" si="125"/>
        <v>0.90480591497227358</v>
      </c>
      <c r="O174" s="66">
        <f t="shared" si="126"/>
        <v>2856</v>
      </c>
      <c r="P174" s="66">
        <f t="shared" si="127"/>
        <v>3097</v>
      </c>
      <c r="Q174" s="67">
        <f t="shared" si="128"/>
        <v>0.92218275750726508</v>
      </c>
      <c r="R174" s="66">
        <f t="shared" si="129"/>
        <v>5793</v>
      </c>
      <c r="S174" s="66">
        <f t="shared" si="130"/>
        <v>6343</v>
      </c>
      <c r="T174" s="67">
        <f t="shared" si="131"/>
        <v>0.9132902412107835</v>
      </c>
      <c r="U174" s="108">
        <f>SUM(U181,U182)</f>
        <v>79</v>
      </c>
      <c r="V174" s="108">
        <f>SUM(V181,V182)</f>
        <v>79</v>
      </c>
      <c r="W174" s="65">
        <f t="shared" si="132"/>
        <v>1</v>
      </c>
      <c r="X174" s="108">
        <f>SUM(X181,X182)</f>
        <v>530</v>
      </c>
      <c r="Y174" s="108">
        <f>SUM(Y181,Y182)</f>
        <v>530</v>
      </c>
      <c r="Z174" s="65">
        <f t="shared" si="133"/>
        <v>1</v>
      </c>
      <c r="AA174" s="108">
        <f>SUM(AA117,AA122,AA123)</f>
        <v>436</v>
      </c>
      <c r="AB174" s="108">
        <f>SUM(AB117,AB122,AB123)</f>
        <v>436</v>
      </c>
      <c r="AC174" s="65">
        <f t="shared" si="134"/>
        <v>1</v>
      </c>
      <c r="AD174" s="70">
        <f>SUM(AD181,AD182)</f>
        <v>0</v>
      </c>
      <c r="AE174" s="70">
        <f>SUM(AE181,AE182)</f>
        <v>0</v>
      </c>
      <c r="AF174" s="37" t="str">
        <f t="shared" si="135"/>
        <v>-</v>
      </c>
      <c r="AG174" s="109">
        <f>SUM(AG181,AG182)</f>
        <v>0</v>
      </c>
      <c r="AH174" s="109">
        <f>SUM(AH181,AH182)</f>
        <v>0</v>
      </c>
      <c r="AI174" s="44" t="str">
        <f t="shared" si="136"/>
        <v>-</v>
      </c>
      <c r="AJ174" s="110">
        <f>SUM(AJ181,AJ182)</f>
        <v>2370</v>
      </c>
      <c r="AK174" s="110">
        <f>SUM(AK181,AK182)</f>
        <v>2875</v>
      </c>
      <c r="AL174" s="21">
        <f t="shared" si="137"/>
        <v>0.82434782608695656</v>
      </c>
      <c r="AM174" s="36">
        <f t="shared" si="138"/>
        <v>0</v>
      </c>
      <c r="AN174" s="36">
        <f t="shared" si="139"/>
        <v>0</v>
      </c>
      <c r="AO174" s="36">
        <f t="shared" si="140"/>
        <v>0</v>
      </c>
      <c r="AP174" s="110">
        <f>SUM(AP181,AP182)</f>
        <v>266</v>
      </c>
      <c r="AQ174" s="110">
        <f>SUM(AQ181,AQ182)</f>
        <v>313</v>
      </c>
      <c r="AR174" s="21">
        <f t="shared" si="141"/>
        <v>0.84984025559105436</v>
      </c>
      <c r="AS174" s="110">
        <f>SUM(AS181,AS182)</f>
        <v>2566</v>
      </c>
      <c r="AT174" s="110">
        <f>SUM(AT181,AT182)</f>
        <v>3036</v>
      </c>
      <c r="AU174" s="21">
        <f t="shared" si="142"/>
        <v>0.84519104084321472</v>
      </c>
      <c r="AV174" s="70"/>
      <c r="AW174" s="70"/>
      <c r="AX174" s="37" t="str">
        <f t="shared" si="143"/>
        <v>-</v>
      </c>
      <c r="AY174" s="10"/>
      <c r="AZ174" s="2"/>
      <c r="BA174" s="2"/>
      <c r="BB174" s="2"/>
      <c r="BC174" s="2"/>
      <c r="BD174" s="2"/>
    </row>
    <row r="175" spans="1:56" ht="14.25" customHeight="1">
      <c r="A175" s="8"/>
      <c r="B175" s="12" t="s">
        <v>120</v>
      </c>
      <c r="C175" s="111">
        <f>SUM(C117,C118,C124,C132)+2</f>
        <v>193</v>
      </c>
      <c r="D175" s="111">
        <f>SUM(D117,D118,D124,D132)+2</f>
        <v>208</v>
      </c>
      <c r="E175" s="65">
        <f t="shared" si="120"/>
        <v>0.92788461538461542</v>
      </c>
      <c r="F175" s="107">
        <f>SUM(F117,F118,F124,F132)</f>
        <v>195</v>
      </c>
      <c r="G175" s="107">
        <f>SUM(G117,G118,G124,G132)</f>
        <v>208</v>
      </c>
      <c r="H175" s="67">
        <f t="shared" si="121"/>
        <v>0.9375</v>
      </c>
      <c r="I175" s="108">
        <f>SUM(I117,I118,I124,I132)</f>
        <v>188</v>
      </c>
      <c r="J175" s="108">
        <f>SUM(J117,J118,J124,J132)</f>
        <v>212</v>
      </c>
      <c r="K175" s="65">
        <f t="shared" si="122"/>
        <v>0.8867924528301887</v>
      </c>
      <c r="L175" s="66">
        <f t="shared" si="123"/>
        <v>702</v>
      </c>
      <c r="M175" s="66">
        <f t="shared" si="124"/>
        <v>776</v>
      </c>
      <c r="N175" s="67">
        <f t="shared" si="125"/>
        <v>0.90463917525773196</v>
      </c>
      <c r="O175" s="66">
        <f t="shared" si="126"/>
        <v>834</v>
      </c>
      <c r="P175" s="66">
        <f t="shared" si="127"/>
        <v>886</v>
      </c>
      <c r="Q175" s="67">
        <f t="shared" si="128"/>
        <v>0.94130925507900676</v>
      </c>
      <c r="R175" s="66">
        <f t="shared" si="129"/>
        <v>1536</v>
      </c>
      <c r="S175" s="66">
        <f t="shared" si="130"/>
        <v>1662</v>
      </c>
      <c r="T175" s="67">
        <f t="shared" si="131"/>
        <v>0.92418772563176899</v>
      </c>
      <c r="U175" s="108">
        <f>SUM(U117,U118,U124,U132)</f>
        <v>9</v>
      </c>
      <c r="V175" s="108">
        <f>SUM(V117,V118,V124,V132)</f>
        <v>9</v>
      </c>
      <c r="W175" s="65">
        <f t="shared" si="132"/>
        <v>1</v>
      </c>
      <c r="X175" s="108">
        <f>SUM(X117,X118,X124,X132)</f>
        <v>148</v>
      </c>
      <c r="Y175" s="108">
        <f>SUM(Y117,Y118,Y124,Y132)</f>
        <v>148</v>
      </c>
      <c r="Z175" s="65">
        <f t="shared" si="133"/>
        <v>1</v>
      </c>
      <c r="AA175" s="108">
        <f>SUM(AA117,AA118,AA124,AA132)</f>
        <v>157</v>
      </c>
      <c r="AB175" s="108">
        <f>SUM(AB117,AB118,AB124,AB132)</f>
        <v>157</v>
      </c>
      <c r="AC175" s="65">
        <f t="shared" si="134"/>
        <v>1</v>
      </c>
      <c r="AD175" s="68"/>
      <c r="AE175" s="68"/>
      <c r="AF175" s="37" t="str">
        <f t="shared" si="135"/>
        <v>-</v>
      </c>
      <c r="AG175" s="109">
        <f>SUM(AG117,AG118,AG124,AG132)</f>
        <v>0</v>
      </c>
      <c r="AH175" s="109">
        <f>SUM(AH117,AH118,AH124,AH132)</f>
        <v>0</v>
      </c>
      <c r="AI175" s="44" t="str">
        <f t="shared" si="136"/>
        <v>-</v>
      </c>
      <c r="AJ175" s="110">
        <f>SUM(AJ117,AJ118,AJ124,AJ132)</f>
        <v>528</v>
      </c>
      <c r="AK175" s="110">
        <f>SUM(AK117,AK118,AK124,AK132)</f>
        <v>752</v>
      </c>
      <c r="AL175" s="21">
        <f t="shared" si="137"/>
        <v>0.7021276595744681</v>
      </c>
      <c r="AM175" s="36">
        <f t="shared" si="138"/>
        <v>0</v>
      </c>
      <c r="AN175" s="36">
        <f t="shared" si="139"/>
        <v>0</v>
      </c>
      <c r="AO175" s="36">
        <f t="shared" si="140"/>
        <v>0</v>
      </c>
      <c r="AP175" s="110">
        <f>SUM(AP117,AP118,AP124,AP132)</f>
        <v>27</v>
      </c>
      <c r="AQ175" s="110">
        <f>SUM(AQ117,AQ118,AQ124,AQ132)</f>
        <v>35</v>
      </c>
      <c r="AR175" s="21">
        <f t="shared" si="141"/>
        <v>0.77142857142857146</v>
      </c>
      <c r="AS175" s="110">
        <f>SUM(AS117,AS118,AS124,AS132)</f>
        <v>702</v>
      </c>
      <c r="AT175" s="110">
        <f>SUM(AT117,AT118,AT124,AT132)</f>
        <v>888</v>
      </c>
      <c r="AU175" s="21">
        <f t="shared" si="142"/>
        <v>0.79054054054054057</v>
      </c>
      <c r="AV175" s="70"/>
      <c r="AW175" s="70"/>
      <c r="AX175" s="37" t="str">
        <f t="shared" si="143"/>
        <v>-</v>
      </c>
      <c r="AY175" s="10"/>
      <c r="AZ175" s="2"/>
      <c r="BA175" s="2"/>
      <c r="BB175" s="2"/>
      <c r="BC175" s="2"/>
      <c r="BD175" s="2"/>
    </row>
    <row r="176" spans="1:56" ht="14.25" customHeight="1">
      <c r="A176" s="8"/>
      <c r="B176" s="12" t="s">
        <v>121</v>
      </c>
      <c r="C176" s="111">
        <f>SUM(C185,C186)</f>
        <v>115</v>
      </c>
      <c r="D176" s="111">
        <f>SUM(D185,D186)</f>
        <v>124</v>
      </c>
      <c r="E176" s="65">
        <f t="shared" si="120"/>
        <v>0.92741935483870963</v>
      </c>
      <c r="F176" s="107">
        <f>SUM(F185,F186)</f>
        <v>145</v>
      </c>
      <c r="G176" s="107">
        <f>SUM(G185,G186)</f>
        <v>157</v>
      </c>
      <c r="H176" s="67">
        <f t="shared" si="121"/>
        <v>0.92356687898089174</v>
      </c>
      <c r="I176" s="108">
        <f>SUM(I185,I186)</f>
        <v>108</v>
      </c>
      <c r="J176" s="108">
        <f>SUM(J185,J186)</f>
        <v>119</v>
      </c>
      <c r="K176" s="65">
        <f t="shared" si="122"/>
        <v>0.90756302521008403</v>
      </c>
      <c r="L176" s="66">
        <f t="shared" si="123"/>
        <v>439</v>
      </c>
      <c r="M176" s="66">
        <f t="shared" si="124"/>
        <v>466</v>
      </c>
      <c r="N176" s="67">
        <f t="shared" si="125"/>
        <v>0.94206008583690992</v>
      </c>
      <c r="O176" s="66">
        <f t="shared" si="126"/>
        <v>507</v>
      </c>
      <c r="P176" s="66">
        <f t="shared" si="127"/>
        <v>537</v>
      </c>
      <c r="Q176" s="67">
        <f t="shared" si="128"/>
        <v>0.94413407821229045</v>
      </c>
      <c r="R176" s="66">
        <f t="shared" si="129"/>
        <v>946</v>
      </c>
      <c r="S176" s="66">
        <f t="shared" si="130"/>
        <v>1003</v>
      </c>
      <c r="T176" s="67">
        <f t="shared" si="131"/>
        <v>0.94317048853439678</v>
      </c>
      <c r="U176" s="108">
        <f>SUM(U185,U186)</f>
        <v>10</v>
      </c>
      <c r="V176" s="108">
        <f>SUM(V185,V186)</f>
        <v>10</v>
      </c>
      <c r="W176" s="65">
        <f t="shared" si="132"/>
        <v>1</v>
      </c>
      <c r="X176" s="108">
        <f>SUM(X185,X186)</f>
        <v>77</v>
      </c>
      <c r="Y176" s="108">
        <f>SUM(Y185,Y186)</f>
        <v>77</v>
      </c>
      <c r="Z176" s="65">
        <f t="shared" si="133"/>
        <v>1</v>
      </c>
      <c r="AA176" s="108">
        <f>SUM(AA118,AA123,AA124)</f>
        <v>150</v>
      </c>
      <c r="AB176" s="108">
        <f>SUM(AB118,AB123,AB124)</f>
        <v>150</v>
      </c>
      <c r="AC176" s="65">
        <f t="shared" si="134"/>
        <v>1</v>
      </c>
      <c r="AD176" s="70">
        <f>SUM(AD185,AD186)</f>
        <v>0</v>
      </c>
      <c r="AE176" s="70">
        <f>SUM(AE185,AE186)</f>
        <v>0</v>
      </c>
      <c r="AF176" s="37" t="str">
        <f t="shared" si="135"/>
        <v>-</v>
      </c>
      <c r="AG176" s="109">
        <f>SUM(AG185,AG186)</f>
        <v>0</v>
      </c>
      <c r="AH176" s="109">
        <f>SUM(AH185,AH186)</f>
        <v>0</v>
      </c>
      <c r="AI176" s="44" t="str">
        <f t="shared" si="136"/>
        <v>-</v>
      </c>
      <c r="AJ176" s="110">
        <f>SUM(AJ185,AJ186)</f>
        <v>371</v>
      </c>
      <c r="AK176" s="110">
        <f>SUM(AK185,AK186)</f>
        <v>447</v>
      </c>
      <c r="AL176" s="21">
        <f t="shared" si="137"/>
        <v>0.82997762863534674</v>
      </c>
      <c r="AM176" s="36">
        <f t="shared" si="138"/>
        <v>0</v>
      </c>
      <c r="AN176" s="36">
        <f t="shared" si="139"/>
        <v>0</v>
      </c>
      <c r="AO176" s="36">
        <f t="shared" si="140"/>
        <v>0</v>
      </c>
      <c r="AP176" s="110">
        <f>SUM(AP185,AP186)</f>
        <v>31</v>
      </c>
      <c r="AQ176" s="110">
        <f>SUM(AQ185,AQ186)</f>
        <v>40</v>
      </c>
      <c r="AR176" s="21">
        <f t="shared" si="141"/>
        <v>0.77500000000000002</v>
      </c>
      <c r="AS176" s="110">
        <f>SUM(AS185,AS186)</f>
        <v>379</v>
      </c>
      <c r="AT176" s="110">
        <f>SUM(AT185,AT186)</f>
        <v>462</v>
      </c>
      <c r="AU176" s="21">
        <f t="shared" si="142"/>
        <v>0.82034632034632038</v>
      </c>
      <c r="AV176" s="70"/>
      <c r="AW176" s="70"/>
      <c r="AX176" s="37" t="str">
        <f t="shared" si="143"/>
        <v>-</v>
      </c>
      <c r="AY176" s="10"/>
      <c r="AZ176" s="2"/>
      <c r="BA176" s="2"/>
      <c r="BB176" s="2"/>
      <c r="BC176" s="2"/>
      <c r="BD176" s="2"/>
    </row>
    <row r="177" spans="1:56" ht="14.25" customHeight="1">
      <c r="A177" s="8"/>
      <c r="B177" s="12" t="s">
        <v>122</v>
      </c>
      <c r="C177" s="111">
        <f>SUM(C115,C126)+1</f>
        <v>80</v>
      </c>
      <c r="D177" s="111">
        <f>SUM(D115,D126)+1</f>
        <v>82</v>
      </c>
      <c r="E177" s="65">
        <f t="shared" si="120"/>
        <v>0.97560975609756095</v>
      </c>
      <c r="F177" s="107">
        <f>SUM(F115,F126)</f>
        <v>76</v>
      </c>
      <c r="G177" s="107">
        <f>SUM(G115,G126)</f>
        <v>81</v>
      </c>
      <c r="H177" s="67">
        <f t="shared" si="121"/>
        <v>0.93827160493827155</v>
      </c>
      <c r="I177" s="108">
        <f>SUM(I115,I126)</f>
        <v>40</v>
      </c>
      <c r="J177" s="108">
        <f>SUM(J115,J126)</f>
        <v>60</v>
      </c>
      <c r="K177" s="65">
        <f t="shared" si="122"/>
        <v>0.66666666666666663</v>
      </c>
      <c r="L177" s="66">
        <f t="shared" si="123"/>
        <v>277</v>
      </c>
      <c r="M177" s="66">
        <f t="shared" si="124"/>
        <v>307</v>
      </c>
      <c r="N177" s="67">
        <f t="shared" si="125"/>
        <v>0.90228013029315957</v>
      </c>
      <c r="O177" s="66">
        <f t="shared" si="126"/>
        <v>316</v>
      </c>
      <c r="P177" s="66">
        <f t="shared" si="127"/>
        <v>351</v>
      </c>
      <c r="Q177" s="67">
        <f t="shared" si="128"/>
        <v>0.90028490028490027</v>
      </c>
      <c r="R177" s="66">
        <f t="shared" si="129"/>
        <v>593</v>
      </c>
      <c r="S177" s="66">
        <f t="shared" si="130"/>
        <v>658</v>
      </c>
      <c r="T177" s="67">
        <f t="shared" si="131"/>
        <v>0.90121580547112456</v>
      </c>
      <c r="U177" s="108">
        <f>SUM(U115,U126)</f>
        <v>8</v>
      </c>
      <c r="V177" s="108">
        <f>SUM(V115,V126)</f>
        <v>8</v>
      </c>
      <c r="W177" s="65">
        <f t="shared" si="132"/>
        <v>1</v>
      </c>
      <c r="X177" s="108">
        <f>SUM(X115,X126)</f>
        <v>60</v>
      </c>
      <c r="Y177" s="108">
        <f>SUM(Y115,Y126)</f>
        <v>60</v>
      </c>
      <c r="Z177" s="65">
        <f t="shared" si="133"/>
        <v>1</v>
      </c>
      <c r="AA177" s="108">
        <f>SUM(AA115)</f>
        <v>67</v>
      </c>
      <c r="AB177" s="108">
        <f>SUM(AB115)</f>
        <v>67</v>
      </c>
      <c r="AC177" s="65">
        <f t="shared" si="134"/>
        <v>1</v>
      </c>
      <c r="AD177" s="68"/>
      <c r="AE177" s="68"/>
      <c r="AF177" s="37" t="str">
        <f t="shared" si="135"/>
        <v>-</v>
      </c>
      <c r="AG177" s="109">
        <f>SUM(AG115,AG126)</f>
        <v>0</v>
      </c>
      <c r="AH177" s="109">
        <f>SUM(AH115,AH126)</f>
        <v>0</v>
      </c>
      <c r="AI177" s="44" t="str">
        <f t="shared" si="136"/>
        <v>-</v>
      </c>
      <c r="AJ177" s="110">
        <f>SUM(AJ115,AJ126)</f>
        <v>117</v>
      </c>
      <c r="AK177" s="110">
        <f>SUM(AK115,AK126)</f>
        <v>160</v>
      </c>
      <c r="AL177" s="21">
        <f t="shared" si="137"/>
        <v>0.73124999999999996</v>
      </c>
      <c r="AM177" s="36">
        <f t="shared" si="138"/>
        <v>0</v>
      </c>
      <c r="AN177" s="36">
        <f t="shared" si="139"/>
        <v>0</v>
      </c>
      <c r="AO177" s="36">
        <f t="shared" si="140"/>
        <v>0</v>
      </c>
      <c r="AP177" s="110">
        <f>SUM(AP115,AP126)</f>
        <v>25</v>
      </c>
      <c r="AQ177" s="110">
        <f>SUM(AQ115,AQ126)</f>
        <v>32</v>
      </c>
      <c r="AR177" s="21">
        <f t="shared" si="141"/>
        <v>0.78125</v>
      </c>
      <c r="AS177" s="110">
        <f>SUM(AS115,AS126)</f>
        <v>294</v>
      </c>
      <c r="AT177" s="110">
        <f>SUM(AT115,AT126)</f>
        <v>360</v>
      </c>
      <c r="AU177" s="21">
        <f t="shared" si="142"/>
        <v>0.81666666666666665</v>
      </c>
      <c r="AV177" s="70"/>
      <c r="AW177" s="70"/>
      <c r="AX177" s="37" t="str">
        <f t="shared" si="143"/>
        <v>-</v>
      </c>
      <c r="AY177" s="10"/>
      <c r="AZ177" s="2"/>
      <c r="BA177" s="2"/>
      <c r="BB177" s="2"/>
      <c r="BC177" s="2"/>
      <c r="BD177" s="2"/>
    </row>
    <row r="178" spans="1:56" ht="14.25" customHeight="1">
      <c r="A178" s="8"/>
      <c r="B178" s="12" t="s">
        <v>123</v>
      </c>
      <c r="C178" s="106">
        <f>SUM(C127,C128)+4</f>
        <v>113</v>
      </c>
      <c r="D178" s="106">
        <f>SUM(D127,D128)+5</f>
        <v>132</v>
      </c>
      <c r="E178" s="65">
        <f t="shared" si="120"/>
        <v>0.85606060606060608</v>
      </c>
      <c r="F178" s="107">
        <f>SUM(F127,F128)</f>
        <v>108</v>
      </c>
      <c r="G178" s="107">
        <f>SUM(G127,G128)</f>
        <v>127</v>
      </c>
      <c r="H178" s="67">
        <f t="shared" si="121"/>
        <v>0.85039370078740162</v>
      </c>
      <c r="I178" s="112">
        <v>263</v>
      </c>
      <c r="J178" s="112">
        <v>263</v>
      </c>
      <c r="K178" s="65">
        <f t="shared" si="122"/>
        <v>1</v>
      </c>
      <c r="L178" s="66">
        <f t="shared" si="123"/>
        <v>390</v>
      </c>
      <c r="M178" s="66">
        <f t="shared" si="124"/>
        <v>422</v>
      </c>
      <c r="N178" s="67">
        <f t="shared" si="125"/>
        <v>0.92417061611374407</v>
      </c>
      <c r="O178" s="66">
        <f t="shared" si="126"/>
        <v>357</v>
      </c>
      <c r="P178" s="66">
        <f t="shared" si="127"/>
        <v>366</v>
      </c>
      <c r="Q178" s="67">
        <f t="shared" si="128"/>
        <v>0.97540983606557374</v>
      </c>
      <c r="R178" s="66">
        <f t="shared" si="129"/>
        <v>747</v>
      </c>
      <c r="S178" s="66">
        <f t="shared" si="130"/>
        <v>788</v>
      </c>
      <c r="T178" s="67">
        <f t="shared" si="131"/>
        <v>0.94796954314720816</v>
      </c>
      <c r="U178" s="108">
        <f>SUM(U127,U128)</f>
        <v>35</v>
      </c>
      <c r="V178" s="108">
        <f>SUM(V127,V128)</f>
        <v>35</v>
      </c>
      <c r="W178" s="65">
        <f t="shared" si="132"/>
        <v>1</v>
      </c>
      <c r="X178" s="108">
        <f>SUM(X127,X128)</f>
        <v>45</v>
      </c>
      <c r="Y178" s="108">
        <f>SUM(Y127,Y128)</f>
        <v>45</v>
      </c>
      <c r="Z178" s="65">
        <f t="shared" si="133"/>
        <v>1</v>
      </c>
      <c r="AA178" s="108">
        <f>SUM(AA127,AA128)</f>
        <v>80</v>
      </c>
      <c r="AB178" s="108">
        <f>SUM(AB127,AB128)</f>
        <v>80</v>
      </c>
      <c r="AC178" s="65">
        <f t="shared" si="134"/>
        <v>1</v>
      </c>
      <c r="AD178" s="68"/>
      <c r="AE178" s="68"/>
      <c r="AF178" s="37" t="str">
        <f t="shared" si="135"/>
        <v>-</v>
      </c>
      <c r="AG178" s="109">
        <f>SUM(AG127,AG128)</f>
        <v>0</v>
      </c>
      <c r="AH178" s="109">
        <f>SUM(AH127,AH128)</f>
        <v>0</v>
      </c>
      <c r="AI178" s="44" t="str">
        <f t="shared" si="136"/>
        <v>-</v>
      </c>
      <c r="AJ178" s="113">
        <v>263</v>
      </c>
      <c r="AK178" s="113">
        <v>263</v>
      </c>
      <c r="AL178" s="21">
        <f t="shared" si="137"/>
        <v>1</v>
      </c>
      <c r="AM178" s="36">
        <f t="shared" si="138"/>
        <v>0</v>
      </c>
      <c r="AN178" s="36">
        <f t="shared" si="139"/>
        <v>0</v>
      </c>
      <c r="AO178" s="36">
        <f t="shared" si="140"/>
        <v>0</v>
      </c>
      <c r="AP178" s="110">
        <f>SUM(AP127,AP128)</f>
        <v>117</v>
      </c>
      <c r="AQ178" s="110">
        <f>SUM(AQ127,AQ128)</f>
        <v>140</v>
      </c>
      <c r="AR178" s="21">
        <f t="shared" si="141"/>
        <v>0.83571428571428574</v>
      </c>
      <c r="AS178" s="110">
        <f>SUM(AS127,AS128)</f>
        <v>252</v>
      </c>
      <c r="AT178" s="110">
        <f>SUM(AT127,AT128)</f>
        <v>270</v>
      </c>
      <c r="AU178" s="21">
        <f t="shared" si="142"/>
        <v>0.93333333333333335</v>
      </c>
      <c r="AV178" s="70"/>
      <c r="AW178" s="70"/>
      <c r="AX178" s="37" t="str">
        <f t="shared" si="143"/>
        <v>-</v>
      </c>
      <c r="AY178" s="10"/>
      <c r="AZ178" s="2"/>
      <c r="BA178" s="2"/>
      <c r="BB178" s="2"/>
      <c r="BC178" s="2"/>
      <c r="BD178" s="2"/>
    </row>
    <row r="179" spans="1:56" ht="14.25" customHeight="1">
      <c r="A179" s="8"/>
      <c r="B179" s="12" t="s">
        <v>124</v>
      </c>
      <c r="C179" s="106">
        <f>SUM(C131)+2</f>
        <v>58</v>
      </c>
      <c r="D179" s="106">
        <f>SUM(D131)+2</f>
        <v>62</v>
      </c>
      <c r="E179" s="65">
        <f t="shared" si="120"/>
        <v>0.93548387096774188</v>
      </c>
      <c r="F179" s="114">
        <f>SUM(F131)</f>
        <v>55</v>
      </c>
      <c r="G179" s="114">
        <f>SUM(G131)</f>
        <v>60</v>
      </c>
      <c r="H179" s="67">
        <f t="shared" si="121"/>
        <v>0.91666666666666663</v>
      </c>
      <c r="I179" s="115">
        <f>SUM(I131)</f>
        <v>48</v>
      </c>
      <c r="J179" s="115">
        <f>SUM(J131)</f>
        <v>56</v>
      </c>
      <c r="K179" s="65">
        <f t="shared" si="122"/>
        <v>0.8571428571428571</v>
      </c>
      <c r="L179" s="66">
        <f t="shared" si="123"/>
        <v>227</v>
      </c>
      <c r="M179" s="66">
        <f t="shared" si="124"/>
        <v>248</v>
      </c>
      <c r="N179" s="67">
        <f t="shared" si="125"/>
        <v>0.91532258064516125</v>
      </c>
      <c r="O179" s="66">
        <f t="shared" si="126"/>
        <v>204</v>
      </c>
      <c r="P179" s="66">
        <f t="shared" si="127"/>
        <v>230</v>
      </c>
      <c r="Q179" s="67">
        <f t="shared" si="128"/>
        <v>0.88695652173913042</v>
      </c>
      <c r="R179" s="66">
        <f t="shared" si="129"/>
        <v>431</v>
      </c>
      <c r="S179" s="66">
        <f t="shared" si="130"/>
        <v>478</v>
      </c>
      <c r="T179" s="67">
        <f t="shared" si="131"/>
        <v>0.90167364016736407</v>
      </c>
      <c r="U179" s="108">
        <f>SUM(U131)</f>
        <v>1</v>
      </c>
      <c r="V179" s="108">
        <f>SUM(V131)</f>
        <v>1</v>
      </c>
      <c r="W179" s="65">
        <f t="shared" si="132"/>
        <v>1</v>
      </c>
      <c r="X179" s="115">
        <f>SUM(X131)</f>
        <v>50</v>
      </c>
      <c r="Y179" s="115">
        <f>SUM(Y131)</f>
        <v>50</v>
      </c>
      <c r="Z179" s="65">
        <f t="shared" si="133"/>
        <v>1</v>
      </c>
      <c r="AA179" s="108">
        <f>SUM(AA131)</f>
        <v>51</v>
      </c>
      <c r="AB179" s="108">
        <f>SUM(AB131)</f>
        <v>51</v>
      </c>
      <c r="AC179" s="65">
        <f t="shared" si="134"/>
        <v>1</v>
      </c>
      <c r="AD179" s="68"/>
      <c r="AE179" s="68"/>
      <c r="AF179" s="37" t="str">
        <f t="shared" si="135"/>
        <v>-</v>
      </c>
      <c r="AG179" s="109">
        <f>SUM(AG131)</f>
        <v>0</v>
      </c>
      <c r="AH179" s="109">
        <f>SUM(AH131)</f>
        <v>0</v>
      </c>
      <c r="AI179" s="44" t="str">
        <f t="shared" si="136"/>
        <v>-</v>
      </c>
      <c r="AJ179" s="105">
        <f>SUM(AJ131)</f>
        <v>158</v>
      </c>
      <c r="AK179" s="105">
        <f>SUM(AK131)</f>
        <v>192</v>
      </c>
      <c r="AL179" s="21">
        <f t="shared" si="137"/>
        <v>0.82291666666666663</v>
      </c>
      <c r="AM179" s="36">
        <f t="shared" si="138"/>
        <v>0</v>
      </c>
      <c r="AN179" s="36">
        <f t="shared" si="139"/>
        <v>0</v>
      </c>
      <c r="AO179" s="36">
        <f t="shared" si="140"/>
        <v>0</v>
      </c>
      <c r="AP179" s="105">
        <f>SUM(AP131)</f>
        <v>3</v>
      </c>
      <c r="AQ179" s="105">
        <f>SUM(AQ131)</f>
        <v>4</v>
      </c>
      <c r="AR179" s="21">
        <f t="shared" si="141"/>
        <v>0.75</v>
      </c>
      <c r="AS179" s="105">
        <f>SUM(AS131)</f>
        <v>264</v>
      </c>
      <c r="AT179" s="105">
        <f>SUM(AT131)</f>
        <v>300</v>
      </c>
      <c r="AU179" s="21">
        <f t="shared" si="142"/>
        <v>0.88</v>
      </c>
      <c r="AV179" s="70"/>
      <c r="AW179" s="70"/>
      <c r="AX179" s="37" t="str">
        <f t="shared" si="143"/>
        <v>-</v>
      </c>
      <c r="AY179" s="10"/>
      <c r="AZ179" s="2"/>
      <c r="BA179" s="2"/>
      <c r="BB179" s="2"/>
      <c r="BC179" s="2"/>
      <c r="BD179" s="2"/>
    </row>
    <row r="180" spans="1:56" ht="14.25" customHeight="1">
      <c r="A180" s="8"/>
      <c r="B180" s="12" t="s">
        <v>125</v>
      </c>
      <c r="C180" s="106">
        <f>SUM(C114,C119,C120)+2</f>
        <v>151</v>
      </c>
      <c r="D180" s="106">
        <f>SUM(D114,D119,D120)+2</f>
        <v>159</v>
      </c>
      <c r="E180" s="65">
        <f t="shared" si="120"/>
        <v>0.94968553459119498</v>
      </c>
      <c r="F180" s="114">
        <f>SUM(F114,F119,F120)</f>
        <v>147</v>
      </c>
      <c r="G180" s="114">
        <f>SUM(G114,G119,G120)</f>
        <v>157</v>
      </c>
      <c r="H180" s="67">
        <f t="shared" si="121"/>
        <v>0.93630573248407645</v>
      </c>
      <c r="I180" s="115">
        <f>SUM(I114,I119,I120)</f>
        <v>134</v>
      </c>
      <c r="J180" s="115">
        <f>SUM(J114,J119,J120)</f>
        <v>156</v>
      </c>
      <c r="K180" s="65">
        <f t="shared" si="122"/>
        <v>0.85897435897435892</v>
      </c>
      <c r="L180" s="66">
        <f t="shared" si="123"/>
        <v>611</v>
      </c>
      <c r="M180" s="66">
        <f t="shared" si="124"/>
        <v>674</v>
      </c>
      <c r="N180" s="67">
        <f t="shared" si="125"/>
        <v>0.90652818991097928</v>
      </c>
      <c r="O180" s="66">
        <f t="shared" si="126"/>
        <v>738</v>
      </c>
      <c r="P180" s="66">
        <f t="shared" si="127"/>
        <v>789</v>
      </c>
      <c r="Q180" s="67">
        <f t="shared" si="128"/>
        <v>0.93536121673003803</v>
      </c>
      <c r="R180" s="66">
        <f t="shared" si="129"/>
        <v>1349</v>
      </c>
      <c r="S180" s="66">
        <f t="shared" si="130"/>
        <v>1463</v>
      </c>
      <c r="T180" s="67">
        <f t="shared" si="131"/>
        <v>0.92207792207792205</v>
      </c>
      <c r="U180" s="108">
        <f>SUM(U114,U119,U120)</f>
        <v>13</v>
      </c>
      <c r="V180" s="108">
        <f>SUM(V114,V119,V120)</f>
        <v>13</v>
      </c>
      <c r="W180" s="65">
        <f t="shared" si="132"/>
        <v>1</v>
      </c>
      <c r="X180" s="108">
        <f>SUM(X114,X119,X120)</f>
        <v>156</v>
      </c>
      <c r="Y180" s="108">
        <f>SUM(Y114,Y119,Y120)</f>
        <v>156</v>
      </c>
      <c r="Z180" s="65">
        <f t="shared" si="133"/>
        <v>1</v>
      </c>
      <c r="AA180" s="108">
        <f>SUM(AA114,AA119,AA120)</f>
        <v>169</v>
      </c>
      <c r="AB180" s="108">
        <f>SUM(AB114,AB119,AB120)</f>
        <v>169</v>
      </c>
      <c r="AC180" s="65">
        <f t="shared" si="134"/>
        <v>1</v>
      </c>
      <c r="AD180" s="68"/>
      <c r="AE180" s="68"/>
      <c r="AF180" s="37" t="str">
        <f t="shared" si="135"/>
        <v>-</v>
      </c>
      <c r="AG180" s="109">
        <f>SUM(AG114,AG119,AG120)</f>
        <v>0</v>
      </c>
      <c r="AH180" s="109">
        <f>SUM(AH114,AH119,AH120)</f>
        <v>0</v>
      </c>
      <c r="AI180" s="44" t="str">
        <f t="shared" si="136"/>
        <v>-</v>
      </c>
      <c r="AJ180" s="105">
        <f>SUM(AJ114,AJ119,AJ120)</f>
        <v>374</v>
      </c>
      <c r="AK180" s="105">
        <f>SUM(AK114,AK119,AK120)</f>
        <v>536</v>
      </c>
      <c r="AL180" s="21">
        <f t="shared" si="137"/>
        <v>0.69776119402985071</v>
      </c>
      <c r="AM180" s="36">
        <f t="shared" si="138"/>
        <v>0</v>
      </c>
      <c r="AN180" s="36">
        <f t="shared" si="139"/>
        <v>0</v>
      </c>
      <c r="AO180" s="36">
        <f t="shared" si="140"/>
        <v>0</v>
      </c>
      <c r="AP180" s="110">
        <f>SUM(AP114,AP119,AP120)</f>
        <v>44</v>
      </c>
      <c r="AQ180" s="110">
        <f>SUM(AQ114,AQ119,AQ120)</f>
        <v>52</v>
      </c>
      <c r="AR180" s="21">
        <f t="shared" si="141"/>
        <v>0.84615384615384615</v>
      </c>
      <c r="AS180" s="105">
        <f>SUM(AS114,AS119,AS120)</f>
        <v>674</v>
      </c>
      <c r="AT180" s="105">
        <f>SUM(AT114,AT119,AT120)</f>
        <v>935</v>
      </c>
      <c r="AU180" s="21">
        <f t="shared" si="142"/>
        <v>0.720855614973262</v>
      </c>
      <c r="AV180" s="70"/>
      <c r="AW180" s="70"/>
      <c r="AX180" s="37" t="str">
        <f t="shared" si="143"/>
        <v>-</v>
      </c>
      <c r="AY180" s="10"/>
      <c r="AZ180" s="2"/>
      <c r="BA180" s="2"/>
      <c r="BB180" s="2"/>
      <c r="BC180" s="2"/>
      <c r="BD180" s="2"/>
    </row>
    <row r="181" spans="1:56" ht="14.25" customHeight="1">
      <c r="A181" s="8"/>
      <c r="B181" s="12" t="s">
        <v>126</v>
      </c>
      <c r="C181" s="106">
        <f>SUM(C113,C121,C122,C129,C116)+1</f>
        <v>679</v>
      </c>
      <c r="D181" s="106">
        <f>SUM(D113,D121,D122,D129,D116)+1</f>
        <v>820</v>
      </c>
      <c r="E181" s="65">
        <f t="shared" si="120"/>
        <v>0.82804878048780484</v>
      </c>
      <c r="F181" s="107">
        <f>SUM(F113,F121,F122,F129,F116)</f>
        <v>717</v>
      </c>
      <c r="G181" s="107">
        <f>SUM(G113,G121,G122,G129,G116)</f>
        <v>837</v>
      </c>
      <c r="H181" s="67">
        <f t="shared" si="121"/>
        <v>0.85663082437275984</v>
      </c>
      <c r="I181" s="108">
        <f>SUM(I113,I121,I122,I129,I116)</f>
        <v>524</v>
      </c>
      <c r="J181" s="108">
        <f>SUM(J113,J121,J122,J129,J116)</f>
        <v>632</v>
      </c>
      <c r="K181" s="65">
        <f t="shared" si="122"/>
        <v>0.82911392405063289</v>
      </c>
      <c r="L181" s="66">
        <f t="shared" si="123"/>
        <v>2720</v>
      </c>
      <c r="M181" s="66">
        <f t="shared" si="124"/>
        <v>2973</v>
      </c>
      <c r="N181" s="67">
        <f t="shared" si="125"/>
        <v>0.91490077362933064</v>
      </c>
      <c r="O181" s="66">
        <f t="shared" si="126"/>
        <v>2460</v>
      </c>
      <c r="P181" s="66">
        <f t="shared" si="127"/>
        <v>2645</v>
      </c>
      <c r="Q181" s="67">
        <f t="shared" si="128"/>
        <v>0.93005671077504726</v>
      </c>
      <c r="R181" s="66">
        <f t="shared" si="129"/>
        <v>5180</v>
      </c>
      <c r="S181" s="66">
        <f t="shared" si="130"/>
        <v>5618</v>
      </c>
      <c r="T181" s="67">
        <f t="shared" si="131"/>
        <v>0.92203631185475254</v>
      </c>
      <c r="U181" s="108">
        <f>SUM(U113,U121,U122,U129,U116)</f>
        <v>79</v>
      </c>
      <c r="V181" s="108">
        <f>SUM(V113,V121,V122,V129,V116)</f>
        <v>79</v>
      </c>
      <c r="W181" s="65">
        <f t="shared" si="132"/>
        <v>1</v>
      </c>
      <c r="X181" s="108">
        <f>SUM(X113,X121,X122,X129,X116)</f>
        <v>507</v>
      </c>
      <c r="Y181" s="108">
        <f>SUM(Y113,Y121,Y122,Y129,Y116)</f>
        <v>507</v>
      </c>
      <c r="Z181" s="65">
        <f t="shared" si="133"/>
        <v>1</v>
      </c>
      <c r="AA181" s="108">
        <f>SUM(AA113,AA121,AA122,AA129,AA126,AA116)</f>
        <v>587</v>
      </c>
      <c r="AB181" s="108">
        <f>SUM(AB113,AB121,AB122,AB129,AB126,AB116)</f>
        <v>587</v>
      </c>
      <c r="AC181" s="65">
        <f t="shared" si="134"/>
        <v>1</v>
      </c>
      <c r="AD181" s="68"/>
      <c r="AE181" s="68"/>
      <c r="AF181" s="37" t="str">
        <f t="shared" si="135"/>
        <v>-</v>
      </c>
      <c r="AG181" s="109">
        <f>SUM(AG113,AG121,AG122,AG129,AG116)</f>
        <v>0</v>
      </c>
      <c r="AH181" s="109">
        <f>SUM(AH113,AH121,AH122,AH129,AH116)</f>
        <v>0</v>
      </c>
      <c r="AI181" s="44" t="str">
        <f t="shared" si="136"/>
        <v>-</v>
      </c>
      <c r="AJ181" s="110">
        <f>SUM(AJ113,AJ121,AJ122,AJ129,AJ116)</f>
        <v>1677</v>
      </c>
      <c r="AK181" s="110">
        <f>SUM(AK113,AK121,AK122,AK129,AK116)</f>
        <v>2092</v>
      </c>
      <c r="AL181" s="21">
        <f t="shared" si="137"/>
        <v>0.80162523900573612</v>
      </c>
      <c r="AM181" s="36">
        <f t="shared" si="138"/>
        <v>0</v>
      </c>
      <c r="AN181" s="36">
        <f t="shared" si="139"/>
        <v>0</v>
      </c>
      <c r="AO181" s="36">
        <f t="shared" si="140"/>
        <v>0</v>
      </c>
      <c r="AP181" s="110">
        <f>SUM(AP113,AP121,AP122,AP129,AP116)</f>
        <v>266</v>
      </c>
      <c r="AQ181" s="110">
        <f>SUM(AQ113,AQ121,AQ122,AQ129,AQ116)</f>
        <v>313</v>
      </c>
      <c r="AR181" s="21">
        <f t="shared" si="141"/>
        <v>0.84984025559105436</v>
      </c>
      <c r="AS181" s="110">
        <f>SUM(AS113,AS121,AS122,AS129,AS116)</f>
        <v>2566</v>
      </c>
      <c r="AT181" s="110">
        <f>SUM(AT113,AT121,AT122,AT129,AT116)</f>
        <v>3036</v>
      </c>
      <c r="AU181" s="21">
        <f t="shared" si="142"/>
        <v>0.84519104084321472</v>
      </c>
      <c r="AV181" s="70"/>
      <c r="AW181" s="70"/>
      <c r="AX181" s="37" t="str">
        <f t="shared" si="143"/>
        <v>-</v>
      </c>
      <c r="AY181" s="10"/>
      <c r="AZ181" s="2"/>
      <c r="BA181" s="2"/>
      <c r="BB181" s="2"/>
      <c r="BC181" s="2"/>
      <c r="BD181" s="2"/>
    </row>
    <row r="182" spans="1:56" ht="14.25" customHeight="1">
      <c r="A182" s="8"/>
      <c r="B182" s="12" t="s">
        <v>127</v>
      </c>
      <c r="C182" s="106">
        <f>SUM(C141,C143)</f>
        <v>0</v>
      </c>
      <c r="D182" s="106">
        <f>SUM(D141,D143)</f>
        <v>0</v>
      </c>
      <c r="E182" s="80" t="str">
        <f t="shared" si="120"/>
        <v>-</v>
      </c>
      <c r="F182" s="114">
        <f>SUM(F141,F143)</f>
        <v>280</v>
      </c>
      <c r="G182" s="114">
        <f>SUM(G141,G143)</f>
        <v>301</v>
      </c>
      <c r="H182" s="67">
        <f t="shared" si="121"/>
        <v>0.93023255813953487</v>
      </c>
      <c r="I182" s="115">
        <f>SUM(I141,I143)</f>
        <v>87</v>
      </c>
      <c r="J182" s="115">
        <f>SUM(J141,J143)</f>
        <v>134</v>
      </c>
      <c r="K182" s="65">
        <f t="shared" si="122"/>
        <v>0.64925373134328357</v>
      </c>
      <c r="L182" s="66">
        <f>SUM(L141,L143)</f>
        <v>217</v>
      </c>
      <c r="M182" s="66">
        <f>SUM(M141,M143)</f>
        <v>273</v>
      </c>
      <c r="N182" s="67">
        <f t="shared" si="125"/>
        <v>0.79487179487179482</v>
      </c>
      <c r="O182" s="66">
        <f>SUM(O141,O143)</f>
        <v>396</v>
      </c>
      <c r="P182" s="66">
        <f>SUM(P141,P143)</f>
        <v>452</v>
      </c>
      <c r="Q182" s="67">
        <f t="shared" si="128"/>
        <v>0.87610619469026552</v>
      </c>
      <c r="R182" s="66">
        <f>SUM(R141,R143)</f>
        <v>613</v>
      </c>
      <c r="S182" s="66">
        <f>SUM(S141,S143)</f>
        <v>725</v>
      </c>
      <c r="T182" s="67">
        <f t="shared" si="131"/>
        <v>0.84551724137931039</v>
      </c>
      <c r="U182" s="108">
        <f>SUM(U141,U143)</f>
        <v>0</v>
      </c>
      <c r="V182" s="108">
        <f>SUM(V141,V143)</f>
        <v>0</v>
      </c>
      <c r="W182" s="80" t="str">
        <f t="shared" si="132"/>
        <v>-</v>
      </c>
      <c r="X182" s="108">
        <f>SUM(X141,X143)</f>
        <v>23</v>
      </c>
      <c r="Y182" s="108">
        <f>SUM(Y141,Y143)</f>
        <v>23</v>
      </c>
      <c r="Z182" s="65">
        <f t="shared" si="133"/>
        <v>1</v>
      </c>
      <c r="AA182" s="108">
        <f>SUM(AA141,AA143)</f>
        <v>23</v>
      </c>
      <c r="AB182" s="108">
        <f>SUM(AB141,AB143)</f>
        <v>23</v>
      </c>
      <c r="AC182" s="65">
        <f t="shared" si="134"/>
        <v>1</v>
      </c>
      <c r="AD182" s="68"/>
      <c r="AE182" s="68"/>
      <c r="AF182" s="37" t="str">
        <f t="shared" si="135"/>
        <v>-</v>
      </c>
      <c r="AG182" s="109">
        <f>SUM(AG141,AG143)</f>
        <v>0</v>
      </c>
      <c r="AH182" s="109">
        <f>SUM(AH141,AH143)</f>
        <v>0</v>
      </c>
      <c r="AI182" s="44" t="str">
        <f t="shared" si="136"/>
        <v>-</v>
      </c>
      <c r="AJ182" s="105">
        <f>SUM(AJ141,AJ143)</f>
        <v>693</v>
      </c>
      <c r="AK182" s="105">
        <f>SUM(AK141,AK143)</f>
        <v>783</v>
      </c>
      <c r="AL182" s="21">
        <f t="shared" si="137"/>
        <v>0.88505747126436785</v>
      </c>
      <c r="AM182" s="36">
        <f t="shared" si="138"/>
        <v>0</v>
      </c>
      <c r="AN182" s="36">
        <f t="shared" si="139"/>
        <v>0</v>
      </c>
      <c r="AO182" s="36">
        <f t="shared" si="140"/>
        <v>0</v>
      </c>
      <c r="AP182" s="105">
        <f>SUM(AP141,AP143)</f>
        <v>0</v>
      </c>
      <c r="AQ182" s="105">
        <f>SUM(AQ141,AQ143)</f>
        <v>0</v>
      </c>
      <c r="AR182" s="37" t="str">
        <f t="shared" si="141"/>
        <v>-</v>
      </c>
      <c r="AS182" s="105">
        <f>SUM(AS141,AS143)</f>
        <v>0</v>
      </c>
      <c r="AT182" s="105">
        <f>SUM(AT141,AT143)</f>
        <v>0</v>
      </c>
      <c r="AU182" s="37" t="str">
        <f t="shared" si="142"/>
        <v>-</v>
      </c>
      <c r="AV182" s="70"/>
      <c r="AW182" s="70"/>
      <c r="AX182" s="37" t="str">
        <f t="shared" si="143"/>
        <v>-</v>
      </c>
      <c r="AY182" s="10"/>
      <c r="AZ182" s="2"/>
      <c r="BA182" s="2"/>
      <c r="BB182" s="2"/>
      <c r="BC182" s="2"/>
      <c r="BD182" s="2"/>
    </row>
    <row r="183" spans="1:56" ht="14.25" customHeight="1">
      <c r="A183" s="8"/>
      <c r="B183" s="45" t="s">
        <v>128</v>
      </c>
      <c r="C183" s="79"/>
      <c r="D183" s="79"/>
      <c r="E183" s="80" t="str">
        <f t="shared" si="120"/>
        <v>-</v>
      </c>
      <c r="F183" s="114">
        <f t="shared" ref="F183:K183" si="144">F145</f>
        <v>26</v>
      </c>
      <c r="G183" s="114">
        <f t="shared" si="144"/>
        <v>27</v>
      </c>
      <c r="H183" s="116">
        <f t="shared" si="144"/>
        <v>0.96296296296296291</v>
      </c>
      <c r="I183" s="117" t="str">
        <f t="shared" si="144"/>
        <v>-</v>
      </c>
      <c r="J183" s="117" t="str">
        <f t="shared" si="144"/>
        <v>-</v>
      </c>
      <c r="K183" s="117" t="str">
        <f t="shared" si="144"/>
        <v>-</v>
      </c>
      <c r="L183" s="118"/>
      <c r="M183" s="118"/>
      <c r="N183" s="83" t="str">
        <f t="shared" si="125"/>
        <v>-</v>
      </c>
      <c r="O183" s="118"/>
      <c r="P183" s="118"/>
      <c r="Q183" s="83" t="str">
        <f t="shared" si="128"/>
        <v>-</v>
      </c>
      <c r="R183" s="118"/>
      <c r="S183" s="118"/>
      <c r="T183" s="83" t="str">
        <f t="shared" si="131"/>
        <v>-</v>
      </c>
      <c r="U183" s="117" t="str">
        <f t="shared" ref="U183:AC183" si="145">U145</f>
        <v>-</v>
      </c>
      <c r="V183" s="117" t="str">
        <f t="shared" si="145"/>
        <v>-</v>
      </c>
      <c r="W183" s="117" t="str">
        <f t="shared" si="145"/>
        <v>-</v>
      </c>
      <c r="X183" s="117" t="str">
        <f t="shared" si="145"/>
        <v>-</v>
      </c>
      <c r="Y183" s="117" t="str">
        <f t="shared" si="145"/>
        <v>-</v>
      </c>
      <c r="Z183" s="117" t="str">
        <f t="shared" si="145"/>
        <v>-</v>
      </c>
      <c r="AA183" s="108">
        <f t="shared" si="145"/>
        <v>0</v>
      </c>
      <c r="AB183" s="108">
        <f t="shared" si="145"/>
        <v>0</v>
      </c>
      <c r="AC183" s="117" t="str">
        <f t="shared" si="145"/>
        <v>-</v>
      </c>
      <c r="AD183" s="68"/>
      <c r="AE183" s="68"/>
      <c r="AF183" s="37" t="str">
        <f t="shared" si="135"/>
        <v>-</v>
      </c>
      <c r="AG183" s="119" t="str">
        <f>AG145</f>
        <v>-</v>
      </c>
      <c r="AH183" s="119" t="str">
        <f>AH145</f>
        <v>-</v>
      </c>
      <c r="AI183" s="44" t="str">
        <f t="shared" si="136"/>
        <v>-</v>
      </c>
      <c r="AJ183" s="120">
        <f>AJ145</f>
        <v>0</v>
      </c>
      <c r="AK183" s="120">
        <f>AK145</f>
        <v>0</v>
      </c>
      <c r="AL183" s="37" t="str">
        <f t="shared" si="137"/>
        <v>-</v>
      </c>
      <c r="AM183" s="101"/>
      <c r="AN183" s="101">
        <f t="shared" ref="AN183:AN188" si="146">Y295</f>
        <v>0</v>
      </c>
      <c r="AO183" s="101"/>
      <c r="AP183" s="121" t="str">
        <f>AP145</f>
        <v>-</v>
      </c>
      <c r="AQ183" s="121" t="str">
        <f>AQ145</f>
        <v>-</v>
      </c>
      <c r="AR183" s="37" t="str">
        <f t="shared" si="141"/>
        <v>-</v>
      </c>
      <c r="AS183" s="121" t="str">
        <f>AS145</f>
        <v>-</v>
      </c>
      <c r="AT183" s="121" t="str">
        <f>AT145</f>
        <v>-</v>
      </c>
      <c r="AU183" s="37" t="str">
        <f t="shared" si="142"/>
        <v>-</v>
      </c>
      <c r="AV183" s="122">
        <f>AV145</f>
        <v>0</v>
      </c>
      <c r="AW183" s="122">
        <f>AW145</f>
        <v>0</v>
      </c>
      <c r="AX183" s="37" t="str">
        <f t="shared" si="143"/>
        <v>-</v>
      </c>
      <c r="AY183" s="10"/>
      <c r="AZ183" s="2"/>
      <c r="BA183" s="2"/>
      <c r="BB183" s="2"/>
      <c r="BC183" s="2"/>
      <c r="BD183" s="2"/>
    </row>
    <row r="184" spans="1:56" ht="14.25" customHeight="1">
      <c r="A184" s="8"/>
      <c r="B184" s="12" t="s">
        <v>129</v>
      </c>
      <c r="C184" s="79"/>
      <c r="D184" s="79"/>
      <c r="E184" s="80" t="str">
        <f t="shared" si="120"/>
        <v>-</v>
      </c>
      <c r="F184" s="107">
        <f>F175+F183</f>
        <v>221</v>
      </c>
      <c r="G184" s="107">
        <f>G175+G183</f>
        <v>235</v>
      </c>
      <c r="H184" s="67">
        <f>IFERROR(F184/G184,"-")</f>
        <v>0.94042553191489364</v>
      </c>
      <c r="I184" s="108">
        <f>IFERROR(I183+I175,I175)</f>
        <v>188</v>
      </c>
      <c r="J184" s="108">
        <f>IFERROR(J183+J175,J175)</f>
        <v>212</v>
      </c>
      <c r="K184" s="65">
        <f>IFERROR(I184/J184,"-")</f>
        <v>0.8867924528301887</v>
      </c>
      <c r="L184" s="118"/>
      <c r="M184" s="118"/>
      <c r="N184" s="83" t="str">
        <f t="shared" si="125"/>
        <v>-</v>
      </c>
      <c r="O184" s="118"/>
      <c r="P184" s="118"/>
      <c r="Q184" s="83" t="str">
        <f t="shared" si="128"/>
        <v>-</v>
      </c>
      <c r="R184" s="118"/>
      <c r="S184" s="118"/>
      <c r="T184" s="83" t="str">
        <f t="shared" si="131"/>
        <v>-</v>
      </c>
      <c r="U184" s="108">
        <f>IFERROR(U183+U175,U175)</f>
        <v>9</v>
      </c>
      <c r="V184" s="108">
        <f>IFERROR(V183+V175,V175)</f>
        <v>9</v>
      </c>
      <c r="W184" s="65">
        <f>IFERROR(U184/V184,"-")</f>
        <v>1</v>
      </c>
      <c r="X184" s="108">
        <f>IFERROR(X183+X175,X175)</f>
        <v>148</v>
      </c>
      <c r="Y184" s="108">
        <f>IFERROR(Y183+Y175,Y175)</f>
        <v>148</v>
      </c>
      <c r="Z184" s="65">
        <f>IFERROR(X184/Y184,"-")</f>
        <v>1</v>
      </c>
      <c r="AA184" s="108">
        <f>IFERROR(AA183+AA175,AA175)</f>
        <v>157</v>
      </c>
      <c r="AB184" s="108">
        <f>IFERROR(AB183+AB175,AB175)</f>
        <v>157</v>
      </c>
      <c r="AC184" s="65">
        <f>IFERROR(AA184/AB184,"-")</f>
        <v>1</v>
      </c>
      <c r="AD184" s="68"/>
      <c r="AE184" s="68"/>
      <c r="AF184" s="37" t="str">
        <f t="shared" si="135"/>
        <v>-</v>
      </c>
      <c r="AG184" s="109">
        <f>IFERROR(AG183+AG175,AG175)</f>
        <v>0</v>
      </c>
      <c r="AH184" s="109">
        <f>IFERROR(AH183+AH175,AH175)</f>
        <v>0</v>
      </c>
      <c r="AI184" s="44" t="str">
        <f t="shared" si="136"/>
        <v>-</v>
      </c>
      <c r="AJ184" s="110">
        <f>IFERROR(AJ175+AJ183,AJ175)</f>
        <v>528</v>
      </c>
      <c r="AK184" s="110">
        <f>IFERROR(AK175+AK183,AK175)</f>
        <v>752</v>
      </c>
      <c r="AL184" s="21">
        <f t="shared" si="137"/>
        <v>0.7021276595744681</v>
      </c>
      <c r="AM184" s="101"/>
      <c r="AN184" s="101">
        <f t="shared" si="146"/>
        <v>0</v>
      </c>
      <c r="AO184" s="101"/>
      <c r="AP184" s="110">
        <f>IFERROR(AP175+AP183,AP175)</f>
        <v>27</v>
      </c>
      <c r="AQ184" s="110">
        <f>IFERROR(AQ175+AQ183,AQ175)</f>
        <v>35</v>
      </c>
      <c r="AR184" s="21">
        <f t="shared" si="141"/>
        <v>0.77142857142857146</v>
      </c>
      <c r="AS184" s="110">
        <f>IFERROR(AS175+AS183,AS175)</f>
        <v>702</v>
      </c>
      <c r="AT184" s="110">
        <f>IFERROR(AT175+AT183,AT175)</f>
        <v>888</v>
      </c>
      <c r="AU184" s="21">
        <f t="shared" si="142"/>
        <v>0.79054054054054057</v>
      </c>
      <c r="AV184" s="110">
        <f>IFERROR(AV175+AV183,AV175)</f>
        <v>0</v>
      </c>
      <c r="AW184" s="110">
        <f>IFERROR(AW175+AW183,AW175)</f>
        <v>0</v>
      </c>
      <c r="AX184" s="37" t="str">
        <f t="shared" si="143"/>
        <v>-</v>
      </c>
      <c r="AY184" s="10"/>
      <c r="AZ184" s="2"/>
      <c r="BA184" s="2"/>
      <c r="BB184" s="2"/>
      <c r="BC184" s="2"/>
      <c r="BD184" s="2"/>
    </row>
    <row r="185" spans="1:56" ht="14.25" customHeight="1">
      <c r="A185" s="8"/>
      <c r="B185" s="12" t="s">
        <v>130</v>
      </c>
      <c r="C185" s="111">
        <f>SUM(C123,C125,C130)+0</f>
        <v>115</v>
      </c>
      <c r="D185" s="111">
        <f>SUM(D123,D125,D130)+1</f>
        <v>124</v>
      </c>
      <c r="E185" s="65">
        <f t="shared" si="120"/>
        <v>0.92741935483870963</v>
      </c>
      <c r="F185" s="107">
        <f>SUM(F123,F125,F130)</f>
        <v>117</v>
      </c>
      <c r="G185" s="107">
        <f>SUM(G123,G125,G130)</f>
        <v>123</v>
      </c>
      <c r="H185" s="67">
        <f>IFERROR(F185/G185,"-")</f>
        <v>0.95121951219512191</v>
      </c>
      <c r="I185" s="108">
        <f>SUM(I123,I125,I130)</f>
        <v>105</v>
      </c>
      <c r="J185" s="108">
        <f>SUM(J123,J125,J130)</f>
        <v>114</v>
      </c>
      <c r="K185" s="65">
        <f>IFERROR(I185/J185,"-")</f>
        <v>0.92105263157894735</v>
      </c>
      <c r="L185" s="66">
        <f>IFERROR(SUM(C318,L318,U318),"-")</f>
        <v>419</v>
      </c>
      <c r="M185" s="66">
        <f>IFERROR(SUM(D318,M318,V318),"-")</f>
        <v>441</v>
      </c>
      <c r="N185" s="67">
        <f t="shared" si="125"/>
        <v>0.95011337868480727</v>
      </c>
      <c r="O185" s="66">
        <f>IFERROR(SUM(F318,O318,X318),"-")</f>
        <v>474</v>
      </c>
      <c r="P185" s="66">
        <f>IFERROR(SUM(G318,P318,Y318),"-")</f>
        <v>501</v>
      </c>
      <c r="Q185" s="67">
        <f t="shared" si="128"/>
        <v>0.94610778443113774</v>
      </c>
      <c r="R185" s="66">
        <f>IFERROR(SUM(I318,R318,AA318),"-")</f>
        <v>893</v>
      </c>
      <c r="S185" s="66">
        <f>IFERROR(SUM(J318,S318,AB318),"-")</f>
        <v>942</v>
      </c>
      <c r="T185" s="67">
        <f t="shared" si="131"/>
        <v>0.94798301486199577</v>
      </c>
      <c r="U185" s="108">
        <f>SUM(U123,U125,U130)</f>
        <v>10</v>
      </c>
      <c r="V185" s="108">
        <f>SUM(V123,V125,V130)</f>
        <v>10</v>
      </c>
      <c r="W185" s="65">
        <f>IFERROR(U185/V185,"-")</f>
        <v>1</v>
      </c>
      <c r="X185" s="108">
        <f>SUM(X123,X125,X130)</f>
        <v>77</v>
      </c>
      <c r="Y185" s="108">
        <f>SUM(Y123,Y125,Y130)</f>
        <v>77</v>
      </c>
      <c r="Z185" s="65">
        <f>IFERROR(X185/Y185,"-")</f>
        <v>1</v>
      </c>
      <c r="AA185" s="108">
        <f>SUM(AA123,AA125,AA130)</f>
        <v>87</v>
      </c>
      <c r="AB185" s="108">
        <f>SUM(AB123,AB125,AB130)</f>
        <v>87</v>
      </c>
      <c r="AC185" s="65">
        <f>IFERROR(AA185/AB185,"-")</f>
        <v>1</v>
      </c>
      <c r="AD185" s="68"/>
      <c r="AE185" s="68"/>
      <c r="AF185" s="37" t="str">
        <f t="shared" si="135"/>
        <v>-</v>
      </c>
      <c r="AG185" s="109">
        <f>SUM(AG123,AG125,AG130)</f>
        <v>0</v>
      </c>
      <c r="AH185" s="109">
        <f>SUM(AH123,AH125,AH130)</f>
        <v>0</v>
      </c>
      <c r="AI185" s="44" t="str">
        <f t="shared" si="136"/>
        <v>-</v>
      </c>
      <c r="AJ185" s="110">
        <f>SUM(AJ123,AJ125,AJ130)</f>
        <v>345</v>
      </c>
      <c r="AK185" s="110">
        <f>SUM(AK123,AK125,AK130)</f>
        <v>420</v>
      </c>
      <c r="AL185" s="21">
        <f t="shared" si="137"/>
        <v>0.8214285714285714</v>
      </c>
      <c r="AM185" s="36">
        <f>X297</f>
        <v>0</v>
      </c>
      <c r="AN185" s="36">
        <f t="shared" si="146"/>
        <v>0</v>
      </c>
      <c r="AO185" s="36">
        <f>Z297</f>
        <v>0</v>
      </c>
      <c r="AP185" s="110">
        <f>SUM(AP123,AP125,AP130)</f>
        <v>31</v>
      </c>
      <c r="AQ185" s="110">
        <f>SUM(AQ123,AQ125,AQ130)</f>
        <v>40</v>
      </c>
      <c r="AR185" s="21">
        <f t="shared" si="141"/>
        <v>0.77500000000000002</v>
      </c>
      <c r="AS185" s="110">
        <f>SUM(AS123,AS125,AS130)</f>
        <v>379</v>
      </c>
      <c r="AT185" s="110">
        <f>SUM(AT123,AT125,AT130)</f>
        <v>462</v>
      </c>
      <c r="AU185" s="21">
        <f t="shared" si="142"/>
        <v>0.82034632034632038</v>
      </c>
      <c r="AV185" s="70"/>
      <c r="AW185" s="70"/>
      <c r="AX185" s="37" t="str">
        <f t="shared" si="143"/>
        <v>-</v>
      </c>
      <c r="AY185" s="10"/>
      <c r="AZ185" s="2"/>
      <c r="BA185" s="2"/>
      <c r="BB185" s="2"/>
      <c r="BC185" s="2"/>
      <c r="BD185" s="2"/>
    </row>
    <row r="186" spans="1:56" ht="14.25" customHeight="1">
      <c r="A186" s="8"/>
      <c r="B186" s="12" t="s">
        <v>131</v>
      </c>
      <c r="C186" s="85">
        <f>C142</f>
        <v>0</v>
      </c>
      <c r="D186" s="85">
        <f>D142</f>
        <v>0</v>
      </c>
      <c r="E186" s="80" t="str">
        <f t="shared" si="120"/>
        <v>-</v>
      </c>
      <c r="F186" s="114">
        <f>SUM(F142)</f>
        <v>28</v>
      </c>
      <c r="G186" s="114">
        <f>SUM(G142)</f>
        <v>34</v>
      </c>
      <c r="H186" s="67">
        <f>IFERROR(F186/G186,"-")</f>
        <v>0.82352941176470584</v>
      </c>
      <c r="I186" s="115">
        <f>SUM(I142)</f>
        <v>3</v>
      </c>
      <c r="J186" s="115">
        <f>SUM(J142)</f>
        <v>5</v>
      </c>
      <c r="K186" s="65">
        <f>IFERROR(I186/J186,"-")</f>
        <v>0.6</v>
      </c>
      <c r="L186" s="66">
        <f>SUM(L142)</f>
        <v>20</v>
      </c>
      <c r="M186" s="66">
        <f>SUM(M142)</f>
        <v>25</v>
      </c>
      <c r="N186" s="67">
        <f t="shared" si="125"/>
        <v>0.8</v>
      </c>
      <c r="O186" s="66">
        <f>SUM(O142)</f>
        <v>33</v>
      </c>
      <c r="P186" s="66">
        <f>SUM(P142)</f>
        <v>36</v>
      </c>
      <c r="Q186" s="67">
        <f t="shared" si="128"/>
        <v>0.91666666666666663</v>
      </c>
      <c r="R186" s="66">
        <f>SUM(R142)</f>
        <v>53</v>
      </c>
      <c r="S186" s="66">
        <f>SUM(S142)</f>
        <v>61</v>
      </c>
      <c r="T186" s="67">
        <f t="shared" si="131"/>
        <v>0.86885245901639341</v>
      </c>
      <c r="U186" s="117" t="str">
        <f>U142</f>
        <v>-</v>
      </c>
      <c r="V186" s="117" t="str">
        <f>V142</f>
        <v>-</v>
      </c>
      <c r="W186" s="80" t="str">
        <f>IFERROR(U186/V186,"-")</f>
        <v>-</v>
      </c>
      <c r="X186" s="117" t="str">
        <f>X142</f>
        <v>-</v>
      </c>
      <c r="Y186" s="117" t="str">
        <f>Y142</f>
        <v>-</v>
      </c>
      <c r="Z186" s="80" t="str">
        <f>IFERROR(X186/Y186,"-")</f>
        <v>-</v>
      </c>
      <c r="AA186" s="108">
        <f>SUM(AA142)</f>
        <v>0</v>
      </c>
      <c r="AB186" s="108">
        <f>SUM(AB142)</f>
        <v>0</v>
      </c>
      <c r="AC186" s="80" t="str">
        <f>IFERROR(AA186/AB186,"-")</f>
        <v>-</v>
      </c>
      <c r="AD186" s="68"/>
      <c r="AE186" s="68"/>
      <c r="AF186" s="37" t="str">
        <f t="shared" si="135"/>
        <v>-</v>
      </c>
      <c r="AG186" s="119" t="str">
        <f>AG142</f>
        <v>-</v>
      </c>
      <c r="AH186" s="119" t="str">
        <f>AH142</f>
        <v>-</v>
      </c>
      <c r="AI186" s="44" t="str">
        <f t="shared" si="136"/>
        <v>-</v>
      </c>
      <c r="AJ186" s="105">
        <f>AJ142</f>
        <v>26</v>
      </c>
      <c r="AK186" s="105">
        <f>AK142</f>
        <v>27</v>
      </c>
      <c r="AL186" s="21">
        <f t="shared" si="137"/>
        <v>0.96296296296296291</v>
      </c>
      <c r="AM186" s="36">
        <f>X298</f>
        <v>0</v>
      </c>
      <c r="AN186" s="36">
        <f t="shared" si="146"/>
        <v>0</v>
      </c>
      <c r="AO186" s="36">
        <f>Z298</f>
        <v>0</v>
      </c>
      <c r="AP186" s="121" t="str">
        <f>AP142</f>
        <v>-</v>
      </c>
      <c r="AQ186" s="121" t="str">
        <f>AQ142</f>
        <v>-</v>
      </c>
      <c r="AR186" s="37" t="str">
        <f t="shared" si="141"/>
        <v>-</v>
      </c>
      <c r="AS186" s="121" t="str">
        <f>AS142</f>
        <v>-</v>
      </c>
      <c r="AT186" s="121" t="str">
        <f>AT142</f>
        <v>-</v>
      </c>
      <c r="AU186" s="37" t="str">
        <f t="shared" si="142"/>
        <v>-</v>
      </c>
      <c r="AV186" s="70"/>
      <c r="AW186" s="70"/>
      <c r="AX186" s="37" t="str">
        <f t="shared" si="143"/>
        <v>-</v>
      </c>
      <c r="AY186" s="10"/>
      <c r="AZ186" s="2"/>
      <c r="BA186" s="2"/>
      <c r="BB186" s="2"/>
      <c r="BC186" s="2"/>
      <c r="BD186" s="2"/>
    </row>
    <row r="187" spans="1:56" ht="14.25" customHeight="1">
      <c r="A187" s="8"/>
      <c r="B187" s="45" t="s">
        <v>132</v>
      </c>
      <c r="C187" s="79"/>
      <c r="D187" s="79"/>
      <c r="E187" s="80" t="str">
        <f t="shared" si="120"/>
        <v>-</v>
      </c>
      <c r="F187" s="114">
        <f t="shared" ref="F187:K187" si="147">F144</f>
        <v>29</v>
      </c>
      <c r="G187" s="114">
        <f t="shared" si="147"/>
        <v>30</v>
      </c>
      <c r="H187" s="116">
        <f t="shared" si="147"/>
        <v>0.96666666666666667</v>
      </c>
      <c r="I187" s="117" t="str">
        <f t="shared" si="147"/>
        <v>-</v>
      </c>
      <c r="J187" s="117" t="str">
        <f t="shared" si="147"/>
        <v>-</v>
      </c>
      <c r="K187" s="117" t="str">
        <f t="shared" si="147"/>
        <v>-</v>
      </c>
      <c r="L187" s="118"/>
      <c r="M187" s="118"/>
      <c r="N187" s="83" t="str">
        <f t="shared" si="125"/>
        <v>-</v>
      </c>
      <c r="O187" s="118"/>
      <c r="P187" s="118"/>
      <c r="Q187" s="83" t="str">
        <f t="shared" si="128"/>
        <v>-</v>
      </c>
      <c r="R187" s="118"/>
      <c r="S187" s="118"/>
      <c r="T187" s="83" t="str">
        <f t="shared" si="131"/>
        <v>-</v>
      </c>
      <c r="U187" s="117" t="str">
        <f t="shared" ref="U187:AC187" si="148">U144</f>
        <v>-</v>
      </c>
      <c r="V187" s="117" t="str">
        <f t="shared" si="148"/>
        <v>-</v>
      </c>
      <c r="W187" s="117" t="str">
        <f t="shared" si="148"/>
        <v>-</v>
      </c>
      <c r="X187" s="117" t="str">
        <f t="shared" si="148"/>
        <v>-</v>
      </c>
      <c r="Y187" s="117" t="str">
        <f t="shared" si="148"/>
        <v>-</v>
      </c>
      <c r="Z187" s="117" t="str">
        <f t="shared" si="148"/>
        <v>-</v>
      </c>
      <c r="AA187" s="108">
        <f t="shared" si="148"/>
        <v>0</v>
      </c>
      <c r="AB187" s="108">
        <f t="shared" si="148"/>
        <v>0</v>
      </c>
      <c r="AC187" s="117" t="str">
        <f t="shared" si="148"/>
        <v>-</v>
      </c>
      <c r="AD187" s="68"/>
      <c r="AE187" s="68"/>
      <c r="AF187" s="37" t="str">
        <f t="shared" si="135"/>
        <v>-</v>
      </c>
      <c r="AG187" s="119" t="str">
        <f>AG144</f>
        <v>-</v>
      </c>
      <c r="AH187" s="119" t="str">
        <f>AH144</f>
        <v>-</v>
      </c>
      <c r="AI187" s="44" t="str">
        <f t="shared" si="136"/>
        <v>-</v>
      </c>
      <c r="AJ187" s="120">
        <f>AJ144</f>
        <v>0</v>
      </c>
      <c r="AK187" s="120">
        <f>AK144</f>
        <v>0</v>
      </c>
      <c r="AL187" s="37" t="str">
        <f t="shared" si="137"/>
        <v>-</v>
      </c>
      <c r="AM187" s="101"/>
      <c r="AN187" s="101">
        <f t="shared" si="146"/>
        <v>0</v>
      </c>
      <c r="AO187" s="101"/>
      <c r="AP187" s="121" t="str">
        <f>AP144</f>
        <v>-</v>
      </c>
      <c r="AQ187" s="121" t="str">
        <f>AQ144</f>
        <v>-</v>
      </c>
      <c r="AR187" s="37" t="str">
        <f t="shared" si="141"/>
        <v>-</v>
      </c>
      <c r="AS187" s="121" t="str">
        <f>AS144</f>
        <v>-</v>
      </c>
      <c r="AT187" s="121" t="str">
        <f>AT144</f>
        <v>-</v>
      </c>
      <c r="AU187" s="37" t="str">
        <f t="shared" si="142"/>
        <v>-</v>
      </c>
      <c r="AV187" s="122">
        <f>AV144</f>
        <v>0</v>
      </c>
      <c r="AW187" s="122">
        <f>AW144</f>
        <v>0</v>
      </c>
      <c r="AX187" s="37" t="str">
        <f t="shared" si="143"/>
        <v>-</v>
      </c>
      <c r="AY187" s="10"/>
      <c r="AZ187" s="2"/>
      <c r="BA187" s="2"/>
      <c r="BB187" s="2"/>
      <c r="BC187" s="2"/>
      <c r="BD187" s="2"/>
    </row>
    <row r="188" spans="1:56" ht="14.25" customHeight="1">
      <c r="A188" s="8"/>
      <c r="B188" s="12" t="s">
        <v>133</v>
      </c>
      <c r="C188" s="79"/>
      <c r="D188" s="79"/>
      <c r="E188" s="80" t="str">
        <f t="shared" si="120"/>
        <v>-</v>
      </c>
      <c r="F188" s="107">
        <f>SUM(F185:F187)</f>
        <v>174</v>
      </c>
      <c r="G188" s="107">
        <f>SUM(G185:G187)</f>
        <v>187</v>
      </c>
      <c r="H188" s="67">
        <f>IFERROR(F188/G188,"-")</f>
        <v>0.93048128342245995</v>
      </c>
      <c r="I188" s="108">
        <f>IFERROR(I187+I185+I186,I185+I186)</f>
        <v>108</v>
      </c>
      <c r="J188" s="108">
        <f>IFERROR(J187+J185+J186,J185+J186)</f>
        <v>119</v>
      </c>
      <c r="K188" s="65">
        <f>IFERROR(I188/J188,"-")</f>
        <v>0.90756302521008403</v>
      </c>
      <c r="L188" s="118"/>
      <c r="M188" s="118"/>
      <c r="N188" s="83" t="str">
        <f t="shared" si="125"/>
        <v>-</v>
      </c>
      <c r="O188" s="118"/>
      <c r="P188" s="118"/>
      <c r="Q188" s="83" t="str">
        <f t="shared" si="128"/>
        <v>-</v>
      </c>
      <c r="R188" s="118"/>
      <c r="S188" s="118"/>
      <c r="T188" s="83" t="str">
        <f t="shared" si="131"/>
        <v>-</v>
      </c>
      <c r="U188" s="108">
        <f>IFERROR(U185+U186+U187,U185)</f>
        <v>10</v>
      </c>
      <c r="V188" s="108">
        <f>IFERROR(V185+V186+V187,V185)</f>
        <v>10</v>
      </c>
      <c r="W188" s="65">
        <f>IFERROR(U188/V188,"-")</f>
        <v>1</v>
      </c>
      <c r="X188" s="108">
        <f>IFERROR(X185+X186+X187,X185)</f>
        <v>77</v>
      </c>
      <c r="Y188" s="108">
        <f>IFERROR(Y185+Y186+Y187,Y185)</f>
        <v>77</v>
      </c>
      <c r="Z188" s="65">
        <f>IFERROR(X188/Y188,"-")</f>
        <v>1</v>
      </c>
      <c r="AA188" s="108">
        <f>IFERROR(AA185+AA186+AA187,AA185)</f>
        <v>87</v>
      </c>
      <c r="AB188" s="108">
        <f>IFERROR(AB185+AB186+AB187,AB185)</f>
        <v>87</v>
      </c>
      <c r="AC188" s="65">
        <f>IFERROR(AA188/AB188,"-")</f>
        <v>1</v>
      </c>
      <c r="AD188" s="68"/>
      <c r="AE188" s="68"/>
      <c r="AF188" s="37" t="str">
        <f t="shared" si="135"/>
        <v>-</v>
      </c>
      <c r="AG188" s="109">
        <f>IFERROR(AG185+AG186+AG187,AG185)</f>
        <v>0</v>
      </c>
      <c r="AH188" s="109">
        <f>IFERROR(AH185+AH186+AH187,AH185)</f>
        <v>0</v>
      </c>
      <c r="AI188" s="44" t="str">
        <f t="shared" si="136"/>
        <v>-</v>
      </c>
      <c r="AJ188" s="110">
        <f>IFERROR(AJ185+AJ186+AJ187,AJ185)</f>
        <v>371</v>
      </c>
      <c r="AK188" s="110">
        <f>IFERROR(AK185+AK186+AK187,AK185)</f>
        <v>447</v>
      </c>
      <c r="AL188" s="123">
        <f>IFERROR(AL185+AL186+AL187,AL185)</f>
        <v>0.8214285714285714</v>
      </c>
      <c r="AM188" s="101"/>
      <c r="AN188" s="101">
        <f t="shared" si="146"/>
        <v>0</v>
      </c>
      <c r="AO188" s="101"/>
      <c r="AP188" s="110">
        <f>IFERROR(AP185+AP186+AP187,AP185)</f>
        <v>31</v>
      </c>
      <c r="AQ188" s="110">
        <f>IFERROR(AQ185+AQ186+AQ187,AQ185)</f>
        <v>40</v>
      </c>
      <c r="AR188" s="21">
        <f t="shared" si="141"/>
        <v>0.77500000000000002</v>
      </c>
      <c r="AS188" s="110">
        <f>IFERROR(AS185+AS186+AS187,AS185)</f>
        <v>379</v>
      </c>
      <c r="AT188" s="110">
        <f>IFERROR(AT185+AT186+AT187,AT185)</f>
        <v>462</v>
      </c>
      <c r="AU188" s="21">
        <f t="shared" si="142"/>
        <v>0.82034632034632038</v>
      </c>
      <c r="AV188" s="110">
        <f>IFERROR(AV185+AV186+AV187,AV185)</f>
        <v>0</v>
      </c>
      <c r="AW188" s="110">
        <f>IFERROR(AW185+AW186+AW187,AW185)</f>
        <v>0</v>
      </c>
      <c r="AX188" s="37" t="str">
        <f t="shared" si="143"/>
        <v>-</v>
      </c>
      <c r="AY188" s="10"/>
      <c r="AZ188" s="2"/>
      <c r="BA188" s="2"/>
      <c r="BB188" s="2"/>
      <c r="BC188" s="2"/>
      <c r="BD188" s="2"/>
    </row>
    <row r="189" spans="1:56" ht="14.25" customHeight="1">
      <c r="A189" s="2"/>
      <c r="B189" s="23"/>
      <c r="C189" s="23"/>
      <c r="D189" s="23"/>
      <c r="E189" s="46"/>
      <c r="F189" s="23"/>
      <c r="G189" s="23"/>
      <c r="H189" s="46"/>
      <c r="I189" s="23"/>
      <c r="J189" s="23"/>
      <c r="K189" s="46"/>
      <c r="L189" s="47"/>
      <c r="M189" s="47"/>
      <c r="N189" s="46"/>
      <c r="O189" s="47"/>
      <c r="P189" s="47"/>
      <c r="Q189" s="46"/>
      <c r="R189" s="47"/>
      <c r="S189" s="47"/>
      <c r="T189" s="46"/>
      <c r="U189" s="23"/>
      <c r="V189" s="23"/>
      <c r="W189" s="46"/>
      <c r="X189" s="23"/>
      <c r="Y189" s="23"/>
      <c r="Z189" s="46"/>
      <c r="AA189" s="23"/>
      <c r="AB189" s="23"/>
      <c r="AC189" s="46"/>
      <c r="AD189" s="47"/>
      <c r="AE189" s="47"/>
      <c r="AF189" s="46"/>
      <c r="AG189" s="47"/>
      <c r="AH189" s="47"/>
      <c r="AI189" s="46"/>
      <c r="AJ189" s="23"/>
      <c r="AK189" s="23"/>
      <c r="AL189" s="46"/>
      <c r="AM189" s="46"/>
      <c r="AN189" s="46"/>
      <c r="AO189" s="46"/>
      <c r="AP189" s="23"/>
      <c r="AQ189" s="23"/>
      <c r="AR189" s="46"/>
      <c r="AS189" s="23"/>
      <c r="AT189" s="23"/>
      <c r="AU189" s="46"/>
      <c r="AV189" s="47"/>
      <c r="AW189" s="47"/>
      <c r="AX189" s="46"/>
      <c r="AY189" s="2"/>
      <c r="AZ189" s="2"/>
      <c r="BA189" s="2"/>
      <c r="BB189" s="2"/>
      <c r="BC189" s="2"/>
      <c r="BD189" s="2"/>
    </row>
    <row r="190" spans="1:56" ht="14.25" customHeight="1">
      <c r="A190" s="2"/>
      <c r="B190" s="2"/>
      <c r="C190" s="2"/>
      <c r="D190" s="2"/>
      <c r="E190" s="24"/>
      <c r="F190" s="2"/>
      <c r="G190" s="2"/>
      <c r="H190" s="24"/>
      <c r="I190" s="2"/>
      <c r="J190" s="2"/>
      <c r="K190" s="24"/>
      <c r="L190" s="124"/>
      <c r="M190" s="124"/>
      <c r="N190" s="24"/>
      <c r="O190" s="124"/>
      <c r="P190" s="124"/>
      <c r="Q190" s="24"/>
      <c r="R190" s="124"/>
      <c r="S190" s="124"/>
      <c r="T190" s="24"/>
      <c r="U190" s="2"/>
      <c r="V190" s="2"/>
      <c r="W190" s="24"/>
      <c r="X190" s="2"/>
      <c r="Y190" s="2"/>
      <c r="Z190" s="24"/>
      <c r="AA190" s="2"/>
      <c r="AB190" s="2"/>
      <c r="AC190" s="24"/>
      <c r="AD190" s="2"/>
      <c r="AE190" s="124"/>
      <c r="AF190" s="24"/>
      <c r="AG190" s="124"/>
      <c r="AH190" s="124"/>
      <c r="AI190" s="24"/>
      <c r="AJ190" s="2"/>
      <c r="AK190" s="2"/>
      <c r="AL190" s="24"/>
      <c r="AM190" s="24"/>
      <c r="AN190" s="24"/>
      <c r="AO190" s="24"/>
      <c r="AP190" s="2"/>
      <c r="AQ190" s="2"/>
      <c r="AR190" s="24"/>
      <c r="AS190" s="2"/>
      <c r="AT190" s="2"/>
      <c r="AU190" s="24"/>
      <c r="AV190" s="124"/>
      <c r="AW190" s="124"/>
      <c r="AX190" s="24"/>
      <c r="AY190" s="2"/>
      <c r="AZ190" s="2"/>
      <c r="BA190" s="2"/>
      <c r="BB190" s="2"/>
      <c r="BC190" s="2"/>
      <c r="BD190" s="2"/>
    </row>
    <row r="191" spans="1:56" ht="14.25" customHeight="1">
      <c r="A191" s="6" t="s">
        <v>134</v>
      </c>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
      <c r="AB191" s="24"/>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row>
    <row r="192" spans="1:56" ht="14.25" customHeight="1">
      <c r="A192" s="26"/>
      <c r="B192" s="59" t="s">
        <v>36</v>
      </c>
      <c r="C192" s="60"/>
      <c r="D192" s="60"/>
      <c r="E192" s="60"/>
      <c r="F192" s="60"/>
      <c r="G192" s="60"/>
      <c r="H192" s="60"/>
      <c r="I192" s="60"/>
      <c r="J192" s="60"/>
      <c r="K192" s="60"/>
      <c r="L192" s="60"/>
      <c r="M192" s="60"/>
      <c r="N192" s="60"/>
      <c r="O192" s="125" t="s">
        <v>17</v>
      </c>
      <c r="P192" s="126"/>
      <c r="Q192" s="126"/>
      <c r="R192" s="126"/>
      <c r="S192" s="126"/>
      <c r="T192" s="126"/>
      <c r="U192" s="126"/>
      <c r="V192" s="126"/>
      <c r="W192" s="126"/>
      <c r="X192" s="126"/>
      <c r="Y192" s="126"/>
      <c r="Z192" s="126"/>
      <c r="AA192" s="31"/>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row>
    <row r="193" spans="1:56" ht="15" customHeight="1">
      <c r="A193" s="8"/>
      <c r="B193" s="511" t="s">
        <v>37</v>
      </c>
      <c r="C193" s="502" t="s">
        <v>135</v>
      </c>
      <c r="D193" s="503"/>
      <c r="E193" s="505"/>
      <c r="F193" s="502" t="s">
        <v>23</v>
      </c>
      <c r="G193" s="503"/>
      <c r="H193" s="505"/>
      <c r="I193" s="502" t="s">
        <v>136</v>
      </c>
      <c r="J193" s="503"/>
      <c r="K193" s="505"/>
      <c r="L193" s="502" t="s">
        <v>21</v>
      </c>
      <c r="M193" s="503"/>
      <c r="N193" s="505"/>
      <c r="O193" s="502" t="s">
        <v>137</v>
      </c>
      <c r="P193" s="503"/>
      <c r="Q193" s="505"/>
      <c r="R193" s="502" t="s">
        <v>138</v>
      </c>
      <c r="S193" s="503"/>
      <c r="T193" s="505"/>
      <c r="U193" s="502" t="s">
        <v>139</v>
      </c>
      <c r="V193" s="503"/>
      <c r="W193" s="505"/>
      <c r="X193" s="502" t="s">
        <v>21</v>
      </c>
      <c r="Y193" s="503"/>
      <c r="Z193" s="505"/>
      <c r="AA193" s="10"/>
      <c r="AB193" s="2"/>
      <c r="AC193" s="24"/>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row>
    <row r="194" spans="1:56" ht="30" customHeight="1">
      <c r="A194" s="8"/>
      <c r="B194" s="521"/>
      <c r="C194" s="34">
        <v>44927</v>
      </c>
      <c r="D194" s="34">
        <v>44958</v>
      </c>
      <c r="E194" s="32" t="s">
        <v>11</v>
      </c>
      <c r="F194" s="34">
        <v>44927</v>
      </c>
      <c r="G194" s="34">
        <v>44958</v>
      </c>
      <c r="H194" s="32" t="s">
        <v>11</v>
      </c>
      <c r="I194" s="34">
        <v>44927</v>
      </c>
      <c r="J194" s="34">
        <v>44958</v>
      </c>
      <c r="K194" s="32" t="s">
        <v>11</v>
      </c>
      <c r="L194" s="34">
        <v>44927</v>
      </c>
      <c r="M194" s="34">
        <v>44958</v>
      </c>
      <c r="N194" s="32" t="s">
        <v>11</v>
      </c>
      <c r="O194" s="34">
        <v>44927</v>
      </c>
      <c r="P194" s="34">
        <v>44958</v>
      </c>
      <c r="Q194" s="32" t="s">
        <v>11</v>
      </c>
      <c r="R194" s="34">
        <v>44927</v>
      </c>
      <c r="S194" s="34">
        <v>44958</v>
      </c>
      <c r="T194" s="32" t="s">
        <v>11</v>
      </c>
      <c r="U194" s="34">
        <v>44927</v>
      </c>
      <c r="V194" s="34">
        <v>44958</v>
      </c>
      <c r="W194" s="32" t="s">
        <v>11</v>
      </c>
      <c r="X194" s="34">
        <v>44927</v>
      </c>
      <c r="Y194" s="34">
        <v>44958</v>
      </c>
      <c r="Z194" s="32" t="s">
        <v>11</v>
      </c>
      <c r="AA194" s="10"/>
      <c r="AB194" s="2"/>
      <c r="AC194" s="24"/>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row>
    <row r="195" spans="1:56" ht="14.25" customHeight="1">
      <c r="A195" s="8"/>
      <c r="B195" s="12" t="s">
        <v>43</v>
      </c>
      <c r="C195" s="65">
        <f t="shared" ref="C195:C233" si="149">E240</f>
        <v>0.92563663599400814</v>
      </c>
      <c r="D195" s="65">
        <f t="shared" ref="D195:D233" si="150">H240</f>
        <v>0.91157045009784732</v>
      </c>
      <c r="E195" s="65">
        <f t="shared" ref="E195:E233" si="151">K240</f>
        <v>0.91907316516379411</v>
      </c>
      <c r="F195" s="65">
        <f t="shared" ref="F195:F233" si="152">N240</f>
        <v>0.83585564610011642</v>
      </c>
      <c r="G195" s="65">
        <f t="shared" ref="G195:G233" si="153">Q240</f>
        <v>0.80597014925373134</v>
      </c>
      <c r="H195" s="65">
        <f t="shared" ref="H195:H233" si="154">T240</f>
        <v>0.83182275931520644</v>
      </c>
      <c r="I195" s="65">
        <f t="shared" ref="I195:I233" si="155">W240</f>
        <v>0.91326530612244894</v>
      </c>
      <c r="J195" s="65">
        <f t="shared" ref="J195:J233" si="156">Z240</f>
        <v>0.98940269749518306</v>
      </c>
      <c r="K195" s="65">
        <f t="shared" ref="K195:K233" si="157">AC240</f>
        <v>0.97730956239870337</v>
      </c>
      <c r="L195" s="65">
        <f t="shared" ref="L195:L233" si="158">IFERROR(SUM(C240,L240,U240)/SUM(D240,M240,V240),"-")</f>
        <v>0.91798865493702531</v>
      </c>
      <c r="M195" s="65">
        <f t="shared" ref="M195:M204" si="159">IFERROR(SUM(F240,O240,X240)/SUM(G240,P240,Y240),"-")</f>
        <v>0.91869918699186992</v>
      </c>
      <c r="N195" s="65">
        <f t="shared" ref="N195:N233" si="160">IFERROR(SUM(I240,R240,AA240)/SUM(J240,S240,AB240),"-")</f>
        <v>0.918324978479923</v>
      </c>
      <c r="O195" s="127">
        <f t="shared" ref="O195:O233" si="161">AF240</f>
        <v>0.86730707511149974</v>
      </c>
      <c r="P195" s="127">
        <f t="shared" ref="P195:P233" si="162">AI240</f>
        <v>0.85227696345227621</v>
      </c>
      <c r="Q195" s="128" t="str">
        <f t="shared" ref="Q195:Q233" si="163">AL240</f>
        <v>-</v>
      </c>
      <c r="R195" s="127">
        <f t="shared" ref="R195:R233" si="164">AO240</f>
        <v>0.78928987194412104</v>
      </c>
      <c r="S195" s="127">
        <f t="shared" ref="S195:S233" si="165">AR240</f>
        <v>0.84140969162995594</v>
      </c>
      <c r="T195" s="128" t="str">
        <f t="shared" ref="T195:T233" si="166">AU240</f>
        <v>-</v>
      </c>
      <c r="U195" s="127">
        <f t="shared" ref="U195:U233" si="167">AX240</f>
        <v>0.97572463768115947</v>
      </c>
      <c r="V195" s="127">
        <f t="shared" ref="V195:V233" si="168">BA240</f>
        <v>0.9279595015576324</v>
      </c>
      <c r="W195" s="128" t="str">
        <f t="shared" ref="W195:W233" si="169">BD240</f>
        <v>-</v>
      </c>
      <c r="X195" s="127"/>
      <c r="Y195" s="127"/>
      <c r="Z195" s="127"/>
      <c r="AA195" s="10"/>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row>
    <row r="196" spans="1:56" ht="14.25" customHeight="1">
      <c r="A196" s="8"/>
      <c r="B196" s="38" t="s">
        <v>44</v>
      </c>
      <c r="C196" s="65">
        <f t="shared" si="149"/>
        <v>0.92563663599400814</v>
      </c>
      <c r="D196" s="65">
        <f t="shared" si="150"/>
        <v>0.91157045009784732</v>
      </c>
      <c r="E196" s="65">
        <f t="shared" si="151"/>
        <v>0.91907316516379411</v>
      </c>
      <c r="F196" s="65">
        <f t="shared" si="152"/>
        <v>0.83585564610011642</v>
      </c>
      <c r="G196" s="65">
        <f t="shared" si="153"/>
        <v>0.80597014925373134</v>
      </c>
      <c r="H196" s="65">
        <f t="shared" si="154"/>
        <v>0.83182275931520644</v>
      </c>
      <c r="I196" s="65">
        <f t="shared" si="155"/>
        <v>0.91326530612244894</v>
      </c>
      <c r="J196" s="65">
        <f t="shared" si="156"/>
        <v>0.98940269749518306</v>
      </c>
      <c r="K196" s="65">
        <f t="shared" si="157"/>
        <v>0.97730956239870337</v>
      </c>
      <c r="L196" s="65">
        <f t="shared" si="158"/>
        <v>0.91798865493702531</v>
      </c>
      <c r="M196" s="65">
        <f t="shared" si="159"/>
        <v>0.91869918699186992</v>
      </c>
      <c r="N196" s="65">
        <f t="shared" si="160"/>
        <v>0.918324978479923</v>
      </c>
      <c r="O196" s="127">
        <f t="shared" si="161"/>
        <v>0.86668691276929188</v>
      </c>
      <c r="P196" s="127">
        <f t="shared" si="162"/>
        <v>0.85227696345227621</v>
      </c>
      <c r="Q196" s="128" t="str">
        <f t="shared" si="163"/>
        <v>-</v>
      </c>
      <c r="R196" s="127">
        <f t="shared" si="164"/>
        <v>0.78928987194412104</v>
      </c>
      <c r="S196" s="127">
        <f t="shared" si="165"/>
        <v>0.84140969162995594</v>
      </c>
      <c r="T196" s="128" t="str">
        <f t="shared" si="166"/>
        <v>-</v>
      </c>
      <c r="U196" s="127">
        <f t="shared" si="167"/>
        <v>0.97572463768115947</v>
      </c>
      <c r="V196" s="127">
        <f t="shared" si="168"/>
        <v>0.9279595015576324</v>
      </c>
      <c r="W196" s="128" t="str">
        <f t="shared" si="169"/>
        <v>-</v>
      </c>
      <c r="X196" s="127"/>
      <c r="Y196" s="127"/>
      <c r="Z196" s="127"/>
      <c r="AA196" s="10"/>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row>
    <row r="197" spans="1:56" ht="14.25" customHeight="1">
      <c r="A197" s="8"/>
      <c r="B197" s="38" t="s">
        <v>45</v>
      </c>
      <c r="C197" s="74">
        <f t="shared" si="149"/>
        <v>0.92992926613616267</v>
      </c>
      <c r="D197" s="74">
        <f t="shared" si="150"/>
        <v>0.92703473302229134</v>
      </c>
      <c r="E197" s="74">
        <f t="shared" si="151"/>
        <v>0.92859699355762348</v>
      </c>
      <c r="F197" s="74">
        <f t="shared" si="152"/>
        <v>0.83585564610011642</v>
      </c>
      <c r="G197" s="74">
        <f t="shared" si="153"/>
        <v>0.80597014925373134</v>
      </c>
      <c r="H197" s="74">
        <f t="shared" si="154"/>
        <v>0.83182275931520644</v>
      </c>
      <c r="I197" s="74">
        <f t="shared" si="155"/>
        <v>0.91326530612244894</v>
      </c>
      <c r="J197" s="74">
        <f t="shared" si="156"/>
        <v>0.98916256157635463</v>
      </c>
      <c r="K197" s="74">
        <f t="shared" si="157"/>
        <v>0.97687861271676302</v>
      </c>
      <c r="L197" s="74">
        <f t="shared" si="158"/>
        <v>0.92160744333366329</v>
      </c>
      <c r="M197" s="74">
        <f t="shared" si="159"/>
        <v>0.93231810490693734</v>
      </c>
      <c r="N197" s="74">
        <f t="shared" si="160"/>
        <v>0.92661324335723327</v>
      </c>
      <c r="O197" s="129">
        <f t="shared" si="161"/>
        <v>0.86575993292654529</v>
      </c>
      <c r="P197" s="129">
        <f t="shared" si="162"/>
        <v>0.85039912411665175</v>
      </c>
      <c r="Q197" s="130" t="str">
        <f t="shared" si="163"/>
        <v>-</v>
      </c>
      <c r="R197" s="129">
        <f t="shared" si="164"/>
        <v>0.78928987194412104</v>
      </c>
      <c r="S197" s="129">
        <f t="shared" si="165"/>
        <v>0.84140969162995594</v>
      </c>
      <c r="T197" s="130" t="str">
        <f t="shared" si="166"/>
        <v>-</v>
      </c>
      <c r="U197" s="129">
        <f t="shared" si="167"/>
        <v>0.97572463768115947</v>
      </c>
      <c r="V197" s="129">
        <f t="shared" si="168"/>
        <v>0.92749124482648837</v>
      </c>
      <c r="W197" s="130" t="str">
        <f t="shared" si="169"/>
        <v>-</v>
      </c>
      <c r="X197" s="129"/>
      <c r="Y197" s="129"/>
      <c r="Z197" s="129"/>
      <c r="AA197" s="10"/>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row>
    <row r="198" spans="1:56" ht="14.25" customHeight="1">
      <c r="A198" s="8"/>
      <c r="B198" s="43" t="s">
        <v>46</v>
      </c>
      <c r="C198" s="65">
        <f t="shared" si="149"/>
        <v>0.79530201342281881</v>
      </c>
      <c r="D198" s="65">
        <f t="shared" si="150"/>
        <v>0.65217391304347827</v>
      </c>
      <c r="E198" s="65">
        <f t="shared" si="151"/>
        <v>0.70844327176781008</v>
      </c>
      <c r="F198" s="80" t="str">
        <f t="shared" si="152"/>
        <v>-</v>
      </c>
      <c r="G198" s="80" t="str">
        <f t="shared" si="153"/>
        <v>-</v>
      </c>
      <c r="H198" s="80" t="str">
        <f t="shared" si="154"/>
        <v>-</v>
      </c>
      <c r="I198" s="80" t="str">
        <f t="shared" si="155"/>
        <v>-</v>
      </c>
      <c r="J198" s="65">
        <f t="shared" si="156"/>
        <v>1</v>
      </c>
      <c r="K198" s="65">
        <f t="shared" si="157"/>
        <v>1</v>
      </c>
      <c r="L198" s="65">
        <f t="shared" si="158"/>
        <v>0.79530201342281881</v>
      </c>
      <c r="M198" s="65">
        <f t="shared" si="159"/>
        <v>0.66873706004140787</v>
      </c>
      <c r="N198" s="65">
        <f t="shared" si="160"/>
        <v>0.71702944942381563</v>
      </c>
      <c r="O198" s="127">
        <f t="shared" si="161"/>
        <v>0.892959295929593</v>
      </c>
      <c r="P198" s="127">
        <f t="shared" si="162"/>
        <v>0.87989693740118291</v>
      </c>
      <c r="Q198" s="128" t="str">
        <f t="shared" si="163"/>
        <v>-</v>
      </c>
      <c r="R198" s="128" t="str">
        <f t="shared" si="164"/>
        <v>-</v>
      </c>
      <c r="S198" s="128" t="str">
        <f t="shared" si="165"/>
        <v>-</v>
      </c>
      <c r="T198" s="128" t="str">
        <f t="shared" si="166"/>
        <v>-</v>
      </c>
      <c r="U198" s="128" t="str">
        <f t="shared" si="167"/>
        <v>-</v>
      </c>
      <c r="V198" s="127">
        <f t="shared" si="168"/>
        <v>0.94927536231884058</v>
      </c>
      <c r="W198" s="128" t="str">
        <f t="shared" si="169"/>
        <v>-</v>
      </c>
      <c r="X198" s="127"/>
      <c r="Y198" s="127"/>
      <c r="Z198" s="127"/>
      <c r="AA198" s="10"/>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row>
    <row r="199" spans="1:56" ht="14.25" customHeight="1">
      <c r="A199" s="8"/>
      <c r="B199" s="45" t="s">
        <v>47</v>
      </c>
      <c r="C199" s="80" t="str">
        <f t="shared" si="149"/>
        <v>-</v>
      </c>
      <c r="D199" s="80" t="str">
        <f t="shared" si="150"/>
        <v>-</v>
      </c>
      <c r="E199" s="80" t="str">
        <f t="shared" si="151"/>
        <v>-</v>
      </c>
      <c r="F199" s="80" t="str">
        <f t="shared" si="152"/>
        <v>-</v>
      </c>
      <c r="G199" s="65">
        <f t="shared" si="153"/>
        <v>0</v>
      </c>
      <c r="H199" s="80" t="str">
        <f t="shared" si="154"/>
        <v>-</v>
      </c>
      <c r="I199" s="80" t="str">
        <f t="shared" si="155"/>
        <v>-</v>
      </c>
      <c r="J199" s="80" t="str">
        <f t="shared" si="156"/>
        <v>-</v>
      </c>
      <c r="K199" s="80" t="str">
        <f t="shared" si="157"/>
        <v>-</v>
      </c>
      <c r="L199" s="80" t="str">
        <f t="shared" si="158"/>
        <v>-</v>
      </c>
      <c r="M199" s="80" t="str">
        <f t="shared" si="159"/>
        <v>-</v>
      </c>
      <c r="N199" s="80" t="str">
        <f t="shared" si="160"/>
        <v>-</v>
      </c>
      <c r="O199" s="127">
        <f t="shared" si="161"/>
        <v>0.9052534985088323</v>
      </c>
      <c r="P199" s="128" t="str">
        <f t="shared" si="162"/>
        <v>-</v>
      </c>
      <c r="Q199" s="128" t="str">
        <f t="shared" si="163"/>
        <v>-</v>
      </c>
      <c r="R199" s="128" t="str">
        <f t="shared" si="164"/>
        <v>-</v>
      </c>
      <c r="S199" s="128" t="str">
        <f t="shared" si="165"/>
        <v>-</v>
      </c>
      <c r="T199" s="128" t="str">
        <f t="shared" si="166"/>
        <v>-</v>
      </c>
      <c r="U199" s="128" t="str">
        <f t="shared" si="167"/>
        <v>-</v>
      </c>
      <c r="V199" s="128" t="str">
        <f t="shared" si="168"/>
        <v>-</v>
      </c>
      <c r="W199" s="128" t="str">
        <f t="shared" si="169"/>
        <v>-</v>
      </c>
      <c r="X199" s="127"/>
      <c r="Y199" s="127"/>
      <c r="Z199" s="127"/>
      <c r="AA199" s="10"/>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row>
    <row r="200" spans="1:56" ht="14.25" customHeight="1">
      <c r="A200" s="8"/>
      <c r="B200" s="12" t="s">
        <v>67</v>
      </c>
      <c r="C200" s="65">
        <f t="shared" si="149"/>
        <v>0.93031440638198026</v>
      </c>
      <c r="D200" s="65">
        <f t="shared" si="150"/>
        <v>0.93109026205111611</v>
      </c>
      <c r="E200" s="65">
        <f t="shared" si="151"/>
        <v>0.93064055487556097</v>
      </c>
      <c r="F200" s="80" t="str">
        <f t="shared" si="152"/>
        <v>-</v>
      </c>
      <c r="G200" s="80" t="str">
        <f t="shared" si="153"/>
        <v>-</v>
      </c>
      <c r="H200" s="80" t="str">
        <f t="shared" si="154"/>
        <v>-</v>
      </c>
      <c r="I200" s="80" t="str">
        <f t="shared" si="155"/>
        <v>-</v>
      </c>
      <c r="J200" s="80" t="str">
        <f t="shared" si="156"/>
        <v>-</v>
      </c>
      <c r="K200" s="80" t="str">
        <f t="shared" si="157"/>
        <v>-</v>
      </c>
      <c r="L200" s="65">
        <f t="shared" si="158"/>
        <v>0.93031440638198026</v>
      </c>
      <c r="M200" s="65">
        <f t="shared" si="159"/>
        <v>0.93109026205111611</v>
      </c>
      <c r="N200" s="65">
        <f t="shared" si="160"/>
        <v>0.93064055487556097</v>
      </c>
      <c r="O200" s="127">
        <f t="shared" si="161"/>
        <v>0.85728101466508122</v>
      </c>
      <c r="P200" s="127">
        <f t="shared" si="162"/>
        <v>0.82381760666615234</v>
      </c>
      <c r="Q200" s="128" t="str">
        <f t="shared" si="163"/>
        <v>-</v>
      </c>
      <c r="R200" s="128" t="str">
        <f t="shared" si="164"/>
        <v>-</v>
      </c>
      <c r="S200" s="128" t="str">
        <f t="shared" si="165"/>
        <v>-</v>
      </c>
      <c r="T200" s="128" t="str">
        <f t="shared" si="166"/>
        <v>-</v>
      </c>
      <c r="U200" s="128" t="str">
        <f t="shared" si="167"/>
        <v>-</v>
      </c>
      <c r="V200" s="128" t="str">
        <f t="shared" si="168"/>
        <v>-</v>
      </c>
      <c r="W200" s="128" t="str">
        <f t="shared" si="169"/>
        <v>-</v>
      </c>
      <c r="X200" s="127"/>
      <c r="Y200" s="127"/>
      <c r="Z200" s="127"/>
      <c r="AA200" s="10"/>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row>
    <row r="201" spans="1:56" ht="14.25" customHeight="1">
      <c r="A201" s="8"/>
      <c r="B201" s="12" t="s">
        <v>69</v>
      </c>
      <c r="C201" s="65">
        <f t="shared" si="149"/>
        <v>0.94202898550724634</v>
      </c>
      <c r="D201" s="65">
        <f t="shared" si="150"/>
        <v>0.87878787878787878</v>
      </c>
      <c r="E201" s="65">
        <f t="shared" si="151"/>
        <v>0.90759075907590758</v>
      </c>
      <c r="F201" s="65">
        <f t="shared" si="152"/>
        <v>0.72222222222222221</v>
      </c>
      <c r="G201" s="65">
        <f t="shared" si="153"/>
        <v>0.66666666666666663</v>
      </c>
      <c r="H201" s="65">
        <f t="shared" si="154"/>
        <v>0.71794871794871795</v>
      </c>
      <c r="I201" s="65">
        <f t="shared" si="155"/>
        <v>1</v>
      </c>
      <c r="J201" s="65">
        <f t="shared" si="156"/>
        <v>1</v>
      </c>
      <c r="K201" s="65">
        <f t="shared" si="157"/>
        <v>1</v>
      </c>
      <c r="L201" s="65">
        <f t="shared" si="158"/>
        <v>0.89714285714285713</v>
      </c>
      <c r="M201" s="65">
        <f t="shared" si="159"/>
        <v>0.89655172413793105</v>
      </c>
      <c r="N201" s="65">
        <f t="shared" si="160"/>
        <v>0.89682539682539686</v>
      </c>
      <c r="O201" s="127">
        <f t="shared" si="161"/>
        <v>0.85939309705814226</v>
      </c>
      <c r="P201" s="127">
        <f t="shared" si="162"/>
        <v>0.84958037443511947</v>
      </c>
      <c r="Q201" s="128" t="str">
        <f t="shared" si="163"/>
        <v>-</v>
      </c>
      <c r="R201" s="127">
        <f t="shared" si="164"/>
        <v>0.73076923076923073</v>
      </c>
      <c r="S201" s="127">
        <f t="shared" si="165"/>
        <v>0.75</v>
      </c>
      <c r="T201" s="128" t="str">
        <f t="shared" si="166"/>
        <v>-</v>
      </c>
      <c r="U201" s="127">
        <f t="shared" si="167"/>
        <v>0.95833333333333337</v>
      </c>
      <c r="V201" s="127">
        <f t="shared" si="168"/>
        <v>0.94523809523809521</v>
      </c>
      <c r="W201" s="128" t="str">
        <f t="shared" si="169"/>
        <v>-</v>
      </c>
      <c r="X201" s="127"/>
      <c r="Y201" s="127"/>
      <c r="Z201" s="127"/>
      <c r="AA201" s="10"/>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row>
    <row r="202" spans="1:56" ht="14.25" customHeight="1">
      <c r="A202" s="8"/>
      <c r="B202" s="12" t="s">
        <v>70</v>
      </c>
      <c r="C202" s="65">
        <f t="shared" si="149"/>
        <v>0.95131086142322097</v>
      </c>
      <c r="D202" s="65">
        <f t="shared" si="150"/>
        <v>0.92899408284023666</v>
      </c>
      <c r="E202" s="65">
        <f t="shared" si="151"/>
        <v>0.93884297520661153</v>
      </c>
      <c r="F202" s="65">
        <f t="shared" si="152"/>
        <v>0.70370370370370372</v>
      </c>
      <c r="G202" s="65">
        <f t="shared" si="153"/>
        <v>0.5</v>
      </c>
      <c r="H202" s="65">
        <f t="shared" si="154"/>
        <v>0.6987951807228916</v>
      </c>
      <c r="I202" s="65">
        <f t="shared" si="155"/>
        <v>1</v>
      </c>
      <c r="J202" s="65">
        <f t="shared" si="156"/>
        <v>1</v>
      </c>
      <c r="K202" s="65">
        <f t="shared" si="157"/>
        <v>1</v>
      </c>
      <c r="L202" s="65">
        <f t="shared" si="158"/>
        <v>0.89635854341736698</v>
      </c>
      <c r="M202" s="65">
        <f t="shared" si="159"/>
        <v>0.94061757719714967</v>
      </c>
      <c r="N202" s="65">
        <f t="shared" si="160"/>
        <v>0.92030848329048842</v>
      </c>
      <c r="O202" s="127">
        <f t="shared" si="161"/>
        <v>0.83090732654051436</v>
      </c>
      <c r="P202" s="127">
        <f t="shared" si="162"/>
        <v>0.77685074824526557</v>
      </c>
      <c r="Q202" s="128" t="str">
        <f t="shared" si="163"/>
        <v>-</v>
      </c>
      <c r="R202" s="127">
        <f t="shared" si="164"/>
        <v>0.6</v>
      </c>
      <c r="S202" s="127">
        <f t="shared" si="165"/>
        <v>1</v>
      </c>
      <c r="T202" s="128" t="str">
        <f t="shared" si="166"/>
        <v>-</v>
      </c>
      <c r="U202" s="127">
        <f t="shared" si="167"/>
        <v>0.92592592592592593</v>
      </c>
      <c r="V202" s="127">
        <f t="shared" si="168"/>
        <v>0.86213991769547327</v>
      </c>
      <c r="W202" s="128" t="str">
        <f t="shared" si="169"/>
        <v>-</v>
      </c>
      <c r="X202" s="127"/>
      <c r="Y202" s="127"/>
      <c r="Z202" s="127"/>
      <c r="AA202" s="10"/>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row>
    <row r="203" spans="1:56" ht="14.25" customHeight="1">
      <c r="A203" s="8"/>
      <c r="B203" s="12" t="s">
        <v>71</v>
      </c>
      <c r="C203" s="65">
        <f t="shared" si="149"/>
        <v>0.91095890410958902</v>
      </c>
      <c r="D203" s="65">
        <f t="shared" si="150"/>
        <v>0.88607594936708856</v>
      </c>
      <c r="E203" s="65">
        <f t="shared" si="151"/>
        <v>0.89981096408317585</v>
      </c>
      <c r="F203" s="65">
        <f t="shared" si="152"/>
        <v>0.75</v>
      </c>
      <c r="G203" s="65">
        <f t="shared" si="153"/>
        <v>0.85964912280701755</v>
      </c>
      <c r="H203" s="65">
        <f t="shared" si="154"/>
        <v>0.85245901639344257</v>
      </c>
      <c r="I203" s="65">
        <f t="shared" si="155"/>
        <v>0.8</v>
      </c>
      <c r="J203" s="65">
        <f t="shared" si="156"/>
        <v>1</v>
      </c>
      <c r="K203" s="65">
        <f t="shared" si="157"/>
        <v>0.97014925373134331</v>
      </c>
      <c r="L203" s="65">
        <f t="shared" si="158"/>
        <v>0.90522875816993464</v>
      </c>
      <c r="M203" s="65">
        <f t="shared" si="159"/>
        <v>0.90028490028490027</v>
      </c>
      <c r="N203" s="65">
        <f t="shared" si="160"/>
        <v>0.9025875190258752</v>
      </c>
      <c r="O203" s="127">
        <f t="shared" si="161"/>
        <v>0.84048640915593709</v>
      </c>
      <c r="P203" s="127">
        <f t="shared" si="162"/>
        <v>0.84946236559139787</v>
      </c>
      <c r="Q203" s="128" t="str">
        <f t="shared" si="163"/>
        <v>-</v>
      </c>
      <c r="R203" s="127">
        <f t="shared" si="164"/>
        <v>0.66666666666666663</v>
      </c>
      <c r="S203" s="127">
        <f t="shared" si="165"/>
        <v>0.85567010309278346</v>
      </c>
      <c r="T203" s="128" t="str">
        <f t="shared" si="166"/>
        <v>-</v>
      </c>
      <c r="U203" s="127">
        <f t="shared" si="167"/>
        <v>0.90625</v>
      </c>
      <c r="V203" s="127">
        <f t="shared" si="168"/>
        <v>0.90789473684210531</v>
      </c>
      <c r="W203" s="128" t="str">
        <f t="shared" si="169"/>
        <v>-</v>
      </c>
      <c r="X203" s="127"/>
      <c r="Y203" s="127"/>
      <c r="Z203" s="127"/>
      <c r="AA203" s="10"/>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row>
    <row r="204" spans="1:56" ht="14.25" customHeight="1">
      <c r="A204" s="8"/>
      <c r="B204" s="12" t="s">
        <v>72</v>
      </c>
      <c r="C204" s="65">
        <f t="shared" si="149"/>
        <v>0.85185185185185186</v>
      </c>
      <c r="D204" s="65">
        <f t="shared" si="150"/>
        <v>0.8529411764705882</v>
      </c>
      <c r="E204" s="65">
        <f t="shared" si="151"/>
        <v>0.85245901639344257</v>
      </c>
      <c r="F204" s="80" t="str">
        <f t="shared" si="152"/>
        <v>-</v>
      </c>
      <c r="G204" s="80" t="str">
        <f t="shared" si="153"/>
        <v>-</v>
      </c>
      <c r="H204" s="80" t="str">
        <f t="shared" si="154"/>
        <v>-</v>
      </c>
      <c r="I204" s="80" t="str">
        <f t="shared" si="155"/>
        <v>-</v>
      </c>
      <c r="J204" s="80" t="str">
        <f t="shared" si="156"/>
        <v>-</v>
      </c>
      <c r="K204" s="80" t="str">
        <f t="shared" si="157"/>
        <v>-</v>
      </c>
      <c r="L204" s="65">
        <f t="shared" si="158"/>
        <v>0.85185185185185186</v>
      </c>
      <c r="M204" s="65">
        <f t="shared" si="159"/>
        <v>0.8529411764705882</v>
      </c>
      <c r="N204" s="65">
        <f t="shared" si="160"/>
        <v>0.85245901639344257</v>
      </c>
      <c r="O204" s="127">
        <f t="shared" si="161"/>
        <v>0.78787878787878785</v>
      </c>
      <c r="P204" s="127">
        <f t="shared" si="162"/>
        <v>0.94067796610169496</v>
      </c>
      <c r="Q204" s="128" t="str">
        <f t="shared" si="163"/>
        <v>-</v>
      </c>
      <c r="R204" s="128" t="str">
        <f t="shared" si="164"/>
        <v>-</v>
      </c>
      <c r="S204" s="128" t="str">
        <f t="shared" si="165"/>
        <v>-</v>
      </c>
      <c r="T204" s="128" t="str">
        <f t="shared" si="166"/>
        <v>-</v>
      </c>
      <c r="U204" s="128" t="str">
        <f t="shared" si="167"/>
        <v>-</v>
      </c>
      <c r="V204" s="128" t="str">
        <f t="shared" si="168"/>
        <v>-</v>
      </c>
      <c r="W204" s="128" t="str">
        <f t="shared" si="169"/>
        <v>-</v>
      </c>
      <c r="X204" s="127"/>
      <c r="Y204" s="127"/>
      <c r="Z204" s="127"/>
      <c r="AA204" s="10"/>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row>
    <row r="205" spans="1:56" ht="14.25" customHeight="1">
      <c r="A205" s="8"/>
      <c r="B205" s="12" t="s">
        <v>73</v>
      </c>
      <c r="C205" s="65">
        <f t="shared" si="149"/>
        <v>1</v>
      </c>
      <c r="D205" s="80" t="str">
        <f t="shared" si="150"/>
        <v>-</v>
      </c>
      <c r="E205" s="65">
        <f t="shared" si="151"/>
        <v>1</v>
      </c>
      <c r="F205" s="80" t="str">
        <f t="shared" si="152"/>
        <v>-</v>
      </c>
      <c r="G205" s="80" t="str">
        <f t="shared" si="153"/>
        <v>-</v>
      </c>
      <c r="H205" s="80" t="str">
        <f t="shared" si="154"/>
        <v>-</v>
      </c>
      <c r="I205" s="65">
        <f t="shared" si="155"/>
        <v>0.5</v>
      </c>
      <c r="J205" s="65">
        <f t="shared" si="156"/>
        <v>1</v>
      </c>
      <c r="K205" s="65">
        <f t="shared" si="157"/>
        <v>0.66666666666666663</v>
      </c>
      <c r="L205" s="65">
        <f t="shared" si="158"/>
        <v>0.66666666666666663</v>
      </c>
      <c r="M205" s="80" t="s">
        <v>19</v>
      </c>
      <c r="N205" s="65">
        <f t="shared" si="160"/>
        <v>0.75</v>
      </c>
      <c r="O205" s="127">
        <f t="shared" si="161"/>
        <v>1</v>
      </c>
      <c r="P205" s="128" t="str">
        <f t="shared" si="162"/>
        <v>-</v>
      </c>
      <c r="Q205" s="128" t="str">
        <f t="shared" si="163"/>
        <v>-</v>
      </c>
      <c r="R205" s="128" t="str">
        <f t="shared" si="164"/>
        <v>-</v>
      </c>
      <c r="S205" s="128" t="str">
        <f t="shared" si="165"/>
        <v>-</v>
      </c>
      <c r="T205" s="128" t="str">
        <f t="shared" si="166"/>
        <v>-</v>
      </c>
      <c r="U205" s="127">
        <f t="shared" si="167"/>
        <v>1</v>
      </c>
      <c r="V205" s="127">
        <f t="shared" si="168"/>
        <v>1</v>
      </c>
      <c r="W205" s="128" t="str">
        <f t="shared" si="169"/>
        <v>-</v>
      </c>
      <c r="X205" s="127"/>
      <c r="Y205" s="127"/>
      <c r="Z205" s="127"/>
      <c r="AA205" s="10"/>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row>
    <row r="206" spans="1:56" ht="14.25" customHeight="1">
      <c r="A206" s="8"/>
      <c r="B206" s="12" t="s">
        <v>74</v>
      </c>
      <c r="C206" s="65">
        <f t="shared" si="149"/>
        <v>0.9051094890510949</v>
      </c>
      <c r="D206" s="65">
        <f t="shared" si="150"/>
        <v>0.91712707182320441</v>
      </c>
      <c r="E206" s="65">
        <f t="shared" si="151"/>
        <v>0.91194968553459121</v>
      </c>
      <c r="F206" s="65">
        <f t="shared" si="152"/>
        <v>1</v>
      </c>
      <c r="G206" s="65">
        <f t="shared" si="153"/>
        <v>0.66666666666666663</v>
      </c>
      <c r="H206" s="65">
        <f t="shared" si="154"/>
        <v>0.7142857142857143</v>
      </c>
      <c r="I206" s="80" t="str">
        <f t="shared" si="155"/>
        <v>-</v>
      </c>
      <c r="J206" s="65">
        <f t="shared" si="156"/>
        <v>1</v>
      </c>
      <c r="K206" s="65">
        <f t="shared" si="157"/>
        <v>1</v>
      </c>
      <c r="L206" s="65">
        <f t="shared" si="158"/>
        <v>0.90579710144927539</v>
      </c>
      <c r="M206" s="65">
        <f>IFERROR(SUM(F251,O250,X251)/SUM(G251,P250,Y251),"-")</f>
        <v>0.93449781659388642</v>
      </c>
      <c r="N206" s="65">
        <f t="shared" si="160"/>
        <v>0.91957104557640745</v>
      </c>
      <c r="O206" s="127">
        <f t="shared" si="161"/>
        <v>0.82110751528227255</v>
      </c>
      <c r="P206" s="127">
        <f t="shared" si="162"/>
        <v>0.85969344786929425</v>
      </c>
      <c r="Q206" s="128" t="str">
        <f t="shared" si="163"/>
        <v>-</v>
      </c>
      <c r="R206" s="127">
        <f t="shared" si="164"/>
        <v>1</v>
      </c>
      <c r="S206" s="127">
        <f t="shared" si="165"/>
        <v>1</v>
      </c>
      <c r="T206" s="128" t="str">
        <f t="shared" si="166"/>
        <v>-</v>
      </c>
      <c r="U206" s="128" t="str">
        <f t="shared" si="167"/>
        <v>-</v>
      </c>
      <c r="V206" s="127">
        <f t="shared" si="168"/>
        <v>0.953125</v>
      </c>
      <c r="W206" s="128" t="str">
        <f t="shared" si="169"/>
        <v>-</v>
      </c>
      <c r="X206" s="127"/>
      <c r="Y206" s="127"/>
      <c r="Z206" s="127"/>
      <c r="AA206" s="10"/>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row>
    <row r="207" spans="1:56" ht="14.25" customHeight="1">
      <c r="A207" s="8"/>
      <c r="B207" s="12" t="s">
        <v>75</v>
      </c>
      <c r="C207" s="65">
        <f t="shared" si="149"/>
        <v>0.95402298850574707</v>
      </c>
      <c r="D207" s="65">
        <f t="shared" si="150"/>
        <v>0.90804597701149425</v>
      </c>
      <c r="E207" s="65">
        <f t="shared" si="151"/>
        <v>0.93103448275862066</v>
      </c>
      <c r="F207" s="65">
        <f t="shared" si="152"/>
        <v>0.9375</v>
      </c>
      <c r="G207" s="65">
        <f t="shared" si="153"/>
        <v>0.75</v>
      </c>
      <c r="H207" s="65">
        <f t="shared" si="154"/>
        <v>0.9</v>
      </c>
      <c r="I207" s="65">
        <f t="shared" si="155"/>
        <v>0.88888888888888884</v>
      </c>
      <c r="J207" s="65">
        <f t="shared" si="156"/>
        <v>0.94444444444444442</v>
      </c>
      <c r="K207" s="65">
        <f t="shared" si="157"/>
        <v>0.92592592592592593</v>
      </c>
      <c r="L207" s="65">
        <f t="shared" si="158"/>
        <v>0.9464285714285714</v>
      </c>
      <c r="M207" s="65">
        <f t="shared" ref="M207:M233" si="170">IFERROR(SUM(F252,O252,X252)/SUM(G252,P252,Y252),"-")</f>
        <v>0.90825688073394495</v>
      </c>
      <c r="N207" s="65">
        <f t="shared" si="160"/>
        <v>0.92760180995475117</v>
      </c>
      <c r="O207" s="127">
        <f t="shared" si="161"/>
        <v>0.83489096573208721</v>
      </c>
      <c r="P207" s="127">
        <f t="shared" si="162"/>
        <v>0.88878475476413621</v>
      </c>
      <c r="Q207" s="128" t="str">
        <f t="shared" si="163"/>
        <v>-</v>
      </c>
      <c r="R207" s="127">
        <f t="shared" si="164"/>
        <v>0.53333333333333333</v>
      </c>
      <c r="S207" s="127">
        <f t="shared" si="165"/>
        <v>1</v>
      </c>
      <c r="T207" s="128" t="str">
        <f t="shared" si="166"/>
        <v>-</v>
      </c>
      <c r="U207" s="127">
        <f t="shared" si="167"/>
        <v>0.984375</v>
      </c>
      <c r="V207" s="127">
        <f t="shared" si="168"/>
        <v>0.91421568627450978</v>
      </c>
      <c r="W207" s="128" t="str">
        <f t="shared" si="169"/>
        <v>-</v>
      </c>
      <c r="X207" s="127"/>
      <c r="Y207" s="127"/>
      <c r="Z207" s="127"/>
      <c r="AA207" s="10"/>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row>
    <row r="208" spans="1:56" ht="14.25" customHeight="1">
      <c r="A208" s="8"/>
      <c r="B208" s="12" t="s">
        <v>76</v>
      </c>
      <c r="C208" s="65">
        <f t="shared" si="149"/>
        <v>0.96</v>
      </c>
      <c r="D208" s="65">
        <f t="shared" si="150"/>
        <v>0.94527363184079605</v>
      </c>
      <c r="E208" s="65">
        <f t="shared" si="151"/>
        <v>0.95156695156695159</v>
      </c>
      <c r="F208" s="65">
        <f t="shared" si="152"/>
        <v>0.72549019607843135</v>
      </c>
      <c r="G208" s="65">
        <f t="shared" si="153"/>
        <v>0.63636363636363635</v>
      </c>
      <c r="H208" s="65">
        <f t="shared" si="154"/>
        <v>0.70967741935483875</v>
      </c>
      <c r="I208" s="65">
        <f t="shared" si="155"/>
        <v>1</v>
      </c>
      <c r="J208" s="65">
        <f t="shared" si="156"/>
        <v>0.97872340425531912</v>
      </c>
      <c r="K208" s="65">
        <f t="shared" si="157"/>
        <v>0.98039215686274506</v>
      </c>
      <c r="L208" s="65">
        <f t="shared" si="158"/>
        <v>0.90243902439024393</v>
      </c>
      <c r="M208" s="65">
        <f t="shared" si="170"/>
        <v>0.93822393822393824</v>
      </c>
      <c r="N208" s="65">
        <f t="shared" si="160"/>
        <v>0.92241379310344829</v>
      </c>
      <c r="O208" s="127">
        <f t="shared" si="161"/>
        <v>0.81114377712445751</v>
      </c>
      <c r="P208" s="127">
        <f t="shared" si="162"/>
        <v>0.75868317728782841</v>
      </c>
      <c r="Q208" s="128" t="str">
        <f t="shared" si="163"/>
        <v>-</v>
      </c>
      <c r="R208" s="127">
        <f t="shared" si="164"/>
        <v>0.89189189189189189</v>
      </c>
      <c r="S208" s="127">
        <f t="shared" si="165"/>
        <v>0.77272727272727271</v>
      </c>
      <c r="T208" s="128" t="str">
        <f t="shared" si="166"/>
        <v>-</v>
      </c>
      <c r="U208" s="127">
        <f t="shared" si="167"/>
        <v>1</v>
      </c>
      <c r="V208" s="127">
        <f t="shared" si="168"/>
        <v>0.92028985507246375</v>
      </c>
      <c r="W208" s="128" t="str">
        <f t="shared" si="169"/>
        <v>-</v>
      </c>
      <c r="X208" s="127"/>
      <c r="Y208" s="127"/>
      <c r="Z208" s="127"/>
      <c r="AA208" s="10"/>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row>
    <row r="209" spans="1:56" ht="14.25" customHeight="1">
      <c r="A209" s="8"/>
      <c r="B209" s="12" t="s">
        <v>77</v>
      </c>
      <c r="C209" s="65">
        <f t="shared" si="149"/>
        <v>0.88181818181818183</v>
      </c>
      <c r="D209" s="65">
        <f t="shared" si="150"/>
        <v>0.93308550185873607</v>
      </c>
      <c r="E209" s="65">
        <f t="shared" si="151"/>
        <v>0.90484140233722876</v>
      </c>
      <c r="F209" s="65">
        <f t="shared" si="152"/>
        <v>0.6785714285714286</v>
      </c>
      <c r="G209" s="65">
        <f t="shared" si="153"/>
        <v>0.75</v>
      </c>
      <c r="H209" s="65">
        <f t="shared" si="154"/>
        <v>0.6875</v>
      </c>
      <c r="I209" s="65">
        <f t="shared" si="155"/>
        <v>0.8</v>
      </c>
      <c r="J209" s="65">
        <f t="shared" si="156"/>
        <v>1</v>
      </c>
      <c r="K209" s="65">
        <f t="shared" si="157"/>
        <v>0.98412698412698407</v>
      </c>
      <c r="L209" s="65">
        <f t="shared" si="158"/>
        <v>0.85166240409207161</v>
      </c>
      <c r="M209" s="65">
        <f t="shared" si="170"/>
        <v>0.94029850746268662</v>
      </c>
      <c r="N209" s="65">
        <f t="shared" si="160"/>
        <v>0.8925619834710744</v>
      </c>
      <c r="O209" s="127">
        <f t="shared" si="161"/>
        <v>0.82763212650853102</v>
      </c>
      <c r="P209" s="127">
        <f t="shared" si="162"/>
        <v>0.84207240948813977</v>
      </c>
      <c r="Q209" s="128" t="str">
        <f t="shared" si="163"/>
        <v>-</v>
      </c>
      <c r="R209" s="127">
        <f t="shared" si="164"/>
        <v>0.86842105263157898</v>
      </c>
      <c r="S209" s="127">
        <f t="shared" si="165"/>
        <v>0.75</v>
      </c>
      <c r="T209" s="128" t="str">
        <f t="shared" si="166"/>
        <v>-</v>
      </c>
      <c r="U209" s="127">
        <f t="shared" si="167"/>
        <v>1</v>
      </c>
      <c r="V209" s="127">
        <f t="shared" si="168"/>
        <v>0.92307692307692313</v>
      </c>
      <c r="W209" s="128" t="str">
        <f t="shared" si="169"/>
        <v>-</v>
      </c>
      <c r="X209" s="127"/>
      <c r="Y209" s="127"/>
      <c r="Z209" s="127"/>
      <c r="AA209" s="10"/>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row>
    <row r="210" spans="1:56" ht="14.25" customHeight="1">
      <c r="A210" s="8"/>
      <c r="B210" s="12" t="s">
        <v>78</v>
      </c>
      <c r="C210" s="65">
        <f t="shared" si="149"/>
        <v>0.93852708460133905</v>
      </c>
      <c r="D210" s="65">
        <f t="shared" si="150"/>
        <v>0.93016116653875669</v>
      </c>
      <c r="E210" s="65">
        <f t="shared" si="151"/>
        <v>0.93482688391038693</v>
      </c>
      <c r="F210" s="65">
        <f t="shared" si="152"/>
        <v>0.9186351706036745</v>
      </c>
      <c r="G210" s="65">
        <f t="shared" si="153"/>
        <v>0.70588235294117652</v>
      </c>
      <c r="H210" s="65">
        <f t="shared" si="154"/>
        <v>0.90954773869346739</v>
      </c>
      <c r="I210" s="65">
        <f t="shared" si="155"/>
        <v>0.90909090909090906</v>
      </c>
      <c r="J210" s="65">
        <f t="shared" si="156"/>
        <v>1</v>
      </c>
      <c r="K210" s="65">
        <f t="shared" si="157"/>
        <v>0.99238578680203049</v>
      </c>
      <c r="L210" s="65">
        <f t="shared" si="158"/>
        <v>0.93437044239183276</v>
      </c>
      <c r="M210" s="65">
        <f t="shared" si="170"/>
        <v>0.94289113622843546</v>
      </c>
      <c r="N210" s="65">
        <f t="shared" si="160"/>
        <v>0.9382022471910112</v>
      </c>
      <c r="O210" s="127">
        <f t="shared" si="161"/>
        <v>0.88388334132460544</v>
      </c>
      <c r="P210" s="127">
        <f t="shared" si="162"/>
        <v>0.87143273757446982</v>
      </c>
      <c r="Q210" s="128" t="str">
        <f t="shared" si="163"/>
        <v>-</v>
      </c>
      <c r="R210" s="127">
        <f t="shared" si="164"/>
        <v>0.84</v>
      </c>
      <c r="S210" s="127">
        <f t="shared" si="165"/>
        <v>1</v>
      </c>
      <c r="T210" s="128" t="str">
        <f t="shared" si="166"/>
        <v>-</v>
      </c>
      <c r="U210" s="127">
        <f t="shared" si="167"/>
        <v>0.95</v>
      </c>
      <c r="V210" s="127">
        <f t="shared" si="168"/>
        <v>0.93198198198198201</v>
      </c>
      <c r="W210" s="128" t="str">
        <f t="shared" si="169"/>
        <v>-</v>
      </c>
      <c r="X210" s="127"/>
      <c r="Y210" s="127"/>
      <c r="Z210" s="127"/>
      <c r="AA210" s="10"/>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row>
    <row r="211" spans="1:56" ht="14.25" customHeight="1">
      <c r="A211" s="8"/>
      <c r="B211" s="12" t="s">
        <v>79</v>
      </c>
      <c r="C211" s="65">
        <f t="shared" si="149"/>
        <v>0.98255813953488369</v>
      </c>
      <c r="D211" s="65">
        <f t="shared" si="150"/>
        <v>0.93548387096774188</v>
      </c>
      <c r="E211" s="65">
        <f t="shared" si="151"/>
        <v>0.95629820051413883</v>
      </c>
      <c r="F211" s="65">
        <f t="shared" si="152"/>
        <v>0.76470588235294112</v>
      </c>
      <c r="G211" s="65">
        <f t="shared" si="153"/>
        <v>1</v>
      </c>
      <c r="H211" s="65">
        <f t="shared" si="154"/>
        <v>0.83333333333333337</v>
      </c>
      <c r="I211" s="65">
        <f t="shared" si="155"/>
        <v>1</v>
      </c>
      <c r="J211" s="65">
        <f t="shared" si="156"/>
        <v>0.95918367346938771</v>
      </c>
      <c r="K211" s="65">
        <f t="shared" si="157"/>
        <v>0.9642857142857143</v>
      </c>
      <c r="L211" s="65">
        <f t="shared" si="158"/>
        <v>0.93478260869565222</v>
      </c>
      <c r="M211" s="65">
        <f t="shared" si="170"/>
        <v>0.94425087108013939</v>
      </c>
      <c r="N211" s="65">
        <f t="shared" si="160"/>
        <v>0.94003868471953578</v>
      </c>
      <c r="O211" s="127">
        <f t="shared" si="161"/>
        <v>0.8287943262411348</v>
      </c>
      <c r="P211" s="127">
        <f t="shared" si="162"/>
        <v>0.81299772468714449</v>
      </c>
      <c r="Q211" s="128" t="str">
        <f t="shared" si="163"/>
        <v>-</v>
      </c>
      <c r="R211" s="127">
        <f t="shared" si="164"/>
        <v>0.87179487179487181</v>
      </c>
      <c r="S211" s="127">
        <f t="shared" si="165"/>
        <v>0.7142857142857143</v>
      </c>
      <c r="T211" s="128" t="str">
        <f t="shared" si="166"/>
        <v>-</v>
      </c>
      <c r="U211" s="127">
        <f t="shared" si="167"/>
        <v>0.9285714285714286</v>
      </c>
      <c r="V211" s="127">
        <f t="shared" si="168"/>
        <v>0.91666666666666663</v>
      </c>
      <c r="W211" s="128" t="str">
        <f t="shared" si="169"/>
        <v>-</v>
      </c>
      <c r="X211" s="127"/>
      <c r="Y211" s="127"/>
      <c r="Z211" s="127"/>
      <c r="AA211" s="10"/>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row>
    <row r="212" spans="1:56" ht="14.25" customHeight="1">
      <c r="A212" s="8"/>
      <c r="B212" s="12" t="s">
        <v>80</v>
      </c>
      <c r="C212" s="65">
        <f t="shared" si="149"/>
        <v>0.9550561797752809</v>
      </c>
      <c r="D212" s="65">
        <f t="shared" si="150"/>
        <v>0.95348837209302328</v>
      </c>
      <c r="E212" s="65">
        <f t="shared" si="151"/>
        <v>0.95428571428571429</v>
      </c>
      <c r="F212" s="65">
        <f t="shared" si="152"/>
        <v>0.73333333333333328</v>
      </c>
      <c r="G212" s="65">
        <f t="shared" si="153"/>
        <v>0.33333333333333331</v>
      </c>
      <c r="H212" s="65">
        <f t="shared" si="154"/>
        <v>0.70833333333333337</v>
      </c>
      <c r="I212" s="65">
        <f t="shared" si="155"/>
        <v>1</v>
      </c>
      <c r="J212" s="65">
        <f t="shared" si="156"/>
        <v>0.97826086956521741</v>
      </c>
      <c r="K212" s="65">
        <f t="shared" si="157"/>
        <v>0.98039215686274506</v>
      </c>
      <c r="L212" s="65">
        <f t="shared" si="158"/>
        <v>0.91228070175438591</v>
      </c>
      <c r="M212" s="65">
        <f t="shared" si="170"/>
        <v>0.95022624434389136</v>
      </c>
      <c r="N212" s="65">
        <f t="shared" si="160"/>
        <v>0.93095768374164811</v>
      </c>
      <c r="O212" s="127">
        <f t="shared" si="161"/>
        <v>0.87202497073741714</v>
      </c>
      <c r="P212" s="127">
        <f t="shared" si="162"/>
        <v>0.78003875968992253</v>
      </c>
      <c r="Q212" s="128" t="str">
        <f t="shared" si="163"/>
        <v>-</v>
      </c>
      <c r="R212" s="127">
        <f t="shared" si="164"/>
        <v>0.81818181818181823</v>
      </c>
      <c r="S212" s="127">
        <f t="shared" si="165"/>
        <v>1</v>
      </c>
      <c r="T212" s="128" t="str">
        <f t="shared" si="166"/>
        <v>-</v>
      </c>
      <c r="U212" s="127">
        <f t="shared" si="167"/>
        <v>0.96666666666666667</v>
      </c>
      <c r="V212" s="127">
        <f t="shared" si="168"/>
        <v>0.95925925925925926</v>
      </c>
      <c r="W212" s="128" t="str">
        <f t="shared" si="169"/>
        <v>-</v>
      </c>
      <c r="X212" s="127"/>
      <c r="Y212" s="127"/>
      <c r="Z212" s="127"/>
      <c r="AA212" s="10"/>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row>
    <row r="213" spans="1:56" ht="14.25" customHeight="1">
      <c r="A213" s="8"/>
      <c r="B213" s="12" t="s">
        <v>81</v>
      </c>
      <c r="C213" s="65">
        <f t="shared" si="149"/>
        <v>0.9662921348314607</v>
      </c>
      <c r="D213" s="65">
        <f t="shared" si="150"/>
        <v>0.94054054054054059</v>
      </c>
      <c r="E213" s="65">
        <f t="shared" si="151"/>
        <v>0.95316804407713496</v>
      </c>
      <c r="F213" s="65">
        <f t="shared" si="152"/>
        <v>0.96551724137931039</v>
      </c>
      <c r="G213" s="65">
        <f t="shared" si="153"/>
        <v>1</v>
      </c>
      <c r="H213" s="65">
        <f t="shared" si="154"/>
        <v>0.96666666666666667</v>
      </c>
      <c r="I213" s="65">
        <f t="shared" si="155"/>
        <v>1</v>
      </c>
      <c r="J213" s="65">
        <f t="shared" si="156"/>
        <v>1</v>
      </c>
      <c r="K213" s="65">
        <f t="shared" si="157"/>
        <v>1</v>
      </c>
      <c r="L213" s="65">
        <f t="shared" si="158"/>
        <v>0.96682464454976302</v>
      </c>
      <c r="M213" s="65">
        <f t="shared" si="170"/>
        <v>0.94859813084112155</v>
      </c>
      <c r="N213" s="65">
        <f t="shared" si="160"/>
        <v>0.95764705882352941</v>
      </c>
      <c r="O213" s="127">
        <f t="shared" si="161"/>
        <v>0.86319758672699853</v>
      </c>
      <c r="P213" s="127">
        <f t="shared" si="162"/>
        <v>0.86870618228170804</v>
      </c>
      <c r="Q213" s="128" t="str">
        <f t="shared" si="163"/>
        <v>-</v>
      </c>
      <c r="R213" s="127">
        <f t="shared" si="164"/>
        <v>0.8928571428571429</v>
      </c>
      <c r="S213" s="127">
        <f t="shared" si="165"/>
        <v>1</v>
      </c>
      <c r="T213" s="128" t="str">
        <f t="shared" si="166"/>
        <v>-</v>
      </c>
      <c r="U213" s="127">
        <f t="shared" si="167"/>
        <v>1</v>
      </c>
      <c r="V213" s="127">
        <f t="shared" si="168"/>
        <v>0.98809523809523814</v>
      </c>
      <c r="W213" s="128" t="str">
        <f t="shared" si="169"/>
        <v>-</v>
      </c>
      <c r="X213" s="127"/>
      <c r="Y213" s="127"/>
      <c r="Z213" s="127"/>
      <c r="AA213" s="10"/>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row>
    <row r="214" spans="1:56" ht="14.25" customHeight="1">
      <c r="A214" s="8"/>
      <c r="B214" s="12" t="s">
        <v>82</v>
      </c>
      <c r="C214" s="80" t="str">
        <f t="shared" si="149"/>
        <v>-</v>
      </c>
      <c r="D214" s="80" t="str">
        <f t="shared" si="150"/>
        <v>-</v>
      </c>
      <c r="E214" s="80" t="str">
        <f t="shared" si="151"/>
        <v>-</v>
      </c>
      <c r="F214" s="80" t="str">
        <f t="shared" si="152"/>
        <v>-</v>
      </c>
      <c r="G214" s="80" t="str">
        <f t="shared" si="153"/>
        <v>-</v>
      </c>
      <c r="H214" s="80" t="str">
        <f t="shared" si="154"/>
        <v>-</v>
      </c>
      <c r="I214" s="65">
        <f t="shared" si="155"/>
        <v>0</v>
      </c>
      <c r="J214" s="80" t="str">
        <f t="shared" si="156"/>
        <v>-</v>
      </c>
      <c r="K214" s="65">
        <f t="shared" si="157"/>
        <v>0</v>
      </c>
      <c r="L214" s="65">
        <f t="shared" si="158"/>
        <v>0</v>
      </c>
      <c r="M214" s="80" t="str">
        <f t="shared" si="170"/>
        <v>-</v>
      </c>
      <c r="N214" s="65">
        <f t="shared" si="160"/>
        <v>0</v>
      </c>
      <c r="O214" s="128" t="str">
        <f t="shared" si="161"/>
        <v>-</v>
      </c>
      <c r="P214" s="128" t="str">
        <f t="shared" si="162"/>
        <v>-</v>
      </c>
      <c r="Q214" s="128" t="str">
        <f t="shared" si="163"/>
        <v>-</v>
      </c>
      <c r="R214" s="128" t="str">
        <f t="shared" si="164"/>
        <v>-</v>
      </c>
      <c r="S214" s="128" t="str">
        <f t="shared" si="165"/>
        <v>-</v>
      </c>
      <c r="T214" s="128" t="str">
        <f t="shared" si="166"/>
        <v>-</v>
      </c>
      <c r="U214" s="128" t="str">
        <f t="shared" si="167"/>
        <v>-</v>
      </c>
      <c r="V214" s="128" t="str">
        <f t="shared" si="168"/>
        <v>-</v>
      </c>
      <c r="W214" s="128" t="str">
        <f t="shared" si="169"/>
        <v>-</v>
      </c>
      <c r="X214" s="127"/>
      <c r="Y214" s="127"/>
      <c r="Z214" s="127"/>
      <c r="AA214" s="10"/>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row>
    <row r="215" spans="1:56" ht="14.25" customHeight="1">
      <c r="A215" s="8"/>
      <c r="B215" s="12" t="s">
        <v>83</v>
      </c>
      <c r="C215" s="65">
        <f t="shared" si="149"/>
        <v>0.620253164556962</v>
      </c>
      <c r="D215" s="65">
        <f t="shared" si="150"/>
        <v>0.88571428571428568</v>
      </c>
      <c r="E215" s="65">
        <f t="shared" si="151"/>
        <v>0.74496644295302017</v>
      </c>
      <c r="F215" s="80" t="str">
        <f t="shared" si="152"/>
        <v>-</v>
      </c>
      <c r="G215" s="80" t="str">
        <f t="shared" si="153"/>
        <v>-</v>
      </c>
      <c r="H215" s="80" t="str">
        <f t="shared" si="154"/>
        <v>-</v>
      </c>
      <c r="I215" s="80" t="str">
        <f t="shared" si="155"/>
        <v>-</v>
      </c>
      <c r="J215" s="80" t="str">
        <f t="shared" si="156"/>
        <v>-</v>
      </c>
      <c r="K215" s="80" t="str">
        <f t="shared" si="157"/>
        <v>-</v>
      </c>
      <c r="L215" s="65">
        <f t="shared" si="158"/>
        <v>0.620253164556962</v>
      </c>
      <c r="M215" s="65">
        <f t="shared" si="170"/>
        <v>0.88571428571428568</v>
      </c>
      <c r="N215" s="65">
        <f t="shared" si="160"/>
        <v>0.74496644295302017</v>
      </c>
      <c r="O215" s="127">
        <f t="shared" si="161"/>
        <v>0.90676117775354415</v>
      </c>
      <c r="P215" s="127">
        <f t="shared" si="162"/>
        <v>0.92816326530612248</v>
      </c>
      <c r="Q215" s="128" t="str">
        <f t="shared" si="163"/>
        <v>-</v>
      </c>
      <c r="R215" s="128" t="str">
        <f t="shared" si="164"/>
        <v>-</v>
      </c>
      <c r="S215" s="128" t="str">
        <f t="shared" si="165"/>
        <v>-</v>
      </c>
      <c r="T215" s="128" t="str">
        <f t="shared" si="166"/>
        <v>-</v>
      </c>
      <c r="U215" s="128" t="str">
        <f t="shared" si="167"/>
        <v>-</v>
      </c>
      <c r="V215" s="128" t="str">
        <f t="shared" si="168"/>
        <v>-</v>
      </c>
      <c r="W215" s="128" t="str">
        <f t="shared" si="169"/>
        <v>-</v>
      </c>
      <c r="X215" s="127"/>
      <c r="Y215" s="127"/>
      <c r="Z215" s="127"/>
      <c r="AA215" s="10"/>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row>
    <row r="216" spans="1:56" ht="14.25" customHeight="1">
      <c r="A216" s="8"/>
      <c r="B216" s="12" t="s">
        <v>84</v>
      </c>
      <c r="C216" s="65">
        <f t="shared" si="149"/>
        <v>0.99339933993399343</v>
      </c>
      <c r="D216" s="65">
        <f t="shared" si="150"/>
        <v>0.99656357388316152</v>
      </c>
      <c r="E216" s="65">
        <f t="shared" si="151"/>
        <v>0.99494949494949492</v>
      </c>
      <c r="F216" s="80" t="str">
        <f t="shared" si="152"/>
        <v>-</v>
      </c>
      <c r="G216" s="65">
        <f t="shared" si="153"/>
        <v>1</v>
      </c>
      <c r="H216" s="65">
        <f t="shared" si="154"/>
        <v>1</v>
      </c>
      <c r="I216" s="65">
        <f t="shared" si="155"/>
        <v>1</v>
      </c>
      <c r="J216" s="65">
        <f t="shared" si="156"/>
        <v>1</v>
      </c>
      <c r="K216" s="65">
        <f t="shared" si="157"/>
        <v>1</v>
      </c>
      <c r="L216" s="65">
        <f t="shared" si="158"/>
        <v>0.99416909620991256</v>
      </c>
      <c r="M216" s="65">
        <f t="shared" si="170"/>
        <v>0.9966216216216216</v>
      </c>
      <c r="N216" s="65">
        <f t="shared" si="160"/>
        <v>0.99530516431924887</v>
      </c>
      <c r="O216" s="127">
        <f t="shared" si="161"/>
        <v>0.93471342596968843</v>
      </c>
      <c r="P216" s="127">
        <f t="shared" si="162"/>
        <v>0.90768146582100073</v>
      </c>
      <c r="Q216" s="128" t="str">
        <f t="shared" si="163"/>
        <v>-</v>
      </c>
      <c r="R216" s="128" t="str">
        <f t="shared" si="164"/>
        <v>-</v>
      </c>
      <c r="S216" s="127">
        <f t="shared" si="165"/>
        <v>0.5</v>
      </c>
      <c r="T216" s="128" t="str">
        <f t="shared" si="166"/>
        <v>-</v>
      </c>
      <c r="U216" s="127">
        <f t="shared" si="167"/>
        <v>0.99791666666666667</v>
      </c>
      <c r="V216" s="127">
        <f t="shared" si="168"/>
        <v>0.98958333333333337</v>
      </c>
      <c r="W216" s="128" t="str">
        <f t="shared" si="169"/>
        <v>-</v>
      </c>
      <c r="X216" s="127"/>
      <c r="Y216" s="127"/>
      <c r="Z216" s="127"/>
      <c r="AA216" s="10"/>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row>
    <row r="217" spans="1:56" ht="14.25" customHeight="1">
      <c r="A217" s="8"/>
      <c r="B217" s="12" t="s">
        <v>85</v>
      </c>
      <c r="C217" s="65">
        <f t="shared" si="149"/>
        <v>0.88721804511278191</v>
      </c>
      <c r="D217" s="65">
        <f t="shared" si="150"/>
        <v>0.87619047619047619</v>
      </c>
      <c r="E217" s="65">
        <f t="shared" si="151"/>
        <v>0.88123924268502585</v>
      </c>
      <c r="F217" s="80" t="str">
        <f t="shared" si="152"/>
        <v>-</v>
      </c>
      <c r="G217" s="80" t="str">
        <f t="shared" si="153"/>
        <v>-</v>
      </c>
      <c r="H217" s="80" t="str">
        <f t="shared" si="154"/>
        <v>-</v>
      </c>
      <c r="I217" s="65">
        <f t="shared" si="155"/>
        <v>0.85964912280701755</v>
      </c>
      <c r="J217" s="65">
        <f t="shared" si="156"/>
        <v>0.94805194805194803</v>
      </c>
      <c r="K217" s="65">
        <f t="shared" si="157"/>
        <v>0.91044776119402981</v>
      </c>
      <c r="L217" s="65">
        <f t="shared" si="158"/>
        <v>0.88235294117647056</v>
      </c>
      <c r="M217" s="65">
        <f t="shared" si="170"/>
        <v>0.89030612244897955</v>
      </c>
      <c r="N217" s="65">
        <f t="shared" si="160"/>
        <v>0.88671328671328675</v>
      </c>
      <c r="O217" s="127">
        <f t="shared" si="161"/>
        <v>0.90772185162724883</v>
      </c>
      <c r="P217" s="127">
        <f t="shared" si="162"/>
        <v>0.89278565137320842</v>
      </c>
      <c r="Q217" s="128" t="str">
        <f t="shared" si="163"/>
        <v>-</v>
      </c>
      <c r="R217" s="128" t="str">
        <f t="shared" si="164"/>
        <v>-</v>
      </c>
      <c r="S217" s="128" t="str">
        <f t="shared" si="165"/>
        <v>-</v>
      </c>
      <c r="T217" s="128" t="str">
        <f t="shared" si="166"/>
        <v>-</v>
      </c>
      <c r="U217" s="127">
        <f t="shared" si="167"/>
        <v>0.97058823529411764</v>
      </c>
      <c r="V217" s="127">
        <f t="shared" si="168"/>
        <v>0.96004566210045661</v>
      </c>
      <c r="W217" s="128" t="str">
        <f t="shared" si="169"/>
        <v>-</v>
      </c>
      <c r="X217" s="127"/>
      <c r="Y217" s="127"/>
      <c r="Z217" s="127"/>
      <c r="AA217" s="10"/>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row>
    <row r="218" spans="1:56" ht="14.25" customHeight="1">
      <c r="A218" s="8"/>
      <c r="B218" s="12" t="s">
        <v>86</v>
      </c>
      <c r="C218" s="80" t="str">
        <f t="shared" si="149"/>
        <v>-</v>
      </c>
      <c r="D218" s="80" t="str">
        <f t="shared" si="150"/>
        <v>-</v>
      </c>
      <c r="E218" s="80" t="str">
        <f t="shared" si="151"/>
        <v>-</v>
      </c>
      <c r="F218" s="80" t="str">
        <f t="shared" si="152"/>
        <v>-</v>
      </c>
      <c r="G218" s="80" t="str">
        <f t="shared" si="153"/>
        <v>-</v>
      </c>
      <c r="H218" s="80" t="str">
        <f t="shared" si="154"/>
        <v>-</v>
      </c>
      <c r="I218" s="80" t="str">
        <f t="shared" si="155"/>
        <v>-</v>
      </c>
      <c r="J218" s="80" t="str">
        <f t="shared" si="156"/>
        <v>-</v>
      </c>
      <c r="K218" s="80" t="str">
        <f t="shared" si="157"/>
        <v>-</v>
      </c>
      <c r="L218" s="80" t="str">
        <f t="shared" si="158"/>
        <v>-</v>
      </c>
      <c r="M218" s="80" t="str">
        <f t="shared" si="170"/>
        <v>-</v>
      </c>
      <c r="N218" s="80" t="str">
        <f t="shared" si="160"/>
        <v>-</v>
      </c>
      <c r="O218" s="128" t="str">
        <f t="shared" si="161"/>
        <v>-</v>
      </c>
      <c r="P218" s="128" t="str">
        <f t="shared" si="162"/>
        <v>-</v>
      </c>
      <c r="Q218" s="128" t="str">
        <f t="shared" si="163"/>
        <v>-</v>
      </c>
      <c r="R218" s="128" t="str">
        <f t="shared" si="164"/>
        <v>-</v>
      </c>
      <c r="S218" s="128" t="str">
        <f t="shared" si="165"/>
        <v>-</v>
      </c>
      <c r="T218" s="128" t="str">
        <f t="shared" si="166"/>
        <v>-</v>
      </c>
      <c r="U218" s="128" t="str">
        <f t="shared" si="167"/>
        <v>-</v>
      </c>
      <c r="V218" s="128" t="str">
        <f t="shared" si="168"/>
        <v>-</v>
      </c>
      <c r="W218" s="128" t="str">
        <f t="shared" si="169"/>
        <v>-</v>
      </c>
      <c r="X218" s="127"/>
      <c r="Y218" s="127"/>
      <c r="Z218" s="127"/>
      <c r="AA218" s="10"/>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row>
    <row r="219" spans="1:56" ht="14.25" customHeight="1">
      <c r="A219" s="8"/>
      <c r="B219" s="12" t="s">
        <v>87</v>
      </c>
      <c r="C219" s="65">
        <f t="shared" si="149"/>
        <v>0.91191709844559588</v>
      </c>
      <c r="D219" s="65">
        <f t="shared" si="150"/>
        <v>0.86187845303867405</v>
      </c>
      <c r="E219" s="65">
        <f t="shared" si="151"/>
        <v>0.88770053475935828</v>
      </c>
      <c r="F219" s="65">
        <f t="shared" si="152"/>
        <v>0.92</v>
      </c>
      <c r="G219" s="80" t="str">
        <f t="shared" si="153"/>
        <v>-</v>
      </c>
      <c r="H219" s="65">
        <f t="shared" si="154"/>
        <v>0.92</v>
      </c>
      <c r="I219" s="65">
        <f t="shared" si="155"/>
        <v>1</v>
      </c>
      <c r="J219" s="65">
        <f t="shared" si="156"/>
        <v>0.97959183673469385</v>
      </c>
      <c r="K219" s="65">
        <f t="shared" si="157"/>
        <v>0.98148148148148151</v>
      </c>
      <c r="L219" s="65">
        <f t="shared" si="158"/>
        <v>0.91532258064516125</v>
      </c>
      <c r="M219" s="65">
        <f t="shared" si="170"/>
        <v>0.88695652173913042</v>
      </c>
      <c r="N219" s="65">
        <f t="shared" si="160"/>
        <v>0.90167364016736407</v>
      </c>
      <c r="O219" s="127">
        <f t="shared" si="161"/>
        <v>0.92112235067437376</v>
      </c>
      <c r="P219" s="127">
        <f t="shared" si="162"/>
        <v>0.93710466642797474</v>
      </c>
      <c r="Q219" s="128" t="str">
        <f t="shared" si="163"/>
        <v>-</v>
      </c>
      <c r="R219" s="127">
        <f t="shared" si="164"/>
        <v>0.90909090909090906</v>
      </c>
      <c r="S219" s="128" t="str">
        <f t="shared" si="165"/>
        <v>-</v>
      </c>
      <c r="T219" s="128" t="str">
        <f t="shared" si="166"/>
        <v>-</v>
      </c>
      <c r="U219" s="127">
        <f t="shared" si="167"/>
        <v>1</v>
      </c>
      <c r="V219" s="127">
        <f t="shared" si="168"/>
        <v>0.94753086419753085</v>
      </c>
      <c r="W219" s="128" t="str">
        <f t="shared" si="169"/>
        <v>-</v>
      </c>
      <c r="X219" s="127"/>
      <c r="Y219" s="127"/>
      <c r="Z219" s="127"/>
      <c r="AA219" s="10"/>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row>
    <row r="220" spans="1:56" ht="14.25" customHeight="1">
      <c r="A220" s="8"/>
      <c r="B220" s="12" t="s">
        <v>88</v>
      </c>
      <c r="C220" s="65">
        <f t="shared" si="149"/>
        <v>0.92173913043478262</v>
      </c>
      <c r="D220" s="65">
        <f t="shared" si="150"/>
        <v>0.93403693931398413</v>
      </c>
      <c r="E220" s="65">
        <f t="shared" si="151"/>
        <v>0.92817679558011046</v>
      </c>
      <c r="F220" s="65">
        <f t="shared" si="152"/>
        <v>0.77586206896551724</v>
      </c>
      <c r="G220" s="80" t="str">
        <f t="shared" si="153"/>
        <v>-</v>
      </c>
      <c r="H220" s="65">
        <f t="shared" si="154"/>
        <v>0.77586206896551724</v>
      </c>
      <c r="I220" s="65">
        <f t="shared" si="155"/>
        <v>1</v>
      </c>
      <c r="J220" s="65">
        <f t="shared" si="156"/>
        <v>0.9821428571428571</v>
      </c>
      <c r="K220" s="65">
        <f t="shared" si="157"/>
        <v>0.98333333333333328</v>
      </c>
      <c r="L220" s="65">
        <f t="shared" si="158"/>
        <v>0.90171990171990168</v>
      </c>
      <c r="M220" s="65">
        <f t="shared" si="170"/>
        <v>0.94022988505747129</v>
      </c>
      <c r="N220" s="65">
        <f t="shared" si="160"/>
        <v>0.92161520190023749</v>
      </c>
      <c r="O220" s="127">
        <f t="shared" si="161"/>
        <v>0.79336926911261807</v>
      </c>
      <c r="P220" s="127">
        <f t="shared" si="162"/>
        <v>0.82694028896560545</v>
      </c>
      <c r="Q220" s="128" t="str">
        <f t="shared" si="163"/>
        <v>-</v>
      </c>
      <c r="R220" s="127">
        <f t="shared" si="164"/>
        <v>0.8</v>
      </c>
      <c r="S220" s="128" t="str">
        <f t="shared" si="165"/>
        <v>-</v>
      </c>
      <c r="T220" s="128" t="str">
        <f t="shared" si="166"/>
        <v>-</v>
      </c>
      <c r="U220" s="127">
        <f t="shared" si="167"/>
        <v>1</v>
      </c>
      <c r="V220" s="127">
        <f t="shared" si="168"/>
        <v>0.87878787878787878</v>
      </c>
      <c r="W220" s="128" t="str">
        <f t="shared" si="169"/>
        <v>-</v>
      </c>
      <c r="X220" s="127"/>
      <c r="Y220" s="127"/>
      <c r="Z220" s="127"/>
      <c r="AA220" s="10"/>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row>
    <row r="221" spans="1:56" ht="14.25" customHeight="1">
      <c r="A221" s="8"/>
      <c r="B221" s="12" t="s">
        <v>89</v>
      </c>
      <c r="C221" s="65">
        <f t="shared" si="149"/>
        <v>0.9219653179190751</v>
      </c>
      <c r="D221" s="65">
        <f t="shared" si="150"/>
        <v>0.93403693931398413</v>
      </c>
      <c r="E221" s="65">
        <f t="shared" si="151"/>
        <v>0.92827586206896551</v>
      </c>
      <c r="F221" s="65">
        <f t="shared" si="152"/>
        <v>0.77586206896551724</v>
      </c>
      <c r="G221" s="80" t="str">
        <f t="shared" si="153"/>
        <v>-</v>
      </c>
      <c r="H221" s="65">
        <f t="shared" si="154"/>
        <v>0.77586206896551724</v>
      </c>
      <c r="I221" s="65">
        <f t="shared" si="155"/>
        <v>0.83333333333333337</v>
      </c>
      <c r="J221" s="65">
        <f t="shared" si="156"/>
        <v>0.98245614035087714</v>
      </c>
      <c r="K221" s="65">
        <f t="shared" si="157"/>
        <v>0.96825396825396826</v>
      </c>
      <c r="L221" s="65">
        <f t="shared" si="158"/>
        <v>0.9</v>
      </c>
      <c r="M221" s="65">
        <f t="shared" si="170"/>
        <v>0.94036697247706424</v>
      </c>
      <c r="N221" s="65">
        <f t="shared" si="160"/>
        <v>0.92080378250591022</v>
      </c>
      <c r="O221" s="127">
        <f t="shared" si="161"/>
        <v>0.79344110319253724</v>
      </c>
      <c r="P221" s="127">
        <f t="shared" si="162"/>
        <v>0.82694028896560545</v>
      </c>
      <c r="Q221" s="128" t="str">
        <f t="shared" si="163"/>
        <v>-</v>
      </c>
      <c r="R221" s="127">
        <f t="shared" si="164"/>
        <v>0.8</v>
      </c>
      <c r="S221" s="128" t="str">
        <f t="shared" si="165"/>
        <v>-</v>
      </c>
      <c r="T221" s="128" t="str">
        <f t="shared" si="166"/>
        <v>-</v>
      </c>
      <c r="U221" s="127">
        <f t="shared" si="167"/>
        <v>1</v>
      </c>
      <c r="V221" s="127">
        <f t="shared" si="168"/>
        <v>0.88095238095238093</v>
      </c>
      <c r="W221" s="128" t="str">
        <f t="shared" si="169"/>
        <v>-</v>
      </c>
      <c r="X221" s="127"/>
      <c r="Y221" s="127"/>
      <c r="Z221" s="127"/>
      <c r="AA221" s="10"/>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row>
    <row r="222" spans="1:56" ht="14.25" customHeight="1">
      <c r="A222" s="8"/>
      <c r="B222" s="12" t="s">
        <v>90</v>
      </c>
      <c r="C222" s="65">
        <f t="shared" si="149"/>
        <v>0.98255813953488369</v>
      </c>
      <c r="D222" s="65">
        <f t="shared" si="150"/>
        <v>0.93548387096774188</v>
      </c>
      <c r="E222" s="65">
        <f t="shared" si="151"/>
        <v>0.95629820051413883</v>
      </c>
      <c r="F222" s="65">
        <f t="shared" si="152"/>
        <v>0.76470588235294112</v>
      </c>
      <c r="G222" s="65">
        <f t="shared" si="153"/>
        <v>1</v>
      </c>
      <c r="H222" s="65">
        <f t="shared" si="154"/>
        <v>0.83333333333333337</v>
      </c>
      <c r="I222" s="65">
        <f t="shared" si="155"/>
        <v>1</v>
      </c>
      <c r="J222" s="65">
        <f t="shared" si="156"/>
        <v>0.95918367346938771</v>
      </c>
      <c r="K222" s="65">
        <f t="shared" si="157"/>
        <v>0.9642857142857143</v>
      </c>
      <c r="L222" s="65">
        <f t="shared" si="158"/>
        <v>0.93478260869565222</v>
      </c>
      <c r="M222" s="65">
        <f t="shared" si="170"/>
        <v>0.94425087108013939</v>
      </c>
      <c r="N222" s="65">
        <f t="shared" si="160"/>
        <v>0.94003868471953578</v>
      </c>
      <c r="O222" s="127">
        <f t="shared" si="161"/>
        <v>0.8287943262411348</v>
      </c>
      <c r="P222" s="127">
        <f t="shared" si="162"/>
        <v>0.81299772468714449</v>
      </c>
      <c r="Q222" s="128" t="str">
        <f t="shared" si="163"/>
        <v>-</v>
      </c>
      <c r="R222" s="127">
        <f t="shared" si="164"/>
        <v>0.87179487179487181</v>
      </c>
      <c r="S222" s="127">
        <f t="shared" si="165"/>
        <v>0.7142857142857143</v>
      </c>
      <c r="T222" s="128" t="str">
        <f t="shared" si="166"/>
        <v>-</v>
      </c>
      <c r="U222" s="127">
        <f t="shared" si="167"/>
        <v>0.9285714285714286</v>
      </c>
      <c r="V222" s="127">
        <f t="shared" si="168"/>
        <v>0.91666666666666663</v>
      </c>
      <c r="W222" s="128" t="str">
        <f t="shared" si="169"/>
        <v>-</v>
      </c>
      <c r="X222" s="127"/>
      <c r="Y222" s="127"/>
      <c r="Z222" s="127"/>
      <c r="AA222" s="10"/>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row>
    <row r="223" spans="1:56" ht="14.25" customHeight="1">
      <c r="A223" s="8"/>
      <c r="B223" s="12" t="s">
        <v>91</v>
      </c>
      <c r="C223" s="65">
        <f t="shared" si="149"/>
        <v>0.92904206791687782</v>
      </c>
      <c r="D223" s="65">
        <f t="shared" si="150"/>
        <v>0.9306615776081425</v>
      </c>
      <c r="E223" s="65">
        <f t="shared" si="151"/>
        <v>0.92976022566995764</v>
      </c>
      <c r="F223" s="65">
        <f t="shared" si="152"/>
        <v>0.88787185354691078</v>
      </c>
      <c r="G223" s="65">
        <f t="shared" si="153"/>
        <v>0.72</v>
      </c>
      <c r="H223" s="65">
        <f t="shared" si="154"/>
        <v>0.87878787878787878</v>
      </c>
      <c r="I223" s="65">
        <f t="shared" si="155"/>
        <v>0.87179487179487181</v>
      </c>
      <c r="J223" s="65">
        <f t="shared" si="156"/>
        <v>1</v>
      </c>
      <c r="K223" s="65">
        <f t="shared" si="157"/>
        <v>0.98908296943231444</v>
      </c>
      <c r="L223" s="65">
        <f t="shared" si="158"/>
        <v>0.92078399346672113</v>
      </c>
      <c r="M223" s="65">
        <f t="shared" si="170"/>
        <v>0.94246031746031744</v>
      </c>
      <c r="N223" s="65">
        <f t="shared" si="160"/>
        <v>0.93057110862262038</v>
      </c>
      <c r="O223" s="127">
        <f t="shared" si="161"/>
        <v>0.87261603094158446</v>
      </c>
      <c r="P223" s="127">
        <f t="shared" si="162"/>
        <v>0.86587301587301591</v>
      </c>
      <c r="Q223" s="128" t="str">
        <f t="shared" si="163"/>
        <v>-</v>
      </c>
      <c r="R223" s="127">
        <f t="shared" si="164"/>
        <v>0.84278350515463918</v>
      </c>
      <c r="S223" s="127">
        <f t="shared" si="165"/>
        <v>0.91666666666666663</v>
      </c>
      <c r="T223" s="128" t="str">
        <f t="shared" si="166"/>
        <v>-</v>
      </c>
      <c r="U223" s="127">
        <f t="shared" si="167"/>
        <v>0.95588235294117652</v>
      </c>
      <c r="V223" s="127">
        <f t="shared" si="168"/>
        <v>0.93065134099616853</v>
      </c>
      <c r="W223" s="128" t="str">
        <f t="shared" si="169"/>
        <v>-</v>
      </c>
      <c r="X223" s="127"/>
      <c r="Y223" s="127"/>
      <c r="Z223" s="127"/>
      <c r="AA223" s="10"/>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row>
    <row r="224" spans="1:56" ht="14.25" customHeight="1">
      <c r="A224" s="8"/>
      <c r="B224" s="12" t="s">
        <v>92</v>
      </c>
      <c r="C224" s="65">
        <f t="shared" si="149"/>
        <v>0.86298076923076927</v>
      </c>
      <c r="D224" s="65">
        <f t="shared" si="150"/>
        <v>0.89279437609841827</v>
      </c>
      <c r="E224" s="65">
        <f t="shared" si="151"/>
        <v>0.88020304568527918</v>
      </c>
      <c r="F224" s="80" t="str">
        <f t="shared" si="152"/>
        <v>-</v>
      </c>
      <c r="G224" s="80" t="str">
        <f t="shared" si="153"/>
        <v>-</v>
      </c>
      <c r="H224" s="80" t="str">
        <f t="shared" si="154"/>
        <v>-</v>
      </c>
      <c r="I224" s="65">
        <f t="shared" si="155"/>
        <v>0.85964912280701755</v>
      </c>
      <c r="J224" s="65">
        <f t="shared" si="156"/>
        <v>0.96</v>
      </c>
      <c r="K224" s="65">
        <f t="shared" si="157"/>
        <v>0.92356687898089174</v>
      </c>
      <c r="L224" s="65">
        <f t="shared" si="158"/>
        <v>0.86257928118393234</v>
      </c>
      <c r="M224" s="65">
        <f t="shared" si="170"/>
        <v>0.90284005979073245</v>
      </c>
      <c r="N224" s="65">
        <f t="shared" si="160"/>
        <v>0.88616462346760072</v>
      </c>
      <c r="O224" s="127">
        <f t="shared" si="161"/>
        <v>0.90461325008671523</v>
      </c>
      <c r="P224" s="127">
        <f t="shared" si="162"/>
        <v>0.89397557167784003</v>
      </c>
      <c r="Q224" s="128" t="str">
        <f t="shared" si="163"/>
        <v>-</v>
      </c>
      <c r="R224" s="128" t="str">
        <f t="shared" si="164"/>
        <v>-</v>
      </c>
      <c r="S224" s="128" t="str">
        <f t="shared" si="165"/>
        <v>-</v>
      </c>
      <c r="T224" s="128" t="str">
        <f t="shared" si="166"/>
        <v>-</v>
      </c>
      <c r="U224" s="127">
        <f t="shared" si="167"/>
        <v>0.97058823529411764</v>
      </c>
      <c r="V224" s="127">
        <f t="shared" si="168"/>
        <v>0.95746527777777779</v>
      </c>
      <c r="W224" s="128" t="str">
        <f t="shared" si="169"/>
        <v>-</v>
      </c>
      <c r="X224" s="127"/>
      <c r="Y224" s="127"/>
      <c r="Z224" s="127"/>
      <c r="AA224" s="10"/>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row>
    <row r="225" spans="1:56" ht="14.25" customHeight="1">
      <c r="A225" s="8"/>
      <c r="B225" s="12" t="s">
        <v>93</v>
      </c>
      <c r="C225" s="65">
        <f t="shared" si="149"/>
        <v>0.95443645083932849</v>
      </c>
      <c r="D225" s="65">
        <f t="shared" si="150"/>
        <v>0.93506493506493504</v>
      </c>
      <c r="E225" s="65">
        <f t="shared" si="151"/>
        <v>0.94351464435146448</v>
      </c>
      <c r="F225" s="65">
        <f t="shared" si="152"/>
        <v>0.71212121212121215</v>
      </c>
      <c r="G225" s="65">
        <f t="shared" si="153"/>
        <v>0.61538461538461542</v>
      </c>
      <c r="H225" s="65">
        <f t="shared" si="154"/>
        <v>0.70344827586206893</v>
      </c>
      <c r="I225" s="65">
        <f t="shared" si="155"/>
        <v>1</v>
      </c>
      <c r="J225" s="65">
        <f t="shared" si="156"/>
        <v>0.9921875</v>
      </c>
      <c r="K225" s="65">
        <f t="shared" si="157"/>
        <v>0.99290780141843971</v>
      </c>
      <c r="L225" s="65">
        <f t="shared" si="158"/>
        <v>0.89857651245551606</v>
      </c>
      <c r="M225" s="65">
        <f t="shared" si="170"/>
        <v>0.93970588235294117</v>
      </c>
      <c r="N225" s="65">
        <f t="shared" si="160"/>
        <v>0.92109500805152977</v>
      </c>
      <c r="O225" s="127">
        <f t="shared" si="161"/>
        <v>0.82367112614690652</v>
      </c>
      <c r="P225" s="127">
        <f t="shared" si="162"/>
        <v>0.76964250049930094</v>
      </c>
      <c r="Q225" s="128" t="str">
        <f t="shared" si="163"/>
        <v>-</v>
      </c>
      <c r="R225" s="127">
        <f t="shared" si="164"/>
        <v>0.65217391304347827</v>
      </c>
      <c r="S225" s="127">
        <f t="shared" si="165"/>
        <v>0.79166666666666663</v>
      </c>
      <c r="T225" s="128" t="str">
        <f t="shared" si="166"/>
        <v>-</v>
      </c>
      <c r="U225" s="127">
        <f t="shared" si="167"/>
        <v>0.94871794871794868</v>
      </c>
      <c r="V225" s="127">
        <f t="shared" si="168"/>
        <v>0.88320209973753283</v>
      </c>
      <c r="W225" s="128" t="str">
        <f t="shared" si="169"/>
        <v>-</v>
      </c>
      <c r="X225" s="127"/>
      <c r="Y225" s="127"/>
      <c r="Z225" s="127"/>
      <c r="AA225" s="10"/>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row>
    <row r="226" spans="1:56" ht="14.25" customHeight="1">
      <c r="A226" s="8"/>
      <c r="B226" s="12" t="s">
        <v>94</v>
      </c>
      <c r="C226" s="65">
        <f t="shared" si="149"/>
        <v>0.91095890410958902</v>
      </c>
      <c r="D226" s="65">
        <f t="shared" si="150"/>
        <v>0.88607594936708856</v>
      </c>
      <c r="E226" s="65">
        <f t="shared" si="151"/>
        <v>0.89981096408317585</v>
      </c>
      <c r="F226" s="65">
        <f t="shared" si="152"/>
        <v>0.75</v>
      </c>
      <c r="G226" s="65">
        <f t="shared" si="153"/>
        <v>0.85964912280701755</v>
      </c>
      <c r="H226" s="65">
        <f t="shared" si="154"/>
        <v>0.85245901639344257</v>
      </c>
      <c r="I226" s="65">
        <f t="shared" si="155"/>
        <v>0.72727272727272729</v>
      </c>
      <c r="J226" s="65">
        <f t="shared" si="156"/>
        <v>1</v>
      </c>
      <c r="K226" s="65">
        <f t="shared" si="157"/>
        <v>0.95588235294117652</v>
      </c>
      <c r="L226" s="65">
        <f t="shared" si="158"/>
        <v>0.90228013029315957</v>
      </c>
      <c r="M226" s="65">
        <f t="shared" si="170"/>
        <v>0.90028490028490027</v>
      </c>
      <c r="N226" s="65">
        <f t="shared" si="160"/>
        <v>0.90121580547112456</v>
      </c>
      <c r="O226" s="127">
        <f t="shared" si="161"/>
        <v>0.84048640915593709</v>
      </c>
      <c r="P226" s="127">
        <f t="shared" si="162"/>
        <v>0.84946236559139787</v>
      </c>
      <c r="Q226" s="128" t="str">
        <f t="shared" si="163"/>
        <v>-</v>
      </c>
      <c r="R226" s="127">
        <f t="shared" si="164"/>
        <v>0.66666666666666663</v>
      </c>
      <c r="S226" s="127">
        <f t="shared" si="165"/>
        <v>0.85567010309278346</v>
      </c>
      <c r="T226" s="128" t="str">
        <f t="shared" si="166"/>
        <v>-</v>
      </c>
      <c r="U226" s="127">
        <f t="shared" si="167"/>
        <v>0.90625</v>
      </c>
      <c r="V226" s="127">
        <f t="shared" si="168"/>
        <v>0.90789473684210531</v>
      </c>
      <c r="W226" s="128" t="str">
        <f t="shared" si="169"/>
        <v>-</v>
      </c>
      <c r="X226" s="127"/>
      <c r="Y226" s="127"/>
      <c r="Z226" s="127"/>
      <c r="AA226" s="10"/>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row>
    <row r="227" spans="1:56" ht="14.25" customHeight="1">
      <c r="A227" s="8"/>
      <c r="B227" s="12" t="s">
        <v>95</v>
      </c>
      <c r="C227" s="65">
        <f t="shared" si="149"/>
        <v>0.90579710144927539</v>
      </c>
      <c r="D227" s="65">
        <f t="shared" si="150"/>
        <v>0.91712707182320441</v>
      </c>
      <c r="E227" s="65">
        <f t="shared" si="151"/>
        <v>0.91222570532915359</v>
      </c>
      <c r="F227" s="65">
        <f t="shared" si="152"/>
        <v>1</v>
      </c>
      <c r="G227" s="65">
        <f t="shared" si="153"/>
        <v>0.66666666666666663</v>
      </c>
      <c r="H227" s="65">
        <f t="shared" si="154"/>
        <v>0.7142857142857143</v>
      </c>
      <c r="I227" s="65">
        <f t="shared" si="155"/>
        <v>0.5</v>
      </c>
      <c r="J227" s="65">
        <f t="shared" si="156"/>
        <v>1</v>
      </c>
      <c r="K227" s="65">
        <f t="shared" si="157"/>
        <v>0.98039215686274506</v>
      </c>
      <c r="L227" s="65">
        <f t="shared" si="158"/>
        <v>0.900709219858156</v>
      </c>
      <c r="M227" s="65">
        <f t="shared" si="170"/>
        <v>0.92796610169491522</v>
      </c>
      <c r="N227" s="65">
        <f t="shared" si="160"/>
        <v>0.91777188328912462</v>
      </c>
      <c r="O227" s="127">
        <f t="shared" si="161"/>
        <v>0.82130028735632188</v>
      </c>
      <c r="P227" s="127">
        <f t="shared" si="162"/>
        <v>0.85969344786929425</v>
      </c>
      <c r="Q227" s="128" t="str">
        <f t="shared" si="163"/>
        <v>-</v>
      </c>
      <c r="R227" s="127">
        <f t="shared" si="164"/>
        <v>1</v>
      </c>
      <c r="S227" s="127">
        <f t="shared" si="165"/>
        <v>1</v>
      </c>
      <c r="T227" s="128" t="str">
        <f t="shared" si="166"/>
        <v>-</v>
      </c>
      <c r="U227" s="127">
        <f t="shared" si="167"/>
        <v>1</v>
      </c>
      <c r="V227" s="127">
        <f t="shared" si="168"/>
        <v>0.95408163265306123</v>
      </c>
      <c r="W227" s="128" t="str">
        <f t="shared" si="169"/>
        <v>-</v>
      </c>
      <c r="X227" s="127"/>
      <c r="Y227" s="127"/>
      <c r="Z227" s="127"/>
      <c r="AA227" s="10"/>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row>
    <row r="228" spans="1:56" ht="14.25" customHeight="1">
      <c r="A228" s="8"/>
      <c r="B228" s="12" t="s">
        <v>96</v>
      </c>
      <c r="C228" s="65">
        <f t="shared" si="149"/>
        <v>0.9662921348314607</v>
      </c>
      <c r="D228" s="65">
        <f t="shared" si="150"/>
        <v>0.94054054054054059</v>
      </c>
      <c r="E228" s="65">
        <f t="shared" si="151"/>
        <v>0.95316804407713496</v>
      </c>
      <c r="F228" s="65">
        <f t="shared" si="152"/>
        <v>0.96551724137931039</v>
      </c>
      <c r="G228" s="65">
        <f t="shared" si="153"/>
        <v>1</v>
      </c>
      <c r="H228" s="65">
        <f t="shared" si="154"/>
        <v>0.96666666666666667</v>
      </c>
      <c r="I228" s="65">
        <f t="shared" si="155"/>
        <v>1</v>
      </c>
      <c r="J228" s="65">
        <f t="shared" si="156"/>
        <v>1</v>
      </c>
      <c r="K228" s="65">
        <f t="shared" si="157"/>
        <v>1</v>
      </c>
      <c r="L228" s="65">
        <f t="shared" si="158"/>
        <v>0.96682464454976302</v>
      </c>
      <c r="M228" s="65">
        <f t="shared" si="170"/>
        <v>0.94859813084112155</v>
      </c>
      <c r="N228" s="65">
        <f t="shared" si="160"/>
        <v>0.95764705882352941</v>
      </c>
      <c r="O228" s="127">
        <f t="shared" si="161"/>
        <v>0.86319758672699853</v>
      </c>
      <c r="P228" s="127">
        <f t="shared" si="162"/>
        <v>0.86870618228170804</v>
      </c>
      <c r="Q228" s="128" t="str">
        <f t="shared" si="163"/>
        <v>-</v>
      </c>
      <c r="R228" s="127">
        <f t="shared" si="164"/>
        <v>0.8928571428571429</v>
      </c>
      <c r="S228" s="127">
        <f t="shared" si="165"/>
        <v>1</v>
      </c>
      <c r="T228" s="128" t="str">
        <f t="shared" si="166"/>
        <v>-</v>
      </c>
      <c r="U228" s="127">
        <f t="shared" si="167"/>
        <v>1</v>
      </c>
      <c r="V228" s="127">
        <f t="shared" si="168"/>
        <v>0.98809523809523814</v>
      </c>
      <c r="W228" s="128" t="str">
        <f t="shared" si="169"/>
        <v>-</v>
      </c>
      <c r="X228" s="127"/>
      <c r="Y228" s="127"/>
      <c r="Z228" s="127"/>
      <c r="AA228" s="10"/>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row>
    <row r="229" spans="1:56" ht="14.25" customHeight="1">
      <c r="A229" s="8"/>
      <c r="B229" s="43" t="s">
        <v>97</v>
      </c>
      <c r="C229" s="65">
        <f t="shared" si="149"/>
        <v>0.76422764227642281</v>
      </c>
      <c r="D229" s="65">
        <f t="shared" si="150"/>
        <v>0.80571428571428572</v>
      </c>
      <c r="E229" s="65">
        <f t="shared" si="151"/>
        <v>0.78859060402684567</v>
      </c>
      <c r="F229" s="80" t="str">
        <f t="shared" si="152"/>
        <v>-</v>
      </c>
      <c r="G229" s="80" t="str">
        <f t="shared" si="153"/>
        <v>-</v>
      </c>
      <c r="H229" s="80" t="str">
        <f t="shared" si="154"/>
        <v>-</v>
      </c>
      <c r="I229" s="80" t="str">
        <f t="shared" si="155"/>
        <v>-</v>
      </c>
      <c r="J229" s="80" t="str">
        <f t="shared" si="156"/>
        <v>-</v>
      </c>
      <c r="K229" s="80" t="str">
        <f t="shared" si="157"/>
        <v>-</v>
      </c>
      <c r="L229" s="65">
        <f t="shared" si="158"/>
        <v>0.76422764227642281</v>
      </c>
      <c r="M229" s="65">
        <f t="shared" si="170"/>
        <v>0.80571428571428572</v>
      </c>
      <c r="N229" s="65">
        <f t="shared" si="160"/>
        <v>0.78859060402684567</v>
      </c>
      <c r="O229" s="127">
        <f t="shared" si="161"/>
        <v>0.8887221805451363</v>
      </c>
      <c r="P229" s="127">
        <f t="shared" si="162"/>
        <v>0.86219239373601786</v>
      </c>
      <c r="Q229" s="128" t="str">
        <f t="shared" si="163"/>
        <v>-</v>
      </c>
      <c r="R229" s="128" t="str">
        <f t="shared" si="164"/>
        <v>-</v>
      </c>
      <c r="S229" s="128" t="str">
        <f t="shared" si="165"/>
        <v>-</v>
      </c>
      <c r="T229" s="128" t="str">
        <f t="shared" si="166"/>
        <v>-</v>
      </c>
      <c r="U229" s="128" t="str">
        <f t="shared" si="167"/>
        <v>-</v>
      </c>
      <c r="V229" s="128" t="str">
        <f t="shared" si="168"/>
        <v>-</v>
      </c>
      <c r="W229" s="128" t="str">
        <f t="shared" si="169"/>
        <v>-</v>
      </c>
      <c r="X229" s="127"/>
      <c r="Y229" s="127"/>
      <c r="Z229" s="127"/>
      <c r="AA229" s="10"/>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row>
    <row r="230" spans="1:56" ht="14.25" customHeight="1">
      <c r="A230" s="8"/>
      <c r="B230" s="43" t="s">
        <v>98</v>
      </c>
      <c r="C230" s="65">
        <f t="shared" si="149"/>
        <v>0.8</v>
      </c>
      <c r="D230" s="65">
        <f t="shared" si="150"/>
        <v>0.91666666666666663</v>
      </c>
      <c r="E230" s="65">
        <f t="shared" si="151"/>
        <v>0.86885245901639341</v>
      </c>
      <c r="F230" s="80" t="str">
        <f t="shared" si="152"/>
        <v>-</v>
      </c>
      <c r="G230" s="80" t="str">
        <f t="shared" si="153"/>
        <v>-</v>
      </c>
      <c r="H230" s="80" t="str">
        <f t="shared" si="154"/>
        <v>-</v>
      </c>
      <c r="I230" s="80" t="str">
        <f t="shared" si="155"/>
        <v>-</v>
      </c>
      <c r="J230" s="80" t="str">
        <f t="shared" si="156"/>
        <v>-</v>
      </c>
      <c r="K230" s="80" t="str">
        <f t="shared" si="157"/>
        <v>-</v>
      </c>
      <c r="L230" s="65">
        <f t="shared" si="158"/>
        <v>0.8</v>
      </c>
      <c r="M230" s="65">
        <f t="shared" si="170"/>
        <v>0.91666666666666663</v>
      </c>
      <c r="N230" s="65">
        <f t="shared" si="160"/>
        <v>0.86885245901639341</v>
      </c>
      <c r="O230" s="127">
        <f t="shared" si="161"/>
        <v>0.88421052631578945</v>
      </c>
      <c r="P230" s="127">
        <f t="shared" si="162"/>
        <v>0.8550323176361958</v>
      </c>
      <c r="Q230" s="128" t="str">
        <f t="shared" si="163"/>
        <v>-</v>
      </c>
      <c r="R230" s="128" t="str">
        <f t="shared" si="164"/>
        <v>-</v>
      </c>
      <c r="S230" s="128" t="str">
        <f t="shared" si="165"/>
        <v>-</v>
      </c>
      <c r="T230" s="128" t="str">
        <f t="shared" si="166"/>
        <v>-</v>
      </c>
      <c r="U230" s="128" t="str">
        <f t="shared" si="167"/>
        <v>-</v>
      </c>
      <c r="V230" s="128" t="str">
        <f t="shared" si="168"/>
        <v>-</v>
      </c>
      <c r="W230" s="128" t="str">
        <f t="shared" si="169"/>
        <v>-</v>
      </c>
      <c r="X230" s="127"/>
      <c r="Y230" s="127"/>
      <c r="Z230" s="127"/>
      <c r="AA230" s="10"/>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row>
    <row r="231" spans="1:56" ht="14.25" customHeight="1">
      <c r="A231" s="8"/>
      <c r="B231" s="43" t="s">
        <v>99</v>
      </c>
      <c r="C231" s="65">
        <f t="shared" si="149"/>
        <v>0.82</v>
      </c>
      <c r="D231" s="65">
        <f t="shared" si="150"/>
        <v>0.91338582677165359</v>
      </c>
      <c r="E231" s="65">
        <f t="shared" si="151"/>
        <v>0.87871287128712872</v>
      </c>
      <c r="F231" s="80" t="str">
        <f t="shared" si="152"/>
        <v>-</v>
      </c>
      <c r="G231" s="80" t="str">
        <f t="shared" si="153"/>
        <v>-</v>
      </c>
      <c r="H231" s="80" t="str">
        <f t="shared" si="154"/>
        <v>-</v>
      </c>
      <c r="I231" s="80" t="str">
        <f t="shared" si="155"/>
        <v>-</v>
      </c>
      <c r="J231" s="65">
        <f t="shared" si="156"/>
        <v>1</v>
      </c>
      <c r="K231" s="65">
        <f t="shared" si="157"/>
        <v>1</v>
      </c>
      <c r="L231" s="65">
        <f t="shared" si="158"/>
        <v>0.82</v>
      </c>
      <c r="M231" s="65">
        <f t="shared" si="170"/>
        <v>0.92057761732851984</v>
      </c>
      <c r="N231" s="65">
        <f t="shared" si="160"/>
        <v>0.88524590163934425</v>
      </c>
      <c r="O231" s="127">
        <f t="shared" si="161"/>
        <v>0.8978102189781022</v>
      </c>
      <c r="P231" s="127">
        <f t="shared" si="162"/>
        <v>0.8955754117773711</v>
      </c>
      <c r="Q231" s="128" t="str">
        <f t="shared" si="163"/>
        <v>-</v>
      </c>
      <c r="R231" s="128" t="str">
        <f t="shared" si="164"/>
        <v>-</v>
      </c>
      <c r="S231" s="128" t="str">
        <f t="shared" si="165"/>
        <v>-</v>
      </c>
      <c r="T231" s="128" t="str">
        <f t="shared" si="166"/>
        <v>-</v>
      </c>
      <c r="U231" s="128" t="str">
        <f t="shared" si="167"/>
        <v>-</v>
      </c>
      <c r="V231" s="127">
        <f t="shared" si="168"/>
        <v>0.94927536231884058</v>
      </c>
      <c r="W231" s="128" t="str">
        <f t="shared" si="169"/>
        <v>-</v>
      </c>
      <c r="X231" s="127"/>
      <c r="Y231" s="127"/>
      <c r="Z231" s="127"/>
      <c r="AA231" s="10"/>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row>
    <row r="232" spans="1:56" ht="14.25" customHeight="1">
      <c r="A232" s="8"/>
      <c r="B232" s="45" t="s">
        <v>100</v>
      </c>
      <c r="C232" s="65">
        <f t="shared" si="149"/>
        <v>0.97727272727272729</v>
      </c>
      <c r="D232" s="80" t="str">
        <f t="shared" si="150"/>
        <v>-</v>
      </c>
      <c r="E232" s="65">
        <f t="shared" si="151"/>
        <v>0.97727272727272729</v>
      </c>
      <c r="F232" s="80" t="str">
        <f t="shared" si="152"/>
        <v>-</v>
      </c>
      <c r="G232" s="80" t="str">
        <f t="shared" si="153"/>
        <v>-</v>
      </c>
      <c r="H232" s="80" t="str">
        <f t="shared" si="154"/>
        <v>-</v>
      </c>
      <c r="I232" s="80" t="str">
        <f t="shared" si="155"/>
        <v>-</v>
      </c>
      <c r="J232" s="80" t="str">
        <f t="shared" si="156"/>
        <v>-</v>
      </c>
      <c r="K232" s="80" t="str">
        <f t="shared" si="157"/>
        <v>-</v>
      </c>
      <c r="L232" s="65">
        <f t="shared" si="158"/>
        <v>0.97727272727272729</v>
      </c>
      <c r="M232" s="80" t="str">
        <f t="shared" si="170"/>
        <v>-</v>
      </c>
      <c r="N232" s="65">
        <f t="shared" si="160"/>
        <v>0.97727272727272729</v>
      </c>
      <c r="O232" s="127">
        <f t="shared" si="161"/>
        <v>0.91701631701631703</v>
      </c>
      <c r="P232" s="128" t="str">
        <f t="shared" si="162"/>
        <v>-</v>
      </c>
      <c r="Q232" s="128" t="str">
        <f t="shared" si="163"/>
        <v>-</v>
      </c>
      <c r="R232" s="128" t="str">
        <f t="shared" si="164"/>
        <v>-</v>
      </c>
      <c r="S232" s="128" t="str">
        <f t="shared" si="165"/>
        <v>-</v>
      </c>
      <c r="T232" s="128" t="str">
        <f t="shared" si="166"/>
        <v>-</v>
      </c>
      <c r="U232" s="128" t="str">
        <f t="shared" si="167"/>
        <v>-</v>
      </c>
      <c r="V232" s="128" t="str">
        <f t="shared" si="168"/>
        <v>-</v>
      </c>
      <c r="W232" s="128" t="str">
        <f t="shared" si="169"/>
        <v>-</v>
      </c>
      <c r="X232" s="127"/>
      <c r="Y232" s="127"/>
      <c r="Z232" s="127"/>
      <c r="AA232" s="10"/>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row>
    <row r="233" spans="1:56" ht="14.25" customHeight="1">
      <c r="A233" s="8"/>
      <c r="B233" s="45" t="s">
        <v>101</v>
      </c>
      <c r="C233" s="65">
        <f t="shared" si="149"/>
        <v>0.97916666666666663</v>
      </c>
      <c r="D233" s="80" t="str">
        <f t="shared" si="150"/>
        <v>-</v>
      </c>
      <c r="E233" s="65">
        <f t="shared" si="151"/>
        <v>0.97916666666666663</v>
      </c>
      <c r="F233" s="80" t="str">
        <f t="shared" si="152"/>
        <v>-</v>
      </c>
      <c r="G233" s="80" t="str">
        <f t="shared" si="153"/>
        <v>-</v>
      </c>
      <c r="H233" s="80" t="str">
        <f t="shared" si="154"/>
        <v>-</v>
      </c>
      <c r="I233" s="80" t="str">
        <f t="shared" si="155"/>
        <v>-</v>
      </c>
      <c r="J233" s="80" t="str">
        <f t="shared" si="156"/>
        <v>-</v>
      </c>
      <c r="K233" s="80" t="str">
        <f t="shared" si="157"/>
        <v>-</v>
      </c>
      <c r="L233" s="65">
        <f t="shared" si="158"/>
        <v>0.97916666666666663</v>
      </c>
      <c r="M233" s="80" t="str">
        <f t="shared" si="170"/>
        <v>-</v>
      </c>
      <c r="N233" s="65">
        <f t="shared" si="160"/>
        <v>0.97916666666666663</v>
      </c>
      <c r="O233" s="127">
        <f t="shared" si="161"/>
        <v>0.89385727190605235</v>
      </c>
      <c r="P233" s="128" t="str">
        <f t="shared" si="162"/>
        <v>-</v>
      </c>
      <c r="Q233" s="128" t="str">
        <f t="shared" si="163"/>
        <v>-</v>
      </c>
      <c r="R233" s="128" t="str">
        <f t="shared" si="164"/>
        <v>-</v>
      </c>
      <c r="S233" s="128" t="str">
        <f t="shared" si="165"/>
        <v>-</v>
      </c>
      <c r="T233" s="128" t="str">
        <f t="shared" si="166"/>
        <v>-</v>
      </c>
      <c r="U233" s="128" t="str">
        <f t="shared" si="167"/>
        <v>-</v>
      </c>
      <c r="V233" s="128" t="str">
        <f t="shared" si="168"/>
        <v>-</v>
      </c>
      <c r="W233" s="128" t="str">
        <f t="shared" si="169"/>
        <v>-</v>
      </c>
      <c r="X233" s="127"/>
      <c r="Y233" s="127"/>
      <c r="Z233" s="127"/>
      <c r="AA233" s="10"/>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row>
    <row r="234" spans="1:56" ht="14.25" customHeight="1">
      <c r="A234" s="2"/>
      <c r="B234" s="23"/>
      <c r="C234" s="46"/>
      <c r="D234" s="46"/>
      <c r="E234" s="46"/>
      <c r="F234" s="46"/>
      <c r="G234" s="46"/>
      <c r="H234" s="46"/>
      <c r="I234" s="46"/>
      <c r="J234" s="46"/>
      <c r="K234" s="46"/>
      <c r="L234" s="47"/>
      <c r="M234" s="46"/>
      <c r="N234" s="46"/>
      <c r="O234" s="46"/>
      <c r="P234" s="46"/>
      <c r="Q234" s="46"/>
      <c r="R234" s="46"/>
      <c r="S234" s="46"/>
      <c r="T234" s="46"/>
      <c r="U234" s="23"/>
      <c r="V234" s="23"/>
      <c r="W234" s="23"/>
      <c r="X234" s="23"/>
      <c r="Y234" s="23"/>
      <c r="Z234" s="23"/>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row>
    <row r="235" spans="1:56" ht="14.25" customHeight="1">
      <c r="A235" s="2"/>
      <c r="B235" s="25"/>
      <c r="C235" s="48"/>
      <c r="D235" s="48"/>
      <c r="E235" s="48"/>
      <c r="F235" s="48"/>
      <c r="G235" s="48"/>
      <c r="H235" s="48"/>
      <c r="I235" s="48"/>
      <c r="J235" s="48"/>
      <c r="K235" s="48"/>
      <c r="L235" s="49"/>
      <c r="M235" s="48"/>
      <c r="N235" s="48"/>
      <c r="O235" s="48"/>
      <c r="P235" s="48"/>
      <c r="Q235" s="48"/>
      <c r="R235" s="48"/>
      <c r="S235" s="48"/>
      <c r="T235" s="48"/>
      <c r="U235" s="25"/>
      <c r="V235" s="25"/>
      <c r="W235" s="25"/>
      <c r="X235" s="25"/>
      <c r="Y235" s="25"/>
      <c r="Z235" s="25"/>
      <c r="AA235" s="25"/>
      <c r="AB235" s="25"/>
      <c r="AC235" s="25"/>
      <c r="AD235" s="25"/>
      <c r="AE235" s="25"/>
      <c r="AF235" s="25"/>
      <c r="AG235" s="25"/>
      <c r="AH235" s="25"/>
      <c r="AI235" s="25"/>
      <c r="AJ235" s="25"/>
      <c r="AK235" s="25"/>
      <c r="AL235" s="25"/>
      <c r="AM235" s="25"/>
      <c r="AN235" s="25"/>
      <c r="AO235" s="25"/>
      <c r="AP235" s="25"/>
      <c r="AQ235" s="25"/>
      <c r="AR235" s="25"/>
      <c r="AS235" s="25"/>
      <c r="AT235" s="25"/>
      <c r="AU235" s="25"/>
      <c r="AV235" s="25"/>
      <c r="AW235" s="25"/>
      <c r="AX235" s="25"/>
      <c r="AY235" s="25"/>
      <c r="AZ235" s="25"/>
      <c r="BA235" s="25"/>
      <c r="BB235" s="25"/>
      <c r="BC235" s="25"/>
      <c r="BD235" s="25"/>
    </row>
    <row r="236" spans="1:56" ht="14.25" customHeight="1">
      <c r="A236" s="26"/>
      <c r="B236" s="53"/>
      <c r="C236" s="53"/>
      <c r="D236" s="53"/>
      <c r="E236" s="53"/>
      <c r="F236" s="53"/>
      <c r="G236" s="53"/>
      <c r="H236" s="53"/>
      <c r="I236" s="53"/>
      <c r="J236" s="53"/>
      <c r="K236" s="53"/>
      <c r="L236" s="51"/>
      <c r="M236" s="51"/>
      <c r="N236" s="51"/>
      <c r="O236" s="51"/>
      <c r="P236" s="51"/>
      <c r="Q236" s="51"/>
      <c r="R236" s="51"/>
      <c r="S236" s="51"/>
      <c r="T236" s="51"/>
      <c r="U236" s="53"/>
      <c r="V236" s="53"/>
      <c r="W236" s="53"/>
      <c r="X236" s="53"/>
      <c r="Y236" s="53"/>
      <c r="Z236" s="53"/>
      <c r="AA236" s="53"/>
      <c r="AB236" s="53"/>
      <c r="AC236" s="53"/>
      <c r="AD236" s="57"/>
      <c r="AE236" s="57"/>
      <c r="AF236" s="57"/>
      <c r="AG236" s="57"/>
      <c r="AH236" s="57"/>
      <c r="AI236" s="57"/>
      <c r="AJ236" s="57"/>
      <c r="AK236" s="57"/>
      <c r="AL236" s="57"/>
      <c r="AM236" s="56"/>
      <c r="AN236" s="56"/>
      <c r="AO236" s="56"/>
      <c r="AP236" s="56"/>
      <c r="AQ236" s="56"/>
      <c r="AR236" s="56"/>
      <c r="AS236" s="56"/>
      <c r="AT236" s="56"/>
      <c r="AU236" s="56"/>
      <c r="AV236" s="57"/>
      <c r="AW236" s="57"/>
      <c r="AX236" s="57"/>
      <c r="AY236" s="57"/>
      <c r="AZ236" s="57"/>
      <c r="BA236" s="57"/>
      <c r="BB236" s="57"/>
      <c r="BC236" s="57"/>
      <c r="BD236" s="131"/>
    </row>
    <row r="237" spans="1:56" ht="14.25" customHeight="1">
      <c r="A237" s="26"/>
      <c r="B237" s="58"/>
      <c r="C237" s="61" t="s">
        <v>140</v>
      </c>
      <c r="D237" s="58"/>
      <c r="E237" s="58"/>
      <c r="F237" s="58"/>
      <c r="G237" s="58"/>
      <c r="H237" s="58"/>
      <c r="I237" s="58"/>
      <c r="J237" s="58"/>
      <c r="K237" s="58"/>
      <c r="L237" s="59" t="s">
        <v>141</v>
      </c>
      <c r="M237" s="60"/>
      <c r="N237" s="60"/>
      <c r="O237" s="60"/>
      <c r="P237" s="60"/>
      <c r="Q237" s="60"/>
      <c r="R237" s="60"/>
      <c r="S237" s="60"/>
      <c r="T237" s="60"/>
      <c r="U237" s="61" t="s">
        <v>142</v>
      </c>
      <c r="V237" s="58"/>
      <c r="W237" s="58"/>
      <c r="X237" s="58"/>
      <c r="Y237" s="58"/>
      <c r="Z237" s="58"/>
      <c r="AA237" s="58"/>
      <c r="AB237" s="58"/>
      <c r="AC237" s="58"/>
      <c r="AD237" s="29" t="s">
        <v>143</v>
      </c>
      <c r="AE237" s="30"/>
      <c r="AF237" s="30"/>
      <c r="AG237" s="30"/>
      <c r="AH237" s="30"/>
      <c r="AI237" s="30"/>
      <c r="AJ237" s="30"/>
      <c r="AK237" s="30"/>
      <c r="AL237" s="30"/>
      <c r="AM237" s="27" t="s">
        <v>144</v>
      </c>
      <c r="AN237" s="28"/>
      <c r="AO237" s="28"/>
      <c r="AP237" s="28"/>
      <c r="AQ237" s="28"/>
      <c r="AR237" s="28"/>
      <c r="AS237" s="28"/>
      <c r="AT237" s="28"/>
      <c r="AU237" s="28"/>
      <c r="AV237" s="29" t="s">
        <v>145</v>
      </c>
      <c r="AW237" s="30"/>
      <c r="AX237" s="30"/>
      <c r="AY237" s="30"/>
      <c r="AZ237" s="30"/>
      <c r="BA237" s="30"/>
      <c r="BB237" s="30"/>
      <c r="BC237" s="30"/>
      <c r="BD237" s="132"/>
    </row>
    <row r="238" spans="1:56" ht="15" customHeight="1">
      <c r="A238" s="8"/>
      <c r="B238" s="511" t="s">
        <v>112</v>
      </c>
      <c r="C238" s="520">
        <v>44927</v>
      </c>
      <c r="D238" s="503"/>
      <c r="E238" s="505"/>
      <c r="F238" s="520">
        <v>44958</v>
      </c>
      <c r="G238" s="503"/>
      <c r="H238" s="505"/>
      <c r="I238" s="502" t="s">
        <v>11</v>
      </c>
      <c r="J238" s="503"/>
      <c r="K238" s="505"/>
      <c r="L238" s="520">
        <v>44927</v>
      </c>
      <c r="M238" s="503"/>
      <c r="N238" s="505"/>
      <c r="O238" s="520">
        <v>44958</v>
      </c>
      <c r="P238" s="503"/>
      <c r="Q238" s="505"/>
      <c r="R238" s="502" t="s">
        <v>11</v>
      </c>
      <c r="S238" s="503"/>
      <c r="T238" s="505"/>
      <c r="U238" s="520">
        <v>44927</v>
      </c>
      <c r="V238" s="503"/>
      <c r="W238" s="505"/>
      <c r="X238" s="520">
        <v>44958</v>
      </c>
      <c r="Y238" s="503"/>
      <c r="Z238" s="505"/>
      <c r="AA238" s="502" t="s">
        <v>11</v>
      </c>
      <c r="AB238" s="503"/>
      <c r="AC238" s="505"/>
      <c r="AD238" s="520">
        <v>44927</v>
      </c>
      <c r="AE238" s="503"/>
      <c r="AF238" s="505"/>
      <c r="AG238" s="520">
        <v>44958</v>
      </c>
      <c r="AH238" s="503"/>
      <c r="AI238" s="505"/>
      <c r="AJ238" s="502" t="s">
        <v>11</v>
      </c>
      <c r="AK238" s="503"/>
      <c r="AL238" s="505"/>
      <c r="AM238" s="520">
        <v>44927</v>
      </c>
      <c r="AN238" s="503"/>
      <c r="AO238" s="505"/>
      <c r="AP238" s="520">
        <v>44958</v>
      </c>
      <c r="AQ238" s="503"/>
      <c r="AR238" s="505"/>
      <c r="AS238" s="502" t="s">
        <v>11</v>
      </c>
      <c r="AT238" s="503"/>
      <c r="AU238" s="505"/>
      <c r="AV238" s="520">
        <v>44927</v>
      </c>
      <c r="AW238" s="503"/>
      <c r="AX238" s="505"/>
      <c r="AY238" s="520">
        <v>44958</v>
      </c>
      <c r="AZ238" s="503"/>
      <c r="BA238" s="505"/>
      <c r="BB238" s="502" t="s">
        <v>11</v>
      </c>
      <c r="BC238" s="503"/>
      <c r="BD238" s="505"/>
    </row>
    <row r="239" spans="1:56" ht="30" customHeight="1">
      <c r="A239" s="8"/>
      <c r="B239" s="521"/>
      <c r="C239" s="32" t="s">
        <v>113</v>
      </c>
      <c r="D239" s="32" t="s">
        <v>114</v>
      </c>
      <c r="E239" s="32" t="s">
        <v>14</v>
      </c>
      <c r="F239" s="32" t="s">
        <v>113</v>
      </c>
      <c r="G239" s="32" t="s">
        <v>114</v>
      </c>
      <c r="H239" s="32" t="s">
        <v>14</v>
      </c>
      <c r="I239" s="32" t="s">
        <v>113</v>
      </c>
      <c r="J239" s="32" t="s">
        <v>114</v>
      </c>
      <c r="K239" s="32" t="s">
        <v>14</v>
      </c>
      <c r="L239" s="32" t="s">
        <v>113</v>
      </c>
      <c r="M239" s="32" t="s">
        <v>114</v>
      </c>
      <c r="N239" s="32" t="s">
        <v>14</v>
      </c>
      <c r="O239" s="32" t="s">
        <v>113</v>
      </c>
      <c r="P239" s="32" t="s">
        <v>114</v>
      </c>
      <c r="Q239" s="32" t="s">
        <v>14</v>
      </c>
      <c r="R239" s="32" t="s">
        <v>113</v>
      </c>
      <c r="S239" s="32" t="s">
        <v>114</v>
      </c>
      <c r="T239" s="32" t="s">
        <v>14</v>
      </c>
      <c r="U239" s="32" t="s">
        <v>113</v>
      </c>
      <c r="V239" s="32" t="s">
        <v>114</v>
      </c>
      <c r="W239" s="32" t="s">
        <v>14</v>
      </c>
      <c r="X239" s="32" t="s">
        <v>113</v>
      </c>
      <c r="Y239" s="32" t="s">
        <v>114</v>
      </c>
      <c r="Z239" s="32" t="s">
        <v>14</v>
      </c>
      <c r="AA239" s="32" t="s">
        <v>113</v>
      </c>
      <c r="AB239" s="32" t="s">
        <v>114</v>
      </c>
      <c r="AC239" s="32" t="s">
        <v>14</v>
      </c>
      <c r="AD239" s="32" t="s">
        <v>117</v>
      </c>
      <c r="AE239" s="32" t="s">
        <v>118</v>
      </c>
      <c r="AF239" s="32" t="s">
        <v>17</v>
      </c>
      <c r="AG239" s="32" t="s">
        <v>117</v>
      </c>
      <c r="AH239" s="32" t="s">
        <v>118</v>
      </c>
      <c r="AI239" s="32" t="s">
        <v>17</v>
      </c>
      <c r="AJ239" s="32" t="s">
        <v>117</v>
      </c>
      <c r="AK239" s="32" t="s">
        <v>118</v>
      </c>
      <c r="AL239" s="32" t="s">
        <v>17</v>
      </c>
      <c r="AM239" s="32" t="s">
        <v>117</v>
      </c>
      <c r="AN239" s="32" t="s">
        <v>118</v>
      </c>
      <c r="AO239" s="32" t="s">
        <v>17</v>
      </c>
      <c r="AP239" s="32" t="s">
        <v>117</v>
      </c>
      <c r="AQ239" s="32" t="s">
        <v>118</v>
      </c>
      <c r="AR239" s="32" t="s">
        <v>17</v>
      </c>
      <c r="AS239" s="32" t="s">
        <v>117</v>
      </c>
      <c r="AT239" s="32" t="s">
        <v>118</v>
      </c>
      <c r="AU239" s="32" t="s">
        <v>17</v>
      </c>
      <c r="AV239" s="32" t="s">
        <v>117</v>
      </c>
      <c r="AW239" s="32" t="s">
        <v>118</v>
      </c>
      <c r="AX239" s="32" t="s">
        <v>17</v>
      </c>
      <c r="AY239" s="32" t="s">
        <v>117</v>
      </c>
      <c r="AZ239" s="32" t="s">
        <v>118</v>
      </c>
      <c r="BA239" s="32" t="s">
        <v>17</v>
      </c>
      <c r="BB239" s="32" t="s">
        <v>117</v>
      </c>
      <c r="BC239" s="32" t="s">
        <v>118</v>
      </c>
      <c r="BD239" s="32" t="s">
        <v>17</v>
      </c>
    </row>
    <row r="240" spans="1:56" ht="14.25" customHeight="1">
      <c r="A240" s="8"/>
      <c r="B240" s="12" t="s">
        <v>43</v>
      </c>
      <c r="C240" s="66">
        <f>SUM(C242,C243,C244)</f>
        <v>8651</v>
      </c>
      <c r="D240" s="66">
        <f>SUM(D242,D243,D244)</f>
        <v>9346</v>
      </c>
      <c r="E240" s="67">
        <f t="shared" ref="E240:E278" si="171">IFERROR(C240/D240,"-")</f>
        <v>0.92563663599400814</v>
      </c>
      <c r="F240" s="66">
        <f>SUM(F242,F243,F244)</f>
        <v>7453</v>
      </c>
      <c r="G240" s="66">
        <f>SUM(G242,G243,G244)</f>
        <v>8176</v>
      </c>
      <c r="H240" s="67">
        <f t="shared" ref="H240:H278" si="172">IFERROR(F240/G240,"-")</f>
        <v>0.91157045009784732</v>
      </c>
      <c r="I240" s="66">
        <f t="shared" ref="I240:I268" si="173">SUM(C240,F240)</f>
        <v>16104</v>
      </c>
      <c r="J240" s="66">
        <f t="shared" ref="J240:J268" si="174">SUM(D240,G240)</f>
        <v>17522</v>
      </c>
      <c r="K240" s="67">
        <f t="shared" ref="K240:K278" si="175">IFERROR(I240/J240,"-")</f>
        <v>0.91907316516379411</v>
      </c>
      <c r="L240" s="64">
        <f>SUM(L242,L243,L244)</f>
        <v>718</v>
      </c>
      <c r="M240" s="64">
        <f>SUM(M242,M243,M244)</f>
        <v>859</v>
      </c>
      <c r="N240" s="65">
        <f t="shared" ref="N240:N278" si="176">IFERROR(L240/M240,"-")</f>
        <v>0.83585564610011642</v>
      </c>
      <c r="O240" s="64">
        <f>SUM(O242,O243,O244)</f>
        <v>108</v>
      </c>
      <c r="P240" s="64">
        <f>SUM(P242,P243,P244)</f>
        <v>134</v>
      </c>
      <c r="Q240" s="65">
        <f>IFERROR(O240/P240,"-")</f>
        <v>0.80597014925373134</v>
      </c>
      <c r="R240" s="64">
        <f t="shared" ref="R240:R268" si="177">SUM(L240,O240)</f>
        <v>826</v>
      </c>
      <c r="S240" s="64">
        <f t="shared" ref="S240:S268" si="178">SUM(M240,P240)</f>
        <v>993</v>
      </c>
      <c r="T240" s="65">
        <f t="shared" ref="T240:T278" si="179">IFERROR(R240/S240,"-")</f>
        <v>0.83182275931520644</v>
      </c>
      <c r="U240" s="66">
        <f>SUM(U242,U243,U244)</f>
        <v>179</v>
      </c>
      <c r="V240" s="66">
        <f>SUM(V242,V243,V244)</f>
        <v>196</v>
      </c>
      <c r="W240" s="67">
        <f t="shared" ref="W240:W278" si="180">IFERROR(U240/V240,"-")</f>
        <v>0.91326530612244894</v>
      </c>
      <c r="X240" s="66">
        <f>SUM(X242,X243,X244)</f>
        <v>1027</v>
      </c>
      <c r="Y240" s="66">
        <f>SUM(Y242,Y243,Y244)</f>
        <v>1038</v>
      </c>
      <c r="Z240" s="67">
        <f t="shared" ref="Z240:Z278" si="181">IFERROR(X240/Y240,"-")</f>
        <v>0.98940269749518306</v>
      </c>
      <c r="AA240" s="66">
        <f t="shared" ref="AA240:AA268" si="182">SUM(U240,X240)</f>
        <v>1206</v>
      </c>
      <c r="AB240" s="66">
        <f t="shared" ref="AB240:AB268" si="183">SUM(V240,Y240)</f>
        <v>1234</v>
      </c>
      <c r="AC240" s="67">
        <f t="shared" ref="AC240:AC278" si="184">IFERROR(AA240/AB240,"-")</f>
        <v>0.97730956239870337</v>
      </c>
      <c r="AD240" s="70">
        <f>SUM(AD242,AD243,AD244)</f>
        <v>235107</v>
      </c>
      <c r="AE240" s="70">
        <f>SUM(AE242,AE243,AE244)</f>
        <v>271077</v>
      </c>
      <c r="AF240" s="21">
        <f t="shared" ref="AF240:AF278" si="185">IFERROR(AD240/AE240,"-")</f>
        <v>0.86730707511149974</v>
      </c>
      <c r="AG240" s="70">
        <f>SUM(AG242,AG243,AG244)</f>
        <v>228625</v>
      </c>
      <c r="AH240" s="70">
        <f>SUM(AH242,AH243,AH244)</f>
        <v>268252</v>
      </c>
      <c r="AI240" s="21">
        <f t="shared" ref="AI240:AI278" si="186">IFERROR(AG240/AH240,"-")</f>
        <v>0.85227696345227621</v>
      </c>
      <c r="AJ240" s="70"/>
      <c r="AK240" s="70"/>
      <c r="AL240" s="37" t="str">
        <f t="shared" ref="AL240:AL278" si="187">IFERROR(AJ240/AK240,"-")</f>
        <v>-</v>
      </c>
      <c r="AM240" s="69">
        <f>SUM(AM242,AM243,AM244)</f>
        <v>678</v>
      </c>
      <c r="AN240" s="69">
        <f>SUM(AN242,AN243,AN244)</f>
        <v>859</v>
      </c>
      <c r="AO240" s="36">
        <f>IFERROR(AM240/AN240,"-")</f>
        <v>0.78928987194412104</v>
      </c>
      <c r="AP240" s="69">
        <f>SUM(AP242,AP243,AP244)</f>
        <v>191</v>
      </c>
      <c r="AQ240" s="69">
        <f>SUM(AQ242,AQ243,AQ244)</f>
        <v>227</v>
      </c>
      <c r="AR240" s="36">
        <f t="shared" ref="AR240:AR278" si="188">IFERROR(AP240/AQ240,"-")</f>
        <v>0.84140969162995594</v>
      </c>
      <c r="AS240" s="69"/>
      <c r="AT240" s="69"/>
      <c r="AU240" s="44" t="str">
        <f t="shared" ref="AU240:AU278" si="189">IFERROR(AS240/AT240,"-")</f>
        <v>-</v>
      </c>
      <c r="AV240" s="70">
        <f>SUM(AV242,AV243,AV244)</f>
        <v>2693</v>
      </c>
      <c r="AW240" s="70">
        <f>SUM(AW242,AW243,AW244)</f>
        <v>2760</v>
      </c>
      <c r="AX240" s="21">
        <f t="shared" ref="AX240:AX278" si="190">IFERROR(AV240/AW240,"-")</f>
        <v>0.97572463768115947</v>
      </c>
      <c r="AY240" s="70">
        <f>SUM(AY242,AY243,AY244)</f>
        <v>11915</v>
      </c>
      <c r="AZ240" s="70">
        <f>SUM(AZ242,AZ243,AZ244)</f>
        <v>12840</v>
      </c>
      <c r="BA240" s="21">
        <f t="shared" ref="BA240:BA278" si="191">IFERROR(AY240/AZ240,"-")</f>
        <v>0.9279595015576324</v>
      </c>
      <c r="BB240" s="70"/>
      <c r="BC240" s="70"/>
      <c r="BD240" s="37" t="str">
        <f t="shared" ref="BD240:BD278" si="192">IFERROR(BB240/BC240,"-")</f>
        <v>-</v>
      </c>
    </row>
    <row r="241" spans="1:56" ht="14.25" customHeight="1">
      <c r="A241" s="8"/>
      <c r="B241" s="38" t="s">
        <v>44</v>
      </c>
      <c r="C241" s="66">
        <f>SUM(C242,C243)</f>
        <v>8651</v>
      </c>
      <c r="D241" s="66">
        <f>SUM(D242,D243)</f>
        <v>9346</v>
      </c>
      <c r="E241" s="67">
        <f t="shared" si="171"/>
        <v>0.92563663599400814</v>
      </c>
      <c r="F241" s="66">
        <f>SUM(F242,F243)</f>
        <v>7453</v>
      </c>
      <c r="G241" s="66">
        <f>SUM(G242,G243)</f>
        <v>8176</v>
      </c>
      <c r="H241" s="67">
        <f t="shared" si="172"/>
        <v>0.91157045009784732</v>
      </c>
      <c r="I241" s="66">
        <f t="shared" si="173"/>
        <v>16104</v>
      </c>
      <c r="J241" s="66">
        <f t="shared" si="174"/>
        <v>17522</v>
      </c>
      <c r="K241" s="67">
        <f t="shared" si="175"/>
        <v>0.91907316516379411</v>
      </c>
      <c r="L241" s="64">
        <f>SUM(L242,L243)</f>
        <v>718</v>
      </c>
      <c r="M241" s="64">
        <f>SUM(M242,M243)</f>
        <v>859</v>
      </c>
      <c r="N241" s="65">
        <f t="shared" si="176"/>
        <v>0.83585564610011642</v>
      </c>
      <c r="O241" s="64">
        <f>SUM(O242,O243)</f>
        <v>108</v>
      </c>
      <c r="P241" s="64">
        <f>SUM(P242,P243)</f>
        <v>134</v>
      </c>
      <c r="Q241" s="65">
        <f>IFERROR(O241/P241,"-")</f>
        <v>0.80597014925373134</v>
      </c>
      <c r="R241" s="64">
        <f t="shared" si="177"/>
        <v>826</v>
      </c>
      <c r="S241" s="64">
        <f t="shared" si="178"/>
        <v>993</v>
      </c>
      <c r="T241" s="65">
        <f t="shared" si="179"/>
        <v>0.83182275931520644</v>
      </c>
      <c r="U241" s="66">
        <f>SUM(U242,U243)</f>
        <v>179</v>
      </c>
      <c r="V241" s="66">
        <f>SUM(V242,V243)</f>
        <v>196</v>
      </c>
      <c r="W241" s="67">
        <f t="shared" si="180"/>
        <v>0.91326530612244894</v>
      </c>
      <c r="X241" s="66">
        <f>SUM(X242,X243)</f>
        <v>1027</v>
      </c>
      <c r="Y241" s="66">
        <f>SUM(Y242,Y243)</f>
        <v>1038</v>
      </c>
      <c r="Z241" s="67">
        <f t="shared" si="181"/>
        <v>0.98940269749518306</v>
      </c>
      <c r="AA241" s="66">
        <f t="shared" si="182"/>
        <v>1206</v>
      </c>
      <c r="AB241" s="66">
        <f t="shared" si="183"/>
        <v>1234</v>
      </c>
      <c r="AC241" s="67">
        <f t="shared" si="184"/>
        <v>0.97730956239870337</v>
      </c>
      <c r="AD241" s="70">
        <f>SUM(AD242,AD243)</f>
        <v>231161</v>
      </c>
      <c r="AE241" s="70">
        <f>SUM(AE242,AE243)</f>
        <v>266718</v>
      </c>
      <c r="AF241" s="21">
        <f t="shared" si="185"/>
        <v>0.86668691276929188</v>
      </c>
      <c r="AG241" s="70">
        <f>SUM(AG242,AG243)</f>
        <v>228625</v>
      </c>
      <c r="AH241" s="70">
        <f>SUM(AH242,AH243)</f>
        <v>268252</v>
      </c>
      <c r="AI241" s="21">
        <f t="shared" si="186"/>
        <v>0.85227696345227621</v>
      </c>
      <c r="AJ241" s="70"/>
      <c r="AK241" s="70"/>
      <c r="AL241" s="37" t="str">
        <f t="shared" si="187"/>
        <v>-</v>
      </c>
      <c r="AM241" s="69">
        <f>SUM(AM242,AM243)</f>
        <v>678</v>
      </c>
      <c r="AN241" s="69">
        <f>SUM(AN242,AN243)</f>
        <v>859</v>
      </c>
      <c r="AO241" s="36">
        <f>IFERROR(AM241/AN241,"-")</f>
        <v>0.78928987194412104</v>
      </c>
      <c r="AP241" s="69">
        <f>SUM(AP242,AP243)</f>
        <v>191</v>
      </c>
      <c r="AQ241" s="69">
        <f>SUM(AQ242,AQ243)</f>
        <v>227</v>
      </c>
      <c r="AR241" s="36">
        <f t="shared" si="188"/>
        <v>0.84140969162995594</v>
      </c>
      <c r="AS241" s="69"/>
      <c r="AT241" s="69"/>
      <c r="AU241" s="44" t="str">
        <f t="shared" si="189"/>
        <v>-</v>
      </c>
      <c r="AV241" s="70">
        <f>SUM(AV242,AV243)</f>
        <v>2693</v>
      </c>
      <c r="AW241" s="70">
        <f>SUM(AW242,AW243)</f>
        <v>2760</v>
      </c>
      <c r="AX241" s="21">
        <f t="shared" si="190"/>
        <v>0.97572463768115947</v>
      </c>
      <c r="AY241" s="70">
        <f>SUM(AY242,AY243)</f>
        <v>11915</v>
      </c>
      <c r="AZ241" s="70">
        <f>SUM(AZ242,AZ243)</f>
        <v>12840</v>
      </c>
      <c r="BA241" s="21">
        <f t="shared" si="191"/>
        <v>0.9279595015576324</v>
      </c>
      <c r="BB241" s="70"/>
      <c r="BC241" s="70"/>
      <c r="BD241" s="37" t="str">
        <f t="shared" si="192"/>
        <v>-</v>
      </c>
    </row>
    <row r="242" spans="1:56" ht="14.25" customHeight="1">
      <c r="A242" s="8"/>
      <c r="B242" s="38" t="s">
        <v>45</v>
      </c>
      <c r="C242" s="133">
        <f>SUM(C245:C265)</f>
        <v>8414</v>
      </c>
      <c r="D242" s="133">
        <f>SUM(D245:D265)</f>
        <v>9048</v>
      </c>
      <c r="E242" s="72">
        <f t="shared" si="171"/>
        <v>0.92992926613616267</v>
      </c>
      <c r="F242" s="133">
        <f>SUM(F245:F265)</f>
        <v>7153</v>
      </c>
      <c r="G242" s="133">
        <f>SUM(G245:G265)</f>
        <v>7716</v>
      </c>
      <c r="H242" s="72">
        <f t="shared" si="172"/>
        <v>0.92703473302229134</v>
      </c>
      <c r="I242" s="71">
        <f t="shared" si="173"/>
        <v>15567</v>
      </c>
      <c r="J242" s="71">
        <f t="shared" si="174"/>
        <v>16764</v>
      </c>
      <c r="K242" s="72">
        <f t="shared" si="175"/>
        <v>0.92859699355762348</v>
      </c>
      <c r="L242" s="75">
        <f>SUM(L246:L265)</f>
        <v>718</v>
      </c>
      <c r="M242" s="75">
        <f>SUM(M246:M265)</f>
        <v>859</v>
      </c>
      <c r="N242" s="74">
        <f t="shared" si="176"/>
        <v>0.83585564610011642</v>
      </c>
      <c r="O242" s="75">
        <f>SUM(O246:O265)</f>
        <v>108</v>
      </c>
      <c r="P242" s="75">
        <f>SUM(P246:P265)</f>
        <v>134</v>
      </c>
      <c r="Q242" s="74">
        <f>IFERROR(O242/P242,"-")</f>
        <v>0.80597014925373134</v>
      </c>
      <c r="R242" s="75">
        <f t="shared" si="177"/>
        <v>826</v>
      </c>
      <c r="S242" s="75">
        <f t="shared" si="178"/>
        <v>993</v>
      </c>
      <c r="T242" s="74">
        <f t="shared" si="179"/>
        <v>0.83182275931520644</v>
      </c>
      <c r="U242" s="71">
        <f>SUM(U246:U265)</f>
        <v>179</v>
      </c>
      <c r="V242" s="71">
        <f>SUM(V246:V265)</f>
        <v>196</v>
      </c>
      <c r="W242" s="72">
        <f t="shared" si="180"/>
        <v>0.91326530612244894</v>
      </c>
      <c r="X242" s="71">
        <f>SUM(X246:X265)</f>
        <v>1004</v>
      </c>
      <c r="Y242" s="71">
        <f>SUM(Y246:Y265)</f>
        <v>1015</v>
      </c>
      <c r="Z242" s="72">
        <f t="shared" si="181"/>
        <v>0.98916256157635463</v>
      </c>
      <c r="AA242" s="71">
        <f t="shared" si="182"/>
        <v>1183</v>
      </c>
      <c r="AB242" s="71">
        <f t="shared" si="183"/>
        <v>1211</v>
      </c>
      <c r="AC242" s="72">
        <f t="shared" si="184"/>
        <v>0.97687861271676302</v>
      </c>
      <c r="AD242" s="78">
        <f>SUM(AD245:AD265)</f>
        <v>223044</v>
      </c>
      <c r="AE242" s="78">
        <f>SUM(AE245:AE265)</f>
        <v>257628</v>
      </c>
      <c r="AF242" s="41">
        <f t="shared" si="185"/>
        <v>0.86575993292654529</v>
      </c>
      <c r="AG242" s="78">
        <f>SUM(AG245:AG265)</f>
        <v>213599</v>
      </c>
      <c r="AH242" s="78">
        <f>SUM(AH245:AH265)</f>
        <v>251175</v>
      </c>
      <c r="AI242" s="41">
        <f t="shared" si="186"/>
        <v>0.85039912411665175</v>
      </c>
      <c r="AJ242" s="78"/>
      <c r="AK242" s="78"/>
      <c r="AL242" s="40" t="str">
        <f t="shared" si="187"/>
        <v>-</v>
      </c>
      <c r="AM242" s="134">
        <f>SUM(AM245:AM265)</f>
        <v>678</v>
      </c>
      <c r="AN242" s="134">
        <f>SUM(AN245:AN265)</f>
        <v>859</v>
      </c>
      <c r="AO242" s="39">
        <f>IFERROR(AM242/AN242,"-")</f>
        <v>0.78928987194412104</v>
      </c>
      <c r="AP242" s="134">
        <f>SUM(AP245:AP265)</f>
        <v>191</v>
      </c>
      <c r="AQ242" s="134">
        <f>SUM(AQ245:AQ265)</f>
        <v>227</v>
      </c>
      <c r="AR242" s="39">
        <f t="shared" si="188"/>
        <v>0.84140969162995594</v>
      </c>
      <c r="AS242" s="134"/>
      <c r="AT242" s="134"/>
      <c r="AU242" s="135" t="str">
        <f t="shared" si="189"/>
        <v>-</v>
      </c>
      <c r="AV242" s="78">
        <f>SUM(AV245:AV265)</f>
        <v>2693</v>
      </c>
      <c r="AW242" s="78">
        <f>SUM(AW245:AW265)</f>
        <v>2760</v>
      </c>
      <c r="AX242" s="41">
        <f t="shared" si="190"/>
        <v>0.97572463768115947</v>
      </c>
      <c r="AY242" s="78">
        <f>SUM(AY245:AY265)</f>
        <v>11653</v>
      </c>
      <c r="AZ242" s="78">
        <f>SUM(AZ245:AZ265)</f>
        <v>12564</v>
      </c>
      <c r="BA242" s="41">
        <f t="shared" si="191"/>
        <v>0.92749124482648837</v>
      </c>
      <c r="BB242" s="78"/>
      <c r="BC242" s="78"/>
      <c r="BD242" s="40" t="str">
        <f t="shared" si="192"/>
        <v>-</v>
      </c>
    </row>
    <row r="243" spans="1:56" ht="14.25" customHeight="1">
      <c r="A243" s="8"/>
      <c r="B243" s="43" t="s">
        <v>46</v>
      </c>
      <c r="C243" s="133">
        <f>217+20</f>
        <v>237</v>
      </c>
      <c r="D243" s="133">
        <f>273+25</f>
        <v>298</v>
      </c>
      <c r="E243" s="67">
        <f t="shared" si="171"/>
        <v>0.79530201342281881</v>
      </c>
      <c r="F243" s="133">
        <f>281+19</f>
        <v>300</v>
      </c>
      <c r="G243" s="133">
        <f>419+41</f>
        <v>460</v>
      </c>
      <c r="H243" s="67">
        <f t="shared" si="172"/>
        <v>0.65217391304347827</v>
      </c>
      <c r="I243" s="66">
        <f t="shared" si="173"/>
        <v>537</v>
      </c>
      <c r="J243" s="66">
        <f t="shared" si="174"/>
        <v>758</v>
      </c>
      <c r="K243" s="67">
        <f t="shared" si="175"/>
        <v>0.70844327176781008</v>
      </c>
      <c r="L243" s="94" t="s">
        <v>19</v>
      </c>
      <c r="M243" s="94" t="s">
        <v>19</v>
      </c>
      <c r="N243" s="80" t="str">
        <f t="shared" si="176"/>
        <v>-</v>
      </c>
      <c r="O243" s="94" t="s">
        <v>19</v>
      </c>
      <c r="P243" s="94" t="s">
        <v>19</v>
      </c>
      <c r="Q243" s="80" t="str">
        <f>IFERROR(O243/P243,"-")</f>
        <v>-</v>
      </c>
      <c r="R243" s="64">
        <f t="shared" si="177"/>
        <v>0</v>
      </c>
      <c r="S243" s="64">
        <f t="shared" si="178"/>
        <v>0</v>
      </c>
      <c r="T243" s="80" t="str">
        <f t="shared" si="179"/>
        <v>-</v>
      </c>
      <c r="U243" s="136">
        <f>SUM(U274:U276)</f>
        <v>0</v>
      </c>
      <c r="V243" s="136">
        <f>SUM(V274:V276)</f>
        <v>0</v>
      </c>
      <c r="W243" s="83" t="str">
        <f t="shared" si="180"/>
        <v>-</v>
      </c>
      <c r="X243" s="133">
        <f>SUM(X274:X276)</f>
        <v>23</v>
      </c>
      <c r="Y243" s="133">
        <f>SUM(Y274:Y276)</f>
        <v>23</v>
      </c>
      <c r="Z243" s="67">
        <f t="shared" si="181"/>
        <v>1</v>
      </c>
      <c r="AA243" s="66">
        <f t="shared" si="182"/>
        <v>23</v>
      </c>
      <c r="AB243" s="66">
        <f t="shared" si="183"/>
        <v>23</v>
      </c>
      <c r="AC243" s="67">
        <f t="shared" si="184"/>
        <v>1</v>
      </c>
      <c r="AD243" s="70">
        <f>SUM(AD274:AD276)</f>
        <v>8117</v>
      </c>
      <c r="AE243" s="70">
        <f>SUM(AE274:AE276)</f>
        <v>9090</v>
      </c>
      <c r="AF243" s="21">
        <f t="shared" si="185"/>
        <v>0.892959295929593</v>
      </c>
      <c r="AG243" s="70">
        <f>SUM(AG274:AG276)</f>
        <v>15026</v>
      </c>
      <c r="AH243" s="70">
        <f>SUM(AH274:AH276)</f>
        <v>17077</v>
      </c>
      <c r="AI243" s="21">
        <f t="shared" si="186"/>
        <v>0.87989693740118291</v>
      </c>
      <c r="AJ243" s="70"/>
      <c r="AK243" s="70"/>
      <c r="AL243" s="37" t="str">
        <f t="shared" si="187"/>
        <v>-</v>
      </c>
      <c r="AM243" s="104" t="s">
        <v>19</v>
      </c>
      <c r="AN243" s="104" t="s">
        <v>19</v>
      </c>
      <c r="AO243" s="44" t="str">
        <f>IFERROR(AM243/AN243,"-")</f>
        <v>-</v>
      </c>
      <c r="AP243" s="104" t="s">
        <v>19</v>
      </c>
      <c r="AQ243" s="104" t="s">
        <v>19</v>
      </c>
      <c r="AR243" s="44" t="str">
        <f t="shared" si="188"/>
        <v>-</v>
      </c>
      <c r="AS243" s="44" t="s">
        <v>19</v>
      </c>
      <c r="AT243" s="44" t="s">
        <v>19</v>
      </c>
      <c r="AU243" s="44" t="str">
        <f t="shared" si="189"/>
        <v>-</v>
      </c>
      <c r="AV243" s="81" t="s">
        <v>19</v>
      </c>
      <c r="AW243" s="81" t="s">
        <v>19</v>
      </c>
      <c r="AX243" s="37" t="str">
        <f t="shared" si="190"/>
        <v>-</v>
      </c>
      <c r="AY243" s="73">
        <f>SUM(AY274:AY276)</f>
        <v>262</v>
      </c>
      <c r="AZ243" s="73">
        <f>SUM(AZ274:AZ276)</f>
        <v>276</v>
      </c>
      <c r="BA243" s="21">
        <f t="shared" si="191"/>
        <v>0.94927536231884058</v>
      </c>
      <c r="BB243" s="70"/>
      <c r="BC243" s="70"/>
      <c r="BD243" s="37" t="str">
        <f t="shared" si="192"/>
        <v>-</v>
      </c>
    </row>
    <row r="244" spans="1:56" ht="14.25" customHeight="1">
      <c r="A244" s="8"/>
      <c r="B244" s="45" t="s">
        <v>47</v>
      </c>
      <c r="C244" s="118"/>
      <c r="D244" s="118"/>
      <c r="E244" s="83" t="str">
        <f t="shared" si="171"/>
        <v>-</v>
      </c>
      <c r="F244" s="118"/>
      <c r="G244" s="118"/>
      <c r="H244" s="83" t="str">
        <f t="shared" si="172"/>
        <v>-</v>
      </c>
      <c r="I244" s="66">
        <f t="shared" si="173"/>
        <v>0</v>
      </c>
      <c r="J244" s="66">
        <f t="shared" si="174"/>
        <v>0</v>
      </c>
      <c r="K244" s="83" t="str">
        <f t="shared" si="175"/>
        <v>-</v>
      </c>
      <c r="L244" s="64">
        <f>SUM(L277:L278)</f>
        <v>0</v>
      </c>
      <c r="M244" s="64">
        <f>SUM(M277:M278)</f>
        <v>0</v>
      </c>
      <c r="N244" s="80" t="str">
        <f t="shared" si="176"/>
        <v>-</v>
      </c>
      <c r="O244" s="64">
        <f>SUM(O277:O278)</f>
        <v>0</v>
      </c>
      <c r="P244" s="64">
        <f>SUM(P277:P278)</f>
        <v>0</v>
      </c>
      <c r="Q244" s="65">
        <f>SUM(Q277:Q278)</f>
        <v>0</v>
      </c>
      <c r="R244" s="64">
        <f t="shared" si="177"/>
        <v>0</v>
      </c>
      <c r="S244" s="64">
        <f t="shared" si="178"/>
        <v>0</v>
      </c>
      <c r="T244" s="80" t="str">
        <f t="shared" si="179"/>
        <v>-</v>
      </c>
      <c r="U244" s="66">
        <f>SUM(U277:U278)</f>
        <v>0</v>
      </c>
      <c r="V244" s="66">
        <f>SUM(V277:V278)</f>
        <v>0</v>
      </c>
      <c r="W244" s="83" t="str">
        <f t="shared" si="180"/>
        <v>-</v>
      </c>
      <c r="X244" s="66">
        <f>SUM(X277:X278)</f>
        <v>0</v>
      </c>
      <c r="Y244" s="66">
        <f>SUM(Y277:Y278)</f>
        <v>0</v>
      </c>
      <c r="Z244" s="83" t="str">
        <f t="shared" si="181"/>
        <v>-</v>
      </c>
      <c r="AA244" s="66">
        <f t="shared" si="182"/>
        <v>0</v>
      </c>
      <c r="AB244" s="66">
        <f t="shared" si="183"/>
        <v>0</v>
      </c>
      <c r="AC244" s="83" t="str">
        <f t="shared" si="184"/>
        <v>-</v>
      </c>
      <c r="AD244" s="70">
        <f>SUM(AD277:AD278)</f>
        <v>3946</v>
      </c>
      <c r="AE244" s="70">
        <f>SUM(AE277:AE278)</f>
        <v>4359</v>
      </c>
      <c r="AF244" s="21">
        <f t="shared" si="185"/>
        <v>0.9052534985088323</v>
      </c>
      <c r="AG244" s="70">
        <f>SUM(AG277:AG278)</f>
        <v>0</v>
      </c>
      <c r="AH244" s="70">
        <f>SUM(AH277:AH278)</f>
        <v>0</v>
      </c>
      <c r="AI244" s="37" t="str">
        <f t="shared" si="186"/>
        <v>-</v>
      </c>
      <c r="AJ244" s="70"/>
      <c r="AK244" s="70"/>
      <c r="AL244" s="37" t="str">
        <f t="shared" si="187"/>
        <v>-</v>
      </c>
      <c r="AM244" s="69">
        <f>SUM(AM277:AM278)</f>
        <v>0</v>
      </c>
      <c r="AN244" s="69">
        <f>SUM(AN277:AN278)</f>
        <v>0</v>
      </c>
      <c r="AO244" s="44" t="str">
        <f>IFERROR(AM244/AN244,"-")</f>
        <v>-</v>
      </c>
      <c r="AP244" s="69">
        <f>SUM(AP277:AP278)</f>
        <v>0</v>
      </c>
      <c r="AQ244" s="69">
        <f>SUM(AQ277:AQ278)</f>
        <v>0</v>
      </c>
      <c r="AR244" s="44" t="str">
        <f t="shared" si="188"/>
        <v>-</v>
      </c>
      <c r="AS244" s="69"/>
      <c r="AT244" s="69"/>
      <c r="AU244" s="44" t="str">
        <f t="shared" si="189"/>
        <v>-</v>
      </c>
      <c r="AV244" s="70">
        <f>SUM(AV277:AV278)</f>
        <v>0</v>
      </c>
      <c r="AW244" s="70">
        <f>SUM(AW277:AW278)</f>
        <v>0</v>
      </c>
      <c r="AX244" s="37" t="str">
        <f t="shared" si="190"/>
        <v>-</v>
      </c>
      <c r="AY244" s="70">
        <f>SUM(AY277:AY278)</f>
        <v>0</v>
      </c>
      <c r="AZ244" s="70">
        <f>SUM(AZ277:AZ278)</f>
        <v>0</v>
      </c>
      <c r="BA244" s="37" t="str">
        <f t="shared" si="191"/>
        <v>-</v>
      </c>
      <c r="BB244" s="70"/>
      <c r="BC244" s="70"/>
      <c r="BD244" s="37" t="str">
        <f t="shared" si="192"/>
        <v>-</v>
      </c>
    </row>
    <row r="245" spans="1:56" ht="14.25" customHeight="1">
      <c r="A245" s="8"/>
      <c r="B245" s="12" t="s">
        <v>67</v>
      </c>
      <c r="C245" s="133">
        <v>3965</v>
      </c>
      <c r="D245" s="133">
        <v>4262</v>
      </c>
      <c r="E245" s="67">
        <f t="shared" si="171"/>
        <v>0.93031440638198026</v>
      </c>
      <c r="F245" s="133">
        <v>2878</v>
      </c>
      <c r="G245" s="133">
        <v>3091</v>
      </c>
      <c r="H245" s="67">
        <f t="shared" si="172"/>
        <v>0.93109026205111611</v>
      </c>
      <c r="I245" s="66">
        <f t="shared" si="173"/>
        <v>6843</v>
      </c>
      <c r="J245" s="66">
        <f t="shared" si="174"/>
        <v>7353</v>
      </c>
      <c r="K245" s="67">
        <f t="shared" si="175"/>
        <v>0.93064055487556097</v>
      </c>
      <c r="L245" s="80" t="s">
        <v>19</v>
      </c>
      <c r="M245" s="80" t="s">
        <v>19</v>
      </c>
      <c r="N245" s="80" t="str">
        <f t="shared" si="176"/>
        <v>-</v>
      </c>
      <c r="O245" s="80" t="s">
        <v>19</v>
      </c>
      <c r="P245" s="80" t="s">
        <v>19</v>
      </c>
      <c r="Q245" s="80" t="str">
        <f>IFERROR(O245/P245,"-")</f>
        <v>-</v>
      </c>
      <c r="R245" s="64">
        <f t="shared" si="177"/>
        <v>0</v>
      </c>
      <c r="S245" s="64">
        <f t="shared" si="178"/>
        <v>0</v>
      </c>
      <c r="T245" s="80" t="str">
        <f t="shared" si="179"/>
        <v>-</v>
      </c>
      <c r="U245" s="83" t="s">
        <v>19</v>
      </c>
      <c r="V245" s="83" t="s">
        <v>19</v>
      </c>
      <c r="W245" s="83" t="str">
        <f t="shared" si="180"/>
        <v>-</v>
      </c>
      <c r="X245" s="96" t="s">
        <v>19</v>
      </c>
      <c r="Y245" s="96" t="s">
        <v>19</v>
      </c>
      <c r="Z245" s="83" t="str">
        <f t="shared" si="181"/>
        <v>-</v>
      </c>
      <c r="AA245" s="66">
        <f t="shared" si="182"/>
        <v>0</v>
      </c>
      <c r="AB245" s="66">
        <f t="shared" si="183"/>
        <v>0</v>
      </c>
      <c r="AC245" s="83" t="str">
        <f t="shared" si="184"/>
        <v>-</v>
      </c>
      <c r="AD245" s="73">
        <v>54073</v>
      </c>
      <c r="AE245" s="73">
        <v>63075</v>
      </c>
      <c r="AF245" s="21">
        <f t="shared" si="185"/>
        <v>0.85728101466508122</v>
      </c>
      <c r="AG245" s="73">
        <v>42710</v>
      </c>
      <c r="AH245" s="73">
        <v>51844</v>
      </c>
      <c r="AI245" s="21">
        <f t="shared" si="186"/>
        <v>0.82381760666615234</v>
      </c>
      <c r="AJ245" s="70"/>
      <c r="AK245" s="70"/>
      <c r="AL245" s="37" t="str">
        <f t="shared" si="187"/>
        <v>-</v>
      </c>
      <c r="AM245" s="44" t="s">
        <v>19</v>
      </c>
      <c r="AN245" s="44" t="s">
        <v>19</v>
      </c>
      <c r="AO245" s="44" t="s">
        <v>19</v>
      </c>
      <c r="AP245" s="44" t="s">
        <v>19</v>
      </c>
      <c r="AQ245" s="44" t="s">
        <v>19</v>
      </c>
      <c r="AR245" s="44" t="str">
        <f t="shared" si="188"/>
        <v>-</v>
      </c>
      <c r="AS245" s="69"/>
      <c r="AT245" s="69"/>
      <c r="AU245" s="44" t="str">
        <f t="shared" si="189"/>
        <v>-</v>
      </c>
      <c r="AV245" s="37" t="s">
        <v>19</v>
      </c>
      <c r="AW245" s="37" t="s">
        <v>19</v>
      </c>
      <c r="AX245" s="37" t="str">
        <f t="shared" si="190"/>
        <v>-</v>
      </c>
      <c r="AY245" s="37" t="s">
        <v>19</v>
      </c>
      <c r="AZ245" s="37" t="s">
        <v>19</v>
      </c>
      <c r="BA245" s="37" t="str">
        <f t="shared" si="191"/>
        <v>-</v>
      </c>
      <c r="BB245" s="70"/>
      <c r="BC245" s="70"/>
      <c r="BD245" s="37" t="str">
        <f t="shared" si="192"/>
        <v>-</v>
      </c>
    </row>
    <row r="246" spans="1:56" ht="14.25" customHeight="1">
      <c r="A246" s="8"/>
      <c r="B246" s="12" t="s">
        <v>69</v>
      </c>
      <c r="C246" s="133">
        <v>130</v>
      </c>
      <c r="D246" s="133">
        <v>138</v>
      </c>
      <c r="E246" s="67">
        <f t="shared" si="171"/>
        <v>0.94202898550724634</v>
      </c>
      <c r="F246" s="133">
        <v>145</v>
      </c>
      <c r="G246" s="133">
        <v>165</v>
      </c>
      <c r="H246" s="67">
        <f t="shared" si="172"/>
        <v>0.87878787878787878</v>
      </c>
      <c r="I246" s="66">
        <f t="shared" si="173"/>
        <v>275</v>
      </c>
      <c r="J246" s="66">
        <f t="shared" si="174"/>
        <v>303</v>
      </c>
      <c r="K246" s="67">
        <f t="shared" si="175"/>
        <v>0.90759075907590758</v>
      </c>
      <c r="L246" s="87">
        <v>26</v>
      </c>
      <c r="M246" s="87">
        <v>36</v>
      </c>
      <c r="N246" s="65">
        <f t="shared" si="176"/>
        <v>0.72222222222222221</v>
      </c>
      <c r="O246" s="87">
        <v>2</v>
      </c>
      <c r="P246" s="87">
        <v>3</v>
      </c>
      <c r="Q246" s="65">
        <f>IFERROR(O246/P246,"-")</f>
        <v>0.66666666666666663</v>
      </c>
      <c r="R246" s="64">
        <f t="shared" si="177"/>
        <v>28</v>
      </c>
      <c r="S246" s="64">
        <f t="shared" si="178"/>
        <v>39</v>
      </c>
      <c r="T246" s="65">
        <f t="shared" si="179"/>
        <v>0.71794871794871795</v>
      </c>
      <c r="U246" s="133">
        <v>1</v>
      </c>
      <c r="V246" s="133">
        <v>1</v>
      </c>
      <c r="W246" s="67">
        <f t="shared" si="180"/>
        <v>1</v>
      </c>
      <c r="X246" s="133">
        <v>35</v>
      </c>
      <c r="Y246" s="133">
        <v>35</v>
      </c>
      <c r="Z246" s="67">
        <f t="shared" si="181"/>
        <v>1</v>
      </c>
      <c r="AA246" s="66">
        <f t="shared" si="182"/>
        <v>36</v>
      </c>
      <c r="AB246" s="66">
        <f t="shared" si="183"/>
        <v>36</v>
      </c>
      <c r="AC246" s="67">
        <f t="shared" si="184"/>
        <v>1</v>
      </c>
      <c r="AD246" s="73">
        <v>3710</v>
      </c>
      <c r="AE246" s="73">
        <v>4317</v>
      </c>
      <c r="AF246" s="21">
        <f t="shared" si="185"/>
        <v>0.85939309705814226</v>
      </c>
      <c r="AG246" s="73">
        <v>3948</v>
      </c>
      <c r="AH246" s="73">
        <v>4647</v>
      </c>
      <c r="AI246" s="21">
        <f t="shared" si="186"/>
        <v>0.84958037443511947</v>
      </c>
      <c r="AJ246" s="70"/>
      <c r="AK246" s="70"/>
      <c r="AL246" s="37" t="str">
        <f t="shared" si="187"/>
        <v>-</v>
      </c>
      <c r="AM246" s="89">
        <v>19</v>
      </c>
      <c r="AN246" s="89">
        <v>26</v>
      </c>
      <c r="AO246" s="36">
        <f t="shared" ref="AO246:AO278" si="193">IFERROR(AM246/AN246,"-")</f>
        <v>0.73076923076923073</v>
      </c>
      <c r="AP246" s="89">
        <v>3</v>
      </c>
      <c r="AQ246" s="89">
        <v>4</v>
      </c>
      <c r="AR246" s="36">
        <f t="shared" si="188"/>
        <v>0.75</v>
      </c>
      <c r="AS246" s="69"/>
      <c r="AT246" s="69"/>
      <c r="AU246" s="44" t="str">
        <f t="shared" si="189"/>
        <v>-</v>
      </c>
      <c r="AV246" s="73">
        <v>23</v>
      </c>
      <c r="AW246" s="73">
        <v>24</v>
      </c>
      <c r="AX246" s="21">
        <f t="shared" si="190"/>
        <v>0.95833333333333337</v>
      </c>
      <c r="AY246" s="73">
        <v>397</v>
      </c>
      <c r="AZ246" s="73">
        <v>420</v>
      </c>
      <c r="BA246" s="21">
        <f t="shared" si="191"/>
        <v>0.94523809523809521</v>
      </c>
      <c r="BB246" s="70"/>
      <c r="BC246" s="70"/>
      <c r="BD246" s="37" t="str">
        <f t="shared" si="192"/>
        <v>-</v>
      </c>
    </row>
    <row r="247" spans="1:56" ht="14.25" customHeight="1">
      <c r="A247" s="8"/>
      <c r="B247" s="12" t="s">
        <v>70</v>
      </c>
      <c r="C247" s="133">
        <v>254</v>
      </c>
      <c r="D247" s="133">
        <v>267</v>
      </c>
      <c r="E247" s="67">
        <f t="shared" si="171"/>
        <v>0.95131086142322097</v>
      </c>
      <c r="F247" s="133">
        <v>314</v>
      </c>
      <c r="G247" s="133">
        <v>338</v>
      </c>
      <c r="H247" s="67">
        <f t="shared" si="172"/>
        <v>0.92899408284023666</v>
      </c>
      <c r="I247" s="66">
        <f t="shared" si="173"/>
        <v>568</v>
      </c>
      <c r="J247" s="66">
        <f t="shared" si="174"/>
        <v>605</v>
      </c>
      <c r="K247" s="67">
        <f t="shared" si="175"/>
        <v>0.93884297520661153</v>
      </c>
      <c r="L247" s="87">
        <v>57</v>
      </c>
      <c r="M247" s="87">
        <v>81</v>
      </c>
      <c r="N247" s="65">
        <f t="shared" si="176"/>
        <v>0.70370370370370372</v>
      </c>
      <c r="O247" s="87">
        <v>1</v>
      </c>
      <c r="P247" s="87">
        <v>2</v>
      </c>
      <c r="Q247" s="65">
        <f>IFERROR(O247/P247,"-")</f>
        <v>0.5</v>
      </c>
      <c r="R247" s="64">
        <f t="shared" si="177"/>
        <v>58</v>
      </c>
      <c r="S247" s="64">
        <f t="shared" si="178"/>
        <v>83</v>
      </c>
      <c r="T247" s="65">
        <f t="shared" si="179"/>
        <v>0.6987951807228916</v>
      </c>
      <c r="U247" s="133">
        <v>9</v>
      </c>
      <c r="V247" s="133">
        <v>9</v>
      </c>
      <c r="W247" s="67">
        <f t="shared" si="180"/>
        <v>1</v>
      </c>
      <c r="X247" s="133">
        <v>81</v>
      </c>
      <c r="Y247" s="133">
        <v>81</v>
      </c>
      <c r="Z247" s="67">
        <f t="shared" si="181"/>
        <v>1</v>
      </c>
      <c r="AA247" s="66">
        <f t="shared" si="182"/>
        <v>90</v>
      </c>
      <c r="AB247" s="66">
        <f t="shared" si="183"/>
        <v>90</v>
      </c>
      <c r="AC247" s="67">
        <f t="shared" si="184"/>
        <v>1</v>
      </c>
      <c r="AD247" s="73">
        <v>10275</v>
      </c>
      <c r="AE247" s="73">
        <v>12366</v>
      </c>
      <c r="AF247" s="21">
        <f t="shared" si="185"/>
        <v>0.83090732654051436</v>
      </c>
      <c r="AG247" s="73">
        <v>11732</v>
      </c>
      <c r="AH247" s="73">
        <v>15102</v>
      </c>
      <c r="AI247" s="21">
        <f t="shared" si="186"/>
        <v>0.77685074824526557</v>
      </c>
      <c r="AJ247" s="70"/>
      <c r="AK247" s="70"/>
      <c r="AL247" s="37" t="str">
        <f t="shared" si="187"/>
        <v>-</v>
      </c>
      <c r="AM247" s="89">
        <v>102</v>
      </c>
      <c r="AN247" s="89">
        <v>170</v>
      </c>
      <c r="AO247" s="36">
        <f t="shared" si="193"/>
        <v>0.6</v>
      </c>
      <c r="AP247" s="89">
        <v>2</v>
      </c>
      <c r="AQ247" s="89">
        <v>2</v>
      </c>
      <c r="AR247" s="36">
        <f t="shared" si="188"/>
        <v>1</v>
      </c>
      <c r="AS247" s="69"/>
      <c r="AT247" s="69"/>
      <c r="AU247" s="44" t="str">
        <f t="shared" si="189"/>
        <v>-</v>
      </c>
      <c r="AV247" s="73">
        <v>100</v>
      </c>
      <c r="AW247" s="73">
        <v>108</v>
      </c>
      <c r="AX247" s="21">
        <f t="shared" si="190"/>
        <v>0.92592592592592593</v>
      </c>
      <c r="AY247" s="73">
        <v>838</v>
      </c>
      <c r="AZ247" s="73">
        <v>972</v>
      </c>
      <c r="BA247" s="21">
        <f t="shared" si="191"/>
        <v>0.86213991769547327</v>
      </c>
      <c r="BB247" s="70"/>
      <c r="BC247" s="70"/>
      <c r="BD247" s="37" t="str">
        <f t="shared" si="192"/>
        <v>-</v>
      </c>
    </row>
    <row r="248" spans="1:56" ht="14.25" customHeight="1">
      <c r="A248" s="8"/>
      <c r="B248" s="12" t="s">
        <v>71</v>
      </c>
      <c r="C248" s="133">
        <v>266</v>
      </c>
      <c r="D248" s="133">
        <v>292</v>
      </c>
      <c r="E248" s="67">
        <f t="shared" si="171"/>
        <v>0.91095890410958902</v>
      </c>
      <c r="F248" s="133">
        <v>210</v>
      </c>
      <c r="G248" s="133">
        <v>237</v>
      </c>
      <c r="H248" s="67">
        <f t="shared" si="172"/>
        <v>0.88607594936708856</v>
      </c>
      <c r="I248" s="66">
        <f t="shared" si="173"/>
        <v>476</v>
      </c>
      <c r="J248" s="66">
        <f t="shared" si="174"/>
        <v>529</v>
      </c>
      <c r="K248" s="67">
        <f t="shared" si="175"/>
        <v>0.89981096408317585</v>
      </c>
      <c r="L248" s="87">
        <v>3</v>
      </c>
      <c r="M248" s="87">
        <v>4</v>
      </c>
      <c r="N248" s="65">
        <f t="shared" si="176"/>
        <v>0.75</v>
      </c>
      <c r="O248" s="87">
        <v>49</v>
      </c>
      <c r="P248" s="87">
        <v>57</v>
      </c>
      <c r="Q248" s="65">
        <f>IFERROR(O248/P248,"-")</f>
        <v>0.85964912280701755</v>
      </c>
      <c r="R248" s="64">
        <f t="shared" si="177"/>
        <v>52</v>
      </c>
      <c r="S248" s="64">
        <f t="shared" si="178"/>
        <v>61</v>
      </c>
      <c r="T248" s="65">
        <f t="shared" si="179"/>
        <v>0.85245901639344257</v>
      </c>
      <c r="U248" s="133">
        <v>8</v>
      </c>
      <c r="V248" s="133">
        <v>10</v>
      </c>
      <c r="W248" s="67">
        <f t="shared" si="180"/>
        <v>0.8</v>
      </c>
      <c r="X248" s="133">
        <v>57</v>
      </c>
      <c r="Y248" s="133">
        <v>57</v>
      </c>
      <c r="Z248" s="67">
        <f t="shared" si="181"/>
        <v>1</v>
      </c>
      <c r="AA248" s="66">
        <f t="shared" si="182"/>
        <v>65</v>
      </c>
      <c r="AB248" s="66">
        <f t="shared" si="183"/>
        <v>67</v>
      </c>
      <c r="AC248" s="67">
        <f t="shared" si="184"/>
        <v>0.97014925373134331</v>
      </c>
      <c r="AD248" s="73">
        <v>8225</v>
      </c>
      <c r="AE248" s="73">
        <v>9786</v>
      </c>
      <c r="AF248" s="21">
        <f t="shared" si="185"/>
        <v>0.84048640915593709</v>
      </c>
      <c r="AG248" s="73">
        <v>6004</v>
      </c>
      <c r="AH248" s="73">
        <v>7068</v>
      </c>
      <c r="AI248" s="21">
        <f t="shared" si="186"/>
        <v>0.84946236559139787</v>
      </c>
      <c r="AJ248" s="70"/>
      <c r="AK248" s="70"/>
      <c r="AL248" s="37" t="str">
        <f t="shared" si="187"/>
        <v>-</v>
      </c>
      <c r="AM248" s="89">
        <v>2</v>
      </c>
      <c r="AN248" s="89">
        <v>3</v>
      </c>
      <c r="AO248" s="36">
        <f t="shared" si="193"/>
        <v>0.66666666666666663</v>
      </c>
      <c r="AP248" s="89">
        <v>83</v>
      </c>
      <c r="AQ248" s="89">
        <v>97</v>
      </c>
      <c r="AR248" s="36">
        <f t="shared" si="188"/>
        <v>0.85567010309278346</v>
      </c>
      <c r="AS248" s="69"/>
      <c r="AT248" s="69"/>
      <c r="AU248" s="44" t="str">
        <f t="shared" si="189"/>
        <v>-</v>
      </c>
      <c r="AV248" s="73">
        <v>87</v>
      </c>
      <c r="AW248" s="73">
        <v>96</v>
      </c>
      <c r="AX248" s="21">
        <f t="shared" si="190"/>
        <v>0.90625</v>
      </c>
      <c r="AY248" s="73">
        <v>621</v>
      </c>
      <c r="AZ248" s="73">
        <v>684</v>
      </c>
      <c r="BA248" s="21">
        <f t="shared" si="191"/>
        <v>0.90789473684210531</v>
      </c>
      <c r="BB248" s="70"/>
      <c r="BC248" s="70"/>
      <c r="BD248" s="37" t="str">
        <f t="shared" si="192"/>
        <v>-</v>
      </c>
    </row>
    <row r="249" spans="1:56" ht="14.25" customHeight="1">
      <c r="A249" s="8"/>
      <c r="B249" s="12" t="s">
        <v>72</v>
      </c>
      <c r="C249" s="133">
        <v>23</v>
      </c>
      <c r="D249" s="133">
        <v>27</v>
      </c>
      <c r="E249" s="67">
        <f t="shared" si="171"/>
        <v>0.85185185185185186</v>
      </c>
      <c r="F249" s="133">
        <v>29</v>
      </c>
      <c r="G249" s="133">
        <v>34</v>
      </c>
      <c r="H249" s="67">
        <f t="shared" si="172"/>
        <v>0.8529411764705882</v>
      </c>
      <c r="I249" s="66">
        <f t="shared" si="173"/>
        <v>52</v>
      </c>
      <c r="J249" s="66">
        <f t="shared" si="174"/>
        <v>61</v>
      </c>
      <c r="K249" s="67">
        <f t="shared" si="175"/>
        <v>0.85245901639344257</v>
      </c>
      <c r="L249" s="94" t="s">
        <v>19</v>
      </c>
      <c r="M249" s="94" t="s">
        <v>19</v>
      </c>
      <c r="N249" s="80" t="str">
        <f t="shared" si="176"/>
        <v>-</v>
      </c>
      <c r="O249" s="94" t="s">
        <v>19</v>
      </c>
      <c r="P249" s="94" t="s">
        <v>19</v>
      </c>
      <c r="Q249" s="80" t="str">
        <f>IFERROR(O249/P249,"-")</f>
        <v>-</v>
      </c>
      <c r="R249" s="64">
        <f t="shared" si="177"/>
        <v>0</v>
      </c>
      <c r="S249" s="64">
        <f t="shared" si="178"/>
        <v>0</v>
      </c>
      <c r="T249" s="80" t="str">
        <f t="shared" si="179"/>
        <v>-</v>
      </c>
      <c r="U249" s="96" t="s">
        <v>19</v>
      </c>
      <c r="V249" s="96" t="s">
        <v>19</v>
      </c>
      <c r="W249" s="83" t="str">
        <f t="shared" si="180"/>
        <v>-</v>
      </c>
      <c r="X249" s="96" t="s">
        <v>19</v>
      </c>
      <c r="Y249" s="96" t="s">
        <v>19</v>
      </c>
      <c r="Z249" s="83" t="str">
        <f t="shared" si="181"/>
        <v>-</v>
      </c>
      <c r="AA249" s="66">
        <f t="shared" si="182"/>
        <v>0</v>
      </c>
      <c r="AB249" s="66">
        <f t="shared" si="183"/>
        <v>0</v>
      </c>
      <c r="AC249" s="83" t="str">
        <f t="shared" si="184"/>
        <v>-</v>
      </c>
      <c r="AD249" s="73">
        <v>650</v>
      </c>
      <c r="AE249" s="73">
        <v>825</v>
      </c>
      <c r="AF249" s="21">
        <f t="shared" si="185"/>
        <v>0.78787878787878785</v>
      </c>
      <c r="AG249" s="73">
        <v>999</v>
      </c>
      <c r="AH249" s="73">
        <v>1062</v>
      </c>
      <c r="AI249" s="21">
        <f t="shared" si="186"/>
        <v>0.94067796610169496</v>
      </c>
      <c r="AJ249" s="70"/>
      <c r="AK249" s="70"/>
      <c r="AL249" s="37" t="str">
        <f t="shared" si="187"/>
        <v>-</v>
      </c>
      <c r="AM249" s="104" t="s">
        <v>19</v>
      </c>
      <c r="AN249" s="104" t="s">
        <v>19</v>
      </c>
      <c r="AO249" s="44" t="str">
        <f t="shared" si="193"/>
        <v>-</v>
      </c>
      <c r="AP249" s="104" t="s">
        <v>19</v>
      </c>
      <c r="AQ249" s="104" t="s">
        <v>19</v>
      </c>
      <c r="AR249" s="44" t="str">
        <f t="shared" si="188"/>
        <v>-</v>
      </c>
      <c r="AS249" s="69"/>
      <c r="AT249" s="69"/>
      <c r="AU249" s="44" t="str">
        <f t="shared" si="189"/>
        <v>-</v>
      </c>
      <c r="AV249" s="81" t="s">
        <v>19</v>
      </c>
      <c r="AW249" s="81" t="s">
        <v>19</v>
      </c>
      <c r="AX249" s="37" t="str">
        <f t="shared" si="190"/>
        <v>-</v>
      </c>
      <c r="AY249" s="81" t="s">
        <v>19</v>
      </c>
      <c r="AZ249" s="81" t="s">
        <v>19</v>
      </c>
      <c r="BA249" s="37" t="str">
        <f t="shared" si="191"/>
        <v>-</v>
      </c>
      <c r="BB249" s="70"/>
      <c r="BC249" s="70"/>
      <c r="BD249" s="37" t="str">
        <f t="shared" si="192"/>
        <v>-</v>
      </c>
    </row>
    <row r="250" spans="1:56" ht="14.25" customHeight="1">
      <c r="A250" s="8"/>
      <c r="B250" s="12" t="s">
        <v>73</v>
      </c>
      <c r="C250" s="133">
        <v>1</v>
      </c>
      <c r="D250" s="133">
        <v>1</v>
      </c>
      <c r="E250" s="67">
        <f t="shared" si="171"/>
        <v>1</v>
      </c>
      <c r="F250" s="137" t="s">
        <v>19</v>
      </c>
      <c r="G250" s="137" t="s">
        <v>19</v>
      </c>
      <c r="H250" s="83" t="str">
        <f t="shared" si="172"/>
        <v>-</v>
      </c>
      <c r="I250" s="66">
        <f t="shared" si="173"/>
        <v>1</v>
      </c>
      <c r="J250" s="66">
        <f t="shared" si="174"/>
        <v>1</v>
      </c>
      <c r="K250" s="67">
        <f t="shared" si="175"/>
        <v>1</v>
      </c>
      <c r="L250" s="94" t="s">
        <v>19</v>
      </c>
      <c r="M250" s="94" t="s">
        <v>19</v>
      </c>
      <c r="N250" s="80" t="str">
        <f t="shared" si="176"/>
        <v>-</v>
      </c>
      <c r="O250" s="94" t="s">
        <v>19</v>
      </c>
      <c r="P250" s="94" t="s">
        <v>19</v>
      </c>
      <c r="Q250" s="80" t="s">
        <v>19</v>
      </c>
      <c r="R250" s="64">
        <f t="shared" si="177"/>
        <v>0</v>
      </c>
      <c r="S250" s="64">
        <f t="shared" si="178"/>
        <v>0</v>
      </c>
      <c r="T250" s="80" t="str">
        <f t="shared" si="179"/>
        <v>-</v>
      </c>
      <c r="U250" s="133">
        <v>1</v>
      </c>
      <c r="V250" s="133">
        <v>2</v>
      </c>
      <c r="W250" s="67">
        <f t="shared" si="180"/>
        <v>0.5</v>
      </c>
      <c r="X250" s="133">
        <v>1</v>
      </c>
      <c r="Y250" s="133">
        <v>1</v>
      </c>
      <c r="Z250" s="67">
        <f t="shared" si="181"/>
        <v>1</v>
      </c>
      <c r="AA250" s="66">
        <f t="shared" si="182"/>
        <v>2</v>
      </c>
      <c r="AB250" s="66">
        <f t="shared" si="183"/>
        <v>3</v>
      </c>
      <c r="AC250" s="67">
        <f t="shared" si="184"/>
        <v>0.66666666666666663</v>
      </c>
      <c r="AD250" s="73">
        <v>6</v>
      </c>
      <c r="AE250" s="73">
        <v>6</v>
      </c>
      <c r="AF250" s="21">
        <f t="shared" si="185"/>
        <v>1</v>
      </c>
      <c r="AG250" s="73">
        <v>0</v>
      </c>
      <c r="AH250" s="73">
        <v>0</v>
      </c>
      <c r="AI250" s="37" t="str">
        <f t="shared" si="186"/>
        <v>-</v>
      </c>
      <c r="AJ250" s="70"/>
      <c r="AK250" s="70"/>
      <c r="AL250" s="37" t="str">
        <f t="shared" si="187"/>
        <v>-</v>
      </c>
      <c r="AM250" s="104" t="s">
        <v>19</v>
      </c>
      <c r="AN250" s="104" t="s">
        <v>19</v>
      </c>
      <c r="AO250" s="44" t="str">
        <f t="shared" si="193"/>
        <v>-</v>
      </c>
      <c r="AP250" s="104" t="s">
        <v>19</v>
      </c>
      <c r="AQ250" s="104" t="s">
        <v>19</v>
      </c>
      <c r="AR250" s="44" t="str">
        <f t="shared" si="188"/>
        <v>-</v>
      </c>
      <c r="AS250" s="69"/>
      <c r="AT250" s="69"/>
      <c r="AU250" s="44" t="str">
        <f t="shared" si="189"/>
        <v>-</v>
      </c>
      <c r="AV250" s="73">
        <v>12</v>
      </c>
      <c r="AW250" s="73">
        <v>12</v>
      </c>
      <c r="AX250" s="21">
        <f t="shared" si="190"/>
        <v>1</v>
      </c>
      <c r="AY250" s="73">
        <v>12</v>
      </c>
      <c r="AZ250" s="73">
        <v>12</v>
      </c>
      <c r="BA250" s="21">
        <f t="shared" si="191"/>
        <v>1</v>
      </c>
      <c r="BB250" s="70"/>
      <c r="BC250" s="70"/>
      <c r="BD250" s="37" t="str">
        <f t="shared" si="192"/>
        <v>-</v>
      </c>
    </row>
    <row r="251" spans="1:56" ht="14.25" customHeight="1">
      <c r="A251" s="8"/>
      <c r="B251" s="12" t="s">
        <v>74</v>
      </c>
      <c r="C251" s="133">
        <v>124</v>
      </c>
      <c r="D251" s="133">
        <v>137</v>
      </c>
      <c r="E251" s="67">
        <f t="shared" si="171"/>
        <v>0.9051094890510949</v>
      </c>
      <c r="F251" s="133">
        <v>166</v>
      </c>
      <c r="G251" s="133">
        <v>181</v>
      </c>
      <c r="H251" s="67">
        <f t="shared" si="172"/>
        <v>0.91712707182320441</v>
      </c>
      <c r="I251" s="66">
        <f t="shared" si="173"/>
        <v>290</v>
      </c>
      <c r="J251" s="66">
        <f t="shared" si="174"/>
        <v>318</v>
      </c>
      <c r="K251" s="67">
        <f t="shared" si="175"/>
        <v>0.91194968553459121</v>
      </c>
      <c r="L251" s="87">
        <v>1</v>
      </c>
      <c r="M251" s="87">
        <v>1</v>
      </c>
      <c r="N251" s="65">
        <f t="shared" si="176"/>
        <v>1</v>
      </c>
      <c r="O251" s="87">
        <v>4</v>
      </c>
      <c r="P251" s="87">
        <v>6</v>
      </c>
      <c r="Q251" s="65">
        <f t="shared" ref="Q251:Q278" si="194">IFERROR(O251/P251,"-")</f>
        <v>0.66666666666666663</v>
      </c>
      <c r="R251" s="64">
        <f t="shared" si="177"/>
        <v>5</v>
      </c>
      <c r="S251" s="64">
        <f t="shared" si="178"/>
        <v>7</v>
      </c>
      <c r="T251" s="65">
        <f t="shared" si="179"/>
        <v>0.7142857142857143</v>
      </c>
      <c r="U251" s="96" t="s">
        <v>19</v>
      </c>
      <c r="V251" s="96" t="s">
        <v>19</v>
      </c>
      <c r="W251" s="83" t="str">
        <f t="shared" si="180"/>
        <v>-</v>
      </c>
      <c r="X251" s="133">
        <v>48</v>
      </c>
      <c r="Y251" s="133">
        <v>48</v>
      </c>
      <c r="Z251" s="67">
        <f t="shared" si="181"/>
        <v>1</v>
      </c>
      <c r="AA251" s="66">
        <f t="shared" si="182"/>
        <v>48</v>
      </c>
      <c r="AB251" s="66">
        <f t="shared" si="183"/>
        <v>48</v>
      </c>
      <c r="AC251" s="67">
        <f t="shared" si="184"/>
        <v>1</v>
      </c>
      <c r="AD251" s="73">
        <v>4567</v>
      </c>
      <c r="AE251" s="73">
        <v>5562</v>
      </c>
      <c r="AF251" s="21">
        <f t="shared" si="185"/>
        <v>0.82110751528227255</v>
      </c>
      <c r="AG251" s="73">
        <v>5104</v>
      </c>
      <c r="AH251" s="73">
        <v>5937</v>
      </c>
      <c r="AI251" s="21">
        <f t="shared" si="186"/>
        <v>0.85969344786929425</v>
      </c>
      <c r="AJ251" s="70"/>
      <c r="AK251" s="70"/>
      <c r="AL251" s="37" t="str">
        <f t="shared" si="187"/>
        <v>-</v>
      </c>
      <c r="AM251" s="89">
        <v>1</v>
      </c>
      <c r="AN251" s="89">
        <v>1</v>
      </c>
      <c r="AO251" s="36">
        <f t="shared" si="193"/>
        <v>1</v>
      </c>
      <c r="AP251" s="89">
        <v>11</v>
      </c>
      <c r="AQ251" s="89">
        <v>11</v>
      </c>
      <c r="AR251" s="36">
        <f t="shared" si="188"/>
        <v>1</v>
      </c>
      <c r="AS251" s="69"/>
      <c r="AT251" s="69"/>
      <c r="AU251" s="44" t="str">
        <f t="shared" si="189"/>
        <v>-</v>
      </c>
      <c r="AV251" s="81" t="s">
        <v>19</v>
      </c>
      <c r="AW251" s="81" t="s">
        <v>19</v>
      </c>
      <c r="AX251" s="37" t="str">
        <f t="shared" si="190"/>
        <v>-</v>
      </c>
      <c r="AY251" s="73">
        <v>549</v>
      </c>
      <c r="AZ251" s="73">
        <v>576</v>
      </c>
      <c r="BA251" s="21">
        <f t="shared" si="191"/>
        <v>0.953125</v>
      </c>
      <c r="BB251" s="70"/>
      <c r="BC251" s="70"/>
      <c r="BD251" s="37" t="str">
        <f t="shared" si="192"/>
        <v>-</v>
      </c>
    </row>
    <row r="252" spans="1:56" ht="14.25" customHeight="1">
      <c r="A252" s="8"/>
      <c r="B252" s="12" t="s">
        <v>75</v>
      </c>
      <c r="C252" s="133">
        <v>83</v>
      </c>
      <c r="D252" s="133">
        <v>87</v>
      </c>
      <c r="E252" s="67">
        <f t="shared" si="171"/>
        <v>0.95402298850574707</v>
      </c>
      <c r="F252" s="133">
        <v>79</v>
      </c>
      <c r="G252" s="133">
        <v>87</v>
      </c>
      <c r="H252" s="67">
        <f t="shared" si="172"/>
        <v>0.90804597701149425</v>
      </c>
      <c r="I252" s="66">
        <f t="shared" si="173"/>
        <v>162</v>
      </c>
      <c r="J252" s="66">
        <f t="shared" si="174"/>
        <v>174</v>
      </c>
      <c r="K252" s="67">
        <f t="shared" si="175"/>
        <v>0.93103448275862066</v>
      </c>
      <c r="L252" s="87">
        <v>15</v>
      </c>
      <c r="M252" s="87">
        <v>16</v>
      </c>
      <c r="N252" s="65">
        <f t="shared" si="176"/>
        <v>0.9375</v>
      </c>
      <c r="O252" s="87">
        <v>3</v>
      </c>
      <c r="P252" s="87">
        <v>4</v>
      </c>
      <c r="Q252" s="65">
        <f t="shared" si="194"/>
        <v>0.75</v>
      </c>
      <c r="R252" s="64">
        <f t="shared" si="177"/>
        <v>18</v>
      </c>
      <c r="S252" s="64">
        <f t="shared" si="178"/>
        <v>20</v>
      </c>
      <c r="T252" s="65">
        <f t="shared" si="179"/>
        <v>0.9</v>
      </c>
      <c r="U252" s="133">
        <v>8</v>
      </c>
      <c r="V252" s="133">
        <v>9</v>
      </c>
      <c r="W252" s="67">
        <f t="shared" si="180"/>
        <v>0.88888888888888884</v>
      </c>
      <c r="X252" s="133">
        <v>17</v>
      </c>
      <c r="Y252" s="133">
        <v>18</v>
      </c>
      <c r="Z252" s="67">
        <f t="shared" si="181"/>
        <v>0.94444444444444442</v>
      </c>
      <c r="AA252" s="66">
        <f t="shared" si="182"/>
        <v>25</v>
      </c>
      <c r="AB252" s="66">
        <f t="shared" si="183"/>
        <v>27</v>
      </c>
      <c r="AC252" s="67">
        <f t="shared" si="184"/>
        <v>0.92592592592592593</v>
      </c>
      <c r="AD252" s="73">
        <v>3484</v>
      </c>
      <c r="AE252" s="73">
        <v>4173</v>
      </c>
      <c r="AF252" s="21">
        <f t="shared" si="185"/>
        <v>0.83489096573208721</v>
      </c>
      <c r="AG252" s="73">
        <v>2845</v>
      </c>
      <c r="AH252" s="73">
        <v>3201</v>
      </c>
      <c r="AI252" s="21">
        <f t="shared" si="186"/>
        <v>0.88878475476413621</v>
      </c>
      <c r="AJ252" s="70"/>
      <c r="AK252" s="70"/>
      <c r="AL252" s="37" t="str">
        <f t="shared" si="187"/>
        <v>-</v>
      </c>
      <c r="AM252" s="89">
        <v>8</v>
      </c>
      <c r="AN252" s="89">
        <v>15</v>
      </c>
      <c r="AO252" s="36">
        <f t="shared" si="193"/>
        <v>0.53333333333333333</v>
      </c>
      <c r="AP252" s="89">
        <v>6</v>
      </c>
      <c r="AQ252" s="89">
        <v>6</v>
      </c>
      <c r="AR252" s="36">
        <f t="shared" si="188"/>
        <v>1</v>
      </c>
      <c r="AS252" s="69"/>
      <c r="AT252" s="69"/>
      <c r="AU252" s="44" t="str">
        <f t="shared" si="189"/>
        <v>-</v>
      </c>
      <c r="AV252" s="73">
        <v>189</v>
      </c>
      <c r="AW252" s="73">
        <v>192</v>
      </c>
      <c r="AX252" s="21">
        <f t="shared" si="190"/>
        <v>0.984375</v>
      </c>
      <c r="AY252" s="73">
        <v>373</v>
      </c>
      <c r="AZ252" s="73">
        <v>408</v>
      </c>
      <c r="BA252" s="21">
        <f t="shared" si="191"/>
        <v>0.91421568627450978</v>
      </c>
      <c r="BB252" s="70"/>
      <c r="BC252" s="70"/>
      <c r="BD252" s="37" t="str">
        <f t="shared" si="192"/>
        <v>-</v>
      </c>
    </row>
    <row r="253" spans="1:56" ht="14.25" customHeight="1">
      <c r="A253" s="8"/>
      <c r="B253" s="12" t="s">
        <v>76</v>
      </c>
      <c r="C253" s="133">
        <v>144</v>
      </c>
      <c r="D253" s="133">
        <v>150</v>
      </c>
      <c r="E253" s="67">
        <f t="shared" si="171"/>
        <v>0.96</v>
      </c>
      <c r="F253" s="133">
        <v>190</v>
      </c>
      <c r="G253" s="133">
        <v>201</v>
      </c>
      <c r="H253" s="67">
        <f t="shared" si="172"/>
        <v>0.94527363184079605</v>
      </c>
      <c r="I253" s="66">
        <f t="shared" si="173"/>
        <v>334</v>
      </c>
      <c r="J253" s="66">
        <f t="shared" si="174"/>
        <v>351</v>
      </c>
      <c r="K253" s="67">
        <f t="shared" si="175"/>
        <v>0.95156695156695159</v>
      </c>
      <c r="L253" s="87">
        <v>37</v>
      </c>
      <c r="M253" s="87">
        <v>51</v>
      </c>
      <c r="N253" s="65">
        <f t="shared" si="176"/>
        <v>0.72549019607843135</v>
      </c>
      <c r="O253" s="87">
        <v>7</v>
      </c>
      <c r="P253" s="87">
        <v>11</v>
      </c>
      <c r="Q253" s="65">
        <f t="shared" si="194"/>
        <v>0.63636363636363635</v>
      </c>
      <c r="R253" s="64">
        <f t="shared" si="177"/>
        <v>44</v>
      </c>
      <c r="S253" s="64">
        <f t="shared" si="178"/>
        <v>62</v>
      </c>
      <c r="T253" s="65">
        <f t="shared" si="179"/>
        <v>0.70967741935483875</v>
      </c>
      <c r="U253" s="133">
        <v>4</v>
      </c>
      <c r="V253" s="133">
        <v>4</v>
      </c>
      <c r="W253" s="67">
        <f t="shared" si="180"/>
        <v>1</v>
      </c>
      <c r="X253" s="133">
        <v>46</v>
      </c>
      <c r="Y253" s="133">
        <v>47</v>
      </c>
      <c r="Z253" s="67">
        <f t="shared" si="181"/>
        <v>0.97872340425531912</v>
      </c>
      <c r="AA253" s="66">
        <f t="shared" si="182"/>
        <v>50</v>
      </c>
      <c r="AB253" s="66">
        <f t="shared" si="183"/>
        <v>51</v>
      </c>
      <c r="AC253" s="67">
        <f t="shared" si="184"/>
        <v>0.98039215686274506</v>
      </c>
      <c r="AD253" s="73">
        <v>5794</v>
      </c>
      <c r="AE253" s="73">
        <v>7143</v>
      </c>
      <c r="AF253" s="21">
        <f t="shared" si="185"/>
        <v>0.81114377712445751</v>
      </c>
      <c r="AG253" s="73">
        <v>7536</v>
      </c>
      <c r="AH253" s="73">
        <v>9933</v>
      </c>
      <c r="AI253" s="21">
        <f t="shared" si="186"/>
        <v>0.75868317728782841</v>
      </c>
      <c r="AJ253" s="70"/>
      <c r="AK253" s="70"/>
      <c r="AL253" s="37" t="str">
        <f t="shared" si="187"/>
        <v>-</v>
      </c>
      <c r="AM253" s="89">
        <v>33</v>
      </c>
      <c r="AN253" s="89">
        <v>37</v>
      </c>
      <c r="AO253" s="36">
        <f t="shared" si="193"/>
        <v>0.89189189189189189</v>
      </c>
      <c r="AP253" s="89">
        <v>17</v>
      </c>
      <c r="AQ253" s="89">
        <v>22</v>
      </c>
      <c r="AR253" s="36">
        <f t="shared" si="188"/>
        <v>0.77272727272727271</v>
      </c>
      <c r="AS253" s="69"/>
      <c r="AT253" s="69"/>
      <c r="AU253" s="44" t="str">
        <f t="shared" si="189"/>
        <v>-</v>
      </c>
      <c r="AV253" s="73">
        <v>48</v>
      </c>
      <c r="AW253" s="73">
        <v>48</v>
      </c>
      <c r="AX253" s="21">
        <f t="shared" si="190"/>
        <v>1</v>
      </c>
      <c r="AY253" s="73">
        <v>508</v>
      </c>
      <c r="AZ253" s="73">
        <v>552</v>
      </c>
      <c r="BA253" s="21">
        <f t="shared" si="191"/>
        <v>0.92028985507246375</v>
      </c>
      <c r="BB253" s="70"/>
      <c r="BC253" s="70"/>
      <c r="BD253" s="37" t="str">
        <f t="shared" si="192"/>
        <v>-</v>
      </c>
    </row>
    <row r="254" spans="1:56" ht="14.25" customHeight="1">
      <c r="A254" s="8"/>
      <c r="B254" s="12" t="s">
        <v>77</v>
      </c>
      <c r="C254" s="133">
        <v>291</v>
      </c>
      <c r="D254" s="133">
        <v>330</v>
      </c>
      <c r="E254" s="67">
        <f t="shared" si="171"/>
        <v>0.88181818181818183</v>
      </c>
      <c r="F254" s="133">
        <v>251</v>
      </c>
      <c r="G254" s="133">
        <v>269</v>
      </c>
      <c r="H254" s="67">
        <f t="shared" si="172"/>
        <v>0.93308550185873607</v>
      </c>
      <c r="I254" s="66">
        <f t="shared" si="173"/>
        <v>542</v>
      </c>
      <c r="J254" s="66">
        <f t="shared" si="174"/>
        <v>599</v>
      </c>
      <c r="K254" s="67">
        <f t="shared" si="175"/>
        <v>0.90484140233722876</v>
      </c>
      <c r="L254" s="87">
        <v>38</v>
      </c>
      <c r="M254" s="87">
        <v>56</v>
      </c>
      <c r="N254" s="65">
        <f t="shared" si="176"/>
        <v>0.6785714285714286</v>
      </c>
      <c r="O254" s="87">
        <v>6</v>
      </c>
      <c r="P254" s="87">
        <v>8</v>
      </c>
      <c r="Q254" s="65">
        <f t="shared" si="194"/>
        <v>0.75</v>
      </c>
      <c r="R254" s="64">
        <f t="shared" si="177"/>
        <v>44</v>
      </c>
      <c r="S254" s="64">
        <f t="shared" si="178"/>
        <v>64</v>
      </c>
      <c r="T254" s="65">
        <f t="shared" si="179"/>
        <v>0.6875</v>
      </c>
      <c r="U254" s="133">
        <v>4</v>
      </c>
      <c r="V254" s="133">
        <v>5</v>
      </c>
      <c r="W254" s="67">
        <f t="shared" si="180"/>
        <v>0.8</v>
      </c>
      <c r="X254" s="133">
        <v>58</v>
      </c>
      <c r="Y254" s="133">
        <v>58</v>
      </c>
      <c r="Z254" s="67">
        <f t="shared" si="181"/>
        <v>1</v>
      </c>
      <c r="AA254" s="66">
        <f t="shared" si="182"/>
        <v>62</v>
      </c>
      <c r="AB254" s="66">
        <f t="shared" si="183"/>
        <v>63</v>
      </c>
      <c r="AC254" s="67">
        <f t="shared" si="184"/>
        <v>0.98412698412698407</v>
      </c>
      <c r="AD254" s="73">
        <v>9944</v>
      </c>
      <c r="AE254" s="73">
        <v>12015</v>
      </c>
      <c r="AF254" s="21">
        <f t="shared" si="185"/>
        <v>0.82763212650853102</v>
      </c>
      <c r="AG254" s="73">
        <v>9443</v>
      </c>
      <c r="AH254" s="73">
        <v>11214</v>
      </c>
      <c r="AI254" s="21">
        <f t="shared" si="186"/>
        <v>0.84207240948813977</v>
      </c>
      <c r="AJ254" s="70"/>
      <c r="AK254" s="70"/>
      <c r="AL254" s="37" t="str">
        <f t="shared" si="187"/>
        <v>-</v>
      </c>
      <c r="AM254" s="89">
        <v>33</v>
      </c>
      <c r="AN254" s="89">
        <v>38</v>
      </c>
      <c r="AO254" s="36">
        <f t="shared" si="193"/>
        <v>0.86842105263157898</v>
      </c>
      <c r="AP254" s="89">
        <v>9</v>
      </c>
      <c r="AQ254" s="89">
        <v>12</v>
      </c>
      <c r="AR254" s="36">
        <f t="shared" si="188"/>
        <v>0.75</v>
      </c>
      <c r="AS254" s="69"/>
      <c r="AT254" s="69"/>
      <c r="AU254" s="44" t="str">
        <f t="shared" si="189"/>
        <v>-</v>
      </c>
      <c r="AV254" s="73">
        <v>48</v>
      </c>
      <c r="AW254" s="73">
        <v>48</v>
      </c>
      <c r="AX254" s="21">
        <f t="shared" si="190"/>
        <v>1</v>
      </c>
      <c r="AY254" s="73">
        <v>720</v>
      </c>
      <c r="AZ254" s="73">
        <v>780</v>
      </c>
      <c r="BA254" s="21">
        <f t="shared" si="191"/>
        <v>0.92307692307692313</v>
      </c>
      <c r="BB254" s="70"/>
      <c r="BC254" s="70"/>
      <c r="BD254" s="37" t="str">
        <f t="shared" si="192"/>
        <v>-</v>
      </c>
    </row>
    <row r="255" spans="1:56" ht="14.25" customHeight="1">
      <c r="A255" s="8"/>
      <c r="B255" s="12" t="s">
        <v>78</v>
      </c>
      <c r="C255" s="133">
        <v>1542</v>
      </c>
      <c r="D255" s="133">
        <v>1643</v>
      </c>
      <c r="E255" s="67">
        <f t="shared" si="171"/>
        <v>0.93852708460133905</v>
      </c>
      <c r="F255" s="133">
        <v>1212</v>
      </c>
      <c r="G255" s="133">
        <v>1303</v>
      </c>
      <c r="H255" s="67">
        <f t="shared" si="172"/>
        <v>0.93016116653875669</v>
      </c>
      <c r="I255" s="66">
        <f t="shared" si="173"/>
        <v>2754</v>
      </c>
      <c r="J255" s="66">
        <f t="shared" si="174"/>
        <v>2946</v>
      </c>
      <c r="K255" s="67">
        <f t="shared" si="175"/>
        <v>0.93482688391038693</v>
      </c>
      <c r="L255" s="87">
        <v>350</v>
      </c>
      <c r="M255" s="87">
        <v>381</v>
      </c>
      <c r="N255" s="65">
        <f t="shared" si="176"/>
        <v>0.9186351706036745</v>
      </c>
      <c r="O255" s="87">
        <v>12</v>
      </c>
      <c r="P255" s="87">
        <v>17</v>
      </c>
      <c r="Q255" s="65">
        <f t="shared" si="194"/>
        <v>0.70588235294117652</v>
      </c>
      <c r="R255" s="64">
        <f t="shared" si="177"/>
        <v>362</v>
      </c>
      <c r="S255" s="64">
        <f t="shared" si="178"/>
        <v>398</v>
      </c>
      <c r="T255" s="65">
        <f t="shared" si="179"/>
        <v>0.90954773869346739</v>
      </c>
      <c r="U255" s="133">
        <v>30</v>
      </c>
      <c r="V255" s="133">
        <v>33</v>
      </c>
      <c r="W255" s="67">
        <f t="shared" si="180"/>
        <v>0.90909090909090906</v>
      </c>
      <c r="X255" s="133">
        <v>361</v>
      </c>
      <c r="Y255" s="133">
        <v>361</v>
      </c>
      <c r="Z255" s="67">
        <f t="shared" si="181"/>
        <v>1</v>
      </c>
      <c r="AA255" s="66">
        <f t="shared" si="182"/>
        <v>391</v>
      </c>
      <c r="AB255" s="66">
        <f t="shared" si="183"/>
        <v>394</v>
      </c>
      <c r="AC255" s="67">
        <f t="shared" si="184"/>
        <v>0.99238578680203049</v>
      </c>
      <c r="AD255" s="73">
        <v>42399</v>
      </c>
      <c r="AE255" s="73">
        <v>47969</v>
      </c>
      <c r="AF255" s="21">
        <f t="shared" si="185"/>
        <v>0.88388334132460544</v>
      </c>
      <c r="AG255" s="73">
        <v>41834</v>
      </c>
      <c r="AH255" s="73">
        <v>48006</v>
      </c>
      <c r="AI255" s="21">
        <f t="shared" si="186"/>
        <v>0.87143273757446982</v>
      </c>
      <c r="AJ255" s="70"/>
      <c r="AK255" s="70"/>
      <c r="AL255" s="37" t="str">
        <f t="shared" si="187"/>
        <v>-</v>
      </c>
      <c r="AM255" s="89">
        <v>294</v>
      </c>
      <c r="AN255" s="89">
        <v>350</v>
      </c>
      <c r="AO255" s="36">
        <f t="shared" si="193"/>
        <v>0.84</v>
      </c>
      <c r="AP255" s="89">
        <v>24</v>
      </c>
      <c r="AQ255" s="89">
        <v>24</v>
      </c>
      <c r="AR255" s="36">
        <f t="shared" si="188"/>
        <v>1</v>
      </c>
      <c r="AS255" s="69"/>
      <c r="AT255" s="69"/>
      <c r="AU255" s="44" t="str">
        <f t="shared" si="189"/>
        <v>-</v>
      </c>
      <c r="AV255" s="73">
        <v>342</v>
      </c>
      <c r="AW255" s="73">
        <v>360</v>
      </c>
      <c r="AX255" s="21">
        <f t="shared" si="190"/>
        <v>0.95</v>
      </c>
      <c r="AY255" s="73">
        <v>4138</v>
      </c>
      <c r="AZ255" s="73">
        <v>4440</v>
      </c>
      <c r="BA255" s="21">
        <f t="shared" si="191"/>
        <v>0.93198198198198201</v>
      </c>
      <c r="BB255" s="70"/>
      <c r="BC255" s="70"/>
      <c r="BD255" s="37" t="str">
        <f t="shared" si="192"/>
        <v>-</v>
      </c>
    </row>
    <row r="256" spans="1:56" ht="14.25" customHeight="1">
      <c r="A256" s="8"/>
      <c r="B256" s="12" t="s">
        <v>79</v>
      </c>
      <c r="C256" s="133">
        <v>169</v>
      </c>
      <c r="D256" s="133">
        <v>172</v>
      </c>
      <c r="E256" s="67">
        <f t="shared" si="171"/>
        <v>0.98255813953488369</v>
      </c>
      <c r="F256" s="133">
        <v>203</v>
      </c>
      <c r="G256" s="133">
        <v>217</v>
      </c>
      <c r="H256" s="67">
        <f t="shared" si="172"/>
        <v>0.93548387096774188</v>
      </c>
      <c r="I256" s="66">
        <f t="shared" si="173"/>
        <v>372</v>
      </c>
      <c r="J256" s="66">
        <f t="shared" si="174"/>
        <v>389</v>
      </c>
      <c r="K256" s="67">
        <f t="shared" si="175"/>
        <v>0.95629820051413883</v>
      </c>
      <c r="L256" s="87">
        <v>39</v>
      </c>
      <c r="M256" s="87">
        <v>51</v>
      </c>
      <c r="N256" s="65">
        <f t="shared" si="176"/>
        <v>0.76470588235294112</v>
      </c>
      <c r="O256" s="87">
        <v>21</v>
      </c>
      <c r="P256" s="87">
        <v>21</v>
      </c>
      <c r="Q256" s="65">
        <f t="shared" si="194"/>
        <v>1</v>
      </c>
      <c r="R256" s="64">
        <f t="shared" si="177"/>
        <v>60</v>
      </c>
      <c r="S256" s="64">
        <f t="shared" si="178"/>
        <v>72</v>
      </c>
      <c r="T256" s="65">
        <f t="shared" si="179"/>
        <v>0.83333333333333337</v>
      </c>
      <c r="U256" s="133">
        <v>7</v>
      </c>
      <c r="V256" s="133">
        <v>7</v>
      </c>
      <c r="W256" s="67">
        <f t="shared" si="180"/>
        <v>1</v>
      </c>
      <c r="X256" s="133">
        <v>47</v>
      </c>
      <c r="Y256" s="133">
        <v>49</v>
      </c>
      <c r="Z256" s="67">
        <f t="shared" si="181"/>
        <v>0.95918367346938771</v>
      </c>
      <c r="AA256" s="66">
        <f t="shared" si="182"/>
        <v>54</v>
      </c>
      <c r="AB256" s="66">
        <f t="shared" si="183"/>
        <v>56</v>
      </c>
      <c r="AC256" s="67">
        <f t="shared" si="184"/>
        <v>0.9642857142857143</v>
      </c>
      <c r="AD256" s="73">
        <v>5843</v>
      </c>
      <c r="AE256" s="73">
        <v>7050</v>
      </c>
      <c r="AF256" s="21">
        <f t="shared" si="185"/>
        <v>0.8287943262411348</v>
      </c>
      <c r="AG256" s="73">
        <v>5717</v>
      </c>
      <c r="AH256" s="73">
        <v>7032</v>
      </c>
      <c r="AI256" s="21">
        <f t="shared" si="186"/>
        <v>0.81299772468714449</v>
      </c>
      <c r="AJ256" s="70"/>
      <c r="AK256" s="70"/>
      <c r="AL256" s="37" t="str">
        <f t="shared" si="187"/>
        <v>-</v>
      </c>
      <c r="AM256" s="89">
        <v>34</v>
      </c>
      <c r="AN256" s="89">
        <v>39</v>
      </c>
      <c r="AO256" s="36">
        <f t="shared" si="193"/>
        <v>0.87179487179487181</v>
      </c>
      <c r="AP256" s="89">
        <v>30</v>
      </c>
      <c r="AQ256" s="89">
        <v>42</v>
      </c>
      <c r="AR256" s="36">
        <f t="shared" si="188"/>
        <v>0.7142857142857143</v>
      </c>
      <c r="AS256" s="69"/>
      <c r="AT256" s="69"/>
      <c r="AU256" s="44" t="str">
        <f t="shared" si="189"/>
        <v>-</v>
      </c>
      <c r="AV256" s="73">
        <v>78</v>
      </c>
      <c r="AW256" s="73">
        <v>84</v>
      </c>
      <c r="AX256" s="21">
        <f t="shared" si="190"/>
        <v>0.9285714285714286</v>
      </c>
      <c r="AY256" s="73">
        <v>517</v>
      </c>
      <c r="AZ256" s="73">
        <v>564</v>
      </c>
      <c r="BA256" s="21">
        <f t="shared" si="191"/>
        <v>0.91666666666666663</v>
      </c>
      <c r="BB256" s="70"/>
      <c r="BC256" s="70"/>
      <c r="BD256" s="37" t="str">
        <f t="shared" si="192"/>
        <v>-</v>
      </c>
    </row>
    <row r="257" spans="1:56" ht="14.25" customHeight="1">
      <c r="A257" s="8"/>
      <c r="B257" s="12" t="s">
        <v>80</v>
      </c>
      <c r="C257" s="133">
        <v>170</v>
      </c>
      <c r="D257" s="133">
        <v>178</v>
      </c>
      <c r="E257" s="67">
        <f t="shared" si="171"/>
        <v>0.9550561797752809</v>
      </c>
      <c r="F257" s="133">
        <v>164</v>
      </c>
      <c r="G257" s="133">
        <v>172</v>
      </c>
      <c r="H257" s="67">
        <f t="shared" si="172"/>
        <v>0.95348837209302328</v>
      </c>
      <c r="I257" s="66">
        <f t="shared" si="173"/>
        <v>334</v>
      </c>
      <c r="J257" s="66">
        <f t="shared" si="174"/>
        <v>350</v>
      </c>
      <c r="K257" s="67">
        <f t="shared" si="175"/>
        <v>0.95428571428571429</v>
      </c>
      <c r="L257" s="87">
        <v>33</v>
      </c>
      <c r="M257" s="87">
        <v>45</v>
      </c>
      <c r="N257" s="65">
        <f t="shared" si="176"/>
        <v>0.73333333333333328</v>
      </c>
      <c r="O257" s="87">
        <v>1</v>
      </c>
      <c r="P257" s="87">
        <v>3</v>
      </c>
      <c r="Q257" s="65">
        <f t="shared" si="194"/>
        <v>0.33333333333333331</v>
      </c>
      <c r="R257" s="64">
        <f t="shared" si="177"/>
        <v>34</v>
      </c>
      <c r="S257" s="64">
        <f t="shared" si="178"/>
        <v>48</v>
      </c>
      <c r="T257" s="65">
        <f t="shared" si="179"/>
        <v>0.70833333333333337</v>
      </c>
      <c r="U257" s="133">
        <v>5</v>
      </c>
      <c r="V257" s="133">
        <v>5</v>
      </c>
      <c r="W257" s="67">
        <f t="shared" si="180"/>
        <v>1</v>
      </c>
      <c r="X257" s="133">
        <v>45</v>
      </c>
      <c r="Y257" s="133">
        <v>46</v>
      </c>
      <c r="Z257" s="67">
        <f t="shared" si="181"/>
        <v>0.97826086956521741</v>
      </c>
      <c r="AA257" s="66">
        <f t="shared" si="182"/>
        <v>50</v>
      </c>
      <c r="AB257" s="66">
        <f t="shared" si="183"/>
        <v>51</v>
      </c>
      <c r="AC257" s="67">
        <f t="shared" si="184"/>
        <v>0.98039215686274506</v>
      </c>
      <c r="AD257" s="73">
        <v>6705</v>
      </c>
      <c r="AE257" s="73">
        <v>7689</v>
      </c>
      <c r="AF257" s="21">
        <f t="shared" si="185"/>
        <v>0.87202497073741714</v>
      </c>
      <c r="AG257" s="73">
        <v>6440</v>
      </c>
      <c r="AH257" s="73">
        <v>8256</v>
      </c>
      <c r="AI257" s="21">
        <f t="shared" si="186"/>
        <v>0.78003875968992253</v>
      </c>
      <c r="AJ257" s="70"/>
      <c r="AK257" s="70"/>
      <c r="AL257" s="37" t="str">
        <f t="shared" si="187"/>
        <v>-</v>
      </c>
      <c r="AM257" s="89">
        <v>27</v>
      </c>
      <c r="AN257" s="89">
        <v>33</v>
      </c>
      <c r="AO257" s="36">
        <f t="shared" si="193"/>
        <v>0.81818181818181823</v>
      </c>
      <c r="AP257" s="89">
        <v>3</v>
      </c>
      <c r="AQ257" s="89">
        <v>3</v>
      </c>
      <c r="AR257" s="36">
        <f t="shared" si="188"/>
        <v>1</v>
      </c>
      <c r="AS257" s="69"/>
      <c r="AT257" s="69"/>
      <c r="AU257" s="44" t="str">
        <f t="shared" si="189"/>
        <v>-</v>
      </c>
      <c r="AV257" s="73">
        <v>58</v>
      </c>
      <c r="AW257" s="73">
        <v>60</v>
      </c>
      <c r="AX257" s="21">
        <f t="shared" si="190"/>
        <v>0.96666666666666667</v>
      </c>
      <c r="AY257" s="73">
        <v>518</v>
      </c>
      <c r="AZ257" s="73">
        <v>540</v>
      </c>
      <c r="BA257" s="21">
        <f t="shared" si="191"/>
        <v>0.95925925925925926</v>
      </c>
      <c r="BB257" s="70"/>
      <c r="BC257" s="70"/>
      <c r="BD257" s="37" t="str">
        <f t="shared" si="192"/>
        <v>-</v>
      </c>
    </row>
    <row r="258" spans="1:56" ht="14.25" customHeight="1">
      <c r="A258" s="8"/>
      <c r="B258" s="12" t="s">
        <v>81</v>
      </c>
      <c r="C258" s="133">
        <v>172</v>
      </c>
      <c r="D258" s="133">
        <v>178</v>
      </c>
      <c r="E258" s="67">
        <f t="shared" si="171"/>
        <v>0.9662921348314607</v>
      </c>
      <c r="F258" s="133">
        <v>174</v>
      </c>
      <c r="G258" s="133">
        <v>185</v>
      </c>
      <c r="H258" s="67">
        <f t="shared" si="172"/>
        <v>0.94054054054054059</v>
      </c>
      <c r="I258" s="66">
        <f t="shared" si="173"/>
        <v>346</v>
      </c>
      <c r="J258" s="66">
        <f t="shared" si="174"/>
        <v>363</v>
      </c>
      <c r="K258" s="67">
        <f t="shared" si="175"/>
        <v>0.95316804407713496</v>
      </c>
      <c r="L258" s="87">
        <v>28</v>
      </c>
      <c r="M258" s="87">
        <v>29</v>
      </c>
      <c r="N258" s="65">
        <f t="shared" si="176"/>
        <v>0.96551724137931039</v>
      </c>
      <c r="O258" s="87">
        <v>1</v>
      </c>
      <c r="P258" s="87">
        <v>1</v>
      </c>
      <c r="Q258" s="65">
        <f t="shared" si="194"/>
        <v>1</v>
      </c>
      <c r="R258" s="64">
        <f t="shared" si="177"/>
        <v>29</v>
      </c>
      <c r="S258" s="64">
        <f t="shared" si="178"/>
        <v>30</v>
      </c>
      <c r="T258" s="65">
        <f t="shared" si="179"/>
        <v>0.96666666666666667</v>
      </c>
      <c r="U258" s="133">
        <v>4</v>
      </c>
      <c r="V258" s="133">
        <v>4</v>
      </c>
      <c r="W258" s="67">
        <f t="shared" si="180"/>
        <v>1</v>
      </c>
      <c r="X258" s="133">
        <v>28</v>
      </c>
      <c r="Y258" s="133">
        <v>28</v>
      </c>
      <c r="Z258" s="67">
        <f t="shared" si="181"/>
        <v>1</v>
      </c>
      <c r="AA258" s="66">
        <f t="shared" si="182"/>
        <v>32</v>
      </c>
      <c r="AB258" s="66">
        <f t="shared" si="183"/>
        <v>32</v>
      </c>
      <c r="AC258" s="67">
        <f t="shared" si="184"/>
        <v>1</v>
      </c>
      <c r="AD258" s="73">
        <v>5723</v>
      </c>
      <c r="AE258" s="73">
        <v>6630</v>
      </c>
      <c r="AF258" s="21">
        <f t="shared" si="185"/>
        <v>0.86319758672699853</v>
      </c>
      <c r="AG258" s="73">
        <v>5452</v>
      </c>
      <c r="AH258" s="73">
        <v>6276</v>
      </c>
      <c r="AI258" s="21">
        <f t="shared" si="186"/>
        <v>0.86870618228170804</v>
      </c>
      <c r="AJ258" s="70"/>
      <c r="AK258" s="70"/>
      <c r="AL258" s="37" t="str">
        <f t="shared" si="187"/>
        <v>-</v>
      </c>
      <c r="AM258" s="89">
        <v>25</v>
      </c>
      <c r="AN258" s="89">
        <v>28</v>
      </c>
      <c r="AO258" s="36">
        <f t="shared" si="193"/>
        <v>0.8928571428571429</v>
      </c>
      <c r="AP258" s="89">
        <v>2</v>
      </c>
      <c r="AQ258" s="89">
        <v>2</v>
      </c>
      <c r="AR258" s="36">
        <f t="shared" si="188"/>
        <v>1</v>
      </c>
      <c r="AS258" s="69"/>
      <c r="AT258" s="69"/>
      <c r="AU258" s="44" t="str">
        <f t="shared" si="189"/>
        <v>-</v>
      </c>
      <c r="AV258" s="73">
        <v>48</v>
      </c>
      <c r="AW258" s="73">
        <v>48</v>
      </c>
      <c r="AX258" s="21">
        <f t="shared" si="190"/>
        <v>1</v>
      </c>
      <c r="AY258" s="73">
        <v>332</v>
      </c>
      <c r="AZ258" s="73">
        <v>336</v>
      </c>
      <c r="BA258" s="21">
        <f t="shared" si="191"/>
        <v>0.98809523809523814</v>
      </c>
      <c r="BB258" s="70"/>
      <c r="BC258" s="70"/>
      <c r="BD258" s="37" t="str">
        <f t="shared" si="192"/>
        <v>-</v>
      </c>
    </row>
    <row r="259" spans="1:56" ht="14.25" customHeight="1">
      <c r="A259" s="8"/>
      <c r="B259" s="12" t="s">
        <v>82</v>
      </c>
      <c r="C259" s="96" t="s">
        <v>19</v>
      </c>
      <c r="D259" s="96" t="s">
        <v>19</v>
      </c>
      <c r="E259" s="83" t="str">
        <f t="shared" si="171"/>
        <v>-</v>
      </c>
      <c r="F259" s="96" t="s">
        <v>19</v>
      </c>
      <c r="G259" s="96" t="s">
        <v>19</v>
      </c>
      <c r="H259" s="83" t="str">
        <f t="shared" si="172"/>
        <v>-</v>
      </c>
      <c r="I259" s="66">
        <f t="shared" si="173"/>
        <v>0</v>
      </c>
      <c r="J259" s="66">
        <f t="shared" si="174"/>
        <v>0</v>
      </c>
      <c r="K259" s="83" t="str">
        <f t="shared" si="175"/>
        <v>-</v>
      </c>
      <c r="L259" s="94" t="s">
        <v>19</v>
      </c>
      <c r="M259" s="94" t="s">
        <v>19</v>
      </c>
      <c r="N259" s="80" t="str">
        <f t="shared" si="176"/>
        <v>-</v>
      </c>
      <c r="O259" s="94" t="s">
        <v>19</v>
      </c>
      <c r="P259" s="94" t="s">
        <v>19</v>
      </c>
      <c r="Q259" s="80" t="str">
        <f t="shared" si="194"/>
        <v>-</v>
      </c>
      <c r="R259" s="64">
        <f t="shared" si="177"/>
        <v>0</v>
      </c>
      <c r="S259" s="64">
        <f t="shared" si="178"/>
        <v>0</v>
      </c>
      <c r="T259" s="80" t="str">
        <f t="shared" si="179"/>
        <v>-</v>
      </c>
      <c r="U259" s="133">
        <v>0</v>
      </c>
      <c r="V259" s="133">
        <v>1</v>
      </c>
      <c r="W259" s="67">
        <f t="shared" si="180"/>
        <v>0</v>
      </c>
      <c r="X259" s="96" t="s">
        <v>19</v>
      </c>
      <c r="Y259" s="96" t="s">
        <v>19</v>
      </c>
      <c r="Z259" s="83" t="str">
        <f t="shared" si="181"/>
        <v>-</v>
      </c>
      <c r="AA259" s="66">
        <f t="shared" si="182"/>
        <v>0</v>
      </c>
      <c r="AB259" s="66">
        <f t="shared" si="183"/>
        <v>1</v>
      </c>
      <c r="AC259" s="67">
        <f t="shared" si="184"/>
        <v>0</v>
      </c>
      <c r="AD259" s="81" t="s">
        <v>19</v>
      </c>
      <c r="AE259" s="81" t="s">
        <v>19</v>
      </c>
      <c r="AF259" s="37" t="str">
        <f t="shared" si="185"/>
        <v>-</v>
      </c>
      <c r="AG259" s="81" t="s">
        <v>19</v>
      </c>
      <c r="AH259" s="81" t="s">
        <v>19</v>
      </c>
      <c r="AI259" s="37" t="str">
        <f t="shared" si="186"/>
        <v>-</v>
      </c>
      <c r="AJ259" s="70"/>
      <c r="AK259" s="70"/>
      <c r="AL259" s="37" t="str">
        <f t="shared" si="187"/>
        <v>-</v>
      </c>
      <c r="AM259" s="104" t="s">
        <v>19</v>
      </c>
      <c r="AN259" s="104" t="s">
        <v>19</v>
      </c>
      <c r="AO259" s="44" t="str">
        <f t="shared" si="193"/>
        <v>-</v>
      </c>
      <c r="AP259" s="104" t="s">
        <v>19</v>
      </c>
      <c r="AQ259" s="104" t="s">
        <v>19</v>
      </c>
      <c r="AR259" s="44" t="str">
        <f t="shared" si="188"/>
        <v>-</v>
      </c>
      <c r="AS259" s="69"/>
      <c r="AT259" s="69"/>
      <c r="AU259" s="44" t="str">
        <f t="shared" si="189"/>
        <v>-</v>
      </c>
      <c r="AV259" s="81" t="s">
        <v>19</v>
      </c>
      <c r="AW259" s="81" t="s">
        <v>19</v>
      </c>
      <c r="AX259" s="37" t="str">
        <f t="shared" si="190"/>
        <v>-</v>
      </c>
      <c r="AY259" s="81" t="s">
        <v>19</v>
      </c>
      <c r="AZ259" s="81" t="s">
        <v>19</v>
      </c>
      <c r="BA259" s="37" t="str">
        <f t="shared" si="191"/>
        <v>-</v>
      </c>
      <c r="BB259" s="70"/>
      <c r="BC259" s="70"/>
      <c r="BD259" s="37" t="str">
        <f t="shared" si="192"/>
        <v>-</v>
      </c>
    </row>
    <row r="260" spans="1:56" ht="14.25" customHeight="1">
      <c r="A260" s="8"/>
      <c r="B260" s="12" t="s">
        <v>83</v>
      </c>
      <c r="C260" s="133">
        <v>49</v>
      </c>
      <c r="D260" s="133">
        <v>79</v>
      </c>
      <c r="E260" s="67">
        <f t="shared" si="171"/>
        <v>0.620253164556962</v>
      </c>
      <c r="F260" s="133">
        <v>62</v>
      </c>
      <c r="G260" s="133">
        <v>70</v>
      </c>
      <c r="H260" s="67">
        <f t="shared" si="172"/>
        <v>0.88571428571428568</v>
      </c>
      <c r="I260" s="66">
        <f t="shared" si="173"/>
        <v>111</v>
      </c>
      <c r="J260" s="66">
        <f t="shared" si="174"/>
        <v>149</v>
      </c>
      <c r="K260" s="67">
        <f t="shared" si="175"/>
        <v>0.74496644295302017</v>
      </c>
      <c r="L260" s="94" t="s">
        <v>19</v>
      </c>
      <c r="M260" s="94" t="s">
        <v>19</v>
      </c>
      <c r="N260" s="80" t="str">
        <f t="shared" si="176"/>
        <v>-</v>
      </c>
      <c r="O260" s="94" t="s">
        <v>19</v>
      </c>
      <c r="P260" s="94" t="s">
        <v>19</v>
      </c>
      <c r="Q260" s="80" t="str">
        <f t="shared" si="194"/>
        <v>-</v>
      </c>
      <c r="R260" s="64">
        <f t="shared" si="177"/>
        <v>0</v>
      </c>
      <c r="S260" s="64">
        <f t="shared" si="178"/>
        <v>0</v>
      </c>
      <c r="T260" s="80" t="str">
        <f t="shared" si="179"/>
        <v>-</v>
      </c>
      <c r="U260" s="96" t="s">
        <v>19</v>
      </c>
      <c r="V260" s="96" t="s">
        <v>19</v>
      </c>
      <c r="W260" s="83" t="str">
        <f t="shared" si="180"/>
        <v>-</v>
      </c>
      <c r="X260" s="96" t="s">
        <v>19</v>
      </c>
      <c r="Y260" s="96" t="s">
        <v>19</v>
      </c>
      <c r="Z260" s="83" t="str">
        <f t="shared" si="181"/>
        <v>-</v>
      </c>
      <c r="AA260" s="66">
        <f t="shared" si="182"/>
        <v>0</v>
      </c>
      <c r="AB260" s="66">
        <f t="shared" si="183"/>
        <v>0</v>
      </c>
      <c r="AC260" s="83" t="str">
        <f t="shared" si="184"/>
        <v>-</v>
      </c>
      <c r="AD260" s="73">
        <v>1663</v>
      </c>
      <c r="AE260" s="73">
        <v>1834</v>
      </c>
      <c r="AF260" s="21">
        <f t="shared" si="185"/>
        <v>0.90676117775354415</v>
      </c>
      <c r="AG260" s="73">
        <v>2274</v>
      </c>
      <c r="AH260" s="73">
        <v>2450</v>
      </c>
      <c r="AI260" s="21">
        <f t="shared" si="186"/>
        <v>0.92816326530612248</v>
      </c>
      <c r="AJ260" s="70"/>
      <c r="AK260" s="70"/>
      <c r="AL260" s="37" t="str">
        <f t="shared" si="187"/>
        <v>-</v>
      </c>
      <c r="AM260" s="104" t="s">
        <v>19</v>
      </c>
      <c r="AN260" s="104" t="s">
        <v>19</v>
      </c>
      <c r="AO260" s="44" t="str">
        <f t="shared" si="193"/>
        <v>-</v>
      </c>
      <c r="AP260" s="104" t="s">
        <v>19</v>
      </c>
      <c r="AQ260" s="104" t="s">
        <v>19</v>
      </c>
      <c r="AR260" s="44" t="str">
        <f t="shared" si="188"/>
        <v>-</v>
      </c>
      <c r="AS260" s="69"/>
      <c r="AT260" s="69"/>
      <c r="AU260" s="44" t="str">
        <f t="shared" si="189"/>
        <v>-</v>
      </c>
      <c r="AV260" s="81" t="s">
        <v>19</v>
      </c>
      <c r="AW260" s="81" t="s">
        <v>19</v>
      </c>
      <c r="AX260" s="37" t="str">
        <f t="shared" si="190"/>
        <v>-</v>
      </c>
      <c r="AY260" s="81" t="s">
        <v>19</v>
      </c>
      <c r="AZ260" s="81" t="s">
        <v>19</v>
      </c>
      <c r="BA260" s="37" t="str">
        <f t="shared" si="191"/>
        <v>-</v>
      </c>
      <c r="BB260" s="70"/>
      <c r="BC260" s="70"/>
      <c r="BD260" s="37" t="str">
        <f t="shared" si="192"/>
        <v>-</v>
      </c>
    </row>
    <row r="261" spans="1:56" ht="14.25" customHeight="1">
      <c r="A261" s="8"/>
      <c r="B261" s="12" t="s">
        <v>84</v>
      </c>
      <c r="C261" s="133">
        <v>301</v>
      </c>
      <c r="D261" s="133">
        <v>303</v>
      </c>
      <c r="E261" s="67">
        <f t="shared" si="171"/>
        <v>0.99339933993399343</v>
      </c>
      <c r="F261" s="133">
        <v>290</v>
      </c>
      <c r="G261" s="133">
        <v>291</v>
      </c>
      <c r="H261" s="67">
        <f t="shared" si="172"/>
        <v>0.99656357388316152</v>
      </c>
      <c r="I261" s="66">
        <f t="shared" si="173"/>
        <v>591</v>
      </c>
      <c r="J261" s="66">
        <f t="shared" si="174"/>
        <v>594</v>
      </c>
      <c r="K261" s="67">
        <f t="shared" si="175"/>
        <v>0.99494949494949492</v>
      </c>
      <c r="L261" s="94" t="s">
        <v>19</v>
      </c>
      <c r="M261" s="94" t="s">
        <v>19</v>
      </c>
      <c r="N261" s="80" t="str">
        <f t="shared" si="176"/>
        <v>-</v>
      </c>
      <c r="O261" s="87">
        <v>1</v>
      </c>
      <c r="P261" s="87">
        <v>1</v>
      </c>
      <c r="Q261" s="65">
        <f t="shared" si="194"/>
        <v>1</v>
      </c>
      <c r="R261" s="64">
        <f t="shared" si="177"/>
        <v>1</v>
      </c>
      <c r="S261" s="64">
        <f t="shared" si="178"/>
        <v>1</v>
      </c>
      <c r="T261" s="65">
        <f t="shared" si="179"/>
        <v>1</v>
      </c>
      <c r="U261" s="133">
        <v>40</v>
      </c>
      <c r="V261" s="133">
        <v>40</v>
      </c>
      <c r="W261" s="67">
        <f t="shared" si="180"/>
        <v>1</v>
      </c>
      <c r="X261" s="133">
        <v>4</v>
      </c>
      <c r="Y261" s="133">
        <v>4</v>
      </c>
      <c r="Z261" s="67">
        <f t="shared" si="181"/>
        <v>1</v>
      </c>
      <c r="AA261" s="66">
        <f t="shared" si="182"/>
        <v>44</v>
      </c>
      <c r="AB261" s="66">
        <f t="shared" si="183"/>
        <v>44</v>
      </c>
      <c r="AC261" s="67">
        <f t="shared" si="184"/>
        <v>1</v>
      </c>
      <c r="AD261" s="73">
        <v>29665</v>
      </c>
      <c r="AE261" s="73">
        <v>31737</v>
      </c>
      <c r="AF261" s="21">
        <f t="shared" si="185"/>
        <v>0.93471342596968843</v>
      </c>
      <c r="AG261" s="73">
        <v>29624</v>
      </c>
      <c r="AH261" s="73">
        <v>32637</v>
      </c>
      <c r="AI261" s="21">
        <f t="shared" si="186"/>
        <v>0.90768146582100073</v>
      </c>
      <c r="AJ261" s="70"/>
      <c r="AK261" s="70"/>
      <c r="AL261" s="37" t="str">
        <f t="shared" si="187"/>
        <v>-</v>
      </c>
      <c r="AM261" s="104" t="s">
        <v>19</v>
      </c>
      <c r="AN261" s="104" t="s">
        <v>19</v>
      </c>
      <c r="AO261" s="44" t="str">
        <f t="shared" si="193"/>
        <v>-</v>
      </c>
      <c r="AP261" s="89">
        <v>1</v>
      </c>
      <c r="AQ261" s="89">
        <v>2</v>
      </c>
      <c r="AR261" s="36">
        <f t="shared" si="188"/>
        <v>0.5</v>
      </c>
      <c r="AS261" s="69"/>
      <c r="AT261" s="69"/>
      <c r="AU261" s="44" t="str">
        <f t="shared" si="189"/>
        <v>-</v>
      </c>
      <c r="AV261" s="73">
        <v>958</v>
      </c>
      <c r="AW261" s="73">
        <v>960</v>
      </c>
      <c r="AX261" s="21">
        <f t="shared" si="190"/>
        <v>0.99791666666666667</v>
      </c>
      <c r="AY261" s="73">
        <v>95</v>
      </c>
      <c r="AZ261" s="73">
        <v>96</v>
      </c>
      <c r="BA261" s="21">
        <f t="shared" si="191"/>
        <v>0.98958333333333337</v>
      </c>
      <c r="BB261" s="70"/>
      <c r="BC261" s="70"/>
      <c r="BD261" s="37" t="str">
        <f t="shared" si="192"/>
        <v>-</v>
      </c>
    </row>
    <row r="262" spans="1:56" ht="14.25" customHeight="1">
      <c r="A262" s="8"/>
      <c r="B262" s="12" t="s">
        <v>85</v>
      </c>
      <c r="C262" s="133">
        <v>236</v>
      </c>
      <c r="D262" s="133">
        <v>266</v>
      </c>
      <c r="E262" s="67">
        <f t="shared" si="171"/>
        <v>0.88721804511278191</v>
      </c>
      <c r="F262" s="133">
        <v>276</v>
      </c>
      <c r="G262" s="133">
        <v>315</v>
      </c>
      <c r="H262" s="67">
        <f t="shared" si="172"/>
        <v>0.87619047619047619</v>
      </c>
      <c r="I262" s="66">
        <f t="shared" si="173"/>
        <v>512</v>
      </c>
      <c r="J262" s="66">
        <f t="shared" si="174"/>
        <v>581</v>
      </c>
      <c r="K262" s="67">
        <f t="shared" si="175"/>
        <v>0.88123924268502585</v>
      </c>
      <c r="L262" s="94" t="s">
        <v>19</v>
      </c>
      <c r="M262" s="94" t="s">
        <v>19</v>
      </c>
      <c r="N262" s="80" t="str">
        <f t="shared" si="176"/>
        <v>-</v>
      </c>
      <c r="O262" s="94" t="s">
        <v>19</v>
      </c>
      <c r="P262" s="94" t="s">
        <v>19</v>
      </c>
      <c r="Q262" s="80" t="str">
        <f t="shared" si="194"/>
        <v>-</v>
      </c>
      <c r="R262" s="64">
        <f t="shared" si="177"/>
        <v>0</v>
      </c>
      <c r="S262" s="64">
        <f t="shared" si="178"/>
        <v>0</v>
      </c>
      <c r="T262" s="80" t="str">
        <f t="shared" si="179"/>
        <v>-</v>
      </c>
      <c r="U262" s="133">
        <v>49</v>
      </c>
      <c r="V262" s="133">
        <v>57</v>
      </c>
      <c r="W262" s="67">
        <f t="shared" si="180"/>
        <v>0.85964912280701755</v>
      </c>
      <c r="X262" s="133">
        <v>73</v>
      </c>
      <c r="Y262" s="133">
        <v>77</v>
      </c>
      <c r="Z262" s="67">
        <f t="shared" si="181"/>
        <v>0.94805194805194803</v>
      </c>
      <c r="AA262" s="66">
        <f t="shared" si="182"/>
        <v>122</v>
      </c>
      <c r="AB262" s="66">
        <f t="shared" si="183"/>
        <v>134</v>
      </c>
      <c r="AC262" s="67">
        <f t="shared" si="184"/>
        <v>0.91044776119402981</v>
      </c>
      <c r="AD262" s="73">
        <v>8981</v>
      </c>
      <c r="AE262" s="73">
        <v>9894</v>
      </c>
      <c r="AF262" s="21">
        <f t="shared" si="185"/>
        <v>0.90772185162724883</v>
      </c>
      <c r="AG262" s="73">
        <v>11150</v>
      </c>
      <c r="AH262" s="73">
        <v>12489</v>
      </c>
      <c r="AI262" s="21">
        <f t="shared" si="186"/>
        <v>0.89278565137320842</v>
      </c>
      <c r="AJ262" s="70"/>
      <c r="AK262" s="70"/>
      <c r="AL262" s="37" t="str">
        <f t="shared" si="187"/>
        <v>-</v>
      </c>
      <c r="AM262" s="104" t="s">
        <v>19</v>
      </c>
      <c r="AN262" s="104" t="s">
        <v>19</v>
      </c>
      <c r="AO262" s="44" t="str">
        <f t="shared" si="193"/>
        <v>-</v>
      </c>
      <c r="AP262" s="104" t="s">
        <v>19</v>
      </c>
      <c r="AQ262" s="104" t="s">
        <v>19</v>
      </c>
      <c r="AR262" s="44" t="str">
        <f t="shared" si="188"/>
        <v>-</v>
      </c>
      <c r="AS262" s="69"/>
      <c r="AT262" s="69"/>
      <c r="AU262" s="44" t="str">
        <f t="shared" si="189"/>
        <v>-</v>
      </c>
      <c r="AV262" s="73">
        <v>594</v>
      </c>
      <c r="AW262" s="73">
        <v>612</v>
      </c>
      <c r="AX262" s="21">
        <f t="shared" si="190"/>
        <v>0.97058823529411764</v>
      </c>
      <c r="AY262" s="73">
        <v>841</v>
      </c>
      <c r="AZ262" s="73">
        <v>876</v>
      </c>
      <c r="BA262" s="21">
        <f t="shared" si="191"/>
        <v>0.96004566210045661</v>
      </c>
      <c r="BB262" s="70"/>
      <c r="BC262" s="70"/>
      <c r="BD262" s="37" t="str">
        <f t="shared" si="192"/>
        <v>-</v>
      </c>
    </row>
    <row r="263" spans="1:56" ht="14.25" customHeight="1">
      <c r="A263" s="8"/>
      <c r="B263" s="12" t="s">
        <v>86</v>
      </c>
      <c r="C263" s="96" t="s">
        <v>19</v>
      </c>
      <c r="D263" s="96" t="s">
        <v>19</v>
      </c>
      <c r="E263" s="83" t="str">
        <f t="shared" si="171"/>
        <v>-</v>
      </c>
      <c r="F263" s="96" t="s">
        <v>19</v>
      </c>
      <c r="G263" s="96" t="s">
        <v>19</v>
      </c>
      <c r="H263" s="83" t="str">
        <f t="shared" si="172"/>
        <v>-</v>
      </c>
      <c r="I263" s="66">
        <f t="shared" si="173"/>
        <v>0</v>
      </c>
      <c r="J263" s="66">
        <f t="shared" si="174"/>
        <v>0</v>
      </c>
      <c r="K263" s="83" t="str">
        <f t="shared" si="175"/>
        <v>-</v>
      </c>
      <c r="L263" s="94" t="s">
        <v>19</v>
      </c>
      <c r="M263" s="94" t="s">
        <v>19</v>
      </c>
      <c r="N263" s="80" t="str">
        <f t="shared" si="176"/>
        <v>-</v>
      </c>
      <c r="O263" s="94" t="s">
        <v>19</v>
      </c>
      <c r="P263" s="94" t="s">
        <v>19</v>
      </c>
      <c r="Q263" s="80" t="str">
        <f t="shared" si="194"/>
        <v>-</v>
      </c>
      <c r="R263" s="64">
        <f t="shared" si="177"/>
        <v>0</v>
      </c>
      <c r="S263" s="64">
        <f t="shared" si="178"/>
        <v>0</v>
      </c>
      <c r="T263" s="80" t="str">
        <f t="shared" si="179"/>
        <v>-</v>
      </c>
      <c r="U263" s="96" t="s">
        <v>19</v>
      </c>
      <c r="V263" s="96" t="s">
        <v>19</v>
      </c>
      <c r="W263" s="83" t="str">
        <f t="shared" si="180"/>
        <v>-</v>
      </c>
      <c r="X263" s="96" t="s">
        <v>19</v>
      </c>
      <c r="Y263" s="96" t="s">
        <v>19</v>
      </c>
      <c r="Z263" s="83" t="str">
        <f t="shared" si="181"/>
        <v>-</v>
      </c>
      <c r="AA263" s="66">
        <f t="shared" si="182"/>
        <v>0</v>
      </c>
      <c r="AB263" s="66">
        <f t="shared" si="183"/>
        <v>0</v>
      </c>
      <c r="AC263" s="83" t="str">
        <f t="shared" si="184"/>
        <v>-</v>
      </c>
      <c r="AD263" s="81" t="s">
        <v>19</v>
      </c>
      <c r="AE263" s="81" t="s">
        <v>19</v>
      </c>
      <c r="AF263" s="37" t="str">
        <f t="shared" si="185"/>
        <v>-</v>
      </c>
      <c r="AG263" s="138" t="s">
        <v>19</v>
      </c>
      <c r="AH263" s="138" t="s">
        <v>19</v>
      </c>
      <c r="AI263" s="37" t="str">
        <f t="shared" si="186"/>
        <v>-</v>
      </c>
      <c r="AJ263" s="70"/>
      <c r="AK263" s="70"/>
      <c r="AL263" s="37" t="str">
        <f t="shared" si="187"/>
        <v>-</v>
      </c>
      <c r="AM263" s="104" t="s">
        <v>19</v>
      </c>
      <c r="AN263" s="104" t="s">
        <v>19</v>
      </c>
      <c r="AO263" s="44" t="str">
        <f t="shared" si="193"/>
        <v>-</v>
      </c>
      <c r="AP263" s="104" t="s">
        <v>19</v>
      </c>
      <c r="AQ263" s="104" t="s">
        <v>19</v>
      </c>
      <c r="AR263" s="44" t="str">
        <f t="shared" si="188"/>
        <v>-</v>
      </c>
      <c r="AS263" s="69"/>
      <c r="AT263" s="69"/>
      <c r="AU263" s="44" t="str">
        <f t="shared" si="189"/>
        <v>-</v>
      </c>
      <c r="AV263" s="81" t="s">
        <v>19</v>
      </c>
      <c r="AW263" s="81" t="s">
        <v>19</v>
      </c>
      <c r="AX263" s="37" t="str">
        <f t="shared" si="190"/>
        <v>-</v>
      </c>
      <c r="AY263" s="81" t="s">
        <v>19</v>
      </c>
      <c r="AZ263" s="81" t="s">
        <v>19</v>
      </c>
      <c r="BA263" s="37" t="str">
        <f t="shared" si="191"/>
        <v>-</v>
      </c>
      <c r="BB263" s="70"/>
      <c r="BC263" s="70"/>
      <c r="BD263" s="37" t="str">
        <f t="shared" si="192"/>
        <v>-</v>
      </c>
    </row>
    <row r="264" spans="1:56" ht="14.25" customHeight="1">
      <c r="A264" s="8"/>
      <c r="B264" s="12" t="s">
        <v>87</v>
      </c>
      <c r="C264" s="133">
        <v>176</v>
      </c>
      <c r="D264" s="133">
        <v>193</v>
      </c>
      <c r="E264" s="67">
        <f t="shared" si="171"/>
        <v>0.91191709844559588</v>
      </c>
      <c r="F264" s="133">
        <v>156</v>
      </c>
      <c r="G264" s="133">
        <v>181</v>
      </c>
      <c r="H264" s="67">
        <f t="shared" si="172"/>
        <v>0.86187845303867405</v>
      </c>
      <c r="I264" s="66">
        <f t="shared" si="173"/>
        <v>332</v>
      </c>
      <c r="J264" s="66">
        <f t="shared" si="174"/>
        <v>374</v>
      </c>
      <c r="K264" s="67">
        <f t="shared" si="175"/>
        <v>0.88770053475935828</v>
      </c>
      <c r="L264" s="87">
        <v>46</v>
      </c>
      <c r="M264" s="87">
        <v>50</v>
      </c>
      <c r="N264" s="65">
        <f t="shared" si="176"/>
        <v>0.92</v>
      </c>
      <c r="O264" s="94" t="s">
        <v>19</v>
      </c>
      <c r="P264" s="94" t="s">
        <v>19</v>
      </c>
      <c r="Q264" s="80" t="str">
        <f t="shared" si="194"/>
        <v>-</v>
      </c>
      <c r="R264" s="64">
        <f t="shared" si="177"/>
        <v>46</v>
      </c>
      <c r="S264" s="64">
        <f t="shared" si="178"/>
        <v>50</v>
      </c>
      <c r="T264" s="65">
        <f t="shared" si="179"/>
        <v>0.92</v>
      </c>
      <c r="U264" s="133">
        <v>5</v>
      </c>
      <c r="V264" s="133">
        <v>5</v>
      </c>
      <c r="W264" s="67">
        <f t="shared" si="180"/>
        <v>1</v>
      </c>
      <c r="X264" s="133">
        <v>48</v>
      </c>
      <c r="Y264" s="133">
        <v>49</v>
      </c>
      <c r="Z264" s="67">
        <f t="shared" si="181"/>
        <v>0.97959183673469385</v>
      </c>
      <c r="AA264" s="66">
        <f t="shared" si="182"/>
        <v>53</v>
      </c>
      <c r="AB264" s="66">
        <f t="shared" si="183"/>
        <v>54</v>
      </c>
      <c r="AC264" s="67">
        <f t="shared" si="184"/>
        <v>0.98148148148148151</v>
      </c>
      <c r="AD264" s="73">
        <v>7649</v>
      </c>
      <c r="AE264" s="73">
        <v>8304</v>
      </c>
      <c r="AF264" s="21">
        <f t="shared" si="185"/>
        <v>0.92112235067437376</v>
      </c>
      <c r="AG264" s="73">
        <v>7852</v>
      </c>
      <c r="AH264" s="73">
        <v>8379</v>
      </c>
      <c r="AI264" s="21">
        <f t="shared" si="186"/>
        <v>0.93710466642797474</v>
      </c>
      <c r="AJ264" s="70"/>
      <c r="AK264" s="70"/>
      <c r="AL264" s="37" t="str">
        <f t="shared" si="187"/>
        <v>-</v>
      </c>
      <c r="AM264" s="89">
        <v>40</v>
      </c>
      <c r="AN264" s="89">
        <v>44</v>
      </c>
      <c r="AO264" s="36">
        <f t="shared" si="193"/>
        <v>0.90909090909090906</v>
      </c>
      <c r="AP264" s="104" t="s">
        <v>19</v>
      </c>
      <c r="AQ264" s="104" t="s">
        <v>19</v>
      </c>
      <c r="AR264" s="44" t="str">
        <f t="shared" si="188"/>
        <v>-</v>
      </c>
      <c r="AS264" s="69"/>
      <c r="AT264" s="69"/>
      <c r="AU264" s="44" t="str">
        <f t="shared" si="189"/>
        <v>-</v>
      </c>
      <c r="AV264" s="73">
        <v>60</v>
      </c>
      <c r="AW264" s="73">
        <v>60</v>
      </c>
      <c r="AX264" s="21">
        <f t="shared" si="190"/>
        <v>1</v>
      </c>
      <c r="AY264" s="73">
        <v>614</v>
      </c>
      <c r="AZ264" s="73">
        <v>648</v>
      </c>
      <c r="BA264" s="21">
        <f t="shared" si="191"/>
        <v>0.94753086419753085</v>
      </c>
      <c r="BB264" s="70"/>
      <c r="BC264" s="70"/>
      <c r="BD264" s="37" t="str">
        <f t="shared" si="192"/>
        <v>-</v>
      </c>
    </row>
    <row r="265" spans="1:56" ht="14.25" customHeight="1">
      <c r="A265" s="8"/>
      <c r="B265" s="12" t="s">
        <v>88</v>
      </c>
      <c r="C265" s="133">
        <v>318</v>
      </c>
      <c r="D265" s="133">
        <v>345</v>
      </c>
      <c r="E265" s="67">
        <f t="shared" si="171"/>
        <v>0.92173913043478262</v>
      </c>
      <c r="F265" s="133">
        <v>354</v>
      </c>
      <c r="G265" s="133">
        <v>379</v>
      </c>
      <c r="H265" s="67">
        <f t="shared" si="172"/>
        <v>0.93403693931398413</v>
      </c>
      <c r="I265" s="66">
        <f t="shared" si="173"/>
        <v>672</v>
      </c>
      <c r="J265" s="66">
        <f t="shared" si="174"/>
        <v>724</v>
      </c>
      <c r="K265" s="67">
        <f t="shared" si="175"/>
        <v>0.92817679558011046</v>
      </c>
      <c r="L265" s="87">
        <v>45</v>
      </c>
      <c r="M265" s="87">
        <v>58</v>
      </c>
      <c r="N265" s="65">
        <f t="shared" si="176"/>
        <v>0.77586206896551724</v>
      </c>
      <c r="O265" s="94" t="s">
        <v>19</v>
      </c>
      <c r="P265" s="94" t="s">
        <v>19</v>
      </c>
      <c r="Q265" s="80" t="str">
        <f t="shared" si="194"/>
        <v>-</v>
      </c>
      <c r="R265" s="64">
        <f t="shared" si="177"/>
        <v>45</v>
      </c>
      <c r="S265" s="64">
        <f t="shared" si="178"/>
        <v>58</v>
      </c>
      <c r="T265" s="65">
        <f t="shared" si="179"/>
        <v>0.77586206896551724</v>
      </c>
      <c r="U265" s="133">
        <v>4</v>
      </c>
      <c r="V265" s="133">
        <v>4</v>
      </c>
      <c r="W265" s="67">
        <f t="shared" si="180"/>
        <v>1</v>
      </c>
      <c r="X265" s="133">
        <v>55</v>
      </c>
      <c r="Y265" s="133">
        <v>56</v>
      </c>
      <c r="Z265" s="67">
        <f t="shared" si="181"/>
        <v>0.9821428571428571</v>
      </c>
      <c r="AA265" s="66">
        <f t="shared" si="182"/>
        <v>59</v>
      </c>
      <c r="AB265" s="66">
        <f t="shared" si="183"/>
        <v>60</v>
      </c>
      <c r="AC265" s="67">
        <f t="shared" si="184"/>
        <v>0.98333333333333328</v>
      </c>
      <c r="AD265" s="73">
        <v>13688</v>
      </c>
      <c r="AE265" s="73">
        <v>17253</v>
      </c>
      <c r="AF265" s="21">
        <f t="shared" si="185"/>
        <v>0.79336926911261807</v>
      </c>
      <c r="AG265" s="73">
        <v>12935</v>
      </c>
      <c r="AH265" s="73">
        <v>15642</v>
      </c>
      <c r="AI265" s="21">
        <f t="shared" si="186"/>
        <v>0.82694028896560545</v>
      </c>
      <c r="AJ265" s="70"/>
      <c r="AK265" s="70"/>
      <c r="AL265" s="37" t="str">
        <f t="shared" si="187"/>
        <v>-</v>
      </c>
      <c r="AM265" s="89">
        <v>60</v>
      </c>
      <c r="AN265" s="89">
        <v>75</v>
      </c>
      <c r="AO265" s="36">
        <f t="shared" si="193"/>
        <v>0.8</v>
      </c>
      <c r="AP265" s="104" t="s">
        <v>19</v>
      </c>
      <c r="AQ265" s="104" t="s">
        <v>19</v>
      </c>
      <c r="AR265" s="44" t="str">
        <f t="shared" si="188"/>
        <v>-</v>
      </c>
      <c r="AS265" s="69"/>
      <c r="AT265" s="69"/>
      <c r="AU265" s="44" t="str">
        <f t="shared" si="189"/>
        <v>-</v>
      </c>
      <c r="AV265" s="73">
        <v>48</v>
      </c>
      <c r="AW265" s="73">
        <v>48</v>
      </c>
      <c r="AX265" s="21">
        <f t="shared" si="190"/>
        <v>1</v>
      </c>
      <c r="AY265" s="73">
        <v>580</v>
      </c>
      <c r="AZ265" s="73">
        <v>660</v>
      </c>
      <c r="BA265" s="21">
        <f t="shared" si="191"/>
        <v>0.87878787878787878</v>
      </c>
      <c r="BB265" s="70"/>
      <c r="BC265" s="70"/>
      <c r="BD265" s="37" t="str">
        <f t="shared" si="192"/>
        <v>-</v>
      </c>
    </row>
    <row r="266" spans="1:56" ht="14.25" customHeight="1">
      <c r="A266" s="8"/>
      <c r="B266" s="12" t="s">
        <v>89</v>
      </c>
      <c r="C266" s="66">
        <f>SUM(C265,C250)</f>
        <v>319</v>
      </c>
      <c r="D266" s="66">
        <f>SUM(D265,D250)</f>
        <v>346</v>
      </c>
      <c r="E266" s="67">
        <f t="shared" si="171"/>
        <v>0.9219653179190751</v>
      </c>
      <c r="F266" s="66">
        <f>SUM(F265,F250)</f>
        <v>354</v>
      </c>
      <c r="G266" s="66">
        <f>SUM(G265,G250)</f>
        <v>379</v>
      </c>
      <c r="H266" s="67">
        <f t="shared" si="172"/>
        <v>0.93403693931398413</v>
      </c>
      <c r="I266" s="66">
        <f t="shared" si="173"/>
        <v>673</v>
      </c>
      <c r="J266" s="66">
        <f t="shared" si="174"/>
        <v>725</v>
      </c>
      <c r="K266" s="67">
        <f t="shared" si="175"/>
        <v>0.92827586206896551</v>
      </c>
      <c r="L266" s="64">
        <f>SUM(L265,L250)</f>
        <v>45</v>
      </c>
      <c r="M266" s="64">
        <f>SUM(M265,M250)</f>
        <v>58</v>
      </c>
      <c r="N266" s="65">
        <f t="shared" si="176"/>
        <v>0.77586206896551724</v>
      </c>
      <c r="O266" s="64">
        <f>SUM(O265,O250)</f>
        <v>0</v>
      </c>
      <c r="P266" s="64">
        <f>SUM(P265,P250)</f>
        <v>0</v>
      </c>
      <c r="Q266" s="80" t="str">
        <f t="shared" si="194"/>
        <v>-</v>
      </c>
      <c r="R266" s="64">
        <f t="shared" si="177"/>
        <v>45</v>
      </c>
      <c r="S266" s="64">
        <f t="shared" si="178"/>
        <v>58</v>
      </c>
      <c r="T266" s="65">
        <f t="shared" si="179"/>
        <v>0.77586206896551724</v>
      </c>
      <c r="U266" s="66">
        <f>SUM(U265,U250)</f>
        <v>5</v>
      </c>
      <c r="V266" s="66">
        <f>SUM(V265,V250)</f>
        <v>6</v>
      </c>
      <c r="W266" s="67">
        <f t="shared" si="180"/>
        <v>0.83333333333333337</v>
      </c>
      <c r="X266" s="66">
        <f>SUM(X265,X250)</f>
        <v>56</v>
      </c>
      <c r="Y266" s="66">
        <f>SUM(Y265,Y250)</f>
        <v>57</v>
      </c>
      <c r="Z266" s="67">
        <f t="shared" si="181"/>
        <v>0.98245614035087714</v>
      </c>
      <c r="AA266" s="66">
        <f t="shared" si="182"/>
        <v>61</v>
      </c>
      <c r="AB266" s="66">
        <f t="shared" si="183"/>
        <v>63</v>
      </c>
      <c r="AC266" s="67">
        <f t="shared" si="184"/>
        <v>0.96825396825396826</v>
      </c>
      <c r="AD266" s="70">
        <f>SUM(AD265,AD250)</f>
        <v>13694</v>
      </c>
      <c r="AE266" s="70">
        <f>SUM(AE265,AE250)</f>
        <v>17259</v>
      </c>
      <c r="AF266" s="21">
        <f t="shared" si="185"/>
        <v>0.79344110319253724</v>
      </c>
      <c r="AG266" s="70">
        <f>SUM(AG265,AG250)</f>
        <v>12935</v>
      </c>
      <c r="AH266" s="70">
        <f>SUM(AH265,AH250)</f>
        <v>15642</v>
      </c>
      <c r="AI266" s="21">
        <f t="shared" si="186"/>
        <v>0.82694028896560545</v>
      </c>
      <c r="AJ266" s="70"/>
      <c r="AK266" s="70"/>
      <c r="AL266" s="37" t="str">
        <f t="shared" si="187"/>
        <v>-</v>
      </c>
      <c r="AM266" s="69">
        <f>SUM(AM265,AM250)</f>
        <v>60</v>
      </c>
      <c r="AN266" s="69">
        <f>SUM(AN265,AN250)</f>
        <v>75</v>
      </c>
      <c r="AO266" s="36">
        <f t="shared" si="193"/>
        <v>0.8</v>
      </c>
      <c r="AP266" s="69">
        <f>SUM(AP265,AP250)</f>
        <v>0</v>
      </c>
      <c r="AQ266" s="69">
        <f>SUM(AQ265,AQ250)</f>
        <v>0</v>
      </c>
      <c r="AR266" s="44" t="str">
        <f t="shared" si="188"/>
        <v>-</v>
      </c>
      <c r="AS266" s="69"/>
      <c r="AT266" s="69"/>
      <c r="AU266" s="44" t="str">
        <f t="shared" si="189"/>
        <v>-</v>
      </c>
      <c r="AV266" s="70">
        <f>SUM(AV265,AV250)</f>
        <v>60</v>
      </c>
      <c r="AW266" s="70">
        <f>SUM(AW265,AW250)</f>
        <v>60</v>
      </c>
      <c r="AX266" s="21">
        <f t="shared" si="190"/>
        <v>1</v>
      </c>
      <c r="AY266" s="70">
        <f>SUM(AY265,AY250)</f>
        <v>592</v>
      </c>
      <c r="AZ266" s="70">
        <f>SUM(AZ265,AZ250)</f>
        <v>672</v>
      </c>
      <c r="BA266" s="21">
        <f t="shared" si="191"/>
        <v>0.88095238095238093</v>
      </c>
      <c r="BB266" s="70"/>
      <c r="BC266" s="70"/>
      <c r="BD266" s="37" t="str">
        <f t="shared" si="192"/>
        <v>-</v>
      </c>
    </row>
    <row r="267" spans="1:56" ht="14.25" customHeight="1">
      <c r="A267" s="8"/>
      <c r="B267" s="12" t="s">
        <v>90</v>
      </c>
      <c r="C267" s="66">
        <f>SUM(C256,C263)</f>
        <v>169</v>
      </c>
      <c r="D267" s="66">
        <f>SUM(D256,D263)</f>
        <v>172</v>
      </c>
      <c r="E267" s="67">
        <f t="shared" si="171"/>
        <v>0.98255813953488369</v>
      </c>
      <c r="F267" s="66">
        <f>SUM(F256,F263)</f>
        <v>203</v>
      </c>
      <c r="G267" s="66">
        <f>SUM(G256,G263)</f>
        <v>217</v>
      </c>
      <c r="H267" s="67">
        <f t="shared" si="172"/>
        <v>0.93548387096774188</v>
      </c>
      <c r="I267" s="66">
        <f t="shared" si="173"/>
        <v>372</v>
      </c>
      <c r="J267" s="66">
        <f t="shared" si="174"/>
        <v>389</v>
      </c>
      <c r="K267" s="67">
        <f t="shared" si="175"/>
        <v>0.95629820051413883</v>
      </c>
      <c r="L267" s="64">
        <f>SUM(L256,L263)</f>
        <v>39</v>
      </c>
      <c r="M267" s="64">
        <f>SUM(M256,M263)</f>
        <v>51</v>
      </c>
      <c r="N267" s="65">
        <f t="shared" si="176"/>
        <v>0.76470588235294112</v>
      </c>
      <c r="O267" s="64">
        <f>SUM(O256,O263)</f>
        <v>21</v>
      </c>
      <c r="P267" s="64">
        <f>SUM(P256,P263)</f>
        <v>21</v>
      </c>
      <c r="Q267" s="65">
        <f t="shared" si="194"/>
        <v>1</v>
      </c>
      <c r="R267" s="64">
        <f t="shared" si="177"/>
        <v>60</v>
      </c>
      <c r="S267" s="64">
        <f t="shared" si="178"/>
        <v>72</v>
      </c>
      <c r="T267" s="65">
        <f t="shared" si="179"/>
        <v>0.83333333333333337</v>
      </c>
      <c r="U267" s="66">
        <f>SUM(U256,U263)</f>
        <v>7</v>
      </c>
      <c r="V267" s="66">
        <f>SUM(V256,V263)</f>
        <v>7</v>
      </c>
      <c r="W267" s="67">
        <f t="shared" si="180"/>
        <v>1</v>
      </c>
      <c r="X267" s="66">
        <f>SUM(X256,X263)</f>
        <v>47</v>
      </c>
      <c r="Y267" s="66">
        <f>SUM(Y256,Y263)</f>
        <v>49</v>
      </c>
      <c r="Z267" s="67">
        <f t="shared" si="181"/>
        <v>0.95918367346938771</v>
      </c>
      <c r="AA267" s="66">
        <f t="shared" si="182"/>
        <v>54</v>
      </c>
      <c r="AB267" s="66">
        <f t="shared" si="183"/>
        <v>56</v>
      </c>
      <c r="AC267" s="67">
        <f t="shared" si="184"/>
        <v>0.9642857142857143</v>
      </c>
      <c r="AD267" s="70">
        <f>SUM(AD256,AD263)</f>
        <v>5843</v>
      </c>
      <c r="AE267" s="70">
        <f>SUM(AE256,AE263)</f>
        <v>7050</v>
      </c>
      <c r="AF267" s="21">
        <f t="shared" si="185"/>
        <v>0.8287943262411348</v>
      </c>
      <c r="AG267" s="70">
        <f>SUM(AG256,AG263)</f>
        <v>5717</v>
      </c>
      <c r="AH267" s="70">
        <f>SUM(AH256,AH263)</f>
        <v>7032</v>
      </c>
      <c r="AI267" s="21">
        <f t="shared" si="186"/>
        <v>0.81299772468714449</v>
      </c>
      <c r="AJ267" s="70"/>
      <c r="AK267" s="70"/>
      <c r="AL267" s="37" t="str">
        <f t="shared" si="187"/>
        <v>-</v>
      </c>
      <c r="AM267" s="69">
        <f>SUM(AM256,AM263)</f>
        <v>34</v>
      </c>
      <c r="AN267" s="69">
        <f>SUM(AN256,AN263)</f>
        <v>39</v>
      </c>
      <c r="AO267" s="36">
        <f t="shared" si="193"/>
        <v>0.87179487179487181</v>
      </c>
      <c r="AP267" s="69">
        <f>SUM(AP256,AP263)</f>
        <v>30</v>
      </c>
      <c r="AQ267" s="69">
        <f>SUM(AQ256,AQ263)</f>
        <v>42</v>
      </c>
      <c r="AR267" s="36">
        <f t="shared" si="188"/>
        <v>0.7142857142857143</v>
      </c>
      <c r="AS267" s="69"/>
      <c r="AT267" s="69"/>
      <c r="AU267" s="44" t="str">
        <f t="shared" si="189"/>
        <v>-</v>
      </c>
      <c r="AV267" s="70">
        <f>SUM(AV256,AV263)</f>
        <v>78</v>
      </c>
      <c r="AW267" s="70">
        <f>SUM(AW256,AW263)</f>
        <v>84</v>
      </c>
      <c r="AX267" s="21">
        <f t="shared" si="190"/>
        <v>0.9285714285714286</v>
      </c>
      <c r="AY267" s="70">
        <f>SUM(AY256,AY263)</f>
        <v>517</v>
      </c>
      <c r="AZ267" s="70">
        <f>SUM(AZ256,AZ263)</f>
        <v>564</v>
      </c>
      <c r="BA267" s="21">
        <f t="shared" si="191"/>
        <v>0.91666666666666663</v>
      </c>
      <c r="BB267" s="70"/>
      <c r="BC267" s="70"/>
      <c r="BD267" s="37" t="str">
        <f t="shared" si="192"/>
        <v>-</v>
      </c>
    </row>
    <row r="268" spans="1:56" ht="14.25" customHeight="1">
      <c r="A268" s="8"/>
      <c r="B268" s="12" t="s">
        <v>91</v>
      </c>
      <c r="C268" s="66">
        <f>SUM(C254,C255,C259)</f>
        <v>1833</v>
      </c>
      <c r="D268" s="66">
        <f>SUM(D254,D255,D259)</f>
        <v>1973</v>
      </c>
      <c r="E268" s="67">
        <f t="shared" si="171"/>
        <v>0.92904206791687782</v>
      </c>
      <c r="F268" s="66">
        <f>SUM(F254,F255,F259)</f>
        <v>1463</v>
      </c>
      <c r="G268" s="66">
        <f>SUM(G254,G255,G259)</f>
        <v>1572</v>
      </c>
      <c r="H268" s="67">
        <f t="shared" si="172"/>
        <v>0.9306615776081425</v>
      </c>
      <c r="I268" s="66">
        <f t="shared" si="173"/>
        <v>3296</v>
      </c>
      <c r="J268" s="66">
        <f t="shared" si="174"/>
        <v>3545</v>
      </c>
      <c r="K268" s="67">
        <f t="shared" si="175"/>
        <v>0.92976022566995764</v>
      </c>
      <c r="L268" s="64">
        <f>SUM(L254,L255,L259)</f>
        <v>388</v>
      </c>
      <c r="M268" s="64">
        <f>SUM(M254,M255,M259)</f>
        <v>437</v>
      </c>
      <c r="N268" s="65">
        <f t="shared" si="176"/>
        <v>0.88787185354691078</v>
      </c>
      <c r="O268" s="64">
        <f>SUM(O254,O255,O259)</f>
        <v>18</v>
      </c>
      <c r="P268" s="64">
        <f>SUM(P254,P255,P259)</f>
        <v>25</v>
      </c>
      <c r="Q268" s="65">
        <f t="shared" si="194"/>
        <v>0.72</v>
      </c>
      <c r="R268" s="64">
        <f t="shared" si="177"/>
        <v>406</v>
      </c>
      <c r="S268" s="64">
        <f t="shared" si="178"/>
        <v>462</v>
      </c>
      <c r="T268" s="65">
        <f t="shared" si="179"/>
        <v>0.87878787878787878</v>
      </c>
      <c r="U268" s="66">
        <f>SUM(U254,U255,U259)</f>
        <v>34</v>
      </c>
      <c r="V268" s="66">
        <f>SUM(V254,V255,V259)</f>
        <v>39</v>
      </c>
      <c r="W268" s="67">
        <f t="shared" si="180"/>
        <v>0.87179487179487181</v>
      </c>
      <c r="X268" s="66">
        <f>SUM(X254,X255,X259)</f>
        <v>419</v>
      </c>
      <c r="Y268" s="66">
        <f>SUM(Y254,Y255,Y259)</f>
        <v>419</v>
      </c>
      <c r="Z268" s="67">
        <f t="shared" si="181"/>
        <v>1</v>
      </c>
      <c r="AA268" s="66">
        <f t="shared" si="182"/>
        <v>453</v>
      </c>
      <c r="AB268" s="66">
        <f t="shared" si="183"/>
        <v>458</v>
      </c>
      <c r="AC268" s="67">
        <f t="shared" si="184"/>
        <v>0.98908296943231444</v>
      </c>
      <c r="AD268" s="70">
        <f>SUM(AD254,AD255,AD259)</f>
        <v>52343</v>
      </c>
      <c r="AE268" s="70">
        <f>SUM(AE254,AE255,AE259)</f>
        <v>59984</v>
      </c>
      <c r="AF268" s="21">
        <f t="shared" si="185"/>
        <v>0.87261603094158446</v>
      </c>
      <c r="AG268" s="70">
        <f>SUM(AG254,AG255,AG259)</f>
        <v>51277</v>
      </c>
      <c r="AH268" s="70">
        <f>SUM(AH254,AH255,AH259)</f>
        <v>59220</v>
      </c>
      <c r="AI268" s="21">
        <f t="shared" si="186"/>
        <v>0.86587301587301591</v>
      </c>
      <c r="AJ268" s="70"/>
      <c r="AK268" s="70"/>
      <c r="AL268" s="37" t="str">
        <f t="shared" si="187"/>
        <v>-</v>
      </c>
      <c r="AM268" s="69">
        <f>SUM(AM254,AM255,AM259)</f>
        <v>327</v>
      </c>
      <c r="AN268" s="69">
        <f>SUM(AN254,AN255,AN259)</f>
        <v>388</v>
      </c>
      <c r="AO268" s="36">
        <f t="shared" si="193"/>
        <v>0.84278350515463918</v>
      </c>
      <c r="AP268" s="69">
        <f>SUM(AP254,AP255,AP259)</f>
        <v>33</v>
      </c>
      <c r="AQ268" s="69">
        <f>SUM(AQ254,AQ255,AQ259)</f>
        <v>36</v>
      </c>
      <c r="AR268" s="36">
        <f t="shared" si="188"/>
        <v>0.91666666666666663</v>
      </c>
      <c r="AS268" s="69"/>
      <c r="AT268" s="69"/>
      <c r="AU268" s="44" t="str">
        <f t="shared" si="189"/>
        <v>-</v>
      </c>
      <c r="AV268" s="70">
        <f>SUM(AV254,AV255,AV259)</f>
        <v>390</v>
      </c>
      <c r="AW268" s="70">
        <f>SUM(AW254,AW255,AW259)</f>
        <v>408</v>
      </c>
      <c r="AX268" s="21">
        <f t="shared" si="190"/>
        <v>0.95588235294117652</v>
      </c>
      <c r="AY268" s="70">
        <f>SUM(AY254,AY255,AY259)</f>
        <v>4858</v>
      </c>
      <c r="AZ268" s="70">
        <f>SUM(AZ254,AZ255,AZ259)</f>
        <v>5220</v>
      </c>
      <c r="BA268" s="21">
        <f t="shared" si="191"/>
        <v>0.93065134099616853</v>
      </c>
      <c r="BB268" s="70"/>
      <c r="BC268" s="70"/>
      <c r="BD268" s="37" t="str">
        <f t="shared" si="192"/>
        <v>-</v>
      </c>
    </row>
    <row r="269" spans="1:56" ht="14.25" customHeight="1">
      <c r="A269" s="8"/>
      <c r="B269" s="12" t="s">
        <v>92</v>
      </c>
      <c r="C269" s="66">
        <f>SUM(C262,C276)</f>
        <v>359</v>
      </c>
      <c r="D269" s="66">
        <f>SUM(D262,D276)</f>
        <v>416</v>
      </c>
      <c r="E269" s="67">
        <f t="shared" si="171"/>
        <v>0.86298076923076927</v>
      </c>
      <c r="F269" s="66">
        <f>SUM(F262,F276)</f>
        <v>508</v>
      </c>
      <c r="G269" s="66">
        <f>SUM(G262,G276)</f>
        <v>569</v>
      </c>
      <c r="H269" s="67">
        <f t="shared" si="172"/>
        <v>0.89279437609841827</v>
      </c>
      <c r="I269" s="66">
        <f>SUM(I262,I276)</f>
        <v>867</v>
      </c>
      <c r="J269" s="66">
        <f>SUM(J262,J276)</f>
        <v>985</v>
      </c>
      <c r="K269" s="67">
        <f t="shared" si="175"/>
        <v>0.88020304568527918</v>
      </c>
      <c r="L269" s="64">
        <f>SUM(L262,L276)</f>
        <v>0</v>
      </c>
      <c r="M269" s="64">
        <f>SUM(M262,M276)</f>
        <v>0</v>
      </c>
      <c r="N269" s="80" t="str">
        <f t="shared" si="176"/>
        <v>-</v>
      </c>
      <c r="O269" s="64">
        <f>SUM(O262,O276)</f>
        <v>0</v>
      </c>
      <c r="P269" s="64">
        <f>SUM(P262,P276)</f>
        <v>0</v>
      </c>
      <c r="Q269" s="80" t="str">
        <f t="shared" si="194"/>
        <v>-</v>
      </c>
      <c r="R269" s="64">
        <f>SUM(R262,R276)</f>
        <v>0</v>
      </c>
      <c r="S269" s="64">
        <f>SUM(S262,S276)</f>
        <v>0</v>
      </c>
      <c r="T269" s="80" t="str">
        <f t="shared" si="179"/>
        <v>-</v>
      </c>
      <c r="U269" s="66">
        <f>SUM(U262,U276)</f>
        <v>49</v>
      </c>
      <c r="V269" s="66">
        <f>SUM(V262,V276)</f>
        <v>57</v>
      </c>
      <c r="W269" s="67">
        <f t="shared" si="180"/>
        <v>0.85964912280701755</v>
      </c>
      <c r="X269" s="66">
        <f>SUM(X262,X276)</f>
        <v>96</v>
      </c>
      <c r="Y269" s="66">
        <f>SUM(Y262,Y276)</f>
        <v>100</v>
      </c>
      <c r="Z269" s="67">
        <f t="shared" si="181"/>
        <v>0.96</v>
      </c>
      <c r="AA269" s="66">
        <f>SUM(AA262,AA276)</f>
        <v>145</v>
      </c>
      <c r="AB269" s="66">
        <f>SUM(AB262,AB276)</f>
        <v>157</v>
      </c>
      <c r="AC269" s="67">
        <f t="shared" si="184"/>
        <v>0.92356687898089174</v>
      </c>
      <c r="AD269" s="70">
        <f>SUM(AD262,AD276)</f>
        <v>13040</v>
      </c>
      <c r="AE269" s="70">
        <f>SUM(AE262,AE276)</f>
        <v>14415</v>
      </c>
      <c r="AF269" s="21">
        <f t="shared" si="185"/>
        <v>0.90461325008671523</v>
      </c>
      <c r="AG269" s="70">
        <f>SUM(AG262,AG276)</f>
        <v>19469</v>
      </c>
      <c r="AH269" s="70">
        <f>SUM(AH262,AH276)</f>
        <v>21778</v>
      </c>
      <c r="AI269" s="21">
        <f t="shared" si="186"/>
        <v>0.89397557167784003</v>
      </c>
      <c r="AJ269" s="70">
        <f>SUM(AJ262,AJ276)</f>
        <v>0</v>
      </c>
      <c r="AK269" s="70">
        <f>SUM(AK262,AK276)</f>
        <v>0</v>
      </c>
      <c r="AL269" s="37" t="str">
        <f t="shared" si="187"/>
        <v>-</v>
      </c>
      <c r="AM269" s="44" t="s">
        <v>19</v>
      </c>
      <c r="AN269" s="44" t="s">
        <v>19</v>
      </c>
      <c r="AO269" s="44" t="str">
        <f t="shared" si="193"/>
        <v>-</v>
      </c>
      <c r="AP269" s="44" t="s">
        <v>19</v>
      </c>
      <c r="AQ269" s="44" t="s">
        <v>19</v>
      </c>
      <c r="AR269" s="44" t="str">
        <f t="shared" si="188"/>
        <v>-</v>
      </c>
      <c r="AS269" s="69"/>
      <c r="AT269" s="69"/>
      <c r="AU269" s="44" t="str">
        <f t="shared" si="189"/>
        <v>-</v>
      </c>
      <c r="AV269" s="70">
        <f>SUM(AV262,AV276)</f>
        <v>594</v>
      </c>
      <c r="AW269" s="70">
        <f>SUM(AW262,AW276)</f>
        <v>612</v>
      </c>
      <c r="AX269" s="21">
        <f t="shared" si="190"/>
        <v>0.97058823529411764</v>
      </c>
      <c r="AY269" s="70">
        <f>SUM(AY262,AY276)</f>
        <v>1103</v>
      </c>
      <c r="AZ269" s="70">
        <f>SUM(AZ262,AZ276)</f>
        <v>1152</v>
      </c>
      <c r="BA269" s="21">
        <f t="shared" si="191"/>
        <v>0.95746527777777779</v>
      </c>
      <c r="BB269" s="70">
        <f>SUM(BB262,BB276)</f>
        <v>0</v>
      </c>
      <c r="BC269" s="70">
        <f>SUM(BC262,BC276)</f>
        <v>0</v>
      </c>
      <c r="BD269" s="37" t="str">
        <f t="shared" si="192"/>
        <v>-</v>
      </c>
    </row>
    <row r="270" spans="1:56" ht="14.25" customHeight="1">
      <c r="A270" s="8"/>
      <c r="B270" s="12" t="s">
        <v>93</v>
      </c>
      <c r="C270" s="66">
        <f>SUM(C247,C253)</f>
        <v>398</v>
      </c>
      <c r="D270" s="66">
        <f>SUM(D247,D253)</f>
        <v>417</v>
      </c>
      <c r="E270" s="67">
        <f t="shared" si="171"/>
        <v>0.95443645083932849</v>
      </c>
      <c r="F270" s="66">
        <f>SUM(F247,F253)</f>
        <v>504</v>
      </c>
      <c r="G270" s="66">
        <f>SUM(G247,G253)</f>
        <v>539</v>
      </c>
      <c r="H270" s="67">
        <f t="shared" si="172"/>
        <v>0.93506493506493504</v>
      </c>
      <c r="I270" s="66">
        <f t="shared" ref="I270:I278" si="195">SUM(C270,F270)</f>
        <v>902</v>
      </c>
      <c r="J270" s="66">
        <f t="shared" ref="J270:J278" si="196">SUM(D270,G270)</f>
        <v>956</v>
      </c>
      <c r="K270" s="67">
        <f t="shared" si="175"/>
        <v>0.94351464435146448</v>
      </c>
      <c r="L270" s="64">
        <f>SUM(L247,L253)</f>
        <v>94</v>
      </c>
      <c r="M270" s="64">
        <f>SUM(M247,M253)</f>
        <v>132</v>
      </c>
      <c r="N270" s="65">
        <f t="shared" si="176"/>
        <v>0.71212121212121215</v>
      </c>
      <c r="O270" s="64">
        <f>SUM(O247,O253)</f>
        <v>8</v>
      </c>
      <c r="P270" s="64">
        <f>SUM(P247,P253)</f>
        <v>13</v>
      </c>
      <c r="Q270" s="65">
        <f t="shared" si="194"/>
        <v>0.61538461538461542</v>
      </c>
      <c r="R270" s="64">
        <f t="shared" ref="R270:R278" si="197">SUM(L270,O270)</f>
        <v>102</v>
      </c>
      <c r="S270" s="64">
        <f t="shared" ref="S270:S278" si="198">SUM(M270,P270)</f>
        <v>145</v>
      </c>
      <c r="T270" s="65">
        <f t="shared" si="179"/>
        <v>0.70344827586206893</v>
      </c>
      <c r="U270" s="66">
        <f>SUM(U247,U253)</f>
        <v>13</v>
      </c>
      <c r="V270" s="66">
        <f>SUM(V247,V253)</f>
        <v>13</v>
      </c>
      <c r="W270" s="67">
        <f t="shared" si="180"/>
        <v>1</v>
      </c>
      <c r="X270" s="66">
        <f>SUM(X247,X253)</f>
        <v>127</v>
      </c>
      <c r="Y270" s="66">
        <f>SUM(Y247,Y253)</f>
        <v>128</v>
      </c>
      <c r="Z270" s="67">
        <f t="shared" si="181"/>
        <v>0.9921875</v>
      </c>
      <c r="AA270" s="66">
        <f t="shared" ref="AA270:AA278" si="199">SUM(U270,X270)</f>
        <v>140</v>
      </c>
      <c r="AB270" s="66">
        <f t="shared" ref="AB270:AB278" si="200">SUM(V270,Y270)</f>
        <v>141</v>
      </c>
      <c r="AC270" s="67">
        <f t="shared" si="184"/>
        <v>0.99290780141843971</v>
      </c>
      <c r="AD270" s="70">
        <f>SUM(AD247,AD253)</f>
        <v>16069</v>
      </c>
      <c r="AE270" s="70">
        <f>SUM(AE247,AE253)</f>
        <v>19509</v>
      </c>
      <c r="AF270" s="21">
        <f t="shared" si="185"/>
        <v>0.82367112614690652</v>
      </c>
      <c r="AG270" s="70">
        <f>SUM(AG247,AG253)</f>
        <v>19268</v>
      </c>
      <c r="AH270" s="70">
        <f>SUM(AH247,AH253)</f>
        <v>25035</v>
      </c>
      <c r="AI270" s="21">
        <f t="shared" si="186"/>
        <v>0.76964250049930094</v>
      </c>
      <c r="AJ270" s="70"/>
      <c r="AK270" s="70"/>
      <c r="AL270" s="37" t="str">
        <f t="shared" si="187"/>
        <v>-</v>
      </c>
      <c r="AM270" s="69">
        <f>SUM(AM247,AM253)</f>
        <v>135</v>
      </c>
      <c r="AN270" s="69">
        <f>SUM(AN247,AN253)</f>
        <v>207</v>
      </c>
      <c r="AO270" s="36">
        <f t="shared" si="193"/>
        <v>0.65217391304347827</v>
      </c>
      <c r="AP270" s="69">
        <f>SUM(AP247,AP253)</f>
        <v>19</v>
      </c>
      <c r="AQ270" s="69">
        <f>SUM(AQ247,AQ253)</f>
        <v>24</v>
      </c>
      <c r="AR270" s="36">
        <f t="shared" si="188"/>
        <v>0.79166666666666663</v>
      </c>
      <c r="AS270" s="69"/>
      <c r="AT270" s="69"/>
      <c r="AU270" s="44" t="str">
        <f t="shared" si="189"/>
        <v>-</v>
      </c>
      <c r="AV270" s="70">
        <f>SUM(AV247,AV253)</f>
        <v>148</v>
      </c>
      <c r="AW270" s="70">
        <f>SUM(AW247,AW253)</f>
        <v>156</v>
      </c>
      <c r="AX270" s="21">
        <f t="shared" si="190"/>
        <v>0.94871794871794868</v>
      </c>
      <c r="AY270" s="70">
        <f>SUM(AY247,AY253)</f>
        <v>1346</v>
      </c>
      <c r="AZ270" s="70">
        <f>SUM(AZ247,AZ253)</f>
        <v>1524</v>
      </c>
      <c r="BA270" s="21">
        <f t="shared" si="191"/>
        <v>0.88320209973753283</v>
      </c>
      <c r="BB270" s="70"/>
      <c r="BC270" s="70"/>
      <c r="BD270" s="37" t="str">
        <f t="shared" si="192"/>
        <v>-</v>
      </c>
    </row>
    <row r="271" spans="1:56" ht="14.25" customHeight="1">
      <c r="A271" s="8"/>
      <c r="B271" s="12" t="s">
        <v>94</v>
      </c>
      <c r="C271" s="66">
        <f>SUM(C248,C259)</f>
        <v>266</v>
      </c>
      <c r="D271" s="66">
        <f>SUM(D248,D259)</f>
        <v>292</v>
      </c>
      <c r="E271" s="67">
        <f t="shared" si="171"/>
        <v>0.91095890410958902</v>
      </c>
      <c r="F271" s="66">
        <f>SUM(F248,F259)</f>
        <v>210</v>
      </c>
      <c r="G271" s="66">
        <f>SUM(G248,G259)</f>
        <v>237</v>
      </c>
      <c r="H271" s="67">
        <f t="shared" si="172"/>
        <v>0.88607594936708856</v>
      </c>
      <c r="I271" s="66">
        <f t="shared" si="195"/>
        <v>476</v>
      </c>
      <c r="J271" s="66">
        <f t="shared" si="196"/>
        <v>529</v>
      </c>
      <c r="K271" s="67">
        <f t="shared" si="175"/>
        <v>0.89981096408317585</v>
      </c>
      <c r="L271" s="64">
        <f>SUM(L248,L259)</f>
        <v>3</v>
      </c>
      <c r="M271" s="64">
        <f>SUM(M248,M259)</f>
        <v>4</v>
      </c>
      <c r="N271" s="65">
        <f t="shared" si="176"/>
        <v>0.75</v>
      </c>
      <c r="O271" s="64">
        <f>SUM(O248,O259)</f>
        <v>49</v>
      </c>
      <c r="P271" s="64">
        <f>SUM(P248,P259)</f>
        <v>57</v>
      </c>
      <c r="Q271" s="65">
        <f t="shared" si="194"/>
        <v>0.85964912280701755</v>
      </c>
      <c r="R271" s="64">
        <f t="shared" si="197"/>
        <v>52</v>
      </c>
      <c r="S271" s="64">
        <f t="shared" si="198"/>
        <v>61</v>
      </c>
      <c r="T271" s="65">
        <f t="shared" si="179"/>
        <v>0.85245901639344257</v>
      </c>
      <c r="U271" s="66">
        <f>SUM(U248,U259)</f>
        <v>8</v>
      </c>
      <c r="V271" s="66">
        <f>SUM(V248,V259)</f>
        <v>11</v>
      </c>
      <c r="W271" s="67">
        <f t="shared" si="180"/>
        <v>0.72727272727272729</v>
      </c>
      <c r="X271" s="66">
        <f>SUM(X248,X259)</f>
        <v>57</v>
      </c>
      <c r="Y271" s="66">
        <f>SUM(Y248,Y259)</f>
        <v>57</v>
      </c>
      <c r="Z271" s="67">
        <f t="shared" si="181"/>
        <v>1</v>
      </c>
      <c r="AA271" s="66">
        <f t="shared" si="199"/>
        <v>65</v>
      </c>
      <c r="AB271" s="66">
        <f t="shared" si="200"/>
        <v>68</v>
      </c>
      <c r="AC271" s="67">
        <f t="shared" si="184"/>
        <v>0.95588235294117652</v>
      </c>
      <c r="AD271" s="70">
        <f>SUM(AD248,AD259)</f>
        <v>8225</v>
      </c>
      <c r="AE271" s="70">
        <f>SUM(AE248,AE259)</f>
        <v>9786</v>
      </c>
      <c r="AF271" s="21">
        <f t="shared" si="185"/>
        <v>0.84048640915593709</v>
      </c>
      <c r="AG271" s="70">
        <f>SUM(AG248,AG259)</f>
        <v>6004</v>
      </c>
      <c r="AH271" s="70">
        <f>SUM(AH248,AH259)</f>
        <v>7068</v>
      </c>
      <c r="AI271" s="21">
        <f t="shared" si="186"/>
        <v>0.84946236559139787</v>
      </c>
      <c r="AJ271" s="70"/>
      <c r="AK271" s="70"/>
      <c r="AL271" s="37" t="str">
        <f t="shared" si="187"/>
        <v>-</v>
      </c>
      <c r="AM271" s="69">
        <f>SUM(AM248,AM259)</f>
        <v>2</v>
      </c>
      <c r="AN271" s="69">
        <f>SUM(AN248,AN259)</f>
        <v>3</v>
      </c>
      <c r="AO271" s="36">
        <f t="shared" si="193"/>
        <v>0.66666666666666663</v>
      </c>
      <c r="AP271" s="69">
        <f>SUM(AP248,AP259)</f>
        <v>83</v>
      </c>
      <c r="AQ271" s="69">
        <f>SUM(AQ248,AQ259)</f>
        <v>97</v>
      </c>
      <c r="AR271" s="36">
        <f t="shared" si="188"/>
        <v>0.85567010309278346</v>
      </c>
      <c r="AS271" s="69"/>
      <c r="AT271" s="69"/>
      <c r="AU271" s="44" t="str">
        <f t="shared" si="189"/>
        <v>-</v>
      </c>
      <c r="AV271" s="70">
        <f>SUM(AV248,AV259)</f>
        <v>87</v>
      </c>
      <c r="AW271" s="70">
        <f>SUM(AW248,AW259)</f>
        <v>96</v>
      </c>
      <c r="AX271" s="21">
        <f t="shared" si="190"/>
        <v>0.90625</v>
      </c>
      <c r="AY271" s="70">
        <f>SUM(AY248,AY259)</f>
        <v>621</v>
      </c>
      <c r="AZ271" s="70">
        <f>SUM(AZ248,AZ259)</f>
        <v>684</v>
      </c>
      <c r="BA271" s="21">
        <f t="shared" si="191"/>
        <v>0.90789473684210531</v>
      </c>
      <c r="BB271" s="70"/>
      <c r="BC271" s="70"/>
      <c r="BD271" s="37" t="str">
        <f t="shared" si="192"/>
        <v>-</v>
      </c>
    </row>
    <row r="272" spans="1:56" ht="14.25" customHeight="1">
      <c r="A272" s="8"/>
      <c r="B272" s="12" t="s">
        <v>95</v>
      </c>
      <c r="C272" s="66">
        <f>SUM(C250,C251)</f>
        <v>125</v>
      </c>
      <c r="D272" s="66">
        <f>SUM(D250,D251)</f>
        <v>138</v>
      </c>
      <c r="E272" s="67">
        <f t="shared" si="171"/>
        <v>0.90579710144927539</v>
      </c>
      <c r="F272" s="66">
        <f>SUM(F250,F251)</f>
        <v>166</v>
      </c>
      <c r="G272" s="66">
        <f>SUM(G250,G251)</f>
        <v>181</v>
      </c>
      <c r="H272" s="67">
        <f t="shared" si="172"/>
        <v>0.91712707182320441</v>
      </c>
      <c r="I272" s="66">
        <f t="shared" si="195"/>
        <v>291</v>
      </c>
      <c r="J272" s="66">
        <f t="shared" si="196"/>
        <v>319</v>
      </c>
      <c r="K272" s="67">
        <f t="shared" si="175"/>
        <v>0.91222570532915359</v>
      </c>
      <c r="L272" s="64">
        <f>SUM(L250,L251)</f>
        <v>1</v>
      </c>
      <c r="M272" s="64">
        <f>SUM(M250,M251)</f>
        <v>1</v>
      </c>
      <c r="N272" s="65">
        <f t="shared" si="176"/>
        <v>1</v>
      </c>
      <c r="O272" s="64">
        <f>SUM(O250,O251)</f>
        <v>4</v>
      </c>
      <c r="P272" s="64">
        <f>SUM(P250,P251)</f>
        <v>6</v>
      </c>
      <c r="Q272" s="65">
        <f t="shared" si="194"/>
        <v>0.66666666666666663</v>
      </c>
      <c r="R272" s="64">
        <f t="shared" si="197"/>
        <v>5</v>
      </c>
      <c r="S272" s="64">
        <f t="shared" si="198"/>
        <v>7</v>
      </c>
      <c r="T272" s="65">
        <f t="shared" si="179"/>
        <v>0.7142857142857143</v>
      </c>
      <c r="U272" s="66">
        <f>SUM(U250,U251)</f>
        <v>1</v>
      </c>
      <c r="V272" s="66">
        <f>SUM(V250,V251)</f>
        <v>2</v>
      </c>
      <c r="W272" s="67">
        <f t="shared" si="180"/>
        <v>0.5</v>
      </c>
      <c r="X272" s="66">
        <f>SUM(X250,X251)</f>
        <v>49</v>
      </c>
      <c r="Y272" s="66">
        <f>SUM(Y250,Y251)</f>
        <v>49</v>
      </c>
      <c r="Z272" s="67">
        <f t="shared" si="181"/>
        <v>1</v>
      </c>
      <c r="AA272" s="66">
        <f t="shared" si="199"/>
        <v>50</v>
      </c>
      <c r="AB272" s="66">
        <f t="shared" si="200"/>
        <v>51</v>
      </c>
      <c r="AC272" s="67">
        <f t="shared" si="184"/>
        <v>0.98039215686274506</v>
      </c>
      <c r="AD272" s="70">
        <f>SUM(AD250,AD251)</f>
        <v>4573</v>
      </c>
      <c r="AE272" s="70">
        <f>SUM(AE250,AE251)</f>
        <v>5568</v>
      </c>
      <c r="AF272" s="21">
        <f t="shared" si="185"/>
        <v>0.82130028735632188</v>
      </c>
      <c r="AG272" s="70">
        <f>SUM(AG250,AG251)</f>
        <v>5104</v>
      </c>
      <c r="AH272" s="70">
        <f>SUM(AH250,AH251)</f>
        <v>5937</v>
      </c>
      <c r="AI272" s="21">
        <f t="shared" si="186"/>
        <v>0.85969344786929425</v>
      </c>
      <c r="AJ272" s="70"/>
      <c r="AK272" s="70"/>
      <c r="AL272" s="37" t="str">
        <f t="shared" si="187"/>
        <v>-</v>
      </c>
      <c r="AM272" s="69">
        <f>SUM(AM250,AM251)</f>
        <v>1</v>
      </c>
      <c r="AN272" s="69">
        <f>SUM(AN250,AN251)</f>
        <v>1</v>
      </c>
      <c r="AO272" s="36">
        <f t="shared" si="193"/>
        <v>1</v>
      </c>
      <c r="AP272" s="69">
        <f>SUM(AP250,AP251)</f>
        <v>11</v>
      </c>
      <c r="AQ272" s="69">
        <f>SUM(AQ250,AQ251)</f>
        <v>11</v>
      </c>
      <c r="AR272" s="36">
        <f t="shared" si="188"/>
        <v>1</v>
      </c>
      <c r="AS272" s="69"/>
      <c r="AT272" s="69"/>
      <c r="AU272" s="44" t="str">
        <f t="shared" si="189"/>
        <v>-</v>
      </c>
      <c r="AV272" s="70">
        <f>SUM(AV250,AV251)</f>
        <v>12</v>
      </c>
      <c r="AW272" s="70">
        <f>SUM(AW250,AW251)</f>
        <v>12</v>
      </c>
      <c r="AX272" s="21">
        <f t="shared" si="190"/>
        <v>1</v>
      </c>
      <c r="AY272" s="70">
        <f>SUM(AY250,AY251)</f>
        <v>561</v>
      </c>
      <c r="AZ272" s="70">
        <f>SUM(AZ250,AZ251)</f>
        <v>588</v>
      </c>
      <c r="BA272" s="21">
        <f t="shared" si="191"/>
        <v>0.95408163265306123</v>
      </c>
      <c r="BB272" s="70"/>
      <c r="BC272" s="70"/>
      <c r="BD272" s="37" t="str">
        <f t="shared" si="192"/>
        <v>-</v>
      </c>
    </row>
    <row r="273" spans="1:56" ht="14.25" customHeight="1">
      <c r="A273" s="8"/>
      <c r="B273" s="12" t="s">
        <v>96</v>
      </c>
      <c r="C273" s="66">
        <f>SUM(C258,C263)</f>
        <v>172</v>
      </c>
      <c r="D273" s="66">
        <f>SUM(D258,D263)</f>
        <v>178</v>
      </c>
      <c r="E273" s="67">
        <f t="shared" si="171"/>
        <v>0.9662921348314607</v>
      </c>
      <c r="F273" s="66">
        <f>SUM(F258,F263)</f>
        <v>174</v>
      </c>
      <c r="G273" s="66">
        <f>SUM(G258,G263)</f>
        <v>185</v>
      </c>
      <c r="H273" s="67">
        <f t="shared" si="172"/>
        <v>0.94054054054054059</v>
      </c>
      <c r="I273" s="66">
        <f t="shared" si="195"/>
        <v>346</v>
      </c>
      <c r="J273" s="66">
        <f t="shared" si="196"/>
        <v>363</v>
      </c>
      <c r="K273" s="67">
        <f t="shared" si="175"/>
        <v>0.95316804407713496</v>
      </c>
      <c r="L273" s="64">
        <f>SUM(L258,L263)</f>
        <v>28</v>
      </c>
      <c r="M273" s="64">
        <f>SUM(M258,M263)</f>
        <v>29</v>
      </c>
      <c r="N273" s="65">
        <f t="shared" si="176"/>
        <v>0.96551724137931039</v>
      </c>
      <c r="O273" s="64">
        <f>SUM(O258,O263)</f>
        <v>1</v>
      </c>
      <c r="P273" s="64">
        <f>SUM(P258,P263)</f>
        <v>1</v>
      </c>
      <c r="Q273" s="65">
        <f t="shared" si="194"/>
        <v>1</v>
      </c>
      <c r="R273" s="64">
        <f t="shared" si="197"/>
        <v>29</v>
      </c>
      <c r="S273" s="64">
        <f t="shared" si="198"/>
        <v>30</v>
      </c>
      <c r="T273" s="65">
        <f t="shared" si="179"/>
        <v>0.96666666666666667</v>
      </c>
      <c r="U273" s="66">
        <f>SUM(U258,U263)</f>
        <v>4</v>
      </c>
      <c r="V273" s="66">
        <f>SUM(V258,V263)</f>
        <v>4</v>
      </c>
      <c r="W273" s="67">
        <f t="shared" si="180"/>
        <v>1</v>
      </c>
      <c r="X273" s="66">
        <f>SUM(X258,X263)</f>
        <v>28</v>
      </c>
      <c r="Y273" s="66">
        <f>SUM(Y258,Y263)</f>
        <v>28</v>
      </c>
      <c r="Z273" s="67">
        <f t="shared" si="181"/>
        <v>1</v>
      </c>
      <c r="AA273" s="66">
        <f t="shared" si="199"/>
        <v>32</v>
      </c>
      <c r="AB273" s="66">
        <f t="shared" si="200"/>
        <v>32</v>
      </c>
      <c r="AC273" s="67">
        <f t="shared" si="184"/>
        <v>1</v>
      </c>
      <c r="AD273" s="70">
        <f>SUM(AD258,AD263)</f>
        <v>5723</v>
      </c>
      <c r="AE273" s="70">
        <f>SUM(AE258,AE263)</f>
        <v>6630</v>
      </c>
      <c r="AF273" s="21">
        <f t="shared" si="185"/>
        <v>0.86319758672699853</v>
      </c>
      <c r="AG273" s="70">
        <f>SUM(AG258,AG263)</f>
        <v>5452</v>
      </c>
      <c r="AH273" s="70">
        <f>SUM(AH258,AH263)</f>
        <v>6276</v>
      </c>
      <c r="AI273" s="21">
        <f t="shared" si="186"/>
        <v>0.86870618228170804</v>
      </c>
      <c r="AJ273" s="70"/>
      <c r="AK273" s="70"/>
      <c r="AL273" s="37" t="str">
        <f t="shared" si="187"/>
        <v>-</v>
      </c>
      <c r="AM273" s="69">
        <f>SUM(AM258,AM263)</f>
        <v>25</v>
      </c>
      <c r="AN273" s="69">
        <f>SUM(AN258,AN263)</f>
        <v>28</v>
      </c>
      <c r="AO273" s="36">
        <f t="shared" si="193"/>
        <v>0.8928571428571429</v>
      </c>
      <c r="AP273" s="69">
        <f>SUM(AP258,AP263)</f>
        <v>2</v>
      </c>
      <c r="AQ273" s="69">
        <f>SUM(AQ258,AQ263)</f>
        <v>2</v>
      </c>
      <c r="AR273" s="36">
        <f t="shared" si="188"/>
        <v>1</v>
      </c>
      <c r="AS273" s="69"/>
      <c r="AT273" s="69"/>
      <c r="AU273" s="44" t="str">
        <f t="shared" si="189"/>
        <v>-</v>
      </c>
      <c r="AV273" s="70">
        <f>SUM(AV258,AV263)</f>
        <v>48</v>
      </c>
      <c r="AW273" s="70">
        <f>SUM(AW258,AW263)</f>
        <v>48</v>
      </c>
      <c r="AX273" s="21">
        <f t="shared" si="190"/>
        <v>1</v>
      </c>
      <c r="AY273" s="70">
        <f>SUM(AY258,AY263)</f>
        <v>332</v>
      </c>
      <c r="AZ273" s="70">
        <f>SUM(AZ258,AZ263)</f>
        <v>336</v>
      </c>
      <c r="BA273" s="21">
        <f t="shared" si="191"/>
        <v>0.98809523809523814</v>
      </c>
      <c r="BB273" s="70"/>
      <c r="BC273" s="70"/>
      <c r="BD273" s="37" t="str">
        <f t="shared" si="192"/>
        <v>-</v>
      </c>
    </row>
    <row r="274" spans="1:56" ht="14.25" customHeight="1">
      <c r="A274" s="8"/>
      <c r="B274" s="43" t="s">
        <v>97</v>
      </c>
      <c r="C274" s="133">
        <v>94</v>
      </c>
      <c r="D274" s="133">
        <v>123</v>
      </c>
      <c r="E274" s="67">
        <f t="shared" si="171"/>
        <v>0.76422764227642281</v>
      </c>
      <c r="F274" s="133">
        <v>141</v>
      </c>
      <c r="G274" s="133">
        <v>175</v>
      </c>
      <c r="H274" s="67">
        <f t="shared" si="172"/>
        <v>0.80571428571428572</v>
      </c>
      <c r="I274" s="66">
        <f t="shared" si="195"/>
        <v>235</v>
      </c>
      <c r="J274" s="66">
        <f t="shared" si="196"/>
        <v>298</v>
      </c>
      <c r="K274" s="67">
        <f t="shared" si="175"/>
        <v>0.78859060402684567</v>
      </c>
      <c r="L274" s="94" t="s">
        <v>19</v>
      </c>
      <c r="M274" s="94" t="s">
        <v>19</v>
      </c>
      <c r="N274" s="80" t="str">
        <f t="shared" si="176"/>
        <v>-</v>
      </c>
      <c r="O274" s="94" t="s">
        <v>19</v>
      </c>
      <c r="P274" s="94" t="s">
        <v>19</v>
      </c>
      <c r="Q274" s="80" t="str">
        <f t="shared" si="194"/>
        <v>-</v>
      </c>
      <c r="R274" s="64">
        <f t="shared" si="197"/>
        <v>0</v>
      </c>
      <c r="S274" s="64">
        <f t="shared" si="198"/>
        <v>0</v>
      </c>
      <c r="T274" s="80" t="str">
        <f t="shared" si="179"/>
        <v>-</v>
      </c>
      <c r="U274" s="96" t="s">
        <v>19</v>
      </c>
      <c r="V274" s="96" t="s">
        <v>19</v>
      </c>
      <c r="W274" s="83" t="str">
        <f t="shared" si="180"/>
        <v>-</v>
      </c>
      <c r="X274" s="96" t="s">
        <v>19</v>
      </c>
      <c r="Y274" s="96" t="s">
        <v>19</v>
      </c>
      <c r="Z274" s="83" t="str">
        <f t="shared" si="181"/>
        <v>-</v>
      </c>
      <c r="AA274" s="66">
        <f t="shared" si="199"/>
        <v>0</v>
      </c>
      <c r="AB274" s="66">
        <f t="shared" si="200"/>
        <v>0</v>
      </c>
      <c r="AC274" s="83" t="str">
        <f t="shared" si="184"/>
        <v>-</v>
      </c>
      <c r="AD274" s="73">
        <v>3554</v>
      </c>
      <c r="AE274" s="73">
        <v>3999</v>
      </c>
      <c r="AF274" s="21">
        <f t="shared" si="185"/>
        <v>0.8887221805451363</v>
      </c>
      <c r="AG274" s="73">
        <v>5781</v>
      </c>
      <c r="AH274" s="73">
        <v>6705</v>
      </c>
      <c r="AI274" s="21">
        <f t="shared" si="186"/>
        <v>0.86219239373601786</v>
      </c>
      <c r="AJ274" s="70"/>
      <c r="AK274" s="70"/>
      <c r="AL274" s="37" t="str">
        <f t="shared" si="187"/>
        <v>-</v>
      </c>
      <c r="AM274" s="104" t="s">
        <v>19</v>
      </c>
      <c r="AN274" s="104" t="s">
        <v>19</v>
      </c>
      <c r="AO274" s="44" t="str">
        <f t="shared" si="193"/>
        <v>-</v>
      </c>
      <c r="AP274" s="104" t="s">
        <v>19</v>
      </c>
      <c r="AQ274" s="104" t="s">
        <v>19</v>
      </c>
      <c r="AR274" s="44" t="str">
        <f t="shared" si="188"/>
        <v>-</v>
      </c>
      <c r="AS274" s="69"/>
      <c r="AT274" s="69"/>
      <c r="AU274" s="44" t="str">
        <f t="shared" si="189"/>
        <v>-</v>
      </c>
      <c r="AV274" s="81" t="s">
        <v>19</v>
      </c>
      <c r="AW274" s="81" t="s">
        <v>19</v>
      </c>
      <c r="AX274" s="37" t="str">
        <f t="shared" si="190"/>
        <v>-</v>
      </c>
      <c r="AY274" s="81" t="s">
        <v>19</v>
      </c>
      <c r="AZ274" s="81" t="s">
        <v>19</v>
      </c>
      <c r="BA274" s="37" t="str">
        <f t="shared" si="191"/>
        <v>-</v>
      </c>
      <c r="BB274" s="70"/>
      <c r="BC274" s="70"/>
      <c r="BD274" s="37" t="str">
        <f t="shared" si="192"/>
        <v>-</v>
      </c>
    </row>
    <row r="275" spans="1:56" ht="14.25" customHeight="1">
      <c r="A275" s="8"/>
      <c r="B275" s="43" t="s">
        <v>98</v>
      </c>
      <c r="C275" s="133">
        <v>20</v>
      </c>
      <c r="D275" s="133">
        <v>25</v>
      </c>
      <c r="E275" s="67">
        <f t="shared" si="171"/>
        <v>0.8</v>
      </c>
      <c r="F275" s="133">
        <v>33</v>
      </c>
      <c r="G275" s="133">
        <v>36</v>
      </c>
      <c r="H275" s="67">
        <f t="shared" si="172"/>
        <v>0.91666666666666663</v>
      </c>
      <c r="I275" s="66">
        <f t="shared" si="195"/>
        <v>53</v>
      </c>
      <c r="J275" s="66">
        <f t="shared" si="196"/>
        <v>61</v>
      </c>
      <c r="K275" s="67">
        <f t="shared" si="175"/>
        <v>0.86885245901639341</v>
      </c>
      <c r="L275" s="94" t="s">
        <v>19</v>
      </c>
      <c r="M275" s="94" t="s">
        <v>19</v>
      </c>
      <c r="N275" s="80" t="str">
        <f t="shared" si="176"/>
        <v>-</v>
      </c>
      <c r="O275" s="94" t="s">
        <v>19</v>
      </c>
      <c r="P275" s="94" t="s">
        <v>19</v>
      </c>
      <c r="Q275" s="80" t="str">
        <f t="shared" si="194"/>
        <v>-</v>
      </c>
      <c r="R275" s="64">
        <f t="shared" si="197"/>
        <v>0</v>
      </c>
      <c r="S275" s="64">
        <f t="shared" si="198"/>
        <v>0</v>
      </c>
      <c r="T275" s="80" t="str">
        <f t="shared" si="179"/>
        <v>-</v>
      </c>
      <c r="U275" s="96" t="s">
        <v>19</v>
      </c>
      <c r="V275" s="96" t="s">
        <v>19</v>
      </c>
      <c r="W275" s="83" t="str">
        <f t="shared" si="180"/>
        <v>-</v>
      </c>
      <c r="X275" s="96" t="s">
        <v>19</v>
      </c>
      <c r="Y275" s="96" t="s">
        <v>19</v>
      </c>
      <c r="Z275" s="83" t="str">
        <f t="shared" si="181"/>
        <v>-</v>
      </c>
      <c r="AA275" s="66">
        <f t="shared" si="199"/>
        <v>0</v>
      </c>
      <c r="AB275" s="66">
        <f t="shared" si="200"/>
        <v>0</v>
      </c>
      <c r="AC275" s="83" t="str">
        <f t="shared" si="184"/>
        <v>-</v>
      </c>
      <c r="AD275" s="73">
        <v>504</v>
      </c>
      <c r="AE275" s="73">
        <v>570</v>
      </c>
      <c r="AF275" s="21">
        <f t="shared" si="185"/>
        <v>0.88421052631578945</v>
      </c>
      <c r="AG275" s="73">
        <v>926</v>
      </c>
      <c r="AH275" s="73">
        <v>1083</v>
      </c>
      <c r="AI275" s="21">
        <f t="shared" si="186"/>
        <v>0.8550323176361958</v>
      </c>
      <c r="AJ275" s="70"/>
      <c r="AK275" s="70"/>
      <c r="AL275" s="37" t="str">
        <f t="shared" si="187"/>
        <v>-</v>
      </c>
      <c r="AM275" s="104" t="s">
        <v>19</v>
      </c>
      <c r="AN275" s="104" t="s">
        <v>19</v>
      </c>
      <c r="AO275" s="44" t="str">
        <f t="shared" si="193"/>
        <v>-</v>
      </c>
      <c r="AP275" s="104" t="s">
        <v>19</v>
      </c>
      <c r="AQ275" s="104" t="s">
        <v>19</v>
      </c>
      <c r="AR275" s="44" t="str">
        <f t="shared" si="188"/>
        <v>-</v>
      </c>
      <c r="AS275" s="69"/>
      <c r="AT275" s="69"/>
      <c r="AU275" s="44" t="str">
        <f t="shared" si="189"/>
        <v>-</v>
      </c>
      <c r="AV275" s="81" t="s">
        <v>19</v>
      </c>
      <c r="AW275" s="81" t="s">
        <v>19</v>
      </c>
      <c r="AX275" s="37" t="str">
        <f t="shared" si="190"/>
        <v>-</v>
      </c>
      <c r="AY275" s="81" t="s">
        <v>19</v>
      </c>
      <c r="AZ275" s="81" t="s">
        <v>19</v>
      </c>
      <c r="BA275" s="37" t="str">
        <f t="shared" si="191"/>
        <v>-</v>
      </c>
      <c r="BB275" s="70"/>
      <c r="BC275" s="70"/>
      <c r="BD275" s="37" t="str">
        <f t="shared" si="192"/>
        <v>-</v>
      </c>
    </row>
    <row r="276" spans="1:56" ht="14.25" customHeight="1">
      <c r="A276" s="8"/>
      <c r="B276" s="43" t="s">
        <v>99</v>
      </c>
      <c r="C276" s="133">
        <v>123</v>
      </c>
      <c r="D276" s="133">
        <v>150</v>
      </c>
      <c r="E276" s="67">
        <f t="shared" si="171"/>
        <v>0.82</v>
      </c>
      <c r="F276" s="133">
        <v>232</v>
      </c>
      <c r="G276" s="133">
        <v>254</v>
      </c>
      <c r="H276" s="67">
        <f t="shared" si="172"/>
        <v>0.91338582677165359</v>
      </c>
      <c r="I276" s="66">
        <f t="shared" si="195"/>
        <v>355</v>
      </c>
      <c r="J276" s="66">
        <f t="shared" si="196"/>
        <v>404</v>
      </c>
      <c r="K276" s="67">
        <f t="shared" si="175"/>
        <v>0.87871287128712872</v>
      </c>
      <c r="L276" s="94" t="s">
        <v>19</v>
      </c>
      <c r="M276" s="94" t="s">
        <v>19</v>
      </c>
      <c r="N276" s="80" t="str">
        <f t="shared" si="176"/>
        <v>-</v>
      </c>
      <c r="O276" s="94" t="s">
        <v>19</v>
      </c>
      <c r="P276" s="94" t="s">
        <v>19</v>
      </c>
      <c r="Q276" s="80" t="str">
        <f t="shared" si="194"/>
        <v>-</v>
      </c>
      <c r="R276" s="64">
        <f t="shared" si="197"/>
        <v>0</v>
      </c>
      <c r="S276" s="64">
        <f t="shared" si="198"/>
        <v>0</v>
      </c>
      <c r="T276" s="80" t="str">
        <f t="shared" si="179"/>
        <v>-</v>
      </c>
      <c r="U276" s="96" t="s">
        <v>19</v>
      </c>
      <c r="V276" s="96" t="s">
        <v>19</v>
      </c>
      <c r="W276" s="83" t="str">
        <f t="shared" si="180"/>
        <v>-</v>
      </c>
      <c r="X276" s="133">
        <v>23</v>
      </c>
      <c r="Y276" s="133">
        <v>23</v>
      </c>
      <c r="Z276" s="67">
        <f t="shared" si="181"/>
        <v>1</v>
      </c>
      <c r="AA276" s="66">
        <f t="shared" si="199"/>
        <v>23</v>
      </c>
      <c r="AB276" s="66">
        <f t="shared" si="200"/>
        <v>23</v>
      </c>
      <c r="AC276" s="67">
        <f t="shared" si="184"/>
        <v>1</v>
      </c>
      <c r="AD276" s="73">
        <v>4059</v>
      </c>
      <c r="AE276" s="73">
        <v>4521</v>
      </c>
      <c r="AF276" s="21">
        <f t="shared" si="185"/>
        <v>0.8978102189781022</v>
      </c>
      <c r="AG276" s="73">
        <v>8319</v>
      </c>
      <c r="AH276" s="73">
        <v>9289</v>
      </c>
      <c r="AI276" s="21">
        <f t="shared" si="186"/>
        <v>0.8955754117773711</v>
      </c>
      <c r="AJ276" s="70"/>
      <c r="AK276" s="70"/>
      <c r="AL276" s="37" t="str">
        <f t="shared" si="187"/>
        <v>-</v>
      </c>
      <c r="AM276" s="104" t="s">
        <v>19</v>
      </c>
      <c r="AN276" s="104" t="s">
        <v>19</v>
      </c>
      <c r="AO276" s="44" t="str">
        <f t="shared" si="193"/>
        <v>-</v>
      </c>
      <c r="AP276" s="104" t="s">
        <v>19</v>
      </c>
      <c r="AQ276" s="104" t="s">
        <v>19</v>
      </c>
      <c r="AR276" s="44" t="str">
        <f t="shared" si="188"/>
        <v>-</v>
      </c>
      <c r="AS276" s="69"/>
      <c r="AT276" s="69"/>
      <c r="AU276" s="44" t="str">
        <f t="shared" si="189"/>
        <v>-</v>
      </c>
      <c r="AV276" s="81" t="s">
        <v>19</v>
      </c>
      <c r="AW276" s="81" t="s">
        <v>19</v>
      </c>
      <c r="AX276" s="37" t="str">
        <f t="shared" si="190"/>
        <v>-</v>
      </c>
      <c r="AY276" s="73">
        <v>262</v>
      </c>
      <c r="AZ276" s="73">
        <v>276</v>
      </c>
      <c r="BA276" s="21">
        <f t="shared" si="191"/>
        <v>0.94927536231884058</v>
      </c>
      <c r="BB276" s="70"/>
      <c r="BC276" s="70"/>
      <c r="BD276" s="37" t="str">
        <f t="shared" si="192"/>
        <v>-</v>
      </c>
    </row>
    <row r="277" spans="1:56" ht="14.25" customHeight="1">
      <c r="A277" s="8"/>
      <c r="B277" s="45" t="s">
        <v>100</v>
      </c>
      <c r="C277" s="136">
        <v>43</v>
      </c>
      <c r="D277" s="136">
        <v>44</v>
      </c>
      <c r="E277" s="67">
        <f t="shared" si="171"/>
        <v>0.97727272727272729</v>
      </c>
      <c r="F277" s="136">
        <v>0</v>
      </c>
      <c r="G277" s="136">
        <v>0</v>
      </c>
      <c r="H277" s="83" t="str">
        <f t="shared" si="172"/>
        <v>-</v>
      </c>
      <c r="I277" s="66">
        <f t="shared" si="195"/>
        <v>43</v>
      </c>
      <c r="J277" s="66">
        <f t="shared" si="196"/>
        <v>44</v>
      </c>
      <c r="K277" s="67">
        <f t="shared" si="175"/>
        <v>0.97727272727272729</v>
      </c>
      <c r="L277" s="94" t="s">
        <v>19</v>
      </c>
      <c r="M277" s="94" t="s">
        <v>19</v>
      </c>
      <c r="N277" s="80" t="str">
        <f t="shared" si="176"/>
        <v>-</v>
      </c>
      <c r="O277" s="94" t="s">
        <v>19</v>
      </c>
      <c r="P277" s="94" t="s">
        <v>19</v>
      </c>
      <c r="Q277" s="80" t="str">
        <f t="shared" si="194"/>
        <v>-</v>
      </c>
      <c r="R277" s="64">
        <f t="shared" si="197"/>
        <v>0</v>
      </c>
      <c r="S277" s="64">
        <f t="shared" si="198"/>
        <v>0</v>
      </c>
      <c r="T277" s="80" t="str">
        <f t="shared" si="179"/>
        <v>-</v>
      </c>
      <c r="U277" s="96" t="s">
        <v>19</v>
      </c>
      <c r="V277" s="96" t="s">
        <v>19</v>
      </c>
      <c r="W277" s="83" t="str">
        <f t="shared" si="180"/>
        <v>-</v>
      </c>
      <c r="X277" s="96" t="s">
        <v>19</v>
      </c>
      <c r="Y277" s="96" t="s">
        <v>19</v>
      </c>
      <c r="Z277" s="83" t="str">
        <f t="shared" si="181"/>
        <v>-</v>
      </c>
      <c r="AA277" s="66">
        <f t="shared" si="199"/>
        <v>0</v>
      </c>
      <c r="AB277" s="66">
        <f t="shared" si="200"/>
        <v>0</v>
      </c>
      <c r="AC277" s="83" t="str">
        <f t="shared" si="184"/>
        <v>-</v>
      </c>
      <c r="AD277" s="139">
        <v>1967</v>
      </c>
      <c r="AE277" s="139">
        <v>2145</v>
      </c>
      <c r="AF277" s="21">
        <f t="shared" si="185"/>
        <v>0.91701631701631703</v>
      </c>
      <c r="AG277" s="139">
        <v>0</v>
      </c>
      <c r="AH277" s="139">
        <v>0</v>
      </c>
      <c r="AI277" s="37" t="str">
        <f t="shared" si="186"/>
        <v>-</v>
      </c>
      <c r="AJ277" s="70"/>
      <c r="AK277" s="70"/>
      <c r="AL277" s="37" t="str">
        <f t="shared" si="187"/>
        <v>-</v>
      </c>
      <c r="AM277" s="104" t="s">
        <v>19</v>
      </c>
      <c r="AN277" s="104" t="s">
        <v>19</v>
      </c>
      <c r="AO277" s="44" t="str">
        <f t="shared" si="193"/>
        <v>-</v>
      </c>
      <c r="AP277" s="140"/>
      <c r="AQ277" s="140"/>
      <c r="AR277" s="44" t="str">
        <f t="shared" si="188"/>
        <v>-</v>
      </c>
      <c r="AS277" s="140"/>
      <c r="AT277" s="140"/>
      <c r="AU277" s="44" t="str">
        <f t="shared" si="189"/>
        <v>-</v>
      </c>
      <c r="AV277" s="81" t="s">
        <v>19</v>
      </c>
      <c r="AW277" s="81" t="s">
        <v>19</v>
      </c>
      <c r="AX277" s="37" t="str">
        <f t="shared" si="190"/>
        <v>-</v>
      </c>
      <c r="AY277" s="81" t="s">
        <v>19</v>
      </c>
      <c r="AZ277" s="81" t="s">
        <v>19</v>
      </c>
      <c r="BA277" s="37" t="str">
        <f t="shared" si="191"/>
        <v>-</v>
      </c>
      <c r="BB277" s="70"/>
      <c r="BC277" s="70"/>
      <c r="BD277" s="37" t="str">
        <f t="shared" si="192"/>
        <v>-</v>
      </c>
    </row>
    <row r="278" spans="1:56" ht="14.25" customHeight="1">
      <c r="A278" s="8"/>
      <c r="B278" s="45" t="s">
        <v>101</v>
      </c>
      <c r="C278" s="136">
        <v>47</v>
      </c>
      <c r="D278" s="136">
        <v>48</v>
      </c>
      <c r="E278" s="67">
        <f t="shared" si="171"/>
        <v>0.97916666666666663</v>
      </c>
      <c r="F278" s="136">
        <v>0</v>
      </c>
      <c r="G278" s="136">
        <v>0</v>
      </c>
      <c r="H278" s="83" t="str">
        <f t="shared" si="172"/>
        <v>-</v>
      </c>
      <c r="I278" s="66">
        <f t="shared" si="195"/>
        <v>47</v>
      </c>
      <c r="J278" s="66">
        <f t="shared" si="196"/>
        <v>48</v>
      </c>
      <c r="K278" s="67">
        <f t="shared" si="175"/>
        <v>0.97916666666666663</v>
      </c>
      <c r="L278" s="94" t="s">
        <v>19</v>
      </c>
      <c r="M278" s="94" t="s">
        <v>19</v>
      </c>
      <c r="N278" s="80" t="str">
        <f t="shared" si="176"/>
        <v>-</v>
      </c>
      <c r="O278" s="94" t="s">
        <v>19</v>
      </c>
      <c r="P278" s="94" t="s">
        <v>19</v>
      </c>
      <c r="Q278" s="80" t="str">
        <f t="shared" si="194"/>
        <v>-</v>
      </c>
      <c r="R278" s="64">
        <f t="shared" si="197"/>
        <v>0</v>
      </c>
      <c r="S278" s="64">
        <f t="shared" si="198"/>
        <v>0</v>
      </c>
      <c r="T278" s="80" t="str">
        <f t="shared" si="179"/>
        <v>-</v>
      </c>
      <c r="U278" s="96" t="s">
        <v>19</v>
      </c>
      <c r="V278" s="96" t="s">
        <v>19</v>
      </c>
      <c r="W278" s="83" t="str">
        <f t="shared" si="180"/>
        <v>-</v>
      </c>
      <c r="X278" s="96" t="s">
        <v>19</v>
      </c>
      <c r="Y278" s="96" t="s">
        <v>19</v>
      </c>
      <c r="Z278" s="83" t="str">
        <f t="shared" si="181"/>
        <v>-</v>
      </c>
      <c r="AA278" s="66">
        <f t="shared" si="199"/>
        <v>0</v>
      </c>
      <c r="AB278" s="66">
        <f t="shared" si="200"/>
        <v>0</v>
      </c>
      <c r="AC278" s="83" t="str">
        <f t="shared" si="184"/>
        <v>-</v>
      </c>
      <c r="AD278" s="139">
        <v>1979</v>
      </c>
      <c r="AE278" s="139">
        <v>2214</v>
      </c>
      <c r="AF278" s="21">
        <f t="shared" si="185"/>
        <v>0.89385727190605235</v>
      </c>
      <c r="AG278" s="139">
        <v>0</v>
      </c>
      <c r="AH278" s="139">
        <v>0</v>
      </c>
      <c r="AI278" s="37" t="str">
        <f t="shared" si="186"/>
        <v>-</v>
      </c>
      <c r="AJ278" s="70"/>
      <c r="AK278" s="70"/>
      <c r="AL278" s="37" t="str">
        <f t="shared" si="187"/>
        <v>-</v>
      </c>
      <c r="AM278" s="104" t="s">
        <v>19</v>
      </c>
      <c r="AN278" s="104" t="s">
        <v>19</v>
      </c>
      <c r="AO278" s="44" t="str">
        <f t="shared" si="193"/>
        <v>-</v>
      </c>
      <c r="AP278" s="140"/>
      <c r="AQ278" s="140"/>
      <c r="AR278" s="44" t="str">
        <f t="shared" si="188"/>
        <v>-</v>
      </c>
      <c r="AS278" s="140"/>
      <c r="AT278" s="140"/>
      <c r="AU278" s="44" t="str">
        <f t="shared" si="189"/>
        <v>-</v>
      </c>
      <c r="AV278" s="81" t="s">
        <v>19</v>
      </c>
      <c r="AW278" s="81" t="s">
        <v>19</v>
      </c>
      <c r="AX278" s="37" t="str">
        <f t="shared" si="190"/>
        <v>-</v>
      </c>
      <c r="AY278" s="81" t="s">
        <v>19</v>
      </c>
      <c r="AZ278" s="81" t="s">
        <v>19</v>
      </c>
      <c r="BA278" s="37" t="str">
        <f t="shared" si="191"/>
        <v>-</v>
      </c>
      <c r="BB278" s="70"/>
      <c r="BC278" s="70"/>
      <c r="BD278" s="37" t="str">
        <f t="shared" si="192"/>
        <v>-</v>
      </c>
    </row>
    <row r="279" spans="1:56" ht="14.25" customHeight="1">
      <c r="A279" s="2"/>
      <c r="B279" s="23"/>
      <c r="C279" s="46"/>
      <c r="D279" s="46"/>
      <c r="E279" s="46"/>
      <c r="F279" s="46"/>
      <c r="G279" s="46"/>
      <c r="H279" s="46"/>
      <c r="I279" s="46"/>
      <c r="J279" s="46"/>
      <c r="K279" s="46"/>
      <c r="L279" s="46"/>
      <c r="M279" s="46"/>
      <c r="N279" s="46"/>
      <c r="O279" s="46"/>
      <c r="P279" s="46"/>
      <c r="Q279" s="46"/>
      <c r="R279" s="46"/>
      <c r="S279" s="46"/>
      <c r="T279" s="46"/>
      <c r="U279" s="23"/>
      <c r="V279" s="23"/>
      <c r="W279" s="23"/>
      <c r="X279" s="23"/>
      <c r="Y279" s="23"/>
      <c r="Z279" s="23"/>
      <c r="AA279" s="23"/>
      <c r="AB279" s="23"/>
      <c r="AC279" s="23"/>
      <c r="AD279" s="23"/>
      <c r="AE279" s="23"/>
      <c r="AF279" s="23"/>
      <c r="AG279" s="23"/>
      <c r="AH279" s="23"/>
      <c r="AI279" s="23"/>
      <c r="AJ279" s="23"/>
      <c r="AK279" s="23"/>
      <c r="AL279" s="23"/>
      <c r="AM279" s="23"/>
      <c r="AN279" s="23"/>
      <c r="AO279" s="23"/>
      <c r="AP279" s="23"/>
      <c r="AQ279" s="23"/>
      <c r="AR279" s="23"/>
      <c r="AS279" s="23"/>
      <c r="AT279" s="23"/>
      <c r="AU279" s="23"/>
      <c r="AV279" s="23"/>
      <c r="AW279" s="23"/>
      <c r="AX279" s="23"/>
      <c r="AY279" s="23"/>
      <c r="AZ279" s="23"/>
      <c r="BA279" s="23"/>
      <c r="BB279" s="23"/>
      <c r="BC279" s="23"/>
      <c r="BD279" s="23"/>
    </row>
    <row r="280" spans="1:56" ht="14.25" customHeight="1">
      <c r="A280" s="2"/>
      <c r="B280" s="2"/>
      <c r="C280" s="24"/>
      <c r="D280" s="24"/>
      <c r="E280" s="24"/>
      <c r="F280" s="24"/>
      <c r="G280" s="24"/>
      <c r="H280" s="24"/>
      <c r="I280" s="24"/>
      <c r="J280" s="24"/>
      <c r="K280" s="24"/>
      <c r="L280" s="24"/>
      <c r="M280" s="24"/>
      <c r="N280" s="24"/>
      <c r="O280" s="24"/>
      <c r="P280" s="24"/>
      <c r="Q280" s="24"/>
      <c r="R280" s="24"/>
      <c r="S280" s="24"/>
      <c r="T280" s="24"/>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row>
    <row r="281" spans="1:56" ht="14.25" customHeight="1">
      <c r="A281" s="2"/>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row>
    <row r="282" spans="1:56" ht="14.25" customHeight="1">
      <c r="A282" s="26"/>
      <c r="B282" s="59" t="s">
        <v>36</v>
      </c>
      <c r="C282" s="60"/>
      <c r="D282" s="60"/>
      <c r="E282" s="60"/>
      <c r="F282" s="60"/>
      <c r="G282" s="60"/>
      <c r="H282" s="60"/>
      <c r="I282" s="60"/>
      <c r="J282" s="60"/>
      <c r="K282" s="60"/>
      <c r="L282" s="60"/>
      <c r="M282" s="60"/>
      <c r="N282" s="60"/>
      <c r="O282" s="125" t="s">
        <v>17</v>
      </c>
      <c r="P282" s="126"/>
      <c r="Q282" s="126"/>
      <c r="R282" s="126"/>
      <c r="S282" s="126"/>
      <c r="T282" s="126"/>
      <c r="U282" s="126"/>
      <c r="V282" s="126"/>
      <c r="W282" s="126"/>
      <c r="X282" s="126"/>
      <c r="Y282" s="126"/>
      <c r="Z282" s="126"/>
      <c r="AA282" s="31"/>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row>
    <row r="283" spans="1:56" ht="15" customHeight="1">
      <c r="A283" s="8"/>
      <c r="B283" s="511" t="s">
        <v>112</v>
      </c>
      <c r="C283" s="502" t="s">
        <v>135</v>
      </c>
      <c r="D283" s="503"/>
      <c r="E283" s="505"/>
      <c r="F283" s="502" t="s">
        <v>23</v>
      </c>
      <c r="G283" s="503"/>
      <c r="H283" s="505"/>
      <c r="I283" s="502" t="s">
        <v>136</v>
      </c>
      <c r="J283" s="503"/>
      <c r="K283" s="505"/>
      <c r="L283" s="502" t="s">
        <v>21</v>
      </c>
      <c r="M283" s="503"/>
      <c r="N283" s="505"/>
      <c r="O283" s="502" t="s">
        <v>135</v>
      </c>
      <c r="P283" s="503"/>
      <c r="Q283" s="505"/>
      <c r="R283" s="502" t="s">
        <v>23</v>
      </c>
      <c r="S283" s="503"/>
      <c r="T283" s="505"/>
      <c r="U283" s="502" t="s">
        <v>136</v>
      </c>
      <c r="V283" s="503"/>
      <c r="W283" s="505"/>
      <c r="X283" s="502" t="s">
        <v>21</v>
      </c>
      <c r="Y283" s="503"/>
      <c r="Z283" s="505"/>
      <c r="AA283" s="10"/>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row>
    <row r="284" spans="1:56" ht="30" customHeight="1">
      <c r="A284" s="8"/>
      <c r="B284" s="521"/>
      <c r="C284" s="34">
        <v>44927</v>
      </c>
      <c r="D284" s="34">
        <v>44958</v>
      </c>
      <c r="E284" s="32" t="s">
        <v>11</v>
      </c>
      <c r="F284" s="34">
        <v>44927</v>
      </c>
      <c r="G284" s="34">
        <v>44958</v>
      </c>
      <c r="H284" s="32" t="s">
        <v>11</v>
      </c>
      <c r="I284" s="34">
        <v>44927</v>
      </c>
      <c r="J284" s="34">
        <v>44958</v>
      </c>
      <c r="K284" s="32" t="s">
        <v>11</v>
      </c>
      <c r="L284" s="34">
        <v>44927</v>
      </c>
      <c r="M284" s="34">
        <v>44958</v>
      </c>
      <c r="N284" s="32" t="s">
        <v>11</v>
      </c>
      <c r="O284" s="34">
        <v>44927</v>
      </c>
      <c r="P284" s="34">
        <v>44958</v>
      </c>
      <c r="Q284" s="32" t="s">
        <v>11</v>
      </c>
      <c r="R284" s="34">
        <v>44927</v>
      </c>
      <c r="S284" s="34">
        <v>44958</v>
      </c>
      <c r="T284" s="32" t="s">
        <v>11</v>
      </c>
      <c r="U284" s="34">
        <v>44927</v>
      </c>
      <c r="V284" s="34">
        <v>44958</v>
      </c>
      <c r="W284" s="32" t="s">
        <v>11</v>
      </c>
      <c r="X284" s="34">
        <v>44927</v>
      </c>
      <c r="Y284" s="34">
        <v>44958</v>
      </c>
      <c r="Z284" s="32" t="s">
        <v>11</v>
      </c>
      <c r="AA284" s="10"/>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row>
    <row r="285" spans="1:56" ht="14.25" customHeight="1">
      <c r="A285" s="8"/>
      <c r="B285" s="12" t="s">
        <v>67</v>
      </c>
      <c r="C285" s="65">
        <f t="shared" ref="C285:C294" si="201">E306</f>
        <v>0.93031440638198026</v>
      </c>
      <c r="D285" s="65">
        <f t="shared" ref="D285:D294" si="202">H306</f>
        <v>0.93109026205111611</v>
      </c>
      <c r="E285" s="65">
        <f t="shared" ref="E285:E294" si="203">K306</f>
        <v>0.93064055487556097</v>
      </c>
      <c r="F285" s="80" t="str">
        <f t="shared" ref="F285:F294" si="204">N306</f>
        <v>-</v>
      </c>
      <c r="G285" s="80" t="str">
        <f t="shared" ref="G285:G294" si="205">Q306</f>
        <v>-</v>
      </c>
      <c r="H285" s="80" t="str">
        <f t="shared" ref="H285:H294" si="206">T306</f>
        <v>-</v>
      </c>
      <c r="I285" s="80" t="str">
        <f t="shared" ref="I285:I294" si="207">W306</f>
        <v>-</v>
      </c>
      <c r="J285" s="80" t="str">
        <f t="shared" ref="J285:J294" si="208">Z306</f>
        <v>-</v>
      </c>
      <c r="K285" s="80" t="str">
        <f t="shared" ref="K285:K294" si="209">AC306</f>
        <v>-</v>
      </c>
      <c r="L285" s="65">
        <f t="shared" ref="L285:L300" si="210">IFERROR(SUM(C306,L306,U306)/SUM(D306,M306,V306),"-")</f>
        <v>0.93031440638198026</v>
      </c>
      <c r="M285" s="65">
        <f t="shared" ref="M285:M300" si="211">IFERROR(SUM(F306,O306,X306)/SUM(G306,P306,Y306),"-")</f>
        <v>0.93109026205111611</v>
      </c>
      <c r="N285" s="65">
        <f t="shared" ref="N285:N300" si="212">IFERROR(SUM(I306,R306,AA306)/SUM(J306,S306,AB306),"-")</f>
        <v>0.93064055487556097</v>
      </c>
      <c r="O285" s="127">
        <f t="shared" ref="O285:O300" si="213">AF306</f>
        <v>0.85728101466508122</v>
      </c>
      <c r="P285" s="127">
        <f t="shared" ref="P285:P300" si="214">AI306</f>
        <v>0.82381760666615234</v>
      </c>
      <c r="Q285" s="128" t="str">
        <f t="shared" ref="Q285:Q300" si="215">AL306</f>
        <v>-</v>
      </c>
      <c r="R285" s="128" t="str">
        <f t="shared" ref="R285:R300" si="216">AO306</f>
        <v>-</v>
      </c>
      <c r="S285" s="128" t="str">
        <f t="shared" ref="S285:S300" si="217">AR306</f>
        <v>-</v>
      </c>
      <c r="T285" s="128" t="str">
        <f t="shared" ref="T285:T300" si="218">AU306</f>
        <v>-</v>
      </c>
      <c r="U285" s="128" t="str">
        <f t="shared" ref="U285:U300" si="219">AX306</f>
        <v>-</v>
      </c>
      <c r="V285" s="128" t="str">
        <f t="shared" ref="V285:V300" si="220">BA306</f>
        <v>-</v>
      </c>
      <c r="W285" s="128" t="str">
        <f t="shared" ref="W285:W300" si="221">BD306</f>
        <v>-</v>
      </c>
      <c r="X285" s="127"/>
      <c r="Y285" s="127"/>
      <c r="Z285" s="127"/>
      <c r="AA285" s="10"/>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row>
    <row r="286" spans="1:56" ht="14.25" customHeight="1">
      <c r="A286" s="8"/>
      <c r="B286" s="12" t="s">
        <v>119</v>
      </c>
      <c r="C286" s="65">
        <f t="shared" si="201"/>
        <v>0.91109450877848341</v>
      </c>
      <c r="D286" s="65">
        <f t="shared" si="202"/>
        <v>0.9089463220675944</v>
      </c>
      <c r="E286" s="65">
        <f t="shared" si="203"/>
        <v>0.91005392912172578</v>
      </c>
      <c r="F286" s="65">
        <f t="shared" si="204"/>
        <v>0.87526427061310785</v>
      </c>
      <c r="G286" s="65">
        <f t="shared" si="205"/>
        <v>0.7142857142857143</v>
      </c>
      <c r="H286" s="65">
        <f t="shared" si="206"/>
        <v>0.8662674650698603</v>
      </c>
      <c r="I286" s="65">
        <f t="shared" si="207"/>
        <v>0.875</v>
      </c>
      <c r="J286" s="65">
        <f t="shared" si="208"/>
        <v>0.99277978339350181</v>
      </c>
      <c r="K286" s="65">
        <f t="shared" si="209"/>
        <v>0.97538461538461541</v>
      </c>
      <c r="L286" s="65">
        <f t="shared" si="210"/>
        <v>0.90480591497227358</v>
      </c>
      <c r="M286" s="65">
        <f t="shared" si="211"/>
        <v>0.92218275750726508</v>
      </c>
      <c r="N286" s="65">
        <f t="shared" si="212"/>
        <v>0.9132902412107835</v>
      </c>
      <c r="O286" s="127">
        <f t="shared" si="213"/>
        <v>0.87738807756763226</v>
      </c>
      <c r="P286" s="127">
        <f t="shared" si="214"/>
        <v>0.87220057380208116</v>
      </c>
      <c r="Q286" s="128" t="str">
        <f t="shared" si="215"/>
        <v>-</v>
      </c>
      <c r="R286" s="127">
        <f t="shared" si="216"/>
        <v>0.83574879227053145</v>
      </c>
      <c r="S286" s="127">
        <f t="shared" si="217"/>
        <v>0.9</v>
      </c>
      <c r="T286" s="128" t="str">
        <f t="shared" si="218"/>
        <v>-</v>
      </c>
      <c r="U286" s="127">
        <f t="shared" si="219"/>
        <v>0.96455938697318011</v>
      </c>
      <c r="V286" s="127">
        <f t="shared" si="220"/>
        <v>0.93610129564193167</v>
      </c>
      <c r="W286" s="128" t="str">
        <f t="shared" si="221"/>
        <v>-</v>
      </c>
      <c r="X286" s="127"/>
      <c r="Y286" s="127"/>
      <c r="Z286" s="127"/>
      <c r="AA286" s="10"/>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row>
    <row r="287" spans="1:56" ht="14.25" customHeight="1">
      <c r="A287" s="8"/>
      <c r="B287" s="12" t="s">
        <v>120</v>
      </c>
      <c r="C287" s="65">
        <f t="shared" si="201"/>
        <v>0.92738275340393339</v>
      </c>
      <c r="D287" s="65">
        <f t="shared" si="202"/>
        <v>0.93442622950819676</v>
      </c>
      <c r="E287" s="65">
        <f t="shared" si="203"/>
        <v>0.93108399138549891</v>
      </c>
      <c r="F287" s="65">
        <f t="shared" si="204"/>
        <v>0.75961538461538458</v>
      </c>
      <c r="G287" s="65">
        <f t="shared" si="205"/>
        <v>0.33333333333333331</v>
      </c>
      <c r="H287" s="65">
        <f t="shared" si="206"/>
        <v>0.74766355140186913</v>
      </c>
      <c r="I287" s="65">
        <f t="shared" si="207"/>
        <v>0.90909090909090906</v>
      </c>
      <c r="J287" s="65">
        <f t="shared" si="208"/>
        <v>0.98675496688741726</v>
      </c>
      <c r="K287" s="65">
        <f t="shared" si="209"/>
        <v>0.98148148148148151</v>
      </c>
      <c r="L287" s="65">
        <f t="shared" si="210"/>
        <v>0.90463917525773196</v>
      </c>
      <c r="M287" s="65">
        <f t="shared" si="211"/>
        <v>0.94130925507900676</v>
      </c>
      <c r="N287" s="65">
        <f t="shared" si="212"/>
        <v>0.92418772563176899</v>
      </c>
      <c r="O287" s="127">
        <f t="shared" si="213"/>
        <v>0.81828908554572266</v>
      </c>
      <c r="P287" s="127">
        <f t="shared" si="214"/>
        <v>0.82047930283224402</v>
      </c>
      <c r="Q287" s="128" t="str">
        <f t="shared" si="215"/>
        <v>-</v>
      </c>
      <c r="R287" s="127">
        <f t="shared" si="216"/>
        <v>0.80733944954128445</v>
      </c>
      <c r="S287" s="127">
        <f t="shared" si="217"/>
        <v>1</v>
      </c>
      <c r="T287" s="128" t="str">
        <f t="shared" si="218"/>
        <v>-</v>
      </c>
      <c r="U287" s="127">
        <f t="shared" si="219"/>
        <v>0.98333333333333328</v>
      </c>
      <c r="V287" s="127">
        <f t="shared" si="220"/>
        <v>0.92785234899328861</v>
      </c>
      <c r="W287" s="128" t="str">
        <f t="shared" si="221"/>
        <v>-</v>
      </c>
      <c r="X287" s="127"/>
      <c r="Y287" s="127"/>
      <c r="Z287" s="127"/>
      <c r="AA287" s="10"/>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row>
    <row r="288" spans="1:56" ht="14.25" customHeight="1">
      <c r="A288" s="8"/>
      <c r="B288" s="12" t="s">
        <v>121</v>
      </c>
      <c r="C288" s="65">
        <f t="shared" si="201"/>
        <v>0.96266666666666667</v>
      </c>
      <c r="D288" s="65">
        <f t="shared" si="202"/>
        <v>0.9360730593607306</v>
      </c>
      <c r="E288" s="65">
        <f t="shared" si="203"/>
        <v>0.94833948339483398</v>
      </c>
      <c r="F288" s="65">
        <f t="shared" si="204"/>
        <v>0.83750000000000002</v>
      </c>
      <c r="G288" s="65">
        <f t="shared" si="205"/>
        <v>1</v>
      </c>
      <c r="H288" s="65">
        <f t="shared" si="206"/>
        <v>0.87254901960784315</v>
      </c>
      <c r="I288" s="65">
        <f t="shared" si="207"/>
        <v>1</v>
      </c>
      <c r="J288" s="65">
        <f t="shared" si="208"/>
        <v>0.97402597402597402</v>
      </c>
      <c r="K288" s="65">
        <f t="shared" si="209"/>
        <v>0.97727272727272729</v>
      </c>
      <c r="L288" s="65">
        <f t="shared" si="210"/>
        <v>0.94206008583690992</v>
      </c>
      <c r="M288" s="65">
        <f t="shared" si="211"/>
        <v>0.94413407821229045</v>
      </c>
      <c r="N288" s="65">
        <f t="shared" si="212"/>
        <v>0.94317048853439678</v>
      </c>
      <c r="O288" s="127">
        <f t="shared" si="213"/>
        <v>0.84701754385964911</v>
      </c>
      <c r="P288" s="127">
        <f t="shared" si="214"/>
        <v>0.84045584045584043</v>
      </c>
      <c r="Q288" s="128" t="str">
        <f t="shared" si="215"/>
        <v>-</v>
      </c>
      <c r="R288" s="127">
        <f t="shared" si="216"/>
        <v>0.88059701492537312</v>
      </c>
      <c r="S288" s="127">
        <f t="shared" si="217"/>
        <v>0.72727272727272729</v>
      </c>
      <c r="T288" s="128" t="str">
        <f t="shared" si="218"/>
        <v>-</v>
      </c>
      <c r="U288" s="127">
        <f t="shared" si="219"/>
        <v>0.95454545454545459</v>
      </c>
      <c r="V288" s="127">
        <f t="shared" si="220"/>
        <v>0.94333333333333336</v>
      </c>
      <c r="W288" s="128" t="str">
        <f t="shared" si="221"/>
        <v>-</v>
      </c>
      <c r="X288" s="127"/>
      <c r="Y288" s="127"/>
      <c r="Z288" s="127"/>
      <c r="AA288" s="10"/>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row>
    <row r="289" spans="1:56" ht="14.25" customHeight="1">
      <c r="A289" s="8"/>
      <c r="B289" s="12" t="s">
        <v>122</v>
      </c>
      <c r="C289" s="65">
        <f t="shared" si="201"/>
        <v>0.91095890410958902</v>
      </c>
      <c r="D289" s="65">
        <f t="shared" si="202"/>
        <v>0.88607594936708856</v>
      </c>
      <c r="E289" s="65">
        <f t="shared" si="203"/>
        <v>0.89981096408317585</v>
      </c>
      <c r="F289" s="65">
        <f t="shared" si="204"/>
        <v>0.75</v>
      </c>
      <c r="G289" s="65">
        <f t="shared" si="205"/>
        <v>0.85964912280701755</v>
      </c>
      <c r="H289" s="65">
        <f t="shared" si="206"/>
        <v>0.85245901639344257</v>
      </c>
      <c r="I289" s="65">
        <f t="shared" si="207"/>
        <v>0.72727272727272729</v>
      </c>
      <c r="J289" s="65">
        <f t="shared" si="208"/>
        <v>1</v>
      </c>
      <c r="K289" s="65">
        <f t="shared" si="209"/>
        <v>0.95588235294117652</v>
      </c>
      <c r="L289" s="65">
        <f t="shared" si="210"/>
        <v>0.90228013029315957</v>
      </c>
      <c r="M289" s="65">
        <f t="shared" si="211"/>
        <v>0.90028490028490027</v>
      </c>
      <c r="N289" s="65">
        <f t="shared" si="212"/>
        <v>0.90121580547112456</v>
      </c>
      <c r="O289" s="127">
        <f t="shared" si="213"/>
        <v>0.84048640915593709</v>
      </c>
      <c r="P289" s="127">
        <f t="shared" si="214"/>
        <v>0.84946236559139787</v>
      </c>
      <c r="Q289" s="128" t="str">
        <f t="shared" si="215"/>
        <v>-</v>
      </c>
      <c r="R289" s="127">
        <f t="shared" si="216"/>
        <v>0.66666666666666663</v>
      </c>
      <c r="S289" s="127">
        <f t="shared" si="217"/>
        <v>0.85567010309278346</v>
      </c>
      <c r="T289" s="128" t="str">
        <f t="shared" si="218"/>
        <v>-</v>
      </c>
      <c r="U289" s="127">
        <f t="shared" si="219"/>
        <v>0.90625</v>
      </c>
      <c r="V289" s="127">
        <f t="shared" si="220"/>
        <v>0.90789473684210531</v>
      </c>
      <c r="W289" s="128" t="str">
        <f t="shared" si="221"/>
        <v>-</v>
      </c>
      <c r="X289" s="127"/>
      <c r="Y289" s="127"/>
      <c r="Z289" s="127"/>
      <c r="AA289" s="10"/>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row>
    <row r="290" spans="1:56" ht="14.25" customHeight="1">
      <c r="A290" s="8"/>
      <c r="B290" s="12" t="s">
        <v>123</v>
      </c>
      <c r="C290" s="65">
        <f t="shared" si="201"/>
        <v>0.91623036649214662</v>
      </c>
      <c r="D290" s="65">
        <f t="shared" si="202"/>
        <v>0.97506925207756234</v>
      </c>
      <c r="E290" s="65">
        <f t="shared" si="203"/>
        <v>0.94481830417227453</v>
      </c>
      <c r="F290" s="80" t="str">
        <f t="shared" si="204"/>
        <v>-</v>
      </c>
      <c r="G290" s="65">
        <f t="shared" si="205"/>
        <v>1</v>
      </c>
      <c r="H290" s="65">
        <f t="shared" si="206"/>
        <v>1</v>
      </c>
      <c r="I290" s="65">
        <f t="shared" si="207"/>
        <v>1</v>
      </c>
      <c r="J290" s="65">
        <f t="shared" si="208"/>
        <v>1</v>
      </c>
      <c r="K290" s="65">
        <f t="shared" si="209"/>
        <v>1</v>
      </c>
      <c r="L290" s="65">
        <f t="shared" si="210"/>
        <v>0.92417061611374407</v>
      </c>
      <c r="M290" s="65">
        <f t="shared" si="211"/>
        <v>0.97540983606557374</v>
      </c>
      <c r="N290" s="65">
        <f t="shared" si="212"/>
        <v>0.94796954314720816</v>
      </c>
      <c r="O290" s="127">
        <f t="shared" si="213"/>
        <v>0.93318638110273744</v>
      </c>
      <c r="P290" s="127">
        <f t="shared" si="214"/>
        <v>0.90911163678855411</v>
      </c>
      <c r="Q290" s="128" t="str">
        <f t="shared" si="215"/>
        <v>-</v>
      </c>
      <c r="R290" s="128" t="str">
        <f t="shared" si="216"/>
        <v>-</v>
      </c>
      <c r="S290" s="127">
        <f t="shared" si="217"/>
        <v>0.5</v>
      </c>
      <c r="T290" s="128" t="str">
        <f t="shared" si="218"/>
        <v>-</v>
      </c>
      <c r="U290" s="127">
        <f t="shared" si="219"/>
        <v>0.99791666666666667</v>
      </c>
      <c r="V290" s="127">
        <f t="shared" si="220"/>
        <v>0.98958333333333337</v>
      </c>
      <c r="W290" s="128" t="str">
        <f t="shared" si="221"/>
        <v>-</v>
      </c>
      <c r="X290" s="127"/>
      <c r="Y290" s="127"/>
      <c r="Z290" s="127"/>
      <c r="AA290" s="10"/>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row>
    <row r="291" spans="1:56" ht="14.25" customHeight="1">
      <c r="A291" s="8"/>
      <c r="B291" s="12" t="s">
        <v>124</v>
      </c>
      <c r="C291" s="65">
        <f t="shared" si="201"/>
        <v>0.91191709844559588</v>
      </c>
      <c r="D291" s="65">
        <f t="shared" si="202"/>
        <v>0.86187845303867405</v>
      </c>
      <c r="E291" s="65">
        <f t="shared" si="203"/>
        <v>0.88770053475935828</v>
      </c>
      <c r="F291" s="65">
        <f t="shared" si="204"/>
        <v>0.92</v>
      </c>
      <c r="G291" s="80" t="str">
        <f t="shared" si="205"/>
        <v>-</v>
      </c>
      <c r="H291" s="65">
        <f t="shared" si="206"/>
        <v>0.92</v>
      </c>
      <c r="I291" s="65">
        <f t="shared" si="207"/>
        <v>1</v>
      </c>
      <c r="J291" s="65">
        <f t="shared" si="208"/>
        <v>0.97959183673469385</v>
      </c>
      <c r="K291" s="65">
        <f t="shared" si="209"/>
        <v>0.98148148148148151</v>
      </c>
      <c r="L291" s="65">
        <f t="shared" si="210"/>
        <v>0.91532258064516125</v>
      </c>
      <c r="M291" s="65">
        <f t="shared" si="211"/>
        <v>0.88695652173913042</v>
      </c>
      <c r="N291" s="65">
        <f t="shared" si="212"/>
        <v>0.90167364016736407</v>
      </c>
      <c r="O291" s="127">
        <f t="shared" si="213"/>
        <v>0.92112235067437376</v>
      </c>
      <c r="P291" s="127">
        <f t="shared" si="214"/>
        <v>0.93710466642797474</v>
      </c>
      <c r="Q291" s="128" t="str">
        <f t="shared" si="215"/>
        <v>-</v>
      </c>
      <c r="R291" s="127">
        <f t="shared" si="216"/>
        <v>0.90909090909090906</v>
      </c>
      <c r="S291" s="128" t="str">
        <f t="shared" si="217"/>
        <v>-</v>
      </c>
      <c r="T291" s="128" t="str">
        <f t="shared" si="218"/>
        <v>-</v>
      </c>
      <c r="U291" s="127">
        <f t="shared" si="219"/>
        <v>1</v>
      </c>
      <c r="V291" s="127">
        <f t="shared" si="220"/>
        <v>0.94753086419753085</v>
      </c>
      <c r="W291" s="128" t="str">
        <f t="shared" si="221"/>
        <v>-</v>
      </c>
      <c r="X291" s="127"/>
      <c r="Y291" s="127"/>
      <c r="Z291" s="127"/>
      <c r="AA291" s="10"/>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row>
    <row r="292" spans="1:56" ht="14.25" customHeight="1">
      <c r="A292" s="8"/>
      <c r="B292" s="12" t="s">
        <v>125</v>
      </c>
      <c r="C292" s="65">
        <f t="shared" si="201"/>
        <v>0.95436507936507942</v>
      </c>
      <c r="D292" s="65">
        <f t="shared" si="202"/>
        <v>0.93130990415335468</v>
      </c>
      <c r="E292" s="65">
        <f t="shared" si="203"/>
        <v>0.94159292035398234</v>
      </c>
      <c r="F292" s="65">
        <f t="shared" si="204"/>
        <v>0.73648648648648651</v>
      </c>
      <c r="G292" s="65">
        <f t="shared" si="205"/>
        <v>0.6470588235294118</v>
      </c>
      <c r="H292" s="65">
        <f t="shared" si="206"/>
        <v>0.72727272727272729</v>
      </c>
      <c r="I292" s="65">
        <f t="shared" si="207"/>
        <v>0.95454545454545459</v>
      </c>
      <c r="J292" s="65">
        <f t="shared" si="208"/>
        <v>0.98630136986301364</v>
      </c>
      <c r="K292" s="65">
        <f t="shared" si="209"/>
        <v>0.9821428571428571</v>
      </c>
      <c r="L292" s="65">
        <f t="shared" si="210"/>
        <v>0.90652818991097928</v>
      </c>
      <c r="M292" s="65">
        <f t="shared" si="211"/>
        <v>0.93536121673003803</v>
      </c>
      <c r="N292" s="65">
        <f t="shared" si="212"/>
        <v>0.92207792207792205</v>
      </c>
      <c r="O292" s="127">
        <f t="shared" si="213"/>
        <v>0.82564817160712778</v>
      </c>
      <c r="P292" s="127">
        <f t="shared" si="214"/>
        <v>0.78314917127071826</v>
      </c>
      <c r="Q292" s="128" t="str">
        <f t="shared" si="215"/>
        <v>-</v>
      </c>
      <c r="R292" s="127">
        <f t="shared" si="216"/>
        <v>0.64414414414414412</v>
      </c>
      <c r="S292" s="127">
        <f t="shared" si="217"/>
        <v>0.83333333333333337</v>
      </c>
      <c r="T292" s="128" t="str">
        <f t="shared" si="218"/>
        <v>-</v>
      </c>
      <c r="U292" s="127">
        <f t="shared" si="219"/>
        <v>0.9683908045977011</v>
      </c>
      <c r="V292" s="127">
        <f t="shared" si="220"/>
        <v>0.88975155279503104</v>
      </c>
      <c r="W292" s="128" t="str">
        <f t="shared" si="221"/>
        <v>-</v>
      </c>
      <c r="X292" s="127"/>
      <c r="Y292" s="127"/>
      <c r="Z292" s="127"/>
      <c r="AA292" s="10"/>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row>
    <row r="293" spans="1:56" ht="14.25" customHeight="1">
      <c r="A293" s="8"/>
      <c r="B293" s="12" t="s">
        <v>126</v>
      </c>
      <c r="C293" s="65">
        <f t="shared" si="201"/>
        <v>0.92429284525790345</v>
      </c>
      <c r="D293" s="65">
        <f t="shared" si="202"/>
        <v>0.91706615532118885</v>
      </c>
      <c r="E293" s="65">
        <f t="shared" si="203"/>
        <v>0.92093541202672602</v>
      </c>
      <c r="F293" s="65">
        <f t="shared" si="204"/>
        <v>0.87526427061310785</v>
      </c>
      <c r="G293" s="65">
        <f t="shared" si="205"/>
        <v>0.7142857142857143</v>
      </c>
      <c r="H293" s="65">
        <f t="shared" si="206"/>
        <v>0.8662674650698603</v>
      </c>
      <c r="I293" s="65">
        <f t="shared" si="207"/>
        <v>0.875</v>
      </c>
      <c r="J293" s="65">
        <f t="shared" si="208"/>
        <v>0.99246704331450097</v>
      </c>
      <c r="K293" s="65">
        <f t="shared" si="209"/>
        <v>0.97448165869218506</v>
      </c>
      <c r="L293" s="65">
        <f t="shared" si="210"/>
        <v>0.91490077362933064</v>
      </c>
      <c r="M293" s="65">
        <f t="shared" si="211"/>
        <v>0.93005671077504726</v>
      </c>
      <c r="N293" s="65">
        <f t="shared" si="212"/>
        <v>0.92203631185475254</v>
      </c>
      <c r="O293" s="127">
        <f t="shared" si="213"/>
        <v>0.87555318581711539</v>
      </c>
      <c r="P293" s="127">
        <f t="shared" si="214"/>
        <v>0.87026272959776796</v>
      </c>
      <c r="Q293" s="128" t="str">
        <f t="shared" si="215"/>
        <v>-</v>
      </c>
      <c r="R293" s="127">
        <f t="shared" si="216"/>
        <v>0.83574879227053145</v>
      </c>
      <c r="S293" s="127">
        <f t="shared" si="217"/>
        <v>0.9</v>
      </c>
      <c r="T293" s="128" t="str">
        <f t="shared" si="218"/>
        <v>-</v>
      </c>
      <c r="U293" s="127">
        <f t="shared" si="219"/>
        <v>0.96455938697318011</v>
      </c>
      <c r="V293" s="127">
        <f t="shared" si="220"/>
        <v>0.9355432780847146</v>
      </c>
      <c r="W293" s="128" t="str">
        <f t="shared" si="221"/>
        <v>-</v>
      </c>
      <c r="X293" s="127"/>
      <c r="Y293" s="127"/>
      <c r="Z293" s="127"/>
      <c r="AA293" s="10"/>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row>
    <row r="294" spans="1:56" ht="14.25" customHeight="1">
      <c r="A294" s="8"/>
      <c r="B294" s="12" t="s">
        <v>127</v>
      </c>
      <c r="C294" s="65">
        <f t="shared" si="201"/>
        <v>0.79487179487179482</v>
      </c>
      <c r="D294" s="65">
        <f t="shared" si="202"/>
        <v>0.86946386946386944</v>
      </c>
      <c r="E294" s="65">
        <f t="shared" si="203"/>
        <v>0.84045584045584043</v>
      </c>
      <c r="F294" s="80" t="str">
        <f t="shared" si="204"/>
        <v>-</v>
      </c>
      <c r="G294" s="80" t="str">
        <f t="shared" si="205"/>
        <v>-</v>
      </c>
      <c r="H294" s="80" t="str">
        <f t="shared" si="206"/>
        <v>-</v>
      </c>
      <c r="I294" s="80" t="str">
        <f t="shared" si="207"/>
        <v>-</v>
      </c>
      <c r="J294" s="65">
        <f t="shared" si="208"/>
        <v>1</v>
      </c>
      <c r="K294" s="65">
        <f t="shared" si="209"/>
        <v>1</v>
      </c>
      <c r="L294" s="65">
        <f t="shared" si="210"/>
        <v>0.79487179487179482</v>
      </c>
      <c r="M294" s="65">
        <f t="shared" si="211"/>
        <v>0.87610619469026552</v>
      </c>
      <c r="N294" s="65">
        <f t="shared" si="212"/>
        <v>0.84551724137931039</v>
      </c>
      <c r="O294" s="127">
        <f t="shared" si="213"/>
        <v>0.89354460093896715</v>
      </c>
      <c r="P294" s="127">
        <f t="shared" si="214"/>
        <v>0.88158059272227085</v>
      </c>
      <c r="Q294" s="128" t="str">
        <f t="shared" si="215"/>
        <v>-</v>
      </c>
      <c r="R294" s="128" t="str">
        <f t="shared" si="216"/>
        <v>-</v>
      </c>
      <c r="S294" s="128" t="str">
        <f t="shared" si="217"/>
        <v>-</v>
      </c>
      <c r="T294" s="128" t="str">
        <f t="shared" si="218"/>
        <v>-</v>
      </c>
      <c r="U294" s="128" t="str">
        <f t="shared" si="219"/>
        <v>-</v>
      </c>
      <c r="V294" s="127">
        <f t="shared" si="220"/>
        <v>0.94927536231884058</v>
      </c>
      <c r="W294" s="128" t="str">
        <f t="shared" si="221"/>
        <v>-</v>
      </c>
      <c r="X294" s="127"/>
      <c r="Y294" s="127"/>
      <c r="Z294" s="127"/>
      <c r="AA294" s="10"/>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row>
    <row r="295" spans="1:56" ht="14.25" customHeight="1">
      <c r="A295" s="8"/>
      <c r="B295" s="45" t="s">
        <v>128</v>
      </c>
      <c r="C295" s="65">
        <f>E278</f>
        <v>0.97916666666666663</v>
      </c>
      <c r="D295" s="80" t="str">
        <f>H278</f>
        <v>-</v>
      </c>
      <c r="E295" s="65">
        <f>K278</f>
        <v>0.97916666666666663</v>
      </c>
      <c r="F295" s="80" t="str">
        <f>N278</f>
        <v>-</v>
      </c>
      <c r="G295" s="80" t="str">
        <f>Q278</f>
        <v>-</v>
      </c>
      <c r="H295" s="80" t="str">
        <f>T278</f>
        <v>-</v>
      </c>
      <c r="I295" s="80" t="str">
        <f>W278</f>
        <v>-</v>
      </c>
      <c r="J295" s="80" t="str">
        <f>Z278</f>
        <v>-</v>
      </c>
      <c r="K295" s="80" t="str">
        <f>AC278</f>
        <v>-</v>
      </c>
      <c r="L295" s="91">
        <f t="shared" si="210"/>
        <v>0.97916666666666663</v>
      </c>
      <c r="M295" s="141" t="str">
        <f t="shared" si="211"/>
        <v>-</v>
      </c>
      <c r="N295" s="91">
        <f t="shared" si="212"/>
        <v>0.97916666666666663</v>
      </c>
      <c r="O295" s="142">
        <f t="shared" si="213"/>
        <v>0.89385727190605235</v>
      </c>
      <c r="P295" s="143" t="str">
        <f t="shared" si="214"/>
        <v>-</v>
      </c>
      <c r="Q295" s="143" t="str">
        <f t="shared" si="215"/>
        <v>-</v>
      </c>
      <c r="R295" s="143" t="str">
        <f t="shared" si="216"/>
        <v>-</v>
      </c>
      <c r="S295" s="143" t="str">
        <f t="shared" si="217"/>
        <v>-</v>
      </c>
      <c r="T295" s="143" t="str">
        <f t="shared" si="218"/>
        <v>-</v>
      </c>
      <c r="U295" s="143" t="str">
        <f t="shared" si="219"/>
        <v>-</v>
      </c>
      <c r="V295" s="143" t="str">
        <f t="shared" si="220"/>
        <v>-</v>
      </c>
      <c r="W295" s="143" t="str">
        <f t="shared" si="221"/>
        <v>-</v>
      </c>
      <c r="X295" s="142"/>
      <c r="Y295" s="142"/>
      <c r="Z295" s="142"/>
      <c r="AA295" s="10"/>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row>
    <row r="296" spans="1:56" ht="14.25" customHeight="1">
      <c r="A296" s="8"/>
      <c r="B296" s="12" t="s">
        <v>129</v>
      </c>
      <c r="C296" s="91">
        <f>E317</f>
        <v>0.9308885754583921</v>
      </c>
      <c r="D296" s="91">
        <f>H317</f>
        <v>0.93442622950819676</v>
      </c>
      <c r="E296" s="91">
        <f>K317</f>
        <v>0.93268563497571133</v>
      </c>
      <c r="F296" s="91">
        <f>N317</f>
        <v>0.75961538461538458</v>
      </c>
      <c r="G296" s="91">
        <f>Q317</f>
        <v>0.33333333333333331</v>
      </c>
      <c r="H296" s="91">
        <f>T317</f>
        <v>0.74766355140186913</v>
      </c>
      <c r="I296" s="91">
        <f>W317</f>
        <v>0.90909090909090906</v>
      </c>
      <c r="J296" s="91">
        <f>Z317</f>
        <v>0.98675496688741726</v>
      </c>
      <c r="K296" s="91">
        <f>AC317</f>
        <v>0.98148148148148151</v>
      </c>
      <c r="L296" s="91">
        <f t="shared" si="210"/>
        <v>0.90898058252427183</v>
      </c>
      <c r="M296" s="91">
        <f t="shared" si="211"/>
        <v>0.94130925507900676</v>
      </c>
      <c r="N296" s="91">
        <f t="shared" si="212"/>
        <v>0.92573099415204674</v>
      </c>
      <c r="O296" s="142">
        <f t="shared" si="213"/>
        <v>0.8234017846229067</v>
      </c>
      <c r="P296" s="142">
        <f t="shared" si="214"/>
        <v>0.82047930283224402</v>
      </c>
      <c r="Q296" s="143" t="str">
        <f t="shared" si="215"/>
        <v>-</v>
      </c>
      <c r="R296" s="142">
        <f t="shared" si="216"/>
        <v>0.80733944954128445</v>
      </c>
      <c r="S296" s="142">
        <f t="shared" si="217"/>
        <v>1</v>
      </c>
      <c r="T296" s="143" t="str">
        <f t="shared" si="218"/>
        <v>-</v>
      </c>
      <c r="U296" s="142">
        <f t="shared" si="219"/>
        <v>0.98333333333333328</v>
      </c>
      <c r="V296" s="142">
        <f t="shared" si="220"/>
        <v>0.92785234899328861</v>
      </c>
      <c r="W296" s="143" t="str">
        <f t="shared" si="221"/>
        <v>-</v>
      </c>
      <c r="X296" s="142"/>
      <c r="Y296" s="142"/>
      <c r="Z296" s="142"/>
      <c r="AA296" s="10"/>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row>
    <row r="297" spans="1:56" ht="14.25" customHeight="1">
      <c r="A297" s="8"/>
      <c r="B297" s="12" t="s">
        <v>130</v>
      </c>
      <c r="C297" s="65">
        <f>E318</f>
        <v>0.97428571428571431</v>
      </c>
      <c r="D297" s="65">
        <f>H318</f>
        <v>0.93781094527363185</v>
      </c>
      <c r="E297" s="65">
        <f>K318</f>
        <v>0.95478723404255317</v>
      </c>
      <c r="F297" s="65">
        <f>N318</f>
        <v>0.83750000000000002</v>
      </c>
      <c r="G297" s="65">
        <f>Q318</f>
        <v>1</v>
      </c>
      <c r="H297" s="65">
        <f>T318</f>
        <v>0.87254901960784315</v>
      </c>
      <c r="I297" s="65">
        <f>W318</f>
        <v>1</v>
      </c>
      <c r="J297" s="65">
        <f>Z318</f>
        <v>0.97402597402597402</v>
      </c>
      <c r="K297" s="65">
        <f>AC318</f>
        <v>0.97727272727272729</v>
      </c>
      <c r="L297" s="65">
        <f t="shared" si="210"/>
        <v>0.95011337868480727</v>
      </c>
      <c r="M297" s="65">
        <f t="shared" si="211"/>
        <v>0.94610778443113774</v>
      </c>
      <c r="N297" s="65">
        <f t="shared" si="212"/>
        <v>0.94798301486199577</v>
      </c>
      <c r="O297" s="127">
        <f t="shared" si="213"/>
        <v>0.84546783625730992</v>
      </c>
      <c r="P297" s="127">
        <f t="shared" si="214"/>
        <v>0.83926961226330032</v>
      </c>
      <c r="Q297" s="128" t="str">
        <f t="shared" si="215"/>
        <v>-</v>
      </c>
      <c r="R297" s="127">
        <f t="shared" si="216"/>
        <v>0.88059701492537312</v>
      </c>
      <c r="S297" s="127">
        <f t="shared" si="217"/>
        <v>0.72727272727272729</v>
      </c>
      <c r="T297" s="128" t="str">
        <f t="shared" si="218"/>
        <v>-</v>
      </c>
      <c r="U297" s="127">
        <f t="shared" si="219"/>
        <v>0.95454545454545459</v>
      </c>
      <c r="V297" s="127">
        <f t="shared" si="220"/>
        <v>0.94333333333333336</v>
      </c>
      <c r="W297" s="128" t="str">
        <f t="shared" si="221"/>
        <v>-</v>
      </c>
      <c r="X297" s="127"/>
      <c r="Y297" s="127"/>
      <c r="Z297" s="127"/>
      <c r="AA297" s="10"/>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row>
    <row r="298" spans="1:56" ht="14.25" customHeight="1">
      <c r="A298" s="8"/>
      <c r="B298" s="12" t="s">
        <v>131</v>
      </c>
      <c r="C298" s="65">
        <f>E319</f>
        <v>0.8</v>
      </c>
      <c r="D298" s="65">
        <f>H319</f>
        <v>0.91666666666666663</v>
      </c>
      <c r="E298" s="65">
        <f>K319</f>
        <v>0.86885245901639341</v>
      </c>
      <c r="F298" s="80" t="str">
        <f>N319</f>
        <v>-</v>
      </c>
      <c r="G298" s="80" t="str">
        <f>Q319</f>
        <v>-</v>
      </c>
      <c r="H298" s="80" t="str">
        <f>T319</f>
        <v>-</v>
      </c>
      <c r="I298" s="80" t="str">
        <f>W319</f>
        <v>-</v>
      </c>
      <c r="J298" s="80" t="str">
        <f>Z319</f>
        <v>-</v>
      </c>
      <c r="K298" s="80" t="str">
        <f>AC319</f>
        <v>-</v>
      </c>
      <c r="L298" s="65">
        <f t="shared" si="210"/>
        <v>0.8</v>
      </c>
      <c r="M298" s="65">
        <f t="shared" si="211"/>
        <v>0.91666666666666663</v>
      </c>
      <c r="N298" s="65">
        <f t="shared" si="212"/>
        <v>0.86885245901639341</v>
      </c>
      <c r="O298" s="127">
        <f t="shared" si="213"/>
        <v>0.88421052631578945</v>
      </c>
      <c r="P298" s="127">
        <f t="shared" si="214"/>
        <v>0.8550323176361958</v>
      </c>
      <c r="Q298" s="128" t="str">
        <f t="shared" si="215"/>
        <v>-</v>
      </c>
      <c r="R298" s="128" t="str">
        <f t="shared" si="216"/>
        <v>-</v>
      </c>
      <c r="S298" s="128" t="str">
        <f t="shared" si="217"/>
        <v>-</v>
      </c>
      <c r="T298" s="128" t="str">
        <f t="shared" si="218"/>
        <v>-</v>
      </c>
      <c r="U298" s="128" t="str">
        <f t="shared" si="219"/>
        <v>-</v>
      </c>
      <c r="V298" s="128" t="str">
        <f t="shared" si="220"/>
        <v>-</v>
      </c>
      <c r="W298" s="128" t="str">
        <f t="shared" si="221"/>
        <v>-</v>
      </c>
      <c r="X298" s="127"/>
      <c r="Y298" s="127"/>
      <c r="Z298" s="127"/>
      <c r="AA298" s="10"/>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row>
    <row r="299" spans="1:56" ht="14.25" customHeight="1">
      <c r="A299" s="8"/>
      <c r="B299" s="45" t="s">
        <v>132</v>
      </c>
      <c r="C299" s="91">
        <f>E320</f>
        <v>0.97727272727272729</v>
      </c>
      <c r="D299" s="141" t="str">
        <f>H320</f>
        <v>-</v>
      </c>
      <c r="E299" s="91">
        <f>K320</f>
        <v>0.97727272727272729</v>
      </c>
      <c r="F299" s="141" t="str">
        <f>N320</f>
        <v>-</v>
      </c>
      <c r="G299" s="141" t="str">
        <f>Q320</f>
        <v>-</v>
      </c>
      <c r="H299" s="141" t="str">
        <f>T320</f>
        <v>-</v>
      </c>
      <c r="I299" s="141" t="str">
        <f>W320</f>
        <v>-</v>
      </c>
      <c r="J299" s="141" t="str">
        <f>Z320</f>
        <v>-</v>
      </c>
      <c r="K299" s="141" t="str">
        <f>AC320</f>
        <v>-</v>
      </c>
      <c r="L299" s="91">
        <f t="shared" si="210"/>
        <v>0.97727272727272729</v>
      </c>
      <c r="M299" s="141" t="str">
        <f t="shared" si="211"/>
        <v>-</v>
      </c>
      <c r="N299" s="91">
        <f t="shared" si="212"/>
        <v>0.97727272727272729</v>
      </c>
      <c r="O299" s="142">
        <f t="shared" si="213"/>
        <v>0.91701631701631703</v>
      </c>
      <c r="P299" s="143" t="str">
        <f t="shared" si="214"/>
        <v>-</v>
      </c>
      <c r="Q299" s="143" t="str">
        <f t="shared" si="215"/>
        <v>-</v>
      </c>
      <c r="R299" s="143" t="str">
        <f t="shared" si="216"/>
        <v>-</v>
      </c>
      <c r="S299" s="143" t="str">
        <f t="shared" si="217"/>
        <v>-</v>
      </c>
      <c r="T299" s="143" t="str">
        <f t="shared" si="218"/>
        <v>-</v>
      </c>
      <c r="U299" s="143" t="str">
        <f t="shared" si="219"/>
        <v>-</v>
      </c>
      <c r="V299" s="143" t="str">
        <f t="shared" si="220"/>
        <v>-</v>
      </c>
      <c r="W299" s="143" t="str">
        <f t="shared" si="221"/>
        <v>-</v>
      </c>
      <c r="X299" s="142"/>
      <c r="Y299" s="142"/>
      <c r="Z299" s="142"/>
      <c r="AA299" s="10"/>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row>
    <row r="300" spans="1:56" ht="14.25" customHeight="1">
      <c r="A300" s="8"/>
      <c r="B300" s="12" t="s">
        <v>133</v>
      </c>
      <c r="C300" s="91">
        <f>E321</f>
        <v>0.96420047732696901</v>
      </c>
      <c r="D300" s="91">
        <f>H321</f>
        <v>0.9360730593607306</v>
      </c>
      <c r="E300" s="91">
        <f>K321</f>
        <v>0.94982497082847139</v>
      </c>
      <c r="F300" s="91">
        <f>N321</f>
        <v>0.83750000000000002</v>
      </c>
      <c r="G300" s="91">
        <f>Q321</f>
        <v>1</v>
      </c>
      <c r="H300" s="91">
        <f>T321</f>
        <v>0.87254901960784315</v>
      </c>
      <c r="I300" s="91">
        <f>W321</f>
        <v>1</v>
      </c>
      <c r="J300" s="91">
        <f>Z321</f>
        <v>0.97402597402597402</v>
      </c>
      <c r="K300" s="91">
        <f>AC321</f>
        <v>0.97727272727272729</v>
      </c>
      <c r="L300" s="91">
        <f t="shared" si="210"/>
        <v>0.94509803921568625</v>
      </c>
      <c r="M300" s="91">
        <f t="shared" si="211"/>
        <v>0.94413407821229045</v>
      </c>
      <c r="N300" s="91">
        <f t="shared" si="212"/>
        <v>0.94460362941738296</v>
      </c>
      <c r="O300" s="142">
        <f t="shared" si="213"/>
        <v>0.85617566331198536</v>
      </c>
      <c r="P300" s="142">
        <f t="shared" si="214"/>
        <v>0.84045584045584043</v>
      </c>
      <c r="Q300" s="143" t="str">
        <f t="shared" si="215"/>
        <v>-</v>
      </c>
      <c r="R300" s="142">
        <f t="shared" si="216"/>
        <v>0.88059701492537312</v>
      </c>
      <c r="S300" s="142">
        <f t="shared" si="217"/>
        <v>0.72727272727272729</v>
      </c>
      <c r="T300" s="143" t="str">
        <f t="shared" si="218"/>
        <v>-</v>
      </c>
      <c r="U300" s="142">
        <f t="shared" si="219"/>
        <v>0.95454545454545459</v>
      </c>
      <c r="V300" s="142">
        <f t="shared" si="220"/>
        <v>0.94333333333333336</v>
      </c>
      <c r="W300" s="143" t="str">
        <f t="shared" si="221"/>
        <v>-</v>
      </c>
      <c r="X300" s="142"/>
      <c r="Y300" s="142"/>
      <c r="Z300" s="142"/>
      <c r="AA300" s="10"/>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row>
    <row r="301" spans="1:56" ht="14.25" customHeight="1">
      <c r="A301" s="2"/>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row>
    <row r="302" spans="1:56" ht="14.25" customHeight="1">
      <c r="A302" s="2"/>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c r="AM302" s="25"/>
      <c r="AN302" s="25"/>
      <c r="AO302" s="25"/>
      <c r="AP302" s="25"/>
      <c r="AQ302" s="25"/>
      <c r="AR302" s="25"/>
      <c r="AS302" s="25"/>
      <c r="AT302" s="25"/>
      <c r="AU302" s="25"/>
      <c r="AV302" s="25"/>
      <c r="AW302" s="25"/>
      <c r="AX302" s="25"/>
      <c r="AY302" s="25"/>
      <c r="AZ302" s="25"/>
      <c r="BA302" s="25"/>
      <c r="BB302" s="25"/>
      <c r="BC302" s="25"/>
      <c r="BD302" s="25"/>
    </row>
    <row r="303" spans="1:56" ht="14.25" customHeight="1">
      <c r="A303" s="26"/>
      <c r="B303" s="58"/>
      <c r="C303" s="61" t="s">
        <v>146</v>
      </c>
      <c r="D303" s="58"/>
      <c r="E303" s="58"/>
      <c r="F303" s="58"/>
      <c r="G303" s="58"/>
      <c r="H303" s="58"/>
      <c r="I303" s="58"/>
      <c r="J303" s="58"/>
      <c r="K303" s="58"/>
      <c r="L303" s="59" t="s">
        <v>147</v>
      </c>
      <c r="M303" s="60"/>
      <c r="N303" s="60"/>
      <c r="O303" s="60"/>
      <c r="P303" s="60"/>
      <c r="Q303" s="60"/>
      <c r="R303" s="60"/>
      <c r="S303" s="60"/>
      <c r="T303" s="60"/>
      <c r="U303" s="61" t="s">
        <v>148</v>
      </c>
      <c r="V303" s="58"/>
      <c r="W303" s="58"/>
      <c r="X303" s="58"/>
      <c r="Y303" s="58"/>
      <c r="Z303" s="58"/>
      <c r="AA303" s="58"/>
      <c r="AB303" s="58"/>
      <c r="AC303" s="58"/>
      <c r="AD303" s="29" t="s">
        <v>143</v>
      </c>
      <c r="AE303" s="30"/>
      <c r="AF303" s="30"/>
      <c r="AG303" s="30"/>
      <c r="AH303" s="30"/>
      <c r="AI303" s="30"/>
      <c r="AJ303" s="30"/>
      <c r="AK303" s="30"/>
      <c r="AL303" s="30"/>
      <c r="AM303" s="27" t="s">
        <v>144</v>
      </c>
      <c r="AN303" s="28"/>
      <c r="AO303" s="28"/>
      <c r="AP303" s="28"/>
      <c r="AQ303" s="28"/>
      <c r="AR303" s="28"/>
      <c r="AS303" s="28"/>
      <c r="AT303" s="28"/>
      <c r="AU303" s="28"/>
      <c r="AV303" s="29" t="s">
        <v>145</v>
      </c>
      <c r="AW303" s="30"/>
      <c r="AX303" s="30"/>
      <c r="AY303" s="30"/>
      <c r="AZ303" s="30"/>
      <c r="BA303" s="30"/>
      <c r="BB303" s="30"/>
      <c r="BC303" s="30"/>
      <c r="BD303" s="132"/>
    </row>
    <row r="304" spans="1:56" ht="15" customHeight="1">
      <c r="A304" s="8"/>
      <c r="B304" s="511" t="s">
        <v>112</v>
      </c>
      <c r="C304" s="520">
        <v>44927</v>
      </c>
      <c r="D304" s="503"/>
      <c r="E304" s="505"/>
      <c r="F304" s="520">
        <v>44958</v>
      </c>
      <c r="G304" s="503"/>
      <c r="H304" s="505"/>
      <c r="I304" s="502" t="s">
        <v>11</v>
      </c>
      <c r="J304" s="503"/>
      <c r="K304" s="505"/>
      <c r="L304" s="520">
        <v>44927</v>
      </c>
      <c r="M304" s="503"/>
      <c r="N304" s="505"/>
      <c r="O304" s="520">
        <v>44958</v>
      </c>
      <c r="P304" s="503"/>
      <c r="Q304" s="505"/>
      <c r="R304" s="502" t="s">
        <v>11</v>
      </c>
      <c r="S304" s="503"/>
      <c r="T304" s="505"/>
      <c r="U304" s="520">
        <v>44927</v>
      </c>
      <c r="V304" s="503"/>
      <c r="W304" s="505"/>
      <c r="X304" s="520">
        <v>44958</v>
      </c>
      <c r="Y304" s="503"/>
      <c r="Z304" s="505"/>
      <c r="AA304" s="502" t="s">
        <v>11</v>
      </c>
      <c r="AB304" s="503"/>
      <c r="AC304" s="505"/>
      <c r="AD304" s="520">
        <v>44927</v>
      </c>
      <c r="AE304" s="503"/>
      <c r="AF304" s="505"/>
      <c r="AG304" s="520">
        <v>44958</v>
      </c>
      <c r="AH304" s="503"/>
      <c r="AI304" s="505"/>
      <c r="AJ304" s="502" t="s">
        <v>11</v>
      </c>
      <c r="AK304" s="503"/>
      <c r="AL304" s="505"/>
      <c r="AM304" s="520">
        <v>44927</v>
      </c>
      <c r="AN304" s="503"/>
      <c r="AO304" s="505"/>
      <c r="AP304" s="520">
        <v>44958</v>
      </c>
      <c r="AQ304" s="503"/>
      <c r="AR304" s="505"/>
      <c r="AS304" s="502" t="s">
        <v>11</v>
      </c>
      <c r="AT304" s="503"/>
      <c r="AU304" s="505"/>
      <c r="AV304" s="520">
        <v>44927</v>
      </c>
      <c r="AW304" s="503"/>
      <c r="AX304" s="505"/>
      <c r="AY304" s="520">
        <v>44958</v>
      </c>
      <c r="AZ304" s="503"/>
      <c r="BA304" s="505"/>
      <c r="BB304" s="502" t="s">
        <v>11</v>
      </c>
      <c r="BC304" s="503"/>
      <c r="BD304" s="505"/>
    </row>
    <row r="305" spans="1:56" ht="30" customHeight="1">
      <c r="A305" s="8"/>
      <c r="B305" s="521"/>
      <c r="C305" s="32" t="s">
        <v>113</v>
      </c>
      <c r="D305" s="32" t="s">
        <v>114</v>
      </c>
      <c r="E305" s="32" t="s">
        <v>14</v>
      </c>
      <c r="F305" s="32" t="s">
        <v>113</v>
      </c>
      <c r="G305" s="32" t="s">
        <v>114</v>
      </c>
      <c r="H305" s="32" t="s">
        <v>14</v>
      </c>
      <c r="I305" s="32" t="s">
        <v>113</v>
      </c>
      <c r="J305" s="32" t="s">
        <v>114</v>
      </c>
      <c r="K305" s="32" t="s">
        <v>14</v>
      </c>
      <c r="L305" s="32" t="s">
        <v>113</v>
      </c>
      <c r="M305" s="32" t="s">
        <v>114</v>
      </c>
      <c r="N305" s="32" t="s">
        <v>14</v>
      </c>
      <c r="O305" s="32" t="s">
        <v>113</v>
      </c>
      <c r="P305" s="32" t="s">
        <v>114</v>
      </c>
      <c r="Q305" s="32" t="s">
        <v>14</v>
      </c>
      <c r="R305" s="32" t="s">
        <v>113</v>
      </c>
      <c r="S305" s="32" t="s">
        <v>114</v>
      </c>
      <c r="T305" s="32" t="s">
        <v>14</v>
      </c>
      <c r="U305" s="32" t="s">
        <v>113</v>
      </c>
      <c r="V305" s="32" t="s">
        <v>114</v>
      </c>
      <c r="W305" s="32" t="s">
        <v>14</v>
      </c>
      <c r="X305" s="32" t="s">
        <v>113</v>
      </c>
      <c r="Y305" s="32" t="s">
        <v>114</v>
      </c>
      <c r="Z305" s="32" t="s">
        <v>14</v>
      </c>
      <c r="AA305" s="32" t="s">
        <v>113</v>
      </c>
      <c r="AB305" s="32" t="s">
        <v>114</v>
      </c>
      <c r="AC305" s="32" t="s">
        <v>14</v>
      </c>
      <c r="AD305" s="32" t="s">
        <v>117</v>
      </c>
      <c r="AE305" s="32" t="s">
        <v>118</v>
      </c>
      <c r="AF305" s="32" t="s">
        <v>17</v>
      </c>
      <c r="AG305" s="32" t="s">
        <v>117</v>
      </c>
      <c r="AH305" s="32" t="s">
        <v>118</v>
      </c>
      <c r="AI305" s="32" t="s">
        <v>17</v>
      </c>
      <c r="AJ305" s="32" t="s">
        <v>117</v>
      </c>
      <c r="AK305" s="32" t="s">
        <v>118</v>
      </c>
      <c r="AL305" s="32" t="s">
        <v>17</v>
      </c>
      <c r="AM305" s="32" t="s">
        <v>117</v>
      </c>
      <c r="AN305" s="32" t="s">
        <v>118</v>
      </c>
      <c r="AO305" s="32" t="s">
        <v>17</v>
      </c>
      <c r="AP305" s="32" t="s">
        <v>117</v>
      </c>
      <c r="AQ305" s="32" t="s">
        <v>118</v>
      </c>
      <c r="AR305" s="32" t="s">
        <v>17</v>
      </c>
      <c r="AS305" s="32" t="s">
        <v>117</v>
      </c>
      <c r="AT305" s="32" t="s">
        <v>118</v>
      </c>
      <c r="AU305" s="32" t="s">
        <v>17</v>
      </c>
      <c r="AV305" s="32" t="s">
        <v>117</v>
      </c>
      <c r="AW305" s="32" t="s">
        <v>118</v>
      </c>
      <c r="AX305" s="32" t="s">
        <v>17</v>
      </c>
      <c r="AY305" s="32" t="s">
        <v>117</v>
      </c>
      <c r="AZ305" s="32" t="s">
        <v>118</v>
      </c>
      <c r="BA305" s="32" t="s">
        <v>17</v>
      </c>
      <c r="BB305" s="32" t="s">
        <v>117</v>
      </c>
      <c r="BC305" s="32" t="s">
        <v>118</v>
      </c>
      <c r="BD305" s="32" t="s">
        <v>17</v>
      </c>
    </row>
    <row r="306" spans="1:56" ht="14.25" customHeight="1">
      <c r="A306" s="8"/>
      <c r="B306" s="12" t="s">
        <v>67</v>
      </c>
      <c r="C306" s="66">
        <f>C245</f>
        <v>3965</v>
      </c>
      <c r="D306" s="66">
        <f>D245</f>
        <v>4262</v>
      </c>
      <c r="E306" s="67">
        <f t="shared" ref="E306:E321" si="222">IFERROR(C306/D306,"-")</f>
        <v>0.93031440638198026</v>
      </c>
      <c r="F306" s="66">
        <f>F245</f>
        <v>2878</v>
      </c>
      <c r="G306" s="66">
        <f>G245</f>
        <v>3091</v>
      </c>
      <c r="H306" s="67">
        <f t="shared" ref="H306:H321" si="223">IFERROR(F306/G306,"-")</f>
        <v>0.93109026205111611</v>
      </c>
      <c r="I306" s="66">
        <f>I245</f>
        <v>6843</v>
      </c>
      <c r="J306" s="66">
        <f>J245</f>
        <v>7353</v>
      </c>
      <c r="K306" s="67">
        <f t="shared" ref="K306:K321" si="224">IFERROR(I306/J306,"-")</f>
        <v>0.93064055487556097</v>
      </c>
      <c r="L306" s="80" t="str">
        <f>L245</f>
        <v>-</v>
      </c>
      <c r="M306" s="80" t="str">
        <f>M245</f>
        <v>-</v>
      </c>
      <c r="N306" s="80" t="str">
        <f t="shared" ref="N306:N321" si="225">IFERROR(L306/M306,"-")</f>
        <v>-</v>
      </c>
      <c r="O306" s="80" t="str">
        <f>O245</f>
        <v>-</v>
      </c>
      <c r="P306" s="80" t="str">
        <f>P245</f>
        <v>-</v>
      </c>
      <c r="Q306" s="80" t="str">
        <f t="shared" ref="Q306:Q321" si="226">IFERROR(O306/P306,"-")</f>
        <v>-</v>
      </c>
      <c r="R306" s="64">
        <f>R245</f>
        <v>0</v>
      </c>
      <c r="S306" s="64">
        <f>S245</f>
        <v>0</v>
      </c>
      <c r="T306" s="80" t="str">
        <f t="shared" ref="T306:T321" si="227">IFERROR(R306/S306,"-")</f>
        <v>-</v>
      </c>
      <c r="U306" s="83" t="str">
        <f>U245</f>
        <v>-</v>
      </c>
      <c r="V306" s="83" t="str">
        <f>V245</f>
        <v>-</v>
      </c>
      <c r="W306" s="83" t="str">
        <f t="shared" ref="W306:W321" si="228">IFERROR(U306/V306,"-")</f>
        <v>-</v>
      </c>
      <c r="X306" s="83" t="str">
        <f>X245</f>
        <v>-</v>
      </c>
      <c r="Y306" s="83" t="str">
        <f>Y245</f>
        <v>-</v>
      </c>
      <c r="Z306" s="83" t="str">
        <f t="shared" ref="Z306:Z321" si="229">IFERROR(X306/Y306,"-")</f>
        <v>-</v>
      </c>
      <c r="AA306" s="66">
        <f>AA245</f>
        <v>0</v>
      </c>
      <c r="AB306" s="66">
        <f>AB245</f>
        <v>0</v>
      </c>
      <c r="AC306" s="83" t="str">
        <f t="shared" ref="AC306:AC321" si="230">IFERROR(AA306/AB306,"-")</f>
        <v>-</v>
      </c>
      <c r="AD306" s="70">
        <f>AD245</f>
        <v>54073</v>
      </c>
      <c r="AE306" s="70">
        <f>AE245</f>
        <v>63075</v>
      </c>
      <c r="AF306" s="21">
        <f t="shared" ref="AF306:AF321" si="231">IFERROR(AD306/AE306,"-")</f>
        <v>0.85728101466508122</v>
      </c>
      <c r="AG306" s="70">
        <f>AG245</f>
        <v>42710</v>
      </c>
      <c r="AH306" s="70">
        <f>AH245</f>
        <v>51844</v>
      </c>
      <c r="AI306" s="21">
        <f t="shared" ref="AI306:AI321" si="232">IFERROR(AG306/AH306,"-")</f>
        <v>0.82381760666615234</v>
      </c>
      <c r="AJ306" s="70">
        <f>AJ245</f>
        <v>0</v>
      </c>
      <c r="AK306" s="70">
        <f>AK245</f>
        <v>0</v>
      </c>
      <c r="AL306" s="37" t="str">
        <f t="shared" ref="AL306:AL321" si="233">IFERROR(AJ306/AK306,"-")</f>
        <v>-</v>
      </c>
      <c r="AM306" s="44" t="str">
        <f>AM245</f>
        <v>-</v>
      </c>
      <c r="AN306" s="44" t="str">
        <f>AN245</f>
        <v>-</v>
      </c>
      <c r="AO306" s="44" t="str">
        <f t="shared" ref="AO306:AO321" si="234">IFERROR(AM306/AN306,"-")</f>
        <v>-</v>
      </c>
      <c r="AP306" s="44" t="str">
        <f>AP245</f>
        <v>-</v>
      </c>
      <c r="AQ306" s="44" t="str">
        <f>AQ245</f>
        <v>-</v>
      </c>
      <c r="AR306" s="44" t="str">
        <f t="shared" ref="AR306:AR321" si="235">IFERROR(AP306/AQ306,"-")</f>
        <v>-</v>
      </c>
      <c r="AS306" s="69">
        <f>AS245</f>
        <v>0</v>
      </c>
      <c r="AT306" s="69">
        <f>AT245</f>
        <v>0</v>
      </c>
      <c r="AU306" s="44" t="str">
        <f t="shared" ref="AU306:AU321" si="236">IFERROR(AS306/AT306,"-")</f>
        <v>-</v>
      </c>
      <c r="AV306" s="37" t="str">
        <f>AV245</f>
        <v>-</v>
      </c>
      <c r="AW306" s="37" t="str">
        <f>AW245</f>
        <v>-</v>
      </c>
      <c r="AX306" s="37" t="str">
        <f t="shared" ref="AX306:AX321" si="237">IFERROR(AV306/AW306,"-")</f>
        <v>-</v>
      </c>
      <c r="AY306" s="37" t="str">
        <f>AY245</f>
        <v>-</v>
      </c>
      <c r="AZ306" s="37" t="str">
        <f>AZ245</f>
        <v>-</v>
      </c>
      <c r="BA306" s="37" t="str">
        <f t="shared" ref="BA306:BA321" si="238">IFERROR(AY306/AZ306,"-")</f>
        <v>-</v>
      </c>
      <c r="BB306" s="70">
        <f>BB245</f>
        <v>0</v>
      </c>
      <c r="BC306" s="70">
        <f>BC245</f>
        <v>0</v>
      </c>
      <c r="BD306" s="37" t="str">
        <f t="shared" ref="BD306:BD321" si="239">IFERROR(BB306/BC306,"-")</f>
        <v>-</v>
      </c>
    </row>
    <row r="307" spans="1:56" ht="14.25" customHeight="1">
      <c r="A307" s="8"/>
      <c r="B307" s="12" t="s">
        <v>119</v>
      </c>
      <c r="C307" s="66">
        <f>SUM(C314,C315)</f>
        <v>2439</v>
      </c>
      <c r="D307" s="66">
        <f>SUM(D314,D315)</f>
        <v>2677</v>
      </c>
      <c r="E307" s="67">
        <f t="shared" si="222"/>
        <v>0.91109450877848341</v>
      </c>
      <c r="F307" s="66">
        <f>SUM(F314,F315)</f>
        <v>2286</v>
      </c>
      <c r="G307" s="66">
        <f>SUM(G314,G315)</f>
        <v>2515</v>
      </c>
      <c r="H307" s="67">
        <f t="shared" si="223"/>
        <v>0.9089463220675944</v>
      </c>
      <c r="I307" s="66">
        <f t="shared" ref="I307:I315" si="240">SUM(C307,F307)</f>
        <v>4725</v>
      </c>
      <c r="J307" s="66">
        <f t="shared" ref="J307:J315" si="241">SUM(D307,G307)</f>
        <v>5192</v>
      </c>
      <c r="K307" s="67">
        <f t="shared" si="224"/>
        <v>0.91005392912172578</v>
      </c>
      <c r="L307" s="64">
        <f>SUM(L314,L315)</f>
        <v>414</v>
      </c>
      <c r="M307" s="64">
        <f>SUM(M314,M315)</f>
        <v>473</v>
      </c>
      <c r="N307" s="65">
        <f t="shared" si="225"/>
        <v>0.87526427061310785</v>
      </c>
      <c r="O307" s="64">
        <f>SUM(O314,O315)</f>
        <v>20</v>
      </c>
      <c r="P307" s="64">
        <f>SUM(P314,P315)</f>
        <v>28</v>
      </c>
      <c r="Q307" s="65">
        <f t="shared" si="226"/>
        <v>0.7142857142857143</v>
      </c>
      <c r="R307" s="64">
        <f t="shared" ref="R307:R315" si="242">SUM(L307,O307)</f>
        <v>434</v>
      </c>
      <c r="S307" s="64">
        <f t="shared" ref="S307:S315" si="243">SUM(M307,P307)</f>
        <v>501</v>
      </c>
      <c r="T307" s="65">
        <f t="shared" si="227"/>
        <v>0.8662674650698603</v>
      </c>
      <c r="U307" s="66">
        <f>SUM(U314,U315)</f>
        <v>84</v>
      </c>
      <c r="V307" s="66">
        <f>SUM(V314,V315)</f>
        <v>96</v>
      </c>
      <c r="W307" s="67">
        <f t="shared" si="228"/>
        <v>0.875</v>
      </c>
      <c r="X307" s="66">
        <f>SUM(X314,X315)</f>
        <v>550</v>
      </c>
      <c r="Y307" s="66">
        <f>SUM(Y314,Y315)</f>
        <v>554</v>
      </c>
      <c r="Z307" s="67">
        <f t="shared" si="229"/>
        <v>0.99277978339350181</v>
      </c>
      <c r="AA307" s="66">
        <f t="shared" ref="AA307:AA315" si="244">SUM(U307,X307)</f>
        <v>634</v>
      </c>
      <c r="AB307" s="66">
        <f t="shared" ref="AB307:AB315" si="245">SUM(V307,Y307)</f>
        <v>650</v>
      </c>
      <c r="AC307" s="67">
        <f t="shared" si="230"/>
        <v>0.97538461538461541</v>
      </c>
      <c r="AD307" s="70">
        <f>SUM(AD314,AD315)</f>
        <v>73297</v>
      </c>
      <c r="AE307" s="70">
        <f>SUM(AE314,AE315)</f>
        <v>83540</v>
      </c>
      <c r="AF307" s="21">
        <f t="shared" si="231"/>
        <v>0.87738807756763226</v>
      </c>
      <c r="AG307" s="70">
        <f>SUM(AG314,AG315)</f>
        <v>81474</v>
      </c>
      <c r="AH307" s="70">
        <f>SUM(AH314,AH315)</f>
        <v>93412</v>
      </c>
      <c r="AI307" s="21">
        <f t="shared" si="232"/>
        <v>0.87220057380208116</v>
      </c>
      <c r="AJ307" s="70"/>
      <c r="AK307" s="70"/>
      <c r="AL307" s="37" t="str">
        <f t="shared" si="233"/>
        <v>-</v>
      </c>
      <c r="AM307" s="69">
        <f>SUM(AM314,AM315)</f>
        <v>346</v>
      </c>
      <c r="AN307" s="69">
        <f>SUM(AN314,AN315)</f>
        <v>414</v>
      </c>
      <c r="AO307" s="36">
        <f t="shared" si="234"/>
        <v>0.83574879227053145</v>
      </c>
      <c r="AP307" s="69">
        <f>SUM(AP314,AP315)</f>
        <v>36</v>
      </c>
      <c r="AQ307" s="69">
        <f>SUM(AQ314,AQ315)</f>
        <v>40</v>
      </c>
      <c r="AR307" s="36">
        <f t="shared" si="235"/>
        <v>0.9</v>
      </c>
      <c r="AS307" s="69"/>
      <c r="AT307" s="69"/>
      <c r="AU307" s="44" t="str">
        <f t="shared" si="236"/>
        <v>-</v>
      </c>
      <c r="AV307" s="70">
        <f>SUM(AV314,AV315)</f>
        <v>1007</v>
      </c>
      <c r="AW307" s="70">
        <f>SUM(AW314,AW315)</f>
        <v>1044</v>
      </c>
      <c r="AX307" s="21">
        <f t="shared" si="237"/>
        <v>0.96455938697318011</v>
      </c>
      <c r="AY307" s="70">
        <f>SUM(AY314,AY315)</f>
        <v>6358</v>
      </c>
      <c r="AZ307" s="70">
        <f>SUM(AZ314,AZ315)</f>
        <v>6792</v>
      </c>
      <c r="BA307" s="21">
        <f t="shared" si="238"/>
        <v>0.93610129564193167</v>
      </c>
      <c r="BB307" s="70"/>
      <c r="BC307" s="70"/>
      <c r="BD307" s="37" t="str">
        <f t="shared" si="239"/>
        <v>-</v>
      </c>
    </row>
    <row r="308" spans="1:56" ht="14.25" customHeight="1">
      <c r="A308" s="8"/>
      <c r="B308" s="12" t="s">
        <v>120</v>
      </c>
      <c r="C308" s="66">
        <f>SUM(C250,C251,C257,C265)</f>
        <v>613</v>
      </c>
      <c r="D308" s="66">
        <f>SUM(D250,D251,D257,D265)</f>
        <v>661</v>
      </c>
      <c r="E308" s="67">
        <f t="shared" si="222"/>
        <v>0.92738275340393339</v>
      </c>
      <c r="F308" s="66">
        <f>SUM(F250,F251,F257,F265)</f>
        <v>684</v>
      </c>
      <c r="G308" s="66">
        <f>SUM(G250,G251,G257,G265)</f>
        <v>732</v>
      </c>
      <c r="H308" s="67">
        <f t="shared" si="223"/>
        <v>0.93442622950819676</v>
      </c>
      <c r="I308" s="66">
        <f t="shared" si="240"/>
        <v>1297</v>
      </c>
      <c r="J308" s="66">
        <f t="shared" si="241"/>
        <v>1393</v>
      </c>
      <c r="K308" s="67">
        <f t="shared" si="224"/>
        <v>0.93108399138549891</v>
      </c>
      <c r="L308" s="64">
        <f>SUM(L250,L251,L257,L265)</f>
        <v>79</v>
      </c>
      <c r="M308" s="64">
        <f>SUM(M250,M251,M257,M265)</f>
        <v>104</v>
      </c>
      <c r="N308" s="65">
        <f t="shared" si="225"/>
        <v>0.75961538461538458</v>
      </c>
      <c r="O308" s="64">
        <f>SUM(O250,O257,O265)</f>
        <v>1</v>
      </c>
      <c r="P308" s="64">
        <f>SUM(P250,P257,P265)</f>
        <v>3</v>
      </c>
      <c r="Q308" s="65">
        <f t="shared" si="226"/>
        <v>0.33333333333333331</v>
      </c>
      <c r="R308" s="64">
        <f t="shared" si="242"/>
        <v>80</v>
      </c>
      <c r="S308" s="64">
        <f t="shared" si="243"/>
        <v>107</v>
      </c>
      <c r="T308" s="65">
        <f t="shared" si="227"/>
        <v>0.74766355140186913</v>
      </c>
      <c r="U308" s="66">
        <f>SUM(U250,U251,U257,U265)</f>
        <v>10</v>
      </c>
      <c r="V308" s="66">
        <f>SUM(V250,V251,V257,V265)</f>
        <v>11</v>
      </c>
      <c r="W308" s="67">
        <f t="shared" si="228"/>
        <v>0.90909090909090906</v>
      </c>
      <c r="X308" s="66">
        <f>SUM(X250,X251,X257,X265)</f>
        <v>149</v>
      </c>
      <c r="Y308" s="66">
        <f>SUM(Y250,Y251,Y257,Y265)</f>
        <v>151</v>
      </c>
      <c r="Z308" s="67">
        <f t="shared" si="229"/>
        <v>0.98675496688741726</v>
      </c>
      <c r="AA308" s="66">
        <f t="shared" si="244"/>
        <v>159</v>
      </c>
      <c r="AB308" s="66">
        <f t="shared" si="245"/>
        <v>162</v>
      </c>
      <c r="AC308" s="67">
        <f t="shared" si="230"/>
        <v>0.98148148148148151</v>
      </c>
      <c r="AD308" s="70">
        <f>SUM(AD250,AD251,AD257,AD265)</f>
        <v>24966</v>
      </c>
      <c r="AE308" s="70">
        <f>SUM(AE250,AE251,AE257,AE265)</f>
        <v>30510</v>
      </c>
      <c r="AF308" s="21">
        <f t="shared" si="231"/>
        <v>0.81828908554572266</v>
      </c>
      <c r="AG308" s="70">
        <f>SUM(AG250,AG251,AG257,AG265)</f>
        <v>24479</v>
      </c>
      <c r="AH308" s="70">
        <f>SUM(AH250,AH251,AH257,AH265)</f>
        <v>29835</v>
      </c>
      <c r="AI308" s="21">
        <f t="shared" si="232"/>
        <v>0.82047930283224402</v>
      </c>
      <c r="AJ308" s="70"/>
      <c r="AK308" s="70"/>
      <c r="AL308" s="37" t="str">
        <f t="shared" si="233"/>
        <v>-</v>
      </c>
      <c r="AM308" s="69">
        <f>SUM(AM250,AM251,AM257,AM265)</f>
        <v>88</v>
      </c>
      <c r="AN308" s="69">
        <f>SUM(AN250,AN251,AN257,AN265)</f>
        <v>109</v>
      </c>
      <c r="AO308" s="36">
        <f t="shared" si="234"/>
        <v>0.80733944954128445</v>
      </c>
      <c r="AP308" s="69">
        <f>SUM(AP250,AP251,AP257,AP265)</f>
        <v>14</v>
      </c>
      <c r="AQ308" s="69">
        <f>SUM(AQ250,AQ251,AQ257,AQ265)</f>
        <v>14</v>
      </c>
      <c r="AR308" s="36">
        <f t="shared" si="235"/>
        <v>1</v>
      </c>
      <c r="AS308" s="69"/>
      <c r="AT308" s="69"/>
      <c r="AU308" s="44" t="str">
        <f t="shared" si="236"/>
        <v>-</v>
      </c>
      <c r="AV308" s="70">
        <f>SUM(AV250,AV251,AV257,AV265)</f>
        <v>118</v>
      </c>
      <c r="AW308" s="70">
        <f>SUM(AW250,AW251,AW257,AW265)</f>
        <v>120</v>
      </c>
      <c r="AX308" s="21">
        <f t="shared" si="237"/>
        <v>0.98333333333333328</v>
      </c>
      <c r="AY308" s="70">
        <f>SUM(AY250,AY251,AY257,AY265)</f>
        <v>1659</v>
      </c>
      <c r="AZ308" s="70">
        <f>SUM(AZ250,AZ251,AZ257,AZ265)</f>
        <v>1788</v>
      </c>
      <c r="BA308" s="21">
        <f t="shared" si="238"/>
        <v>0.92785234899328861</v>
      </c>
      <c r="BB308" s="70"/>
      <c r="BC308" s="70"/>
      <c r="BD308" s="37" t="str">
        <f t="shared" si="239"/>
        <v>-</v>
      </c>
    </row>
    <row r="309" spans="1:56" ht="14.25" customHeight="1">
      <c r="A309" s="8"/>
      <c r="B309" s="12" t="s">
        <v>121</v>
      </c>
      <c r="C309" s="66">
        <f>SUM(C318,C319)</f>
        <v>361</v>
      </c>
      <c r="D309" s="66">
        <f>SUM(D318,D319)</f>
        <v>375</v>
      </c>
      <c r="E309" s="67">
        <f t="shared" si="222"/>
        <v>0.96266666666666667</v>
      </c>
      <c r="F309" s="66">
        <f>SUM(F318,F319)</f>
        <v>410</v>
      </c>
      <c r="G309" s="66">
        <f>SUM(G318,G319)</f>
        <v>438</v>
      </c>
      <c r="H309" s="67">
        <f t="shared" si="223"/>
        <v>0.9360730593607306</v>
      </c>
      <c r="I309" s="66">
        <f t="shared" si="240"/>
        <v>771</v>
      </c>
      <c r="J309" s="66">
        <f t="shared" si="241"/>
        <v>813</v>
      </c>
      <c r="K309" s="67">
        <f t="shared" si="224"/>
        <v>0.94833948339483398</v>
      </c>
      <c r="L309" s="64">
        <f>SUM(L318,L319)</f>
        <v>67</v>
      </c>
      <c r="M309" s="64">
        <f>SUM(M318,M319)</f>
        <v>80</v>
      </c>
      <c r="N309" s="65">
        <f t="shared" si="225"/>
        <v>0.83750000000000002</v>
      </c>
      <c r="O309" s="64">
        <f>SUM(O318,O319)</f>
        <v>22</v>
      </c>
      <c r="P309" s="64">
        <f>SUM(P318,P319)</f>
        <v>22</v>
      </c>
      <c r="Q309" s="65">
        <f t="shared" si="226"/>
        <v>1</v>
      </c>
      <c r="R309" s="64">
        <f t="shared" si="242"/>
        <v>89</v>
      </c>
      <c r="S309" s="64">
        <f t="shared" si="243"/>
        <v>102</v>
      </c>
      <c r="T309" s="65">
        <f t="shared" si="227"/>
        <v>0.87254901960784315</v>
      </c>
      <c r="U309" s="66">
        <f>SUM(U318,U319)</f>
        <v>11</v>
      </c>
      <c r="V309" s="66">
        <f>SUM(V318,V319)</f>
        <v>11</v>
      </c>
      <c r="W309" s="67">
        <f t="shared" si="228"/>
        <v>1</v>
      </c>
      <c r="X309" s="66">
        <f>SUM(X318,X319)</f>
        <v>75</v>
      </c>
      <c r="Y309" s="66">
        <f>SUM(Y318,Y319)</f>
        <v>77</v>
      </c>
      <c r="Z309" s="67">
        <f t="shared" si="229"/>
        <v>0.97402597402597402</v>
      </c>
      <c r="AA309" s="66">
        <f t="shared" si="244"/>
        <v>86</v>
      </c>
      <c r="AB309" s="66">
        <f t="shared" si="245"/>
        <v>88</v>
      </c>
      <c r="AC309" s="67">
        <f t="shared" si="230"/>
        <v>0.97727272727272729</v>
      </c>
      <c r="AD309" s="70">
        <f>SUM(AD318,AD319)</f>
        <v>12070</v>
      </c>
      <c r="AE309" s="70">
        <f>SUM(AE318,AE319)</f>
        <v>14250</v>
      </c>
      <c r="AF309" s="21">
        <f t="shared" si="231"/>
        <v>0.84701754385964911</v>
      </c>
      <c r="AG309" s="70">
        <f>SUM(AG318,AG319)</f>
        <v>12095</v>
      </c>
      <c r="AH309" s="70">
        <f>SUM(AH318,AH319)</f>
        <v>14391</v>
      </c>
      <c r="AI309" s="21">
        <f t="shared" si="232"/>
        <v>0.84045584045584043</v>
      </c>
      <c r="AJ309" s="70"/>
      <c r="AK309" s="70"/>
      <c r="AL309" s="37" t="str">
        <f t="shared" si="233"/>
        <v>-</v>
      </c>
      <c r="AM309" s="69">
        <f>SUM(AM318,AM319)</f>
        <v>59</v>
      </c>
      <c r="AN309" s="69">
        <f>SUM(AN318,AN319)</f>
        <v>67</v>
      </c>
      <c r="AO309" s="36">
        <f t="shared" si="234"/>
        <v>0.88059701492537312</v>
      </c>
      <c r="AP309" s="69">
        <f>SUM(AP318,AP319)</f>
        <v>32</v>
      </c>
      <c r="AQ309" s="69">
        <f>SUM(AQ318,AQ319)</f>
        <v>44</v>
      </c>
      <c r="AR309" s="36">
        <f t="shared" si="235"/>
        <v>0.72727272727272729</v>
      </c>
      <c r="AS309" s="69"/>
      <c r="AT309" s="69"/>
      <c r="AU309" s="44" t="str">
        <f t="shared" si="236"/>
        <v>-</v>
      </c>
      <c r="AV309" s="70">
        <f>SUM(AV318,AV319)</f>
        <v>126</v>
      </c>
      <c r="AW309" s="70">
        <f>SUM(AW318,AW319)</f>
        <v>132</v>
      </c>
      <c r="AX309" s="21">
        <f t="shared" si="237"/>
        <v>0.95454545454545459</v>
      </c>
      <c r="AY309" s="70">
        <f>SUM(AY318,AY319)</f>
        <v>849</v>
      </c>
      <c r="AZ309" s="70">
        <f>SUM(AZ318,AZ319)</f>
        <v>900</v>
      </c>
      <c r="BA309" s="21">
        <f t="shared" si="238"/>
        <v>0.94333333333333336</v>
      </c>
      <c r="BB309" s="70"/>
      <c r="BC309" s="70"/>
      <c r="BD309" s="37" t="str">
        <f t="shared" si="239"/>
        <v>-</v>
      </c>
    </row>
    <row r="310" spans="1:56" ht="14.25" customHeight="1">
      <c r="A310" s="8"/>
      <c r="B310" s="12" t="s">
        <v>122</v>
      </c>
      <c r="C310" s="66">
        <f>SUM(C248,C259)</f>
        <v>266</v>
      </c>
      <c r="D310" s="66">
        <f>SUM(D248,D259)</f>
        <v>292</v>
      </c>
      <c r="E310" s="67">
        <f t="shared" si="222"/>
        <v>0.91095890410958902</v>
      </c>
      <c r="F310" s="66">
        <f>SUM(F248,F259)</f>
        <v>210</v>
      </c>
      <c r="G310" s="66">
        <f>SUM(G248,G259)</f>
        <v>237</v>
      </c>
      <c r="H310" s="67">
        <f t="shared" si="223"/>
        <v>0.88607594936708856</v>
      </c>
      <c r="I310" s="66">
        <f t="shared" si="240"/>
        <v>476</v>
      </c>
      <c r="J310" s="66">
        <f t="shared" si="241"/>
        <v>529</v>
      </c>
      <c r="K310" s="67">
        <f t="shared" si="224"/>
        <v>0.89981096408317585</v>
      </c>
      <c r="L310" s="64">
        <f>SUM(L248,L259)</f>
        <v>3</v>
      </c>
      <c r="M310" s="64">
        <f>SUM(M248,M259)</f>
        <v>4</v>
      </c>
      <c r="N310" s="65">
        <f t="shared" si="225"/>
        <v>0.75</v>
      </c>
      <c r="O310" s="64">
        <f>SUM(O248,O259)</f>
        <v>49</v>
      </c>
      <c r="P310" s="64">
        <f>SUM(P248,P259)</f>
        <v>57</v>
      </c>
      <c r="Q310" s="65">
        <f t="shared" si="226"/>
        <v>0.85964912280701755</v>
      </c>
      <c r="R310" s="64">
        <f t="shared" si="242"/>
        <v>52</v>
      </c>
      <c r="S310" s="64">
        <f t="shared" si="243"/>
        <v>61</v>
      </c>
      <c r="T310" s="65">
        <f t="shared" si="227"/>
        <v>0.85245901639344257</v>
      </c>
      <c r="U310" s="66">
        <f>SUM(U248,U259)</f>
        <v>8</v>
      </c>
      <c r="V310" s="66">
        <f>SUM(V248,V259)</f>
        <v>11</v>
      </c>
      <c r="W310" s="67">
        <f t="shared" si="228"/>
        <v>0.72727272727272729</v>
      </c>
      <c r="X310" s="66">
        <f>SUM(X248,X259)</f>
        <v>57</v>
      </c>
      <c r="Y310" s="66">
        <f>SUM(Y248,Y259)</f>
        <v>57</v>
      </c>
      <c r="Z310" s="67">
        <f t="shared" si="229"/>
        <v>1</v>
      </c>
      <c r="AA310" s="66">
        <f t="shared" si="244"/>
        <v>65</v>
      </c>
      <c r="AB310" s="66">
        <f t="shared" si="245"/>
        <v>68</v>
      </c>
      <c r="AC310" s="67">
        <f t="shared" si="230"/>
        <v>0.95588235294117652</v>
      </c>
      <c r="AD310" s="70">
        <f>SUM(AD248,AD259)</f>
        <v>8225</v>
      </c>
      <c r="AE310" s="70">
        <f>SUM(AE248,AE259)</f>
        <v>9786</v>
      </c>
      <c r="AF310" s="21">
        <f t="shared" si="231"/>
        <v>0.84048640915593709</v>
      </c>
      <c r="AG310" s="70">
        <f>AG248</f>
        <v>6004</v>
      </c>
      <c r="AH310" s="70">
        <f>AH248</f>
        <v>7068</v>
      </c>
      <c r="AI310" s="21">
        <f t="shared" si="232"/>
        <v>0.84946236559139787</v>
      </c>
      <c r="AJ310" s="70"/>
      <c r="AK310" s="70"/>
      <c r="AL310" s="37" t="str">
        <f t="shared" si="233"/>
        <v>-</v>
      </c>
      <c r="AM310" s="69">
        <f>SUM(AM248,AM259)</f>
        <v>2</v>
      </c>
      <c r="AN310" s="69">
        <f>SUM(AN248,AN259)</f>
        <v>3</v>
      </c>
      <c r="AO310" s="36">
        <f t="shared" si="234"/>
        <v>0.66666666666666663</v>
      </c>
      <c r="AP310" s="69">
        <f>SUM(AP248,AP259)</f>
        <v>83</v>
      </c>
      <c r="AQ310" s="69">
        <f>SUM(AQ248,AQ259)</f>
        <v>97</v>
      </c>
      <c r="AR310" s="36">
        <f t="shared" si="235"/>
        <v>0.85567010309278346</v>
      </c>
      <c r="AS310" s="69"/>
      <c r="AT310" s="69"/>
      <c r="AU310" s="44" t="str">
        <f t="shared" si="236"/>
        <v>-</v>
      </c>
      <c r="AV310" s="70">
        <f>SUM(AV248,AV259)</f>
        <v>87</v>
      </c>
      <c r="AW310" s="70">
        <f>SUM(AW248,AW259)</f>
        <v>96</v>
      </c>
      <c r="AX310" s="21">
        <f t="shared" si="237"/>
        <v>0.90625</v>
      </c>
      <c r="AY310" s="70">
        <f>SUM(AY248,AY259)</f>
        <v>621</v>
      </c>
      <c r="AZ310" s="70">
        <f>SUM(AZ248,AZ259)</f>
        <v>684</v>
      </c>
      <c r="BA310" s="21">
        <f t="shared" si="238"/>
        <v>0.90789473684210531</v>
      </c>
      <c r="BB310" s="70"/>
      <c r="BC310" s="70"/>
      <c r="BD310" s="37" t="str">
        <f t="shared" si="239"/>
        <v>-</v>
      </c>
    </row>
    <row r="311" spans="1:56" ht="14.25" customHeight="1">
      <c r="A311" s="8"/>
      <c r="B311" s="12" t="s">
        <v>123</v>
      </c>
      <c r="C311" s="66">
        <f>SUM(C260,C261)</f>
        <v>350</v>
      </c>
      <c r="D311" s="66">
        <f>SUM(D260,D261)</f>
        <v>382</v>
      </c>
      <c r="E311" s="67">
        <f t="shared" si="222"/>
        <v>0.91623036649214662</v>
      </c>
      <c r="F311" s="66">
        <f>SUM(F260,F261)</f>
        <v>352</v>
      </c>
      <c r="G311" s="66">
        <f>SUM(G260,G261)</f>
        <v>361</v>
      </c>
      <c r="H311" s="67">
        <f t="shared" si="223"/>
        <v>0.97506925207756234</v>
      </c>
      <c r="I311" s="66">
        <f t="shared" si="240"/>
        <v>702</v>
      </c>
      <c r="J311" s="66">
        <f t="shared" si="241"/>
        <v>743</v>
      </c>
      <c r="K311" s="67">
        <f t="shared" si="224"/>
        <v>0.94481830417227453</v>
      </c>
      <c r="L311" s="64">
        <f>SUM(L260,L261)</f>
        <v>0</v>
      </c>
      <c r="M311" s="64">
        <f>SUM(M260,M261)</f>
        <v>0</v>
      </c>
      <c r="N311" s="80" t="str">
        <f t="shared" si="225"/>
        <v>-</v>
      </c>
      <c r="O311" s="64">
        <f>SUM(O260,O261)</f>
        <v>1</v>
      </c>
      <c r="P311" s="64">
        <f>SUM(P260,P261)</f>
        <v>1</v>
      </c>
      <c r="Q311" s="65">
        <f t="shared" si="226"/>
        <v>1</v>
      </c>
      <c r="R311" s="64">
        <f t="shared" si="242"/>
        <v>1</v>
      </c>
      <c r="S311" s="64">
        <f t="shared" si="243"/>
        <v>1</v>
      </c>
      <c r="T311" s="65">
        <f t="shared" si="227"/>
        <v>1</v>
      </c>
      <c r="U311" s="66">
        <f>SUM(U260,U261)</f>
        <v>40</v>
      </c>
      <c r="V311" s="66">
        <f>SUM(V260,V261)</f>
        <v>40</v>
      </c>
      <c r="W311" s="67">
        <f t="shared" si="228"/>
        <v>1</v>
      </c>
      <c r="X311" s="66">
        <f>SUM(X260,X261)</f>
        <v>4</v>
      </c>
      <c r="Y311" s="66">
        <f>SUM(Y260,Y261)</f>
        <v>4</v>
      </c>
      <c r="Z311" s="67">
        <f t="shared" si="229"/>
        <v>1</v>
      </c>
      <c r="AA311" s="66">
        <f t="shared" si="244"/>
        <v>44</v>
      </c>
      <c r="AB311" s="66">
        <f t="shared" si="245"/>
        <v>44</v>
      </c>
      <c r="AC311" s="67">
        <f t="shared" si="230"/>
        <v>1</v>
      </c>
      <c r="AD311" s="70">
        <f>SUM(AD260,AD261)</f>
        <v>31328</v>
      </c>
      <c r="AE311" s="70">
        <f>SUM(AE260,AE261)</f>
        <v>33571</v>
      </c>
      <c r="AF311" s="21">
        <f t="shared" si="231"/>
        <v>0.93318638110273744</v>
      </c>
      <c r="AG311" s="70">
        <f>SUM(AG260,AG261)</f>
        <v>31898</v>
      </c>
      <c r="AH311" s="70">
        <f>SUM(AH260,AH261)</f>
        <v>35087</v>
      </c>
      <c r="AI311" s="21">
        <f t="shared" si="232"/>
        <v>0.90911163678855411</v>
      </c>
      <c r="AJ311" s="70"/>
      <c r="AK311" s="70"/>
      <c r="AL311" s="37" t="str">
        <f t="shared" si="233"/>
        <v>-</v>
      </c>
      <c r="AM311" s="69">
        <f>SUM(AM260,AM261)</f>
        <v>0</v>
      </c>
      <c r="AN311" s="69">
        <f>SUM(AN260,AN261)</f>
        <v>0</v>
      </c>
      <c r="AO311" s="44" t="str">
        <f t="shared" si="234"/>
        <v>-</v>
      </c>
      <c r="AP311" s="69">
        <f>SUM(AP260,AP261)</f>
        <v>1</v>
      </c>
      <c r="AQ311" s="69">
        <f>SUM(AQ260,AQ261)</f>
        <v>2</v>
      </c>
      <c r="AR311" s="36">
        <f t="shared" si="235"/>
        <v>0.5</v>
      </c>
      <c r="AS311" s="69"/>
      <c r="AT311" s="69"/>
      <c r="AU311" s="44" t="str">
        <f t="shared" si="236"/>
        <v>-</v>
      </c>
      <c r="AV311" s="70">
        <f>SUM(AV260,AV261)</f>
        <v>958</v>
      </c>
      <c r="AW311" s="70">
        <f>SUM(AW260,AW261)</f>
        <v>960</v>
      </c>
      <c r="AX311" s="21">
        <f t="shared" si="237"/>
        <v>0.99791666666666667</v>
      </c>
      <c r="AY311" s="70">
        <f>SUM(AY260,AY261)</f>
        <v>95</v>
      </c>
      <c r="AZ311" s="70">
        <f>SUM(AZ260,AZ261)</f>
        <v>96</v>
      </c>
      <c r="BA311" s="21">
        <f t="shared" si="238"/>
        <v>0.98958333333333337</v>
      </c>
      <c r="BB311" s="70"/>
      <c r="BC311" s="70"/>
      <c r="BD311" s="37" t="str">
        <f t="shared" si="239"/>
        <v>-</v>
      </c>
    </row>
    <row r="312" spans="1:56" ht="14.25" customHeight="1">
      <c r="A312" s="8"/>
      <c r="B312" s="12" t="s">
        <v>124</v>
      </c>
      <c r="C312" s="66">
        <f>SUM(C264)</f>
        <v>176</v>
      </c>
      <c r="D312" s="66">
        <f>SUM(D264)</f>
        <v>193</v>
      </c>
      <c r="E312" s="67">
        <f t="shared" si="222"/>
        <v>0.91191709844559588</v>
      </c>
      <c r="F312" s="66">
        <f>SUM(F264)</f>
        <v>156</v>
      </c>
      <c r="G312" s="66">
        <f>SUM(G264)</f>
        <v>181</v>
      </c>
      <c r="H312" s="67">
        <f t="shared" si="223"/>
        <v>0.86187845303867405</v>
      </c>
      <c r="I312" s="66">
        <f t="shared" si="240"/>
        <v>332</v>
      </c>
      <c r="J312" s="66">
        <f t="shared" si="241"/>
        <v>374</v>
      </c>
      <c r="K312" s="67">
        <f t="shared" si="224"/>
        <v>0.88770053475935828</v>
      </c>
      <c r="L312" s="64">
        <f>SUM(L264)</f>
        <v>46</v>
      </c>
      <c r="M312" s="64">
        <f>SUM(M264)</f>
        <v>50</v>
      </c>
      <c r="N312" s="65">
        <f t="shared" si="225"/>
        <v>0.92</v>
      </c>
      <c r="O312" s="64">
        <f>SUM(O264)</f>
        <v>0</v>
      </c>
      <c r="P312" s="64">
        <f>SUM(P264)</f>
        <v>0</v>
      </c>
      <c r="Q312" s="80" t="str">
        <f t="shared" si="226"/>
        <v>-</v>
      </c>
      <c r="R312" s="64">
        <f t="shared" si="242"/>
        <v>46</v>
      </c>
      <c r="S312" s="64">
        <f t="shared" si="243"/>
        <v>50</v>
      </c>
      <c r="T312" s="65">
        <f t="shared" si="227"/>
        <v>0.92</v>
      </c>
      <c r="U312" s="66">
        <f>SUM(U264)</f>
        <v>5</v>
      </c>
      <c r="V312" s="66">
        <f>SUM(V264)</f>
        <v>5</v>
      </c>
      <c r="W312" s="67">
        <f t="shared" si="228"/>
        <v>1</v>
      </c>
      <c r="X312" s="66">
        <f>SUM(X264)</f>
        <v>48</v>
      </c>
      <c r="Y312" s="66">
        <f>SUM(Y264)</f>
        <v>49</v>
      </c>
      <c r="Z312" s="67">
        <f t="shared" si="229"/>
        <v>0.97959183673469385</v>
      </c>
      <c r="AA312" s="66">
        <f t="shared" si="244"/>
        <v>53</v>
      </c>
      <c r="AB312" s="66">
        <f t="shared" si="245"/>
        <v>54</v>
      </c>
      <c r="AC312" s="67">
        <f t="shared" si="230"/>
        <v>0.98148148148148151</v>
      </c>
      <c r="AD312" s="70">
        <f>SUM(AD264)</f>
        <v>7649</v>
      </c>
      <c r="AE312" s="70">
        <f>SUM(AE264)</f>
        <v>8304</v>
      </c>
      <c r="AF312" s="21">
        <f t="shared" si="231"/>
        <v>0.92112235067437376</v>
      </c>
      <c r="AG312" s="70">
        <f>SUM(AG264)</f>
        <v>7852</v>
      </c>
      <c r="AH312" s="70">
        <f>SUM(AH264)</f>
        <v>8379</v>
      </c>
      <c r="AI312" s="21">
        <f t="shared" si="232"/>
        <v>0.93710466642797474</v>
      </c>
      <c r="AJ312" s="70"/>
      <c r="AK312" s="70"/>
      <c r="AL312" s="37" t="str">
        <f t="shared" si="233"/>
        <v>-</v>
      </c>
      <c r="AM312" s="69">
        <f>SUM(AM264)</f>
        <v>40</v>
      </c>
      <c r="AN312" s="69">
        <f>SUM(AN264)</f>
        <v>44</v>
      </c>
      <c r="AO312" s="36">
        <f t="shared" si="234"/>
        <v>0.90909090909090906</v>
      </c>
      <c r="AP312" s="69">
        <f>SUM(AP264)</f>
        <v>0</v>
      </c>
      <c r="AQ312" s="69">
        <f>SUM(AQ264)</f>
        <v>0</v>
      </c>
      <c r="AR312" s="44" t="str">
        <f t="shared" si="235"/>
        <v>-</v>
      </c>
      <c r="AS312" s="69"/>
      <c r="AT312" s="69"/>
      <c r="AU312" s="44" t="str">
        <f t="shared" si="236"/>
        <v>-</v>
      </c>
      <c r="AV312" s="70">
        <f>SUM(AV264)</f>
        <v>60</v>
      </c>
      <c r="AW312" s="70">
        <f>SUM(AW264)</f>
        <v>60</v>
      </c>
      <c r="AX312" s="21">
        <f t="shared" si="237"/>
        <v>1</v>
      </c>
      <c r="AY312" s="70">
        <f>SUM(AY264)</f>
        <v>614</v>
      </c>
      <c r="AZ312" s="70">
        <f>SUM(AZ264)</f>
        <v>648</v>
      </c>
      <c r="BA312" s="21">
        <f t="shared" si="238"/>
        <v>0.94753086419753085</v>
      </c>
      <c r="BB312" s="70"/>
      <c r="BC312" s="70"/>
      <c r="BD312" s="37" t="str">
        <f t="shared" si="239"/>
        <v>-</v>
      </c>
    </row>
    <row r="313" spans="1:56" ht="14.25" customHeight="1">
      <c r="A313" s="8"/>
      <c r="B313" s="12" t="s">
        <v>125</v>
      </c>
      <c r="C313" s="66">
        <f>SUM(C247,C252,C253)</f>
        <v>481</v>
      </c>
      <c r="D313" s="66">
        <f>SUM(D247,D252,D253)</f>
        <v>504</v>
      </c>
      <c r="E313" s="67">
        <f t="shared" si="222"/>
        <v>0.95436507936507942</v>
      </c>
      <c r="F313" s="66">
        <f>SUM(F247,F252,F253)</f>
        <v>583</v>
      </c>
      <c r="G313" s="66">
        <f>SUM(G247,G252,G253)</f>
        <v>626</v>
      </c>
      <c r="H313" s="67">
        <f t="shared" si="223"/>
        <v>0.93130990415335468</v>
      </c>
      <c r="I313" s="66">
        <f t="shared" si="240"/>
        <v>1064</v>
      </c>
      <c r="J313" s="66">
        <f t="shared" si="241"/>
        <v>1130</v>
      </c>
      <c r="K313" s="67">
        <f t="shared" si="224"/>
        <v>0.94159292035398234</v>
      </c>
      <c r="L313" s="64">
        <f>SUM(L247,L252,L253)</f>
        <v>109</v>
      </c>
      <c r="M313" s="64">
        <f>SUM(M247,M252,M253)</f>
        <v>148</v>
      </c>
      <c r="N313" s="65">
        <f t="shared" si="225"/>
        <v>0.73648648648648651</v>
      </c>
      <c r="O313" s="64">
        <f>SUM(O247,O252,O253)</f>
        <v>11</v>
      </c>
      <c r="P313" s="64">
        <f>SUM(P247,P252,P253)</f>
        <v>17</v>
      </c>
      <c r="Q313" s="65">
        <f t="shared" si="226"/>
        <v>0.6470588235294118</v>
      </c>
      <c r="R313" s="64">
        <f t="shared" si="242"/>
        <v>120</v>
      </c>
      <c r="S313" s="64">
        <f t="shared" si="243"/>
        <v>165</v>
      </c>
      <c r="T313" s="65">
        <f t="shared" si="227"/>
        <v>0.72727272727272729</v>
      </c>
      <c r="U313" s="66">
        <f>SUM(U247,U252,U253)</f>
        <v>21</v>
      </c>
      <c r="V313" s="66">
        <f>SUM(V247,V252,V253)</f>
        <v>22</v>
      </c>
      <c r="W313" s="67">
        <f t="shared" si="228"/>
        <v>0.95454545454545459</v>
      </c>
      <c r="X313" s="66">
        <f>SUM(X247,X252,X253)</f>
        <v>144</v>
      </c>
      <c r="Y313" s="66">
        <f>SUM(Y247,Y252,Y253)</f>
        <v>146</v>
      </c>
      <c r="Z313" s="67">
        <f t="shared" si="229"/>
        <v>0.98630136986301364</v>
      </c>
      <c r="AA313" s="66">
        <f t="shared" si="244"/>
        <v>165</v>
      </c>
      <c r="AB313" s="66">
        <f t="shared" si="245"/>
        <v>168</v>
      </c>
      <c r="AC313" s="67">
        <f t="shared" si="230"/>
        <v>0.9821428571428571</v>
      </c>
      <c r="AD313" s="70">
        <f>SUM(AD247,AD252,AD253)</f>
        <v>19553</v>
      </c>
      <c r="AE313" s="70">
        <f>SUM(AE247,AE252,AE253)</f>
        <v>23682</v>
      </c>
      <c r="AF313" s="21">
        <f t="shared" si="231"/>
        <v>0.82564817160712778</v>
      </c>
      <c r="AG313" s="70">
        <f>SUM(AG247,AG252,AG253)</f>
        <v>22113</v>
      </c>
      <c r="AH313" s="70">
        <f>SUM(AH247,AH252,AH253)</f>
        <v>28236</v>
      </c>
      <c r="AI313" s="21">
        <f t="shared" si="232"/>
        <v>0.78314917127071826</v>
      </c>
      <c r="AJ313" s="70"/>
      <c r="AK313" s="70"/>
      <c r="AL313" s="37" t="str">
        <f t="shared" si="233"/>
        <v>-</v>
      </c>
      <c r="AM313" s="69">
        <f>SUM(AM247,AM252,AM253)</f>
        <v>143</v>
      </c>
      <c r="AN313" s="69">
        <f>SUM(AN247,AN252,AN253)</f>
        <v>222</v>
      </c>
      <c r="AO313" s="36">
        <f t="shared" si="234"/>
        <v>0.64414414414414412</v>
      </c>
      <c r="AP313" s="69">
        <f>SUM(AP247,AP252,AP253)</f>
        <v>25</v>
      </c>
      <c r="AQ313" s="69">
        <f>SUM(AQ247,AQ252,AQ253)</f>
        <v>30</v>
      </c>
      <c r="AR313" s="36">
        <f t="shared" si="235"/>
        <v>0.83333333333333337</v>
      </c>
      <c r="AS313" s="69"/>
      <c r="AT313" s="69"/>
      <c r="AU313" s="44" t="str">
        <f t="shared" si="236"/>
        <v>-</v>
      </c>
      <c r="AV313" s="70">
        <f>SUM(AV247,AV252,AV253)</f>
        <v>337</v>
      </c>
      <c r="AW313" s="70">
        <f>SUM(AW247,AW252,AW253)</f>
        <v>348</v>
      </c>
      <c r="AX313" s="21">
        <f t="shared" si="237"/>
        <v>0.9683908045977011</v>
      </c>
      <c r="AY313" s="70">
        <f>SUM(AY247,AY252,AY253)</f>
        <v>1719</v>
      </c>
      <c r="AZ313" s="70">
        <f>SUM(AZ247,AZ252,AZ253)</f>
        <v>1932</v>
      </c>
      <c r="BA313" s="21">
        <f t="shared" si="238"/>
        <v>0.88975155279503104</v>
      </c>
      <c r="BB313" s="70"/>
      <c r="BC313" s="70"/>
      <c r="BD313" s="37" t="str">
        <f t="shared" si="239"/>
        <v>-</v>
      </c>
    </row>
    <row r="314" spans="1:56" ht="14.25" customHeight="1">
      <c r="A314" s="8"/>
      <c r="B314" s="12" t="s">
        <v>126</v>
      </c>
      <c r="C314" s="66">
        <f>SUM(C246,C254,C255,C262,C249)</f>
        <v>2222</v>
      </c>
      <c r="D314" s="66">
        <f>SUM(D246,D254,D255,D262,D249)</f>
        <v>2404</v>
      </c>
      <c r="E314" s="67">
        <f t="shared" si="222"/>
        <v>0.92429284525790345</v>
      </c>
      <c r="F314" s="66">
        <f>SUM(F246,F254,F255,F262,F249)</f>
        <v>1913</v>
      </c>
      <c r="G314" s="66">
        <f>SUM(G246,G254,G255,G262,G249)</f>
        <v>2086</v>
      </c>
      <c r="H314" s="67">
        <f t="shared" si="223"/>
        <v>0.91706615532118885</v>
      </c>
      <c r="I314" s="66">
        <f t="shared" si="240"/>
        <v>4135</v>
      </c>
      <c r="J314" s="66">
        <f t="shared" si="241"/>
        <v>4490</v>
      </c>
      <c r="K314" s="67">
        <f t="shared" si="224"/>
        <v>0.92093541202672602</v>
      </c>
      <c r="L314" s="64">
        <f>SUM(L246,L254,L255,L262,L249)</f>
        <v>414</v>
      </c>
      <c r="M314" s="64">
        <f>SUM(M246,M254,M255,M262,M249)</f>
        <v>473</v>
      </c>
      <c r="N314" s="65">
        <f t="shared" si="225"/>
        <v>0.87526427061310785</v>
      </c>
      <c r="O314" s="64">
        <f>SUM(O246,O254,O255,O262,O249)</f>
        <v>20</v>
      </c>
      <c r="P314" s="64">
        <f>SUM(P246,P254,P255,P262,P249)</f>
        <v>28</v>
      </c>
      <c r="Q314" s="65">
        <f t="shared" si="226"/>
        <v>0.7142857142857143</v>
      </c>
      <c r="R314" s="64">
        <f t="shared" si="242"/>
        <v>434</v>
      </c>
      <c r="S314" s="64">
        <f t="shared" si="243"/>
        <v>501</v>
      </c>
      <c r="T314" s="65">
        <f t="shared" si="227"/>
        <v>0.8662674650698603</v>
      </c>
      <c r="U314" s="66">
        <f>SUM(U246,U254,U255,U262,U249)</f>
        <v>84</v>
      </c>
      <c r="V314" s="66">
        <f>SUM(V246,V254,V255,V262,V249)</f>
        <v>96</v>
      </c>
      <c r="W314" s="67">
        <f t="shared" si="228"/>
        <v>0.875</v>
      </c>
      <c r="X314" s="66">
        <f>SUM(X246,X254,X255,X262,X249)</f>
        <v>527</v>
      </c>
      <c r="Y314" s="66">
        <f>SUM(Y246,Y254,Y255,Y262,Y249)</f>
        <v>531</v>
      </c>
      <c r="Z314" s="67">
        <f t="shared" si="229"/>
        <v>0.99246704331450097</v>
      </c>
      <c r="AA314" s="66">
        <f t="shared" si="244"/>
        <v>611</v>
      </c>
      <c r="AB314" s="66">
        <f t="shared" si="245"/>
        <v>627</v>
      </c>
      <c r="AC314" s="67">
        <f t="shared" si="230"/>
        <v>0.97448165869218506</v>
      </c>
      <c r="AD314" s="70">
        <f>SUM(AD246,AD254,AD255,AD262,AD249)</f>
        <v>65684</v>
      </c>
      <c r="AE314" s="70">
        <f>SUM(AE246,AE254,AE255,AE262,AE249)</f>
        <v>75020</v>
      </c>
      <c r="AF314" s="21">
        <f t="shared" si="231"/>
        <v>0.87555318581711539</v>
      </c>
      <c r="AG314" s="70">
        <f>SUM(AG246,AG254,AG255,AG262,AG249)</f>
        <v>67374</v>
      </c>
      <c r="AH314" s="70">
        <f>SUM(AH246,AH254,AH255,AH262,AH249)</f>
        <v>77418</v>
      </c>
      <c r="AI314" s="21">
        <f t="shared" si="232"/>
        <v>0.87026272959776796</v>
      </c>
      <c r="AJ314" s="70"/>
      <c r="AK314" s="70"/>
      <c r="AL314" s="37" t="str">
        <f t="shared" si="233"/>
        <v>-</v>
      </c>
      <c r="AM314" s="69">
        <f>SUM(AM246,AM254,AM255,AM262,AM249)</f>
        <v>346</v>
      </c>
      <c r="AN314" s="69">
        <f>SUM(AN246,AN254,AN255,AN262,AN249)</f>
        <v>414</v>
      </c>
      <c r="AO314" s="36">
        <f t="shared" si="234"/>
        <v>0.83574879227053145</v>
      </c>
      <c r="AP314" s="69">
        <f>SUM(AP246,AP254,AP255,AP262,AP249)</f>
        <v>36</v>
      </c>
      <c r="AQ314" s="69">
        <f>SUM(AQ246,AQ254,AQ255,AQ262,AQ249)</f>
        <v>40</v>
      </c>
      <c r="AR314" s="36">
        <f t="shared" si="235"/>
        <v>0.9</v>
      </c>
      <c r="AS314" s="69"/>
      <c r="AT314" s="69"/>
      <c r="AU314" s="44" t="str">
        <f t="shared" si="236"/>
        <v>-</v>
      </c>
      <c r="AV314" s="70">
        <f>SUM(AV246,AV254,AV255,AV262,AV249)</f>
        <v>1007</v>
      </c>
      <c r="AW314" s="70">
        <f>SUM(AW246,AW254,AW255,AW262,AW249)</f>
        <v>1044</v>
      </c>
      <c r="AX314" s="21">
        <f t="shared" si="237"/>
        <v>0.96455938697318011</v>
      </c>
      <c r="AY314" s="70">
        <f>SUM(AY246,AY254,AY255,AY262,AY249)</f>
        <v>6096</v>
      </c>
      <c r="AZ314" s="70">
        <f>SUM(AZ246,AZ254,AZ255,AZ262,AZ249)</f>
        <v>6516</v>
      </c>
      <c r="BA314" s="21">
        <f t="shared" si="238"/>
        <v>0.9355432780847146</v>
      </c>
      <c r="BB314" s="70"/>
      <c r="BC314" s="70"/>
      <c r="BD314" s="37" t="str">
        <f t="shared" si="239"/>
        <v>-</v>
      </c>
    </row>
    <row r="315" spans="1:56" ht="14.25" customHeight="1">
      <c r="A315" s="8"/>
      <c r="B315" s="12" t="s">
        <v>127</v>
      </c>
      <c r="C315" s="66">
        <f>SUM(C274,C276)</f>
        <v>217</v>
      </c>
      <c r="D315" s="66">
        <f>SUM(D274,D276)</f>
        <v>273</v>
      </c>
      <c r="E315" s="67">
        <f t="shared" si="222"/>
        <v>0.79487179487179482</v>
      </c>
      <c r="F315" s="66">
        <f>SUM(F274,F276)</f>
        <v>373</v>
      </c>
      <c r="G315" s="66">
        <f>SUM(G274,G276)</f>
        <v>429</v>
      </c>
      <c r="H315" s="67">
        <f t="shared" si="223"/>
        <v>0.86946386946386944</v>
      </c>
      <c r="I315" s="66">
        <f t="shared" si="240"/>
        <v>590</v>
      </c>
      <c r="J315" s="66">
        <f t="shared" si="241"/>
        <v>702</v>
      </c>
      <c r="K315" s="67">
        <f t="shared" si="224"/>
        <v>0.84045584045584043</v>
      </c>
      <c r="L315" s="64">
        <f>SUM(L274,L276)</f>
        <v>0</v>
      </c>
      <c r="M315" s="64">
        <f>SUM(M274,M276)</f>
        <v>0</v>
      </c>
      <c r="N315" s="80" t="str">
        <f t="shared" si="225"/>
        <v>-</v>
      </c>
      <c r="O315" s="64">
        <f>SUM(O274,O276)</f>
        <v>0</v>
      </c>
      <c r="P315" s="64">
        <f>SUM(P274,P276)</f>
        <v>0</v>
      </c>
      <c r="Q315" s="80" t="str">
        <f t="shared" si="226"/>
        <v>-</v>
      </c>
      <c r="R315" s="64">
        <f t="shared" si="242"/>
        <v>0</v>
      </c>
      <c r="S315" s="64">
        <f t="shared" si="243"/>
        <v>0</v>
      </c>
      <c r="T315" s="80" t="str">
        <f t="shared" si="227"/>
        <v>-</v>
      </c>
      <c r="U315" s="66">
        <f>SUM(U274,U276)</f>
        <v>0</v>
      </c>
      <c r="V315" s="66">
        <f>SUM(V274,V276)</f>
        <v>0</v>
      </c>
      <c r="W315" s="83" t="str">
        <f t="shared" si="228"/>
        <v>-</v>
      </c>
      <c r="X315" s="66">
        <f>SUM(X274,X276)</f>
        <v>23</v>
      </c>
      <c r="Y315" s="66">
        <f>SUM(Y274,Y276)</f>
        <v>23</v>
      </c>
      <c r="Z315" s="67">
        <f t="shared" si="229"/>
        <v>1</v>
      </c>
      <c r="AA315" s="66">
        <f t="shared" si="244"/>
        <v>23</v>
      </c>
      <c r="AB315" s="66">
        <f t="shared" si="245"/>
        <v>23</v>
      </c>
      <c r="AC315" s="67">
        <f t="shared" si="230"/>
        <v>1</v>
      </c>
      <c r="AD315" s="70">
        <f>SUM(AD274,AD276)</f>
        <v>7613</v>
      </c>
      <c r="AE315" s="70">
        <f>SUM(AE274,AE276)</f>
        <v>8520</v>
      </c>
      <c r="AF315" s="21">
        <f t="shared" si="231"/>
        <v>0.89354460093896715</v>
      </c>
      <c r="AG315" s="70">
        <f>SUM(AG274,AG276)</f>
        <v>14100</v>
      </c>
      <c r="AH315" s="70">
        <f>SUM(AH274,AH276)</f>
        <v>15994</v>
      </c>
      <c r="AI315" s="21">
        <f t="shared" si="232"/>
        <v>0.88158059272227085</v>
      </c>
      <c r="AJ315" s="70"/>
      <c r="AK315" s="70"/>
      <c r="AL315" s="37" t="str">
        <f t="shared" si="233"/>
        <v>-</v>
      </c>
      <c r="AM315" s="69">
        <f>SUM(AM274,AM276)</f>
        <v>0</v>
      </c>
      <c r="AN315" s="69">
        <f>SUM(AN274,AN276)</f>
        <v>0</v>
      </c>
      <c r="AO315" s="44" t="str">
        <f t="shared" si="234"/>
        <v>-</v>
      </c>
      <c r="AP315" s="69">
        <f>SUM(AP274,AP276)</f>
        <v>0</v>
      </c>
      <c r="AQ315" s="69">
        <f>SUM(AQ274,AQ276)</f>
        <v>0</v>
      </c>
      <c r="AR315" s="44" t="str">
        <f t="shared" si="235"/>
        <v>-</v>
      </c>
      <c r="AS315" s="69"/>
      <c r="AT315" s="69"/>
      <c r="AU315" s="44" t="str">
        <f t="shared" si="236"/>
        <v>-</v>
      </c>
      <c r="AV315" s="70">
        <f>SUM(AV274,AV276)</f>
        <v>0</v>
      </c>
      <c r="AW315" s="70">
        <f>SUM(AW274,AW276)</f>
        <v>0</v>
      </c>
      <c r="AX315" s="37" t="str">
        <f t="shared" si="237"/>
        <v>-</v>
      </c>
      <c r="AY315" s="70">
        <f>SUM(AY274,AY276)</f>
        <v>262</v>
      </c>
      <c r="AZ315" s="70">
        <f>SUM(AZ274,AZ276)</f>
        <v>276</v>
      </c>
      <c r="BA315" s="21">
        <f t="shared" si="238"/>
        <v>0.94927536231884058</v>
      </c>
      <c r="BB315" s="70"/>
      <c r="BC315" s="70"/>
      <c r="BD315" s="37" t="str">
        <f t="shared" si="239"/>
        <v>-</v>
      </c>
    </row>
    <row r="316" spans="1:56" ht="14.25" customHeight="1">
      <c r="A316" s="8"/>
      <c r="B316" s="45" t="s">
        <v>128</v>
      </c>
      <c r="C316" s="66">
        <f>C278</f>
        <v>47</v>
      </c>
      <c r="D316" s="66">
        <f>D278</f>
        <v>48</v>
      </c>
      <c r="E316" s="67">
        <f t="shared" si="222"/>
        <v>0.97916666666666663</v>
      </c>
      <c r="F316" s="66">
        <f>F278</f>
        <v>0</v>
      </c>
      <c r="G316" s="66">
        <f>G278</f>
        <v>0</v>
      </c>
      <c r="H316" s="83" t="str">
        <f t="shared" si="223"/>
        <v>-</v>
      </c>
      <c r="I316" s="66">
        <f>I278</f>
        <v>47</v>
      </c>
      <c r="J316" s="66">
        <f>J278</f>
        <v>48</v>
      </c>
      <c r="K316" s="67">
        <f t="shared" si="224"/>
        <v>0.97916666666666663</v>
      </c>
      <c r="L316" s="80" t="str">
        <f>L278</f>
        <v>-</v>
      </c>
      <c r="M316" s="80" t="str">
        <f>M278</f>
        <v>-</v>
      </c>
      <c r="N316" s="80" t="str">
        <f t="shared" si="225"/>
        <v>-</v>
      </c>
      <c r="O316" s="80" t="str">
        <f>O278</f>
        <v>-</v>
      </c>
      <c r="P316" s="80" t="str">
        <f>P278</f>
        <v>-</v>
      </c>
      <c r="Q316" s="80" t="str">
        <f t="shared" si="226"/>
        <v>-</v>
      </c>
      <c r="R316" s="64">
        <f>R278</f>
        <v>0</v>
      </c>
      <c r="S316" s="64">
        <f>S278</f>
        <v>0</v>
      </c>
      <c r="T316" s="80" t="str">
        <f t="shared" si="227"/>
        <v>-</v>
      </c>
      <c r="U316" s="83" t="str">
        <f>U278</f>
        <v>-</v>
      </c>
      <c r="V316" s="83" t="str">
        <f>V278</f>
        <v>-</v>
      </c>
      <c r="W316" s="83" t="str">
        <f t="shared" si="228"/>
        <v>-</v>
      </c>
      <c r="X316" s="83" t="str">
        <f>X278</f>
        <v>-</v>
      </c>
      <c r="Y316" s="83" t="str">
        <f>Y278</f>
        <v>-</v>
      </c>
      <c r="Z316" s="83" t="str">
        <f t="shared" si="229"/>
        <v>-</v>
      </c>
      <c r="AA316" s="66">
        <f>AA278</f>
        <v>0</v>
      </c>
      <c r="AB316" s="66">
        <f>AB278</f>
        <v>0</v>
      </c>
      <c r="AC316" s="83" t="str">
        <f t="shared" si="230"/>
        <v>-</v>
      </c>
      <c r="AD316" s="68">
        <f>AD278</f>
        <v>1979</v>
      </c>
      <c r="AE316" s="68">
        <f>AE278</f>
        <v>2214</v>
      </c>
      <c r="AF316" s="21">
        <f t="shared" si="231"/>
        <v>0.89385727190605235</v>
      </c>
      <c r="AG316" s="68">
        <f>AG278</f>
        <v>0</v>
      </c>
      <c r="AH316" s="68">
        <f>AH278</f>
        <v>0</v>
      </c>
      <c r="AI316" s="37" t="str">
        <f t="shared" si="232"/>
        <v>-</v>
      </c>
      <c r="AJ316" s="68">
        <f>AJ278</f>
        <v>0</v>
      </c>
      <c r="AK316" s="68">
        <f>AK278</f>
        <v>0</v>
      </c>
      <c r="AL316" s="37" t="str">
        <f t="shared" si="233"/>
        <v>-</v>
      </c>
      <c r="AM316" s="100" t="str">
        <f>AM278</f>
        <v>-</v>
      </c>
      <c r="AN316" s="100" t="str">
        <f>AN278</f>
        <v>-</v>
      </c>
      <c r="AO316" s="44" t="str">
        <f t="shared" si="234"/>
        <v>-</v>
      </c>
      <c r="AP316" s="140">
        <f>AP278</f>
        <v>0</v>
      </c>
      <c r="AQ316" s="140">
        <f>AQ278</f>
        <v>0</v>
      </c>
      <c r="AR316" s="44" t="str">
        <f t="shared" si="235"/>
        <v>-</v>
      </c>
      <c r="AS316" s="140">
        <f>AS278</f>
        <v>0</v>
      </c>
      <c r="AT316" s="140">
        <f>AT278</f>
        <v>0</v>
      </c>
      <c r="AU316" s="44" t="str">
        <f t="shared" si="236"/>
        <v>-</v>
      </c>
      <c r="AV316" s="102" t="str">
        <f>AV278</f>
        <v>-</v>
      </c>
      <c r="AW316" s="102" t="str">
        <f>AW278</f>
        <v>-</v>
      </c>
      <c r="AX316" s="37" t="str">
        <f t="shared" si="237"/>
        <v>-</v>
      </c>
      <c r="AY316" s="102" t="str">
        <f>AY278</f>
        <v>-</v>
      </c>
      <c r="AZ316" s="102" t="str">
        <f>AZ278</f>
        <v>-</v>
      </c>
      <c r="BA316" s="37" t="str">
        <f t="shared" si="238"/>
        <v>-</v>
      </c>
      <c r="BB316" s="68">
        <f>BB278</f>
        <v>0</v>
      </c>
      <c r="BC316" s="68">
        <f>BC278</f>
        <v>0</v>
      </c>
      <c r="BD316" s="37" t="str">
        <f t="shared" si="239"/>
        <v>-</v>
      </c>
    </row>
    <row r="317" spans="1:56" ht="14.25" customHeight="1">
      <c r="A317" s="8"/>
      <c r="B317" s="12" t="s">
        <v>129</v>
      </c>
      <c r="C317" s="66">
        <f>C308+C316</f>
        <v>660</v>
      </c>
      <c r="D317" s="66">
        <f>D308+D316</f>
        <v>709</v>
      </c>
      <c r="E317" s="67">
        <f t="shared" si="222"/>
        <v>0.9308885754583921</v>
      </c>
      <c r="F317" s="66">
        <f>F308+F316</f>
        <v>684</v>
      </c>
      <c r="G317" s="66">
        <f>G308+G316</f>
        <v>732</v>
      </c>
      <c r="H317" s="67">
        <f t="shared" si="223"/>
        <v>0.93442622950819676</v>
      </c>
      <c r="I317" s="66">
        <f>I308+I316</f>
        <v>1344</v>
      </c>
      <c r="J317" s="66">
        <f>J308+J316</f>
        <v>1441</v>
      </c>
      <c r="K317" s="67">
        <f t="shared" si="224"/>
        <v>0.93268563497571133</v>
      </c>
      <c r="L317" s="86">
        <f>IFERROR(L308+L316,L308)</f>
        <v>79</v>
      </c>
      <c r="M317" s="86">
        <f>IFERROR(M308+M316,M308)</f>
        <v>104</v>
      </c>
      <c r="N317" s="65">
        <f t="shared" si="225"/>
        <v>0.75961538461538458</v>
      </c>
      <c r="O317" s="86">
        <f>IFERROR(O308+O316,O308)</f>
        <v>1</v>
      </c>
      <c r="P317" s="86">
        <f>IFERROR(P308+P316,P308)</f>
        <v>3</v>
      </c>
      <c r="Q317" s="65">
        <f t="shared" si="226"/>
        <v>0.33333333333333331</v>
      </c>
      <c r="R317" s="86">
        <f>IFERROR(R308+R316,R308)</f>
        <v>80</v>
      </c>
      <c r="S317" s="86">
        <f>IFERROR(S308+S316,S308)</f>
        <v>107</v>
      </c>
      <c r="T317" s="65">
        <f t="shared" si="227"/>
        <v>0.74766355140186913</v>
      </c>
      <c r="U317" s="118">
        <f>IFERROR(U308+U316,U308)</f>
        <v>10</v>
      </c>
      <c r="V317" s="118">
        <f>IFERROR(V308+V316,V308)</f>
        <v>11</v>
      </c>
      <c r="W317" s="67">
        <f t="shared" si="228"/>
        <v>0.90909090909090906</v>
      </c>
      <c r="X317" s="118">
        <f>IFERROR(X308+X316,X308)</f>
        <v>149</v>
      </c>
      <c r="Y317" s="118">
        <f>IFERROR(Y308+Y316,Y308)</f>
        <v>151</v>
      </c>
      <c r="Z317" s="67">
        <f t="shared" si="229"/>
        <v>0.98675496688741726</v>
      </c>
      <c r="AA317" s="118">
        <f>IFERROR(AA308+AA316,AA308)</f>
        <v>159</v>
      </c>
      <c r="AB317" s="118">
        <f>IFERROR(AB308+AB316,AB308)</f>
        <v>162</v>
      </c>
      <c r="AC317" s="67">
        <f t="shared" si="230"/>
        <v>0.98148148148148151</v>
      </c>
      <c r="AD317" s="68">
        <f>AD308+AD316</f>
        <v>26945</v>
      </c>
      <c r="AE317" s="68">
        <f>AE308+AE316</f>
        <v>32724</v>
      </c>
      <c r="AF317" s="21">
        <f t="shared" si="231"/>
        <v>0.8234017846229067</v>
      </c>
      <c r="AG317" s="68">
        <f>AG308+AG316</f>
        <v>24479</v>
      </c>
      <c r="AH317" s="68">
        <f>AH308+AH316</f>
        <v>29835</v>
      </c>
      <c r="AI317" s="21">
        <f t="shared" si="232"/>
        <v>0.82047930283224402</v>
      </c>
      <c r="AJ317" s="68">
        <f>AJ308+AJ316</f>
        <v>0</v>
      </c>
      <c r="AK317" s="68">
        <f>AK308+AK316</f>
        <v>0</v>
      </c>
      <c r="AL317" s="37" t="str">
        <f t="shared" si="233"/>
        <v>-</v>
      </c>
      <c r="AM317" s="140">
        <f>IFERROR(AM308+AM316,AM308)</f>
        <v>88</v>
      </c>
      <c r="AN317" s="140">
        <f>IFERROR(AN308+AN316,AN308)</f>
        <v>109</v>
      </c>
      <c r="AO317" s="36">
        <f t="shared" si="234"/>
        <v>0.80733944954128445</v>
      </c>
      <c r="AP317" s="140">
        <f>IFERROR(AP308+AP316,AP308)</f>
        <v>14</v>
      </c>
      <c r="AQ317" s="140">
        <f>IFERROR(AQ308+AQ316,AQ308)</f>
        <v>14</v>
      </c>
      <c r="AR317" s="36">
        <f t="shared" si="235"/>
        <v>1</v>
      </c>
      <c r="AS317" s="140">
        <f>IFERROR(AS308+AS316,AS308)</f>
        <v>0</v>
      </c>
      <c r="AT317" s="140">
        <f>IFERROR(AT308+AT316,AT308)</f>
        <v>0</v>
      </c>
      <c r="AU317" s="44" t="str">
        <f t="shared" si="236"/>
        <v>-</v>
      </c>
      <c r="AV317" s="68">
        <f>IFERROR(AV308+AV316,AV308)</f>
        <v>118</v>
      </c>
      <c r="AW317" s="68">
        <f>IFERROR(AW308+AW316,AW308)</f>
        <v>120</v>
      </c>
      <c r="AX317" s="21">
        <f t="shared" si="237"/>
        <v>0.98333333333333328</v>
      </c>
      <c r="AY317" s="68">
        <f>IFERROR(AY308+AY316,AY308)</f>
        <v>1659</v>
      </c>
      <c r="AZ317" s="68">
        <f>IFERROR(AZ308+AZ316,AZ308)</f>
        <v>1788</v>
      </c>
      <c r="BA317" s="21">
        <f t="shared" si="238"/>
        <v>0.92785234899328861</v>
      </c>
      <c r="BB317" s="68">
        <f>IFERROR(BB308+BB316,BB308)</f>
        <v>0</v>
      </c>
      <c r="BC317" s="68">
        <f>IFERROR(BC308+BC316,BC308)</f>
        <v>0</v>
      </c>
      <c r="BD317" s="37" t="str">
        <f t="shared" si="239"/>
        <v>-</v>
      </c>
    </row>
    <row r="318" spans="1:56" ht="14.25" customHeight="1">
      <c r="A318" s="8"/>
      <c r="B318" s="12" t="s">
        <v>130</v>
      </c>
      <c r="C318" s="66">
        <f>SUM(C256,C258,C263)</f>
        <v>341</v>
      </c>
      <c r="D318" s="66">
        <f>SUM(D256,D258,D263)</f>
        <v>350</v>
      </c>
      <c r="E318" s="67">
        <f t="shared" si="222"/>
        <v>0.97428571428571431</v>
      </c>
      <c r="F318" s="66">
        <f>SUM(F256,F258,F263)</f>
        <v>377</v>
      </c>
      <c r="G318" s="66">
        <f>SUM(G256,G258,G263)</f>
        <v>402</v>
      </c>
      <c r="H318" s="67">
        <f t="shared" si="223"/>
        <v>0.93781094527363185</v>
      </c>
      <c r="I318" s="66">
        <f>SUM(C318,F318)</f>
        <v>718</v>
      </c>
      <c r="J318" s="66">
        <f>SUM(D318,G318)</f>
        <v>752</v>
      </c>
      <c r="K318" s="67">
        <f t="shared" si="224"/>
        <v>0.95478723404255317</v>
      </c>
      <c r="L318" s="64">
        <f>SUM(L256,L258,L263)</f>
        <v>67</v>
      </c>
      <c r="M318" s="64">
        <f>SUM(M256,M258,M263)</f>
        <v>80</v>
      </c>
      <c r="N318" s="65">
        <f t="shared" si="225"/>
        <v>0.83750000000000002</v>
      </c>
      <c r="O318" s="64">
        <f>SUM(O256,O258,O263)</f>
        <v>22</v>
      </c>
      <c r="P318" s="64">
        <f>SUM(P256,P258,P263)</f>
        <v>22</v>
      </c>
      <c r="Q318" s="65">
        <f t="shared" si="226"/>
        <v>1</v>
      </c>
      <c r="R318" s="64">
        <f>SUM(L318,O318)</f>
        <v>89</v>
      </c>
      <c r="S318" s="64">
        <f>SUM(M318,P318)</f>
        <v>102</v>
      </c>
      <c r="T318" s="65">
        <f t="shared" si="227"/>
        <v>0.87254901960784315</v>
      </c>
      <c r="U318" s="66">
        <f>SUM(U256,U258,U263)</f>
        <v>11</v>
      </c>
      <c r="V318" s="66">
        <f>SUM(V256,V258,V263)</f>
        <v>11</v>
      </c>
      <c r="W318" s="67">
        <f t="shared" si="228"/>
        <v>1</v>
      </c>
      <c r="X318" s="66">
        <f>SUM(X256,X258,X263)</f>
        <v>75</v>
      </c>
      <c r="Y318" s="66">
        <f>SUM(Y256,Y258,Y263)</f>
        <v>77</v>
      </c>
      <c r="Z318" s="67">
        <f t="shared" si="229"/>
        <v>0.97402597402597402</v>
      </c>
      <c r="AA318" s="66">
        <f>SUM(U318,X318)</f>
        <v>86</v>
      </c>
      <c r="AB318" s="66">
        <f>SUM(V318,Y318)</f>
        <v>88</v>
      </c>
      <c r="AC318" s="67">
        <f t="shared" si="230"/>
        <v>0.97727272727272729</v>
      </c>
      <c r="AD318" s="70">
        <f>SUM(AD256,AD258,AD263)</f>
        <v>11566</v>
      </c>
      <c r="AE318" s="70">
        <f>SUM(AE256,AE258,AE263)</f>
        <v>13680</v>
      </c>
      <c r="AF318" s="21">
        <f t="shared" si="231"/>
        <v>0.84546783625730992</v>
      </c>
      <c r="AG318" s="70">
        <f>SUM(AG256,AG258,AG263)</f>
        <v>11169</v>
      </c>
      <c r="AH318" s="70">
        <f>SUM(AH256,AH258,AH263)</f>
        <v>13308</v>
      </c>
      <c r="AI318" s="21">
        <f t="shared" si="232"/>
        <v>0.83926961226330032</v>
      </c>
      <c r="AJ318" s="70"/>
      <c r="AK318" s="70"/>
      <c r="AL318" s="37" t="str">
        <f t="shared" si="233"/>
        <v>-</v>
      </c>
      <c r="AM318" s="69">
        <f>SUM(AM256,AM258,AM263)</f>
        <v>59</v>
      </c>
      <c r="AN318" s="69">
        <f>SUM(AN256,AN258,AN263)</f>
        <v>67</v>
      </c>
      <c r="AO318" s="36">
        <f t="shared" si="234"/>
        <v>0.88059701492537312</v>
      </c>
      <c r="AP318" s="69">
        <f>SUM(AP256,AP258,AP263)</f>
        <v>32</v>
      </c>
      <c r="AQ318" s="69">
        <f>SUM(AQ256,AQ258,AQ263)</f>
        <v>44</v>
      </c>
      <c r="AR318" s="36">
        <f t="shared" si="235"/>
        <v>0.72727272727272729</v>
      </c>
      <c r="AS318" s="69"/>
      <c r="AT318" s="69"/>
      <c r="AU318" s="44" t="str">
        <f t="shared" si="236"/>
        <v>-</v>
      </c>
      <c r="AV318" s="70">
        <f>SUM(AV256,AV258,AV263)</f>
        <v>126</v>
      </c>
      <c r="AW318" s="70">
        <f>SUM(AW256,AW258,AW263)</f>
        <v>132</v>
      </c>
      <c r="AX318" s="21">
        <f t="shared" si="237"/>
        <v>0.95454545454545459</v>
      </c>
      <c r="AY318" s="70">
        <f>SUM(AY256,AY258,AY263)</f>
        <v>849</v>
      </c>
      <c r="AZ318" s="70">
        <f>SUM(AZ256,AZ258,AZ263)</f>
        <v>900</v>
      </c>
      <c r="BA318" s="21">
        <f t="shared" si="238"/>
        <v>0.94333333333333336</v>
      </c>
      <c r="BB318" s="70"/>
      <c r="BC318" s="70"/>
      <c r="BD318" s="37" t="str">
        <f t="shared" si="239"/>
        <v>-</v>
      </c>
    </row>
    <row r="319" spans="1:56" ht="14.25" customHeight="1">
      <c r="A319" s="8"/>
      <c r="B319" s="12" t="s">
        <v>131</v>
      </c>
      <c r="C319" s="66">
        <f>C275</f>
        <v>20</v>
      </c>
      <c r="D319" s="66">
        <f>D275</f>
        <v>25</v>
      </c>
      <c r="E319" s="67">
        <f t="shared" si="222"/>
        <v>0.8</v>
      </c>
      <c r="F319" s="66">
        <f>F275</f>
        <v>33</v>
      </c>
      <c r="G319" s="66">
        <f>G275</f>
        <v>36</v>
      </c>
      <c r="H319" s="67">
        <f t="shared" si="223"/>
        <v>0.91666666666666663</v>
      </c>
      <c r="I319" s="66">
        <f>SUM(C319,F319)</f>
        <v>53</v>
      </c>
      <c r="J319" s="66">
        <f>SUM(D319,G319)</f>
        <v>61</v>
      </c>
      <c r="K319" s="67">
        <f t="shared" si="224"/>
        <v>0.86885245901639341</v>
      </c>
      <c r="L319" s="80" t="str">
        <f>L275</f>
        <v>-</v>
      </c>
      <c r="M319" s="80" t="str">
        <f>M275</f>
        <v>-</v>
      </c>
      <c r="N319" s="80" t="str">
        <f t="shared" si="225"/>
        <v>-</v>
      </c>
      <c r="O319" s="80" t="str">
        <f>O275</f>
        <v>-</v>
      </c>
      <c r="P319" s="80" t="str">
        <f>P275</f>
        <v>-</v>
      </c>
      <c r="Q319" s="80" t="str">
        <f t="shared" si="226"/>
        <v>-</v>
      </c>
      <c r="R319" s="64">
        <f>SUM(L319,O319)</f>
        <v>0</v>
      </c>
      <c r="S319" s="64">
        <f>SUM(M319,P319)</f>
        <v>0</v>
      </c>
      <c r="T319" s="80" t="str">
        <f t="shared" si="227"/>
        <v>-</v>
      </c>
      <c r="U319" s="83" t="str">
        <f>U275</f>
        <v>-</v>
      </c>
      <c r="V319" s="83" t="str">
        <f>V275</f>
        <v>-</v>
      </c>
      <c r="W319" s="83" t="str">
        <f t="shared" si="228"/>
        <v>-</v>
      </c>
      <c r="X319" s="83" t="str">
        <f>X275</f>
        <v>-</v>
      </c>
      <c r="Y319" s="83" t="str">
        <f>Y275</f>
        <v>-</v>
      </c>
      <c r="Z319" s="83" t="str">
        <f t="shared" si="229"/>
        <v>-</v>
      </c>
      <c r="AA319" s="66">
        <f>SUM(U319,X319)</f>
        <v>0</v>
      </c>
      <c r="AB319" s="66">
        <f>SUM(V319,Y319)</f>
        <v>0</v>
      </c>
      <c r="AC319" s="83" t="str">
        <f t="shared" si="230"/>
        <v>-</v>
      </c>
      <c r="AD319" s="70">
        <f>AD275</f>
        <v>504</v>
      </c>
      <c r="AE319" s="70">
        <f>AE275</f>
        <v>570</v>
      </c>
      <c r="AF319" s="21">
        <f t="shared" si="231"/>
        <v>0.88421052631578945</v>
      </c>
      <c r="AG319" s="70">
        <f>AG275</f>
        <v>926</v>
      </c>
      <c r="AH319" s="70">
        <f>AH275</f>
        <v>1083</v>
      </c>
      <c r="AI319" s="21">
        <f t="shared" si="232"/>
        <v>0.8550323176361958</v>
      </c>
      <c r="AJ319" s="70"/>
      <c r="AK319" s="70"/>
      <c r="AL319" s="37" t="str">
        <f t="shared" si="233"/>
        <v>-</v>
      </c>
      <c r="AM319" s="44" t="str">
        <f>AM275</f>
        <v>-</v>
      </c>
      <c r="AN319" s="44" t="str">
        <f>AN275</f>
        <v>-</v>
      </c>
      <c r="AO319" s="44" t="str">
        <f t="shared" si="234"/>
        <v>-</v>
      </c>
      <c r="AP319" s="44" t="str">
        <f>AP275</f>
        <v>-</v>
      </c>
      <c r="AQ319" s="44" t="str">
        <f>AQ275</f>
        <v>-</v>
      </c>
      <c r="AR319" s="44" t="str">
        <f t="shared" si="235"/>
        <v>-</v>
      </c>
      <c r="AS319" s="69"/>
      <c r="AT319" s="69"/>
      <c r="AU319" s="44" t="str">
        <f t="shared" si="236"/>
        <v>-</v>
      </c>
      <c r="AV319" s="37" t="str">
        <f>AV275</f>
        <v>-</v>
      </c>
      <c r="AW319" s="37" t="str">
        <f>AW275</f>
        <v>-</v>
      </c>
      <c r="AX319" s="37" t="str">
        <f t="shared" si="237"/>
        <v>-</v>
      </c>
      <c r="AY319" s="37" t="str">
        <f>AY275</f>
        <v>-</v>
      </c>
      <c r="AZ319" s="37" t="str">
        <f>AZ275</f>
        <v>-</v>
      </c>
      <c r="BA319" s="37" t="str">
        <f t="shared" si="238"/>
        <v>-</v>
      </c>
      <c r="BB319" s="70"/>
      <c r="BC319" s="70"/>
      <c r="BD319" s="37" t="str">
        <f t="shared" si="239"/>
        <v>-</v>
      </c>
    </row>
    <row r="320" spans="1:56" ht="14.25" customHeight="1">
      <c r="A320" s="8"/>
      <c r="B320" s="45" t="s">
        <v>132</v>
      </c>
      <c r="C320" s="66">
        <f>C277</f>
        <v>43</v>
      </c>
      <c r="D320" s="66">
        <f>D277</f>
        <v>44</v>
      </c>
      <c r="E320" s="67">
        <f t="shared" si="222"/>
        <v>0.97727272727272729</v>
      </c>
      <c r="F320" s="66">
        <f>F277</f>
        <v>0</v>
      </c>
      <c r="G320" s="66">
        <f>G277</f>
        <v>0</v>
      </c>
      <c r="H320" s="83" t="str">
        <f t="shared" si="223"/>
        <v>-</v>
      </c>
      <c r="I320" s="66">
        <f>I277</f>
        <v>43</v>
      </c>
      <c r="J320" s="66">
        <f>J277</f>
        <v>44</v>
      </c>
      <c r="K320" s="67">
        <f t="shared" si="224"/>
        <v>0.97727272727272729</v>
      </c>
      <c r="L320" s="80" t="str">
        <f>L277</f>
        <v>-</v>
      </c>
      <c r="M320" s="80" t="str">
        <f>M277</f>
        <v>-</v>
      </c>
      <c r="N320" s="80" t="str">
        <f t="shared" si="225"/>
        <v>-</v>
      </c>
      <c r="O320" s="80" t="str">
        <f>O277</f>
        <v>-</v>
      </c>
      <c r="P320" s="80" t="str">
        <f>P277</f>
        <v>-</v>
      </c>
      <c r="Q320" s="80" t="str">
        <f t="shared" si="226"/>
        <v>-</v>
      </c>
      <c r="R320" s="64">
        <f>R277</f>
        <v>0</v>
      </c>
      <c r="S320" s="64">
        <f>S277</f>
        <v>0</v>
      </c>
      <c r="T320" s="80" t="str">
        <f t="shared" si="227"/>
        <v>-</v>
      </c>
      <c r="U320" s="83" t="str">
        <f>U277</f>
        <v>-</v>
      </c>
      <c r="V320" s="83" t="str">
        <f>V277</f>
        <v>-</v>
      </c>
      <c r="W320" s="83" t="str">
        <f t="shared" si="228"/>
        <v>-</v>
      </c>
      <c r="X320" s="83" t="str">
        <f>X277</f>
        <v>-</v>
      </c>
      <c r="Y320" s="83" t="str">
        <f>Y277</f>
        <v>-</v>
      </c>
      <c r="Z320" s="83" t="str">
        <f t="shared" si="229"/>
        <v>-</v>
      </c>
      <c r="AA320" s="66">
        <f>AA277</f>
        <v>0</v>
      </c>
      <c r="AB320" s="66">
        <f>AB277</f>
        <v>0</v>
      </c>
      <c r="AC320" s="83" t="str">
        <f t="shared" si="230"/>
        <v>-</v>
      </c>
      <c r="AD320" s="68">
        <f>AD277</f>
        <v>1967</v>
      </c>
      <c r="AE320" s="68">
        <f>AE277</f>
        <v>2145</v>
      </c>
      <c r="AF320" s="21">
        <f t="shared" si="231"/>
        <v>0.91701631701631703</v>
      </c>
      <c r="AG320" s="68">
        <f>AG277</f>
        <v>0</v>
      </c>
      <c r="AH320" s="68">
        <f>AH277</f>
        <v>0</v>
      </c>
      <c r="AI320" s="37" t="str">
        <f t="shared" si="232"/>
        <v>-</v>
      </c>
      <c r="AJ320" s="68">
        <f>AJ277</f>
        <v>0</v>
      </c>
      <c r="AK320" s="68">
        <f>AK277</f>
        <v>0</v>
      </c>
      <c r="AL320" s="37" t="str">
        <f t="shared" si="233"/>
        <v>-</v>
      </c>
      <c r="AM320" s="100" t="str">
        <f>AM277</f>
        <v>-</v>
      </c>
      <c r="AN320" s="100" t="str">
        <f>AN277</f>
        <v>-</v>
      </c>
      <c r="AO320" s="44" t="str">
        <f t="shared" si="234"/>
        <v>-</v>
      </c>
      <c r="AP320" s="140">
        <f>AP277</f>
        <v>0</v>
      </c>
      <c r="AQ320" s="140">
        <f>AQ277</f>
        <v>0</v>
      </c>
      <c r="AR320" s="44" t="str">
        <f t="shared" si="235"/>
        <v>-</v>
      </c>
      <c r="AS320" s="140">
        <f>AS277</f>
        <v>0</v>
      </c>
      <c r="AT320" s="140">
        <f>AT277</f>
        <v>0</v>
      </c>
      <c r="AU320" s="44" t="str">
        <f t="shared" si="236"/>
        <v>-</v>
      </c>
      <c r="AV320" s="102" t="str">
        <f>AV277</f>
        <v>-</v>
      </c>
      <c r="AW320" s="102" t="str">
        <f>AW277</f>
        <v>-</v>
      </c>
      <c r="AX320" s="37" t="str">
        <f t="shared" si="237"/>
        <v>-</v>
      </c>
      <c r="AY320" s="102" t="str">
        <f>AY277</f>
        <v>-</v>
      </c>
      <c r="AZ320" s="102" t="str">
        <f>AZ277</f>
        <v>-</v>
      </c>
      <c r="BA320" s="37" t="str">
        <f t="shared" si="238"/>
        <v>-</v>
      </c>
      <c r="BB320" s="68">
        <f>BB277</f>
        <v>0</v>
      </c>
      <c r="BC320" s="68">
        <f>BC277</f>
        <v>0</v>
      </c>
      <c r="BD320" s="37" t="str">
        <f t="shared" si="239"/>
        <v>-</v>
      </c>
    </row>
    <row r="321" spans="1:56" ht="14.25" customHeight="1">
      <c r="A321" s="8"/>
      <c r="B321" s="12" t="s">
        <v>133</v>
      </c>
      <c r="C321" s="66">
        <f>SUM(C318:C320)</f>
        <v>404</v>
      </c>
      <c r="D321" s="66">
        <f>SUM(D318:D320)</f>
        <v>419</v>
      </c>
      <c r="E321" s="67">
        <f t="shared" si="222"/>
        <v>0.96420047732696901</v>
      </c>
      <c r="F321" s="66">
        <f>SUM(F318:F320)</f>
        <v>410</v>
      </c>
      <c r="G321" s="66">
        <f>SUM(G318:G320)</f>
        <v>438</v>
      </c>
      <c r="H321" s="67">
        <f t="shared" si="223"/>
        <v>0.9360730593607306</v>
      </c>
      <c r="I321" s="66">
        <f>SUM(I318:I320)</f>
        <v>814</v>
      </c>
      <c r="J321" s="66">
        <f>SUM(J318:J320)</f>
        <v>857</v>
      </c>
      <c r="K321" s="67">
        <f t="shared" si="224"/>
        <v>0.94982497082847139</v>
      </c>
      <c r="L321" s="64">
        <f>SUM(L318:L320)</f>
        <v>67</v>
      </c>
      <c r="M321" s="64">
        <f>SUM(M318:M320)</f>
        <v>80</v>
      </c>
      <c r="N321" s="65">
        <f t="shared" si="225"/>
        <v>0.83750000000000002</v>
      </c>
      <c r="O321" s="64">
        <f>SUM(O318:O320)</f>
        <v>22</v>
      </c>
      <c r="P321" s="64">
        <f>SUM(P318:P320)</f>
        <v>22</v>
      </c>
      <c r="Q321" s="65">
        <f t="shared" si="226"/>
        <v>1</v>
      </c>
      <c r="R321" s="64">
        <f>SUM(R318:R320)</f>
        <v>89</v>
      </c>
      <c r="S321" s="64">
        <f>SUM(S318:S320)</f>
        <v>102</v>
      </c>
      <c r="T321" s="65">
        <f t="shared" si="227"/>
        <v>0.87254901960784315</v>
      </c>
      <c r="U321" s="66">
        <f>SUM(U318:U320)</f>
        <v>11</v>
      </c>
      <c r="V321" s="66">
        <f>SUM(V318:V320)</f>
        <v>11</v>
      </c>
      <c r="W321" s="67">
        <f t="shared" si="228"/>
        <v>1</v>
      </c>
      <c r="X321" s="66">
        <f>SUM(X318:X320)</f>
        <v>75</v>
      </c>
      <c r="Y321" s="66">
        <f>SUM(Y318:Y320)</f>
        <v>77</v>
      </c>
      <c r="Z321" s="67">
        <f t="shared" si="229"/>
        <v>0.97402597402597402</v>
      </c>
      <c r="AA321" s="66">
        <f>SUM(AA318:AA320)</f>
        <v>86</v>
      </c>
      <c r="AB321" s="66">
        <f>SUM(AB318:AB320)</f>
        <v>88</v>
      </c>
      <c r="AC321" s="67">
        <f t="shared" si="230"/>
        <v>0.97727272727272729</v>
      </c>
      <c r="AD321" s="68">
        <f>SUM(AD318:AD320)</f>
        <v>14037</v>
      </c>
      <c r="AE321" s="68">
        <f>SUM(AE318:AE320)</f>
        <v>16395</v>
      </c>
      <c r="AF321" s="21">
        <f t="shared" si="231"/>
        <v>0.85617566331198536</v>
      </c>
      <c r="AG321" s="68">
        <f>SUM(AG318:AG320)</f>
        <v>12095</v>
      </c>
      <c r="AH321" s="68">
        <f>SUM(AH318:AH320)</f>
        <v>14391</v>
      </c>
      <c r="AI321" s="21">
        <f t="shared" si="232"/>
        <v>0.84045584045584043</v>
      </c>
      <c r="AJ321" s="68">
        <f>SUM(AJ318:AJ320)</f>
        <v>0</v>
      </c>
      <c r="AK321" s="68">
        <f>SUM(AK318:AK320)</f>
        <v>0</v>
      </c>
      <c r="AL321" s="37" t="str">
        <f t="shared" si="233"/>
        <v>-</v>
      </c>
      <c r="AM321" s="140">
        <f>SUM(AM318:AM320)</f>
        <v>59</v>
      </c>
      <c r="AN321" s="140">
        <f>SUM(AN318:AN320)</f>
        <v>67</v>
      </c>
      <c r="AO321" s="36">
        <f t="shared" si="234"/>
        <v>0.88059701492537312</v>
      </c>
      <c r="AP321" s="140">
        <f>SUM(AP318:AP320)</f>
        <v>32</v>
      </c>
      <c r="AQ321" s="140">
        <f>SUM(AQ318:AQ320)</f>
        <v>44</v>
      </c>
      <c r="AR321" s="36">
        <f t="shared" si="235"/>
        <v>0.72727272727272729</v>
      </c>
      <c r="AS321" s="140">
        <f>SUM(AS318:AS320)</f>
        <v>0</v>
      </c>
      <c r="AT321" s="140">
        <f>SUM(AT318:AT320)</f>
        <v>0</v>
      </c>
      <c r="AU321" s="44" t="str">
        <f t="shared" si="236"/>
        <v>-</v>
      </c>
      <c r="AV321" s="68">
        <f>SUM(AV318:AV320)</f>
        <v>126</v>
      </c>
      <c r="AW321" s="68">
        <f>SUM(AW318:AW320)</f>
        <v>132</v>
      </c>
      <c r="AX321" s="21">
        <f t="shared" si="237"/>
        <v>0.95454545454545459</v>
      </c>
      <c r="AY321" s="68">
        <f>SUM(AY318:AY320)</f>
        <v>849</v>
      </c>
      <c r="AZ321" s="68">
        <f>SUM(AZ318:AZ320)</f>
        <v>900</v>
      </c>
      <c r="BA321" s="21">
        <f t="shared" si="238"/>
        <v>0.94333333333333336</v>
      </c>
      <c r="BB321" s="68">
        <f>SUM(BB318:BB320)</f>
        <v>0</v>
      </c>
      <c r="BC321" s="68">
        <f>SUM(BC318:BC320)</f>
        <v>0</v>
      </c>
      <c r="BD321" s="37" t="str">
        <f t="shared" si="239"/>
        <v>-</v>
      </c>
    </row>
    <row r="322" spans="1:56" ht="14.25" customHeight="1">
      <c r="A322" s="2"/>
      <c r="B322" s="23"/>
      <c r="C322" s="47"/>
      <c r="D322" s="23"/>
      <c r="E322" s="23"/>
      <c r="F322" s="23"/>
      <c r="G322" s="23"/>
      <c r="H322" s="23"/>
      <c r="I322" s="23"/>
      <c r="J322" s="23"/>
      <c r="K322" s="23"/>
      <c r="L322" s="23"/>
      <c r="M322" s="23"/>
      <c r="N322" s="23"/>
      <c r="O322" s="23"/>
      <c r="P322" s="23"/>
      <c r="Q322" s="23"/>
      <c r="R322" s="23"/>
      <c r="S322" s="23"/>
      <c r="T322" s="23"/>
      <c r="U322" s="47"/>
      <c r="V322" s="47"/>
      <c r="W322" s="23"/>
      <c r="X322" s="23"/>
      <c r="Y322" s="23"/>
      <c r="Z322" s="23"/>
      <c r="AA322" s="23"/>
      <c r="AB322" s="23"/>
      <c r="AC322" s="23"/>
      <c r="AD322" s="23"/>
      <c r="AE322" s="23"/>
      <c r="AF322" s="23"/>
      <c r="AG322" s="23"/>
      <c r="AH322" s="23"/>
      <c r="AI322" s="23"/>
      <c r="AJ322" s="23"/>
      <c r="AK322" s="23"/>
      <c r="AL322" s="23"/>
      <c r="AM322" s="23"/>
      <c r="AN322" s="23"/>
      <c r="AO322" s="23"/>
      <c r="AP322" s="23"/>
      <c r="AQ322" s="23"/>
      <c r="AR322" s="23"/>
      <c r="AS322" s="23"/>
      <c r="AT322" s="23"/>
      <c r="AU322" s="23"/>
      <c r="AV322" s="23"/>
      <c r="AW322" s="23"/>
      <c r="AX322" s="23"/>
      <c r="AY322" s="23"/>
      <c r="AZ322" s="23"/>
      <c r="BA322" s="23"/>
      <c r="BB322" s="23"/>
      <c r="BC322" s="23"/>
      <c r="BD322" s="23"/>
    </row>
    <row r="323" spans="1:5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row>
    <row r="324" spans="1:56" ht="14.25" customHeight="1">
      <c r="A324" s="6" t="s">
        <v>149</v>
      </c>
      <c r="B324" s="25"/>
      <c r="C324" s="25"/>
      <c r="D324" s="25"/>
      <c r="E324" s="25"/>
      <c r="F324" s="25"/>
      <c r="G324" s="25"/>
      <c r="H324" s="25"/>
      <c r="I324" s="25"/>
      <c r="J324" s="25"/>
      <c r="K324" s="25"/>
      <c r="L324" s="25"/>
      <c r="M324" s="25"/>
      <c r="N324" s="25"/>
      <c r="O324" s="25"/>
      <c r="P324" s="25"/>
      <c r="Q324" s="25"/>
      <c r="R324" s="25"/>
      <c r="S324" s="25"/>
      <c r="T324" s="25"/>
      <c r="U324" s="25"/>
      <c r="V324" s="25"/>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row>
    <row r="325" spans="1:56" ht="14.25" customHeight="1">
      <c r="A325" s="26"/>
      <c r="B325" s="144" t="s">
        <v>150</v>
      </c>
      <c r="C325" s="145"/>
      <c r="D325" s="145"/>
      <c r="E325" s="145"/>
      <c r="F325" s="145"/>
      <c r="G325" s="145"/>
      <c r="H325" s="145"/>
      <c r="I325" s="145"/>
      <c r="J325" s="145"/>
      <c r="K325" s="145"/>
      <c r="L325" s="145"/>
      <c r="M325" s="145"/>
      <c r="N325" s="145"/>
      <c r="O325" s="145"/>
      <c r="P325" s="145"/>
      <c r="Q325" s="145"/>
      <c r="R325" s="145"/>
      <c r="S325" s="145"/>
      <c r="T325" s="145"/>
      <c r="U325" s="145"/>
      <c r="V325" s="145"/>
      <c r="W325" s="146"/>
      <c r="X325" s="7"/>
      <c r="Y325" s="7"/>
      <c r="Z325" s="7"/>
      <c r="AA325" s="2"/>
      <c r="AB325" s="7"/>
      <c r="AC325" s="7"/>
      <c r="AD325" s="7"/>
      <c r="AE325" s="7"/>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row>
    <row r="326" spans="1:56" ht="15" customHeight="1">
      <c r="A326" s="8"/>
      <c r="B326" s="511" t="s">
        <v>151</v>
      </c>
      <c r="C326" s="511" t="s">
        <v>152</v>
      </c>
      <c r="D326" s="502" t="s">
        <v>18</v>
      </c>
      <c r="E326" s="503"/>
      <c r="F326" s="504"/>
      <c r="G326" s="505"/>
      <c r="H326" s="502" t="s">
        <v>21</v>
      </c>
      <c r="I326" s="503"/>
      <c r="J326" s="504"/>
      <c r="K326" s="505"/>
      <c r="L326" s="502" t="s">
        <v>20</v>
      </c>
      <c r="M326" s="503"/>
      <c r="N326" s="504"/>
      <c r="O326" s="505"/>
      <c r="P326" s="502" t="s">
        <v>25</v>
      </c>
      <c r="Q326" s="503"/>
      <c r="R326" s="504"/>
      <c r="S326" s="505"/>
      <c r="T326" s="502" t="s">
        <v>39</v>
      </c>
      <c r="U326" s="503"/>
      <c r="V326" s="504"/>
      <c r="W326" s="505"/>
      <c r="X326" s="511" t="s">
        <v>153</v>
      </c>
      <c r="Y326" s="514" t="s">
        <v>154</v>
      </c>
      <c r="Z326" s="515"/>
      <c r="AA326" s="8"/>
      <c r="AB326" s="502" t="s">
        <v>155</v>
      </c>
      <c r="AC326" s="503"/>
      <c r="AD326" s="504"/>
      <c r="AE326" s="505"/>
      <c r="AF326" s="10"/>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row>
    <row r="327" spans="1:56" ht="30" customHeight="1">
      <c r="A327" s="8"/>
      <c r="B327" s="510"/>
      <c r="C327" s="510"/>
      <c r="D327" s="502" t="s">
        <v>11</v>
      </c>
      <c r="E327" s="503"/>
      <c r="F327" s="504"/>
      <c r="G327" s="505"/>
      <c r="H327" s="502" t="s">
        <v>11</v>
      </c>
      <c r="I327" s="503"/>
      <c r="J327" s="504"/>
      <c r="K327" s="505"/>
      <c r="L327" s="502" t="s">
        <v>11</v>
      </c>
      <c r="M327" s="503"/>
      <c r="N327" s="504"/>
      <c r="O327" s="505"/>
      <c r="P327" s="502" t="s">
        <v>11</v>
      </c>
      <c r="Q327" s="503"/>
      <c r="R327" s="504"/>
      <c r="S327" s="505"/>
      <c r="T327" s="502" t="s">
        <v>11</v>
      </c>
      <c r="U327" s="503"/>
      <c r="V327" s="504"/>
      <c r="W327" s="505"/>
      <c r="X327" s="510"/>
      <c r="Y327" s="516"/>
      <c r="Z327" s="517"/>
      <c r="AA327" s="8"/>
      <c r="AB327" s="502" t="str">
        <f>T327</f>
        <v>2023/2024</v>
      </c>
      <c r="AC327" s="503"/>
      <c r="AD327" s="504"/>
      <c r="AE327" s="505"/>
      <c r="AF327" s="10"/>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row>
    <row r="328" spans="1:56" ht="30" customHeight="1">
      <c r="A328" s="8"/>
      <c r="B328" s="508"/>
      <c r="C328" s="508"/>
      <c r="D328" s="32" t="s">
        <v>117</v>
      </c>
      <c r="E328" s="32" t="s">
        <v>156</v>
      </c>
      <c r="F328" s="32" t="s">
        <v>157</v>
      </c>
      <c r="G328" s="32" t="s">
        <v>158</v>
      </c>
      <c r="H328" s="32" t="s">
        <v>117</v>
      </c>
      <c r="I328" s="32" t="s">
        <v>156</v>
      </c>
      <c r="J328" s="32" t="s">
        <v>157</v>
      </c>
      <c r="K328" s="32" t="s">
        <v>158</v>
      </c>
      <c r="L328" s="32" t="s">
        <v>159</v>
      </c>
      <c r="M328" s="32" t="s">
        <v>156</v>
      </c>
      <c r="N328" s="32" t="s">
        <v>157</v>
      </c>
      <c r="O328" s="32" t="s">
        <v>158</v>
      </c>
      <c r="P328" s="32" t="s">
        <v>159</v>
      </c>
      <c r="Q328" s="32" t="s">
        <v>156</v>
      </c>
      <c r="R328" s="32" t="s">
        <v>157</v>
      </c>
      <c r="S328" s="32" t="s">
        <v>158</v>
      </c>
      <c r="T328" s="32" t="s">
        <v>159</v>
      </c>
      <c r="U328" s="32" t="s">
        <v>156</v>
      </c>
      <c r="V328" s="32" t="s">
        <v>157</v>
      </c>
      <c r="W328" s="32" t="s">
        <v>158</v>
      </c>
      <c r="X328" s="508"/>
      <c r="Y328" s="518"/>
      <c r="Z328" s="517"/>
      <c r="AA328" s="8"/>
      <c r="AB328" s="32" t="s">
        <v>159</v>
      </c>
      <c r="AC328" s="32" t="s">
        <v>156</v>
      </c>
      <c r="AD328" s="32" t="s">
        <v>157</v>
      </c>
      <c r="AE328" s="32" t="s">
        <v>158</v>
      </c>
      <c r="AF328" s="10"/>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row>
    <row r="329" spans="1:56" ht="14.25" customHeight="1">
      <c r="A329" s="8"/>
      <c r="B329" s="512" t="s">
        <v>43</v>
      </c>
      <c r="C329" s="12" t="s">
        <v>160</v>
      </c>
      <c r="D329" s="147"/>
      <c r="E329" s="147"/>
      <c r="F329" s="147"/>
      <c r="G329" s="147"/>
      <c r="H329" s="147"/>
      <c r="I329" s="147"/>
      <c r="J329" s="147"/>
      <c r="K329" s="147"/>
      <c r="L329" s="147"/>
      <c r="M329" s="147"/>
      <c r="N329" s="147"/>
      <c r="O329" s="147"/>
      <c r="P329" s="147"/>
      <c r="Q329" s="147"/>
      <c r="R329" s="147"/>
      <c r="S329" s="147"/>
      <c r="T329" s="148" t="str">
        <f t="shared" ref="T329:T353" si="246">IFERROR(AVERAGE(D329,H329,L329,P329),"0")</f>
        <v>0</v>
      </c>
      <c r="U329" s="148" t="str">
        <f t="shared" ref="U329:U353" si="247">IFERROR(AVERAGE(E329,I329,M329,Q329),"0")</f>
        <v>0</v>
      </c>
      <c r="V329" s="148" t="str">
        <f t="shared" ref="V329:V353" si="248">IFERROR(AVERAGE(F329,J329,N329,R329),"0")</f>
        <v>0</v>
      </c>
      <c r="W329" s="148" t="str">
        <f t="shared" ref="W329:W353" si="249">IFERROR(AVERAGE(G329,K329,O329,S329),"0")</f>
        <v>0</v>
      </c>
      <c r="X329" s="513">
        <f>SUM(Y329:Y333)/5</f>
        <v>0</v>
      </c>
      <c r="Y329" s="149">
        <f t="shared" ref="Y329:Y353" si="250">((4*T329)+(3*U329)+(2*V329)+W329)/4</f>
        <v>0</v>
      </c>
      <c r="Z329" s="150" t="s">
        <v>161</v>
      </c>
      <c r="AA329" s="24"/>
      <c r="AB329" s="151" t="s">
        <v>162</v>
      </c>
      <c r="AC329" s="151" t="s">
        <v>162</v>
      </c>
      <c r="AD329" s="151" t="s">
        <v>162</v>
      </c>
      <c r="AE329" s="151" t="s">
        <v>162</v>
      </c>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row>
    <row r="330" spans="1:56" ht="14.25" customHeight="1">
      <c r="A330" s="8"/>
      <c r="B330" s="507"/>
      <c r="C330" s="12" t="s">
        <v>163</v>
      </c>
      <c r="D330" s="147"/>
      <c r="E330" s="147"/>
      <c r="F330" s="147"/>
      <c r="G330" s="147"/>
      <c r="H330" s="147"/>
      <c r="I330" s="147"/>
      <c r="J330" s="147"/>
      <c r="K330" s="147"/>
      <c r="L330" s="147"/>
      <c r="M330" s="147"/>
      <c r="N330" s="147"/>
      <c r="O330" s="147"/>
      <c r="P330" s="147"/>
      <c r="Q330" s="147"/>
      <c r="R330" s="147"/>
      <c r="S330" s="147"/>
      <c r="T330" s="148" t="str">
        <f t="shared" si="246"/>
        <v>0</v>
      </c>
      <c r="U330" s="148" t="str">
        <f t="shared" si="247"/>
        <v>0</v>
      </c>
      <c r="V330" s="148" t="str">
        <f t="shared" si="248"/>
        <v>0</v>
      </c>
      <c r="W330" s="148" t="str">
        <f t="shared" si="249"/>
        <v>0</v>
      </c>
      <c r="X330" s="507"/>
      <c r="Y330" s="152">
        <f t="shared" si="250"/>
        <v>0</v>
      </c>
      <c r="Z330" s="10"/>
      <c r="AA330" s="24"/>
      <c r="AB330" s="153" t="s">
        <v>162</v>
      </c>
      <c r="AC330" s="153" t="s">
        <v>162</v>
      </c>
      <c r="AD330" s="153" t="s">
        <v>162</v>
      </c>
      <c r="AE330" s="153" t="s">
        <v>162</v>
      </c>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row>
    <row r="331" spans="1:56" ht="14.25" customHeight="1">
      <c r="A331" s="8"/>
      <c r="B331" s="507"/>
      <c r="C331" s="12" t="s">
        <v>164</v>
      </c>
      <c r="D331" s="147"/>
      <c r="E331" s="147"/>
      <c r="F331" s="147"/>
      <c r="G331" s="147"/>
      <c r="H331" s="147"/>
      <c r="I331" s="147"/>
      <c r="J331" s="147"/>
      <c r="K331" s="147"/>
      <c r="L331" s="147"/>
      <c r="M331" s="147"/>
      <c r="N331" s="147"/>
      <c r="O331" s="147"/>
      <c r="P331" s="147"/>
      <c r="Q331" s="147"/>
      <c r="R331" s="147"/>
      <c r="S331" s="147"/>
      <c r="T331" s="148" t="str">
        <f t="shared" si="246"/>
        <v>0</v>
      </c>
      <c r="U331" s="148" t="str">
        <f t="shared" si="247"/>
        <v>0</v>
      </c>
      <c r="V331" s="148" t="str">
        <f t="shared" si="248"/>
        <v>0</v>
      </c>
      <c r="W331" s="148" t="str">
        <f t="shared" si="249"/>
        <v>0</v>
      </c>
      <c r="X331" s="507"/>
      <c r="Y331" s="152">
        <f t="shared" si="250"/>
        <v>0</v>
      </c>
      <c r="Z331" s="10"/>
      <c r="AA331" s="24"/>
      <c r="AB331" s="153" t="s">
        <v>162</v>
      </c>
      <c r="AC331" s="153" t="s">
        <v>162</v>
      </c>
      <c r="AD331" s="153" t="s">
        <v>162</v>
      </c>
      <c r="AE331" s="153" t="s">
        <v>162</v>
      </c>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row>
    <row r="332" spans="1:56" ht="14.25" customHeight="1">
      <c r="A332" s="8"/>
      <c r="B332" s="507"/>
      <c r="C332" s="12" t="s">
        <v>165</v>
      </c>
      <c r="D332" s="147"/>
      <c r="E332" s="147"/>
      <c r="F332" s="147"/>
      <c r="G332" s="147"/>
      <c r="H332" s="147"/>
      <c r="I332" s="147"/>
      <c r="J332" s="147"/>
      <c r="K332" s="147"/>
      <c r="L332" s="147"/>
      <c r="M332" s="147"/>
      <c r="N332" s="147"/>
      <c r="O332" s="147"/>
      <c r="P332" s="147"/>
      <c r="Q332" s="147"/>
      <c r="R332" s="147"/>
      <c r="S332" s="147"/>
      <c r="T332" s="148" t="str">
        <f t="shared" si="246"/>
        <v>0</v>
      </c>
      <c r="U332" s="148" t="str">
        <f t="shared" si="247"/>
        <v>0</v>
      </c>
      <c r="V332" s="148" t="str">
        <f t="shared" si="248"/>
        <v>0</v>
      </c>
      <c r="W332" s="148" t="str">
        <f t="shared" si="249"/>
        <v>0</v>
      </c>
      <c r="X332" s="507"/>
      <c r="Y332" s="152">
        <f t="shared" si="250"/>
        <v>0</v>
      </c>
      <c r="Z332" s="10"/>
      <c r="AA332" s="24"/>
      <c r="AB332" s="153" t="s">
        <v>162</v>
      </c>
      <c r="AC332" s="153" t="s">
        <v>162</v>
      </c>
      <c r="AD332" s="153" t="s">
        <v>162</v>
      </c>
      <c r="AE332" s="153" t="s">
        <v>162</v>
      </c>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row>
    <row r="333" spans="1:56" ht="14.25" customHeight="1">
      <c r="A333" s="8"/>
      <c r="B333" s="508"/>
      <c r="C333" s="12" t="s">
        <v>166</v>
      </c>
      <c r="D333" s="147"/>
      <c r="E333" s="147"/>
      <c r="F333" s="147"/>
      <c r="G333" s="147"/>
      <c r="H333" s="147"/>
      <c r="I333" s="147"/>
      <c r="J333" s="147"/>
      <c r="K333" s="147"/>
      <c r="L333" s="147"/>
      <c r="M333" s="147"/>
      <c r="N333" s="147"/>
      <c r="O333" s="147"/>
      <c r="P333" s="147"/>
      <c r="Q333" s="147"/>
      <c r="R333" s="147"/>
      <c r="S333" s="147"/>
      <c r="T333" s="148" t="str">
        <f t="shared" si="246"/>
        <v>0</v>
      </c>
      <c r="U333" s="148" t="str">
        <f t="shared" si="247"/>
        <v>0</v>
      </c>
      <c r="V333" s="148" t="str">
        <f t="shared" si="248"/>
        <v>0</v>
      </c>
      <c r="W333" s="148" t="str">
        <f t="shared" si="249"/>
        <v>0</v>
      </c>
      <c r="X333" s="508"/>
      <c r="Y333" s="152">
        <f t="shared" si="250"/>
        <v>0</v>
      </c>
      <c r="Z333" s="10"/>
      <c r="AA333" s="24"/>
      <c r="AB333" s="153" t="s">
        <v>162</v>
      </c>
      <c r="AC333" s="153" t="s">
        <v>162</v>
      </c>
      <c r="AD333" s="153" t="s">
        <v>162</v>
      </c>
      <c r="AE333" s="153" t="s">
        <v>162</v>
      </c>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row>
    <row r="334" spans="1:56" ht="14.25" customHeight="1">
      <c r="A334" s="8"/>
      <c r="B334" s="512" t="s">
        <v>44</v>
      </c>
      <c r="C334" s="12" t="s">
        <v>160</v>
      </c>
      <c r="D334" s="147"/>
      <c r="E334" s="147"/>
      <c r="F334" s="147"/>
      <c r="G334" s="147"/>
      <c r="H334" s="147"/>
      <c r="I334" s="147"/>
      <c r="J334" s="147"/>
      <c r="K334" s="147"/>
      <c r="L334" s="147"/>
      <c r="M334" s="147"/>
      <c r="N334" s="147"/>
      <c r="O334" s="147"/>
      <c r="P334" s="147"/>
      <c r="Q334" s="147"/>
      <c r="R334" s="147"/>
      <c r="S334" s="147"/>
      <c r="T334" s="148" t="str">
        <f t="shared" si="246"/>
        <v>0</v>
      </c>
      <c r="U334" s="148" t="str">
        <f t="shared" si="247"/>
        <v>0</v>
      </c>
      <c r="V334" s="148" t="str">
        <f t="shared" si="248"/>
        <v>0</v>
      </c>
      <c r="W334" s="148" t="str">
        <f t="shared" si="249"/>
        <v>0</v>
      </c>
      <c r="X334" s="513">
        <f>SUM(Y334:Y338)/5</f>
        <v>0</v>
      </c>
      <c r="Y334" s="152">
        <f t="shared" si="250"/>
        <v>0</v>
      </c>
      <c r="Z334" s="150" t="s">
        <v>161</v>
      </c>
      <c r="AA334" s="24"/>
      <c r="AB334" s="153" t="s">
        <v>162</v>
      </c>
      <c r="AC334" s="153" t="s">
        <v>162</v>
      </c>
      <c r="AD334" s="153" t="s">
        <v>162</v>
      </c>
      <c r="AE334" s="153" t="s">
        <v>162</v>
      </c>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row>
    <row r="335" spans="1:56" ht="14.25" customHeight="1">
      <c r="A335" s="8"/>
      <c r="B335" s="507"/>
      <c r="C335" s="12" t="s">
        <v>163</v>
      </c>
      <c r="D335" s="147"/>
      <c r="E335" s="147"/>
      <c r="F335" s="147"/>
      <c r="G335" s="147"/>
      <c r="H335" s="147"/>
      <c r="I335" s="147"/>
      <c r="J335" s="147"/>
      <c r="K335" s="147"/>
      <c r="L335" s="147"/>
      <c r="M335" s="147"/>
      <c r="N335" s="147"/>
      <c r="O335" s="147"/>
      <c r="P335" s="147"/>
      <c r="Q335" s="147"/>
      <c r="R335" s="147"/>
      <c r="S335" s="147"/>
      <c r="T335" s="148" t="str">
        <f t="shared" si="246"/>
        <v>0</v>
      </c>
      <c r="U335" s="148" t="str">
        <f t="shared" si="247"/>
        <v>0</v>
      </c>
      <c r="V335" s="148" t="str">
        <f t="shared" si="248"/>
        <v>0</v>
      </c>
      <c r="W335" s="148" t="str">
        <f t="shared" si="249"/>
        <v>0</v>
      </c>
      <c r="X335" s="507"/>
      <c r="Y335" s="152">
        <f t="shared" si="250"/>
        <v>0</v>
      </c>
      <c r="Z335" s="10"/>
      <c r="AA335" s="24"/>
      <c r="AB335" s="153" t="s">
        <v>162</v>
      </c>
      <c r="AC335" s="153" t="s">
        <v>162</v>
      </c>
      <c r="AD335" s="153" t="s">
        <v>162</v>
      </c>
      <c r="AE335" s="153" t="s">
        <v>162</v>
      </c>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row>
    <row r="336" spans="1:56" ht="14.25" customHeight="1">
      <c r="A336" s="8"/>
      <c r="B336" s="507"/>
      <c r="C336" s="12" t="s">
        <v>164</v>
      </c>
      <c r="D336" s="147"/>
      <c r="E336" s="147"/>
      <c r="F336" s="147"/>
      <c r="G336" s="147"/>
      <c r="H336" s="147"/>
      <c r="I336" s="147"/>
      <c r="J336" s="147"/>
      <c r="K336" s="147"/>
      <c r="L336" s="147"/>
      <c r="M336" s="147"/>
      <c r="N336" s="147"/>
      <c r="O336" s="147"/>
      <c r="P336" s="147"/>
      <c r="Q336" s="147"/>
      <c r="R336" s="147"/>
      <c r="S336" s="147"/>
      <c r="T336" s="148" t="str">
        <f t="shared" si="246"/>
        <v>0</v>
      </c>
      <c r="U336" s="148" t="str">
        <f t="shared" si="247"/>
        <v>0</v>
      </c>
      <c r="V336" s="148" t="str">
        <f t="shared" si="248"/>
        <v>0</v>
      </c>
      <c r="W336" s="148" t="str">
        <f t="shared" si="249"/>
        <v>0</v>
      </c>
      <c r="X336" s="507"/>
      <c r="Y336" s="152">
        <f t="shared" si="250"/>
        <v>0</v>
      </c>
      <c r="Z336" s="10"/>
      <c r="AA336" s="24"/>
      <c r="AB336" s="153" t="s">
        <v>162</v>
      </c>
      <c r="AC336" s="153" t="s">
        <v>162</v>
      </c>
      <c r="AD336" s="153" t="s">
        <v>162</v>
      </c>
      <c r="AE336" s="153" t="s">
        <v>162</v>
      </c>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row>
    <row r="337" spans="1:56" ht="14.25" customHeight="1">
      <c r="A337" s="8"/>
      <c r="B337" s="507"/>
      <c r="C337" s="12" t="s">
        <v>165</v>
      </c>
      <c r="D337" s="147"/>
      <c r="E337" s="147"/>
      <c r="F337" s="147"/>
      <c r="G337" s="147"/>
      <c r="H337" s="147"/>
      <c r="I337" s="147"/>
      <c r="J337" s="147"/>
      <c r="K337" s="147"/>
      <c r="L337" s="147"/>
      <c r="M337" s="147"/>
      <c r="N337" s="147"/>
      <c r="O337" s="147"/>
      <c r="P337" s="147"/>
      <c r="Q337" s="147"/>
      <c r="R337" s="147"/>
      <c r="S337" s="147"/>
      <c r="T337" s="148" t="str">
        <f t="shared" si="246"/>
        <v>0</v>
      </c>
      <c r="U337" s="148" t="str">
        <f t="shared" si="247"/>
        <v>0</v>
      </c>
      <c r="V337" s="148" t="str">
        <f t="shared" si="248"/>
        <v>0</v>
      </c>
      <c r="W337" s="148" t="str">
        <f t="shared" si="249"/>
        <v>0</v>
      </c>
      <c r="X337" s="507"/>
      <c r="Y337" s="152">
        <f t="shared" si="250"/>
        <v>0</v>
      </c>
      <c r="Z337" s="10"/>
      <c r="AA337" s="24"/>
      <c r="AB337" s="153" t="s">
        <v>162</v>
      </c>
      <c r="AC337" s="153" t="s">
        <v>162</v>
      </c>
      <c r="AD337" s="153" t="s">
        <v>162</v>
      </c>
      <c r="AE337" s="153" t="s">
        <v>162</v>
      </c>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row>
    <row r="338" spans="1:56" ht="14.25" customHeight="1">
      <c r="A338" s="8"/>
      <c r="B338" s="508"/>
      <c r="C338" s="12" t="s">
        <v>166</v>
      </c>
      <c r="D338" s="147"/>
      <c r="E338" s="147"/>
      <c r="F338" s="147"/>
      <c r="G338" s="147"/>
      <c r="H338" s="147"/>
      <c r="I338" s="147"/>
      <c r="J338" s="147"/>
      <c r="K338" s="147"/>
      <c r="L338" s="147"/>
      <c r="M338" s="147"/>
      <c r="N338" s="147"/>
      <c r="O338" s="147"/>
      <c r="P338" s="147"/>
      <c r="Q338" s="147"/>
      <c r="R338" s="147"/>
      <c r="S338" s="147"/>
      <c r="T338" s="148" t="str">
        <f t="shared" si="246"/>
        <v>0</v>
      </c>
      <c r="U338" s="148" t="str">
        <f t="shared" si="247"/>
        <v>0</v>
      </c>
      <c r="V338" s="148" t="str">
        <f t="shared" si="248"/>
        <v>0</v>
      </c>
      <c r="W338" s="148" t="str">
        <f t="shared" si="249"/>
        <v>0</v>
      </c>
      <c r="X338" s="508"/>
      <c r="Y338" s="152">
        <f t="shared" si="250"/>
        <v>0</v>
      </c>
      <c r="Z338" s="10"/>
      <c r="AA338" s="24"/>
      <c r="AB338" s="153" t="s">
        <v>162</v>
      </c>
      <c r="AC338" s="153" t="s">
        <v>162</v>
      </c>
      <c r="AD338" s="153" t="s">
        <v>162</v>
      </c>
      <c r="AE338" s="153" t="s">
        <v>162</v>
      </c>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row>
    <row r="339" spans="1:56" ht="14.25" customHeight="1">
      <c r="A339" s="8"/>
      <c r="B339" s="512" t="s">
        <v>45</v>
      </c>
      <c r="C339" s="12" t="s">
        <v>160</v>
      </c>
      <c r="D339" s="147"/>
      <c r="E339" s="147"/>
      <c r="F339" s="147"/>
      <c r="G339" s="147"/>
      <c r="H339" s="147"/>
      <c r="I339" s="147"/>
      <c r="J339" s="147"/>
      <c r="K339" s="147"/>
      <c r="L339" s="147"/>
      <c r="M339" s="147"/>
      <c r="N339" s="147"/>
      <c r="O339" s="147"/>
      <c r="P339" s="147"/>
      <c r="Q339" s="147"/>
      <c r="R339" s="147"/>
      <c r="S339" s="147"/>
      <c r="T339" s="148" t="str">
        <f t="shared" si="246"/>
        <v>0</v>
      </c>
      <c r="U339" s="148" t="str">
        <f t="shared" si="247"/>
        <v>0</v>
      </c>
      <c r="V339" s="148" t="str">
        <f t="shared" si="248"/>
        <v>0</v>
      </c>
      <c r="W339" s="148" t="str">
        <f t="shared" si="249"/>
        <v>0</v>
      </c>
      <c r="X339" s="513">
        <f>SUM(Y339:Y343)/5</f>
        <v>0</v>
      </c>
      <c r="Y339" s="152">
        <f t="shared" si="250"/>
        <v>0</v>
      </c>
      <c r="Z339" s="150" t="s">
        <v>161</v>
      </c>
      <c r="AA339" s="24"/>
      <c r="AB339" s="153" t="s">
        <v>162</v>
      </c>
      <c r="AC339" s="153" t="s">
        <v>162</v>
      </c>
      <c r="AD339" s="153" t="s">
        <v>162</v>
      </c>
      <c r="AE339" s="153" t="s">
        <v>162</v>
      </c>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row>
    <row r="340" spans="1:56" ht="14.25" customHeight="1">
      <c r="A340" s="8"/>
      <c r="B340" s="507"/>
      <c r="C340" s="12" t="s">
        <v>163</v>
      </c>
      <c r="D340" s="147"/>
      <c r="E340" s="147"/>
      <c r="F340" s="147"/>
      <c r="G340" s="147"/>
      <c r="H340" s="147"/>
      <c r="I340" s="147"/>
      <c r="J340" s="147"/>
      <c r="K340" s="147"/>
      <c r="L340" s="147"/>
      <c r="M340" s="147"/>
      <c r="N340" s="147"/>
      <c r="O340" s="147"/>
      <c r="P340" s="147"/>
      <c r="Q340" s="147"/>
      <c r="R340" s="147"/>
      <c r="S340" s="147"/>
      <c r="T340" s="148" t="str">
        <f t="shared" si="246"/>
        <v>0</v>
      </c>
      <c r="U340" s="148" t="str">
        <f t="shared" si="247"/>
        <v>0</v>
      </c>
      <c r="V340" s="148" t="str">
        <f t="shared" si="248"/>
        <v>0</v>
      </c>
      <c r="W340" s="148" t="str">
        <f t="shared" si="249"/>
        <v>0</v>
      </c>
      <c r="X340" s="507"/>
      <c r="Y340" s="152">
        <f t="shared" si="250"/>
        <v>0</v>
      </c>
      <c r="Z340" s="10"/>
      <c r="AA340" s="24"/>
      <c r="AB340" s="153" t="s">
        <v>162</v>
      </c>
      <c r="AC340" s="153" t="s">
        <v>162</v>
      </c>
      <c r="AD340" s="153" t="s">
        <v>162</v>
      </c>
      <c r="AE340" s="153" t="s">
        <v>162</v>
      </c>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row>
    <row r="341" spans="1:56" ht="14.25" customHeight="1">
      <c r="A341" s="8"/>
      <c r="B341" s="507"/>
      <c r="C341" s="12" t="s">
        <v>164</v>
      </c>
      <c r="D341" s="147"/>
      <c r="E341" s="147"/>
      <c r="F341" s="147"/>
      <c r="G341" s="147"/>
      <c r="H341" s="147"/>
      <c r="I341" s="147"/>
      <c r="J341" s="147"/>
      <c r="K341" s="147"/>
      <c r="L341" s="147"/>
      <c r="M341" s="147"/>
      <c r="N341" s="147"/>
      <c r="O341" s="147"/>
      <c r="P341" s="147"/>
      <c r="Q341" s="147"/>
      <c r="R341" s="147"/>
      <c r="S341" s="147"/>
      <c r="T341" s="148" t="str">
        <f t="shared" si="246"/>
        <v>0</v>
      </c>
      <c r="U341" s="148" t="str">
        <f t="shared" si="247"/>
        <v>0</v>
      </c>
      <c r="V341" s="148" t="str">
        <f t="shared" si="248"/>
        <v>0</v>
      </c>
      <c r="W341" s="148" t="str">
        <f t="shared" si="249"/>
        <v>0</v>
      </c>
      <c r="X341" s="507"/>
      <c r="Y341" s="152">
        <f t="shared" si="250"/>
        <v>0</v>
      </c>
      <c r="Z341" s="10"/>
      <c r="AA341" s="24"/>
      <c r="AB341" s="153" t="s">
        <v>162</v>
      </c>
      <c r="AC341" s="153" t="s">
        <v>162</v>
      </c>
      <c r="AD341" s="153" t="s">
        <v>162</v>
      </c>
      <c r="AE341" s="153" t="s">
        <v>162</v>
      </c>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row>
    <row r="342" spans="1:56" ht="14.25" customHeight="1">
      <c r="A342" s="8"/>
      <c r="B342" s="507"/>
      <c r="C342" s="12" t="s">
        <v>165</v>
      </c>
      <c r="D342" s="147"/>
      <c r="E342" s="147"/>
      <c r="F342" s="147"/>
      <c r="G342" s="147"/>
      <c r="H342" s="147"/>
      <c r="I342" s="147"/>
      <c r="J342" s="147"/>
      <c r="K342" s="147"/>
      <c r="L342" s="147"/>
      <c r="M342" s="147"/>
      <c r="N342" s="147"/>
      <c r="O342" s="147"/>
      <c r="P342" s="147"/>
      <c r="Q342" s="147"/>
      <c r="R342" s="147"/>
      <c r="S342" s="147"/>
      <c r="T342" s="148" t="str">
        <f t="shared" si="246"/>
        <v>0</v>
      </c>
      <c r="U342" s="148" t="str">
        <f t="shared" si="247"/>
        <v>0</v>
      </c>
      <c r="V342" s="148" t="str">
        <f t="shared" si="248"/>
        <v>0</v>
      </c>
      <c r="W342" s="148" t="str">
        <f t="shared" si="249"/>
        <v>0</v>
      </c>
      <c r="X342" s="507"/>
      <c r="Y342" s="152">
        <f t="shared" si="250"/>
        <v>0</v>
      </c>
      <c r="Z342" s="10"/>
      <c r="AA342" s="24"/>
      <c r="AB342" s="153" t="s">
        <v>162</v>
      </c>
      <c r="AC342" s="153" t="s">
        <v>162</v>
      </c>
      <c r="AD342" s="153" t="s">
        <v>162</v>
      </c>
      <c r="AE342" s="153" t="s">
        <v>162</v>
      </c>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row>
    <row r="343" spans="1:56" ht="14.25" customHeight="1">
      <c r="A343" s="8"/>
      <c r="B343" s="508"/>
      <c r="C343" s="12" t="s">
        <v>166</v>
      </c>
      <c r="D343" s="147"/>
      <c r="E343" s="147"/>
      <c r="F343" s="147"/>
      <c r="G343" s="147"/>
      <c r="H343" s="147"/>
      <c r="I343" s="147"/>
      <c r="J343" s="147"/>
      <c r="K343" s="147"/>
      <c r="L343" s="147"/>
      <c r="M343" s="147"/>
      <c r="N343" s="147"/>
      <c r="O343" s="147"/>
      <c r="P343" s="147"/>
      <c r="Q343" s="147"/>
      <c r="R343" s="147"/>
      <c r="S343" s="147"/>
      <c r="T343" s="148" t="str">
        <f t="shared" si="246"/>
        <v>0</v>
      </c>
      <c r="U343" s="148" t="str">
        <f t="shared" si="247"/>
        <v>0</v>
      </c>
      <c r="V343" s="148" t="str">
        <f t="shared" si="248"/>
        <v>0</v>
      </c>
      <c r="W343" s="148" t="str">
        <f t="shared" si="249"/>
        <v>0</v>
      </c>
      <c r="X343" s="508"/>
      <c r="Y343" s="152">
        <f t="shared" si="250"/>
        <v>0</v>
      </c>
      <c r="Z343" s="10"/>
      <c r="AA343" s="24"/>
      <c r="AB343" s="153" t="s">
        <v>162</v>
      </c>
      <c r="AC343" s="153" t="s">
        <v>162</v>
      </c>
      <c r="AD343" s="153" t="s">
        <v>162</v>
      </c>
      <c r="AE343" s="153" t="s">
        <v>162</v>
      </c>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row>
    <row r="344" spans="1:56" ht="14.25" customHeight="1">
      <c r="A344" s="8"/>
      <c r="B344" s="512" t="s">
        <v>46</v>
      </c>
      <c r="C344" s="12" t="s">
        <v>160</v>
      </c>
      <c r="D344" s="147"/>
      <c r="E344" s="147"/>
      <c r="F344" s="147"/>
      <c r="G344" s="147"/>
      <c r="H344" s="147"/>
      <c r="I344" s="147"/>
      <c r="J344" s="147"/>
      <c r="K344" s="147"/>
      <c r="L344" s="147"/>
      <c r="M344" s="147"/>
      <c r="N344" s="147"/>
      <c r="O344" s="147"/>
      <c r="P344" s="147"/>
      <c r="Q344" s="147"/>
      <c r="R344" s="147"/>
      <c r="S344" s="147"/>
      <c r="T344" s="148" t="str">
        <f t="shared" si="246"/>
        <v>0</v>
      </c>
      <c r="U344" s="148" t="str">
        <f t="shared" si="247"/>
        <v>0</v>
      </c>
      <c r="V344" s="148" t="str">
        <f t="shared" si="248"/>
        <v>0</v>
      </c>
      <c r="W344" s="148" t="str">
        <f t="shared" si="249"/>
        <v>0</v>
      </c>
      <c r="X344" s="513">
        <f>SUM(Y344:Y348)/5</f>
        <v>0</v>
      </c>
      <c r="Y344" s="152">
        <f t="shared" si="250"/>
        <v>0</v>
      </c>
      <c r="Z344" s="150" t="s">
        <v>161</v>
      </c>
      <c r="AA344" s="24"/>
      <c r="AB344" s="153" t="s">
        <v>162</v>
      </c>
      <c r="AC344" s="153" t="s">
        <v>162</v>
      </c>
      <c r="AD344" s="153" t="s">
        <v>162</v>
      </c>
      <c r="AE344" s="153" t="s">
        <v>162</v>
      </c>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row>
    <row r="345" spans="1:56" ht="14.25" customHeight="1">
      <c r="A345" s="8"/>
      <c r="B345" s="507"/>
      <c r="C345" s="12" t="s">
        <v>163</v>
      </c>
      <c r="D345" s="147"/>
      <c r="E345" s="147"/>
      <c r="F345" s="147"/>
      <c r="G345" s="147"/>
      <c r="H345" s="147"/>
      <c r="I345" s="147"/>
      <c r="J345" s="147"/>
      <c r="K345" s="147"/>
      <c r="L345" s="147"/>
      <c r="M345" s="147"/>
      <c r="N345" s="147"/>
      <c r="O345" s="147"/>
      <c r="P345" s="147"/>
      <c r="Q345" s="147"/>
      <c r="R345" s="147"/>
      <c r="S345" s="147"/>
      <c r="T345" s="148" t="str">
        <f t="shared" si="246"/>
        <v>0</v>
      </c>
      <c r="U345" s="148" t="str">
        <f t="shared" si="247"/>
        <v>0</v>
      </c>
      <c r="V345" s="148" t="str">
        <f t="shared" si="248"/>
        <v>0</v>
      </c>
      <c r="W345" s="148" t="str">
        <f t="shared" si="249"/>
        <v>0</v>
      </c>
      <c r="X345" s="507"/>
      <c r="Y345" s="152">
        <f t="shared" si="250"/>
        <v>0</v>
      </c>
      <c r="Z345" s="10"/>
      <c r="AA345" s="24"/>
      <c r="AB345" s="153" t="s">
        <v>162</v>
      </c>
      <c r="AC345" s="153" t="s">
        <v>162</v>
      </c>
      <c r="AD345" s="153" t="s">
        <v>162</v>
      </c>
      <c r="AE345" s="153" t="s">
        <v>162</v>
      </c>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row>
    <row r="346" spans="1:56" ht="14.25" customHeight="1">
      <c r="A346" s="8"/>
      <c r="B346" s="507"/>
      <c r="C346" s="12" t="s">
        <v>164</v>
      </c>
      <c r="D346" s="147"/>
      <c r="E346" s="147"/>
      <c r="F346" s="147"/>
      <c r="G346" s="147"/>
      <c r="H346" s="147"/>
      <c r="I346" s="147"/>
      <c r="J346" s="147"/>
      <c r="K346" s="147"/>
      <c r="L346" s="147"/>
      <c r="M346" s="147"/>
      <c r="N346" s="147"/>
      <c r="O346" s="147"/>
      <c r="P346" s="147"/>
      <c r="Q346" s="147"/>
      <c r="R346" s="147"/>
      <c r="S346" s="147"/>
      <c r="T346" s="148" t="str">
        <f t="shared" si="246"/>
        <v>0</v>
      </c>
      <c r="U346" s="148" t="str">
        <f t="shared" si="247"/>
        <v>0</v>
      </c>
      <c r="V346" s="148" t="str">
        <f t="shared" si="248"/>
        <v>0</v>
      </c>
      <c r="W346" s="148" t="str">
        <f t="shared" si="249"/>
        <v>0</v>
      </c>
      <c r="X346" s="507"/>
      <c r="Y346" s="152">
        <f t="shared" si="250"/>
        <v>0</v>
      </c>
      <c r="Z346" s="10"/>
      <c r="AA346" s="24"/>
      <c r="AB346" s="153" t="s">
        <v>162</v>
      </c>
      <c r="AC346" s="153" t="s">
        <v>162</v>
      </c>
      <c r="AD346" s="153" t="s">
        <v>162</v>
      </c>
      <c r="AE346" s="153" t="s">
        <v>162</v>
      </c>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row>
    <row r="347" spans="1:56" ht="14.25" customHeight="1">
      <c r="A347" s="8"/>
      <c r="B347" s="507"/>
      <c r="C347" s="12" t="s">
        <v>165</v>
      </c>
      <c r="D347" s="147"/>
      <c r="E347" s="147"/>
      <c r="F347" s="147"/>
      <c r="G347" s="147"/>
      <c r="H347" s="147"/>
      <c r="I347" s="147"/>
      <c r="J347" s="147"/>
      <c r="K347" s="147"/>
      <c r="L347" s="147"/>
      <c r="M347" s="147"/>
      <c r="N347" s="147"/>
      <c r="O347" s="147"/>
      <c r="P347" s="147"/>
      <c r="Q347" s="147"/>
      <c r="R347" s="147"/>
      <c r="S347" s="147"/>
      <c r="T347" s="148" t="str">
        <f t="shared" si="246"/>
        <v>0</v>
      </c>
      <c r="U347" s="148" t="str">
        <f t="shared" si="247"/>
        <v>0</v>
      </c>
      <c r="V347" s="148" t="str">
        <f t="shared" si="248"/>
        <v>0</v>
      </c>
      <c r="W347" s="148" t="str">
        <f t="shared" si="249"/>
        <v>0</v>
      </c>
      <c r="X347" s="507"/>
      <c r="Y347" s="152">
        <f t="shared" si="250"/>
        <v>0</v>
      </c>
      <c r="Z347" s="10"/>
      <c r="AA347" s="24"/>
      <c r="AB347" s="153" t="s">
        <v>162</v>
      </c>
      <c r="AC347" s="153" t="s">
        <v>162</v>
      </c>
      <c r="AD347" s="153" t="s">
        <v>162</v>
      </c>
      <c r="AE347" s="153" t="s">
        <v>162</v>
      </c>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row>
    <row r="348" spans="1:56" ht="14.25" customHeight="1">
      <c r="A348" s="8"/>
      <c r="B348" s="508"/>
      <c r="C348" s="12" t="s">
        <v>166</v>
      </c>
      <c r="D348" s="147"/>
      <c r="E348" s="147"/>
      <c r="F348" s="147"/>
      <c r="G348" s="147"/>
      <c r="H348" s="147"/>
      <c r="I348" s="147"/>
      <c r="J348" s="147"/>
      <c r="K348" s="147"/>
      <c r="L348" s="147"/>
      <c r="M348" s="147"/>
      <c r="N348" s="147"/>
      <c r="O348" s="147"/>
      <c r="P348" s="147"/>
      <c r="Q348" s="147"/>
      <c r="R348" s="147"/>
      <c r="S348" s="147"/>
      <c r="T348" s="148" t="str">
        <f t="shared" si="246"/>
        <v>0</v>
      </c>
      <c r="U348" s="148" t="str">
        <f t="shared" si="247"/>
        <v>0</v>
      </c>
      <c r="V348" s="148" t="str">
        <f t="shared" si="248"/>
        <v>0</v>
      </c>
      <c r="W348" s="148" t="str">
        <f t="shared" si="249"/>
        <v>0</v>
      </c>
      <c r="X348" s="508"/>
      <c r="Y348" s="152">
        <f t="shared" si="250"/>
        <v>0</v>
      </c>
      <c r="Z348" s="10"/>
      <c r="AA348" s="24"/>
      <c r="AB348" s="153" t="s">
        <v>162</v>
      </c>
      <c r="AC348" s="153" t="s">
        <v>162</v>
      </c>
      <c r="AD348" s="153" t="s">
        <v>162</v>
      </c>
      <c r="AE348" s="153" t="s">
        <v>162</v>
      </c>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row>
    <row r="349" spans="1:56" ht="14.25" customHeight="1">
      <c r="A349" s="8"/>
      <c r="B349" s="512" t="s">
        <v>47</v>
      </c>
      <c r="C349" s="12" t="s">
        <v>160</v>
      </c>
      <c r="D349" s="147"/>
      <c r="E349" s="147"/>
      <c r="F349" s="147"/>
      <c r="G349" s="147"/>
      <c r="H349" s="147"/>
      <c r="I349" s="147"/>
      <c r="J349" s="147"/>
      <c r="K349" s="147"/>
      <c r="L349" s="147"/>
      <c r="M349" s="147"/>
      <c r="N349" s="147"/>
      <c r="O349" s="147"/>
      <c r="P349" s="147"/>
      <c r="Q349" s="147"/>
      <c r="R349" s="147"/>
      <c r="S349" s="147"/>
      <c r="T349" s="148" t="str">
        <f t="shared" si="246"/>
        <v>0</v>
      </c>
      <c r="U349" s="148" t="str">
        <f t="shared" si="247"/>
        <v>0</v>
      </c>
      <c r="V349" s="148" t="str">
        <f t="shared" si="248"/>
        <v>0</v>
      </c>
      <c r="W349" s="148" t="str">
        <f t="shared" si="249"/>
        <v>0</v>
      </c>
      <c r="X349" s="513">
        <f>SUM(Y349:Y353)/5</f>
        <v>0</v>
      </c>
      <c r="Y349" s="152">
        <f t="shared" si="250"/>
        <v>0</v>
      </c>
      <c r="Z349" s="150" t="s">
        <v>161</v>
      </c>
      <c r="AA349" s="24"/>
      <c r="AB349" s="153" t="s">
        <v>162</v>
      </c>
      <c r="AC349" s="153" t="s">
        <v>162</v>
      </c>
      <c r="AD349" s="153" t="s">
        <v>162</v>
      </c>
      <c r="AE349" s="153" t="s">
        <v>162</v>
      </c>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row>
    <row r="350" spans="1:56" ht="14.25" customHeight="1">
      <c r="A350" s="8"/>
      <c r="B350" s="507"/>
      <c r="C350" s="12" t="s">
        <v>163</v>
      </c>
      <c r="D350" s="147"/>
      <c r="E350" s="147"/>
      <c r="F350" s="147"/>
      <c r="G350" s="147"/>
      <c r="H350" s="147"/>
      <c r="I350" s="147"/>
      <c r="J350" s="147"/>
      <c r="K350" s="147"/>
      <c r="L350" s="147"/>
      <c r="M350" s="147"/>
      <c r="N350" s="147"/>
      <c r="O350" s="147"/>
      <c r="P350" s="147"/>
      <c r="Q350" s="147"/>
      <c r="R350" s="147"/>
      <c r="S350" s="147"/>
      <c r="T350" s="148" t="str">
        <f t="shared" si="246"/>
        <v>0</v>
      </c>
      <c r="U350" s="148" t="str">
        <f t="shared" si="247"/>
        <v>0</v>
      </c>
      <c r="V350" s="148" t="str">
        <f t="shared" si="248"/>
        <v>0</v>
      </c>
      <c r="W350" s="148" t="str">
        <f t="shared" si="249"/>
        <v>0</v>
      </c>
      <c r="X350" s="507"/>
      <c r="Y350" s="152">
        <f t="shared" si="250"/>
        <v>0</v>
      </c>
      <c r="Z350" s="10"/>
      <c r="AA350" s="24"/>
      <c r="AB350" s="153" t="s">
        <v>162</v>
      </c>
      <c r="AC350" s="153" t="s">
        <v>162</v>
      </c>
      <c r="AD350" s="153" t="s">
        <v>162</v>
      </c>
      <c r="AE350" s="153" t="s">
        <v>162</v>
      </c>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row>
    <row r="351" spans="1:56" ht="14.25" customHeight="1">
      <c r="A351" s="8"/>
      <c r="B351" s="507"/>
      <c r="C351" s="12" t="s">
        <v>164</v>
      </c>
      <c r="D351" s="147"/>
      <c r="E351" s="147"/>
      <c r="F351" s="147"/>
      <c r="G351" s="147"/>
      <c r="H351" s="147"/>
      <c r="I351" s="147"/>
      <c r="J351" s="147"/>
      <c r="K351" s="147"/>
      <c r="L351" s="147"/>
      <c r="M351" s="147"/>
      <c r="N351" s="147"/>
      <c r="O351" s="147"/>
      <c r="P351" s="147"/>
      <c r="Q351" s="147"/>
      <c r="R351" s="147"/>
      <c r="S351" s="147"/>
      <c r="T351" s="148" t="str">
        <f t="shared" si="246"/>
        <v>0</v>
      </c>
      <c r="U351" s="148" t="str">
        <f t="shared" si="247"/>
        <v>0</v>
      </c>
      <c r="V351" s="148" t="str">
        <f t="shared" si="248"/>
        <v>0</v>
      </c>
      <c r="W351" s="148" t="str">
        <f t="shared" si="249"/>
        <v>0</v>
      </c>
      <c r="X351" s="507"/>
      <c r="Y351" s="152">
        <f t="shared" si="250"/>
        <v>0</v>
      </c>
      <c r="Z351" s="10"/>
      <c r="AA351" s="24"/>
      <c r="AB351" s="153" t="s">
        <v>162</v>
      </c>
      <c r="AC351" s="153" t="s">
        <v>162</v>
      </c>
      <c r="AD351" s="153" t="s">
        <v>162</v>
      </c>
      <c r="AE351" s="153" t="s">
        <v>162</v>
      </c>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row>
    <row r="352" spans="1:56" ht="14.25" customHeight="1">
      <c r="A352" s="8"/>
      <c r="B352" s="507"/>
      <c r="C352" s="12" t="s">
        <v>165</v>
      </c>
      <c r="D352" s="147"/>
      <c r="E352" s="147"/>
      <c r="F352" s="147"/>
      <c r="G352" s="147"/>
      <c r="H352" s="147"/>
      <c r="I352" s="147"/>
      <c r="J352" s="147"/>
      <c r="K352" s="147"/>
      <c r="L352" s="147"/>
      <c r="M352" s="147"/>
      <c r="N352" s="147"/>
      <c r="O352" s="147"/>
      <c r="P352" s="147"/>
      <c r="Q352" s="147"/>
      <c r="R352" s="147"/>
      <c r="S352" s="147"/>
      <c r="T352" s="148" t="str">
        <f t="shared" si="246"/>
        <v>0</v>
      </c>
      <c r="U352" s="148" t="str">
        <f t="shared" si="247"/>
        <v>0</v>
      </c>
      <c r="V352" s="148" t="str">
        <f t="shared" si="248"/>
        <v>0</v>
      </c>
      <c r="W352" s="148" t="str">
        <f t="shared" si="249"/>
        <v>0</v>
      </c>
      <c r="X352" s="507"/>
      <c r="Y352" s="152">
        <f t="shared" si="250"/>
        <v>0</v>
      </c>
      <c r="Z352" s="10"/>
      <c r="AA352" s="24"/>
      <c r="AB352" s="153" t="s">
        <v>162</v>
      </c>
      <c r="AC352" s="153" t="s">
        <v>162</v>
      </c>
      <c r="AD352" s="153" t="s">
        <v>162</v>
      </c>
      <c r="AE352" s="153" t="s">
        <v>162</v>
      </c>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row>
    <row r="353" spans="1:56" ht="14.25" customHeight="1">
      <c r="A353" s="8"/>
      <c r="B353" s="508"/>
      <c r="C353" s="12" t="s">
        <v>166</v>
      </c>
      <c r="D353" s="147"/>
      <c r="E353" s="147"/>
      <c r="F353" s="147"/>
      <c r="G353" s="147"/>
      <c r="H353" s="147"/>
      <c r="I353" s="147"/>
      <c r="J353" s="147"/>
      <c r="K353" s="147"/>
      <c r="L353" s="147"/>
      <c r="M353" s="147"/>
      <c r="N353" s="147"/>
      <c r="O353" s="147"/>
      <c r="P353" s="147"/>
      <c r="Q353" s="147"/>
      <c r="R353" s="147"/>
      <c r="S353" s="147"/>
      <c r="T353" s="148" t="str">
        <f t="shared" si="246"/>
        <v>0</v>
      </c>
      <c r="U353" s="148" t="str">
        <f t="shared" si="247"/>
        <v>0</v>
      </c>
      <c r="V353" s="148" t="str">
        <f t="shared" si="248"/>
        <v>0</v>
      </c>
      <c r="W353" s="148" t="str">
        <f t="shared" si="249"/>
        <v>0</v>
      </c>
      <c r="X353" s="508"/>
      <c r="Y353" s="152">
        <f t="shared" si="250"/>
        <v>0</v>
      </c>
      <c r="Z353" s="10"/>
      <c r="AA353" s="24"/>
      <c r="AB353" s="153" t="s">
        <v>162</v>
      </c>
      <c r="AC353" s="153" t="s">
        <v>162</v>
      </c>
      <c r="AD353" s="153" t="s">
        <v>162</v>
      </c>
      <c r="AE353" s="153" t="s">
        <v>162</v>
      </c>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row>
    <row r="354" spans="1:56" ht="14.25" customHeight="1">
      <c r="A354" s="2"/>
      <c r="B354" s="154"/>
      <c r="C354" s="154"/>
      <c r="D354" s="154"/>
      <c r="E354" s="154"/>
      <c r="F354" s="154"/>
      <c r="G354" s="154"/>
      <c r="H354" s="154"/>
      <c r="I354" s="154"/>
      <c r="J354" s="154"/>
      <c r="K354" s="154"/>
      <c r="L354" s="154"/>
      <c r="M354" s="154"/>
      <c r="N354" s="155"/>
      <c r="O354" s="155"/>
      <c r="P354" s="155"/>
      <c r="Q354" s="154"/>
      <c r="R354" s="154"/>
      <c r="S354" s="154"/>
      <c r="T354" s="154"/>
      <c r="U354" s="154"/>
      <c r="V354" s="154"/>
      <c r="W354" s="154"/>
      <c r="X354" s="23"/>
      <c r="Y354" s="23"/>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row>
    <row r="355" spans="1:56" ht="14.25" customHeight="1">
      <c r="A355" s="26"/>
      <c r="B355" s="144" t="s">
        <v>167</v>
      </c>
      <c r="C355" s="145"/>
      <c r="D355" s="145"/>
      <c r="E355" s="145"/>
      <c r="F355" s="145"/>
      <c r="G355" s="145"/>
      <c r="H355" s="145"/>
      <c r="I355" s="145"/>
      <c r="J355" s="145"/>
      <c r="K355" s="145"/>
      <c r="L355" s="145"/>
      <c r="M355" s="145"/>
      <c r="N355" s="145"/>
      <c r="O355" s="145"/>
      <c r="P355" s="145"/>
      <c r="Q355" s="145"/>
      <c r="R355" s="145"/>
      <c r="S355" s="145"/>
      <c r="T355" s="145"/>
      <c r="U355" s="145"/>
      <c r="V355" s="145"/>
      <c r="W355" s="145"/>
      <c r="X355" s="146"/>
      <c r="Y355" s="7"/>
      <c r="Z355" s="7"/>
      <c r="AA355" s="2"/>
      <c r="AB355" s="2"/>
      <c r="AC355" s="7"/>
      <c r="AD355" s="7"/>
      <c r="AE355" s="7"/>
      <c r="AF355" s="7"/>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row>
    <row r="356" spans="1:56" ht="15" customHeight="1">
      <c r="A356" s="8"/>
      <c r="B356" s="511" t="s">
        <v>37</v>
      </c>
      <c r="C356" s="511" t="s">
        <v>152</v>
      </c>
      <c r="D356" s="502" t="s">
        <v>18</v>
      </c>
      <c r="E356" s="503"/>
      <c r="F356" s="504"/>
      <c r="G356" s="505"/>
      <c r="H356" s="502" t="s">
        <v>21</v>
      </c>
      <c r="I356" s="503"/>
      <c r="J356" s="504"/>
      <c r="K356" s="505"/>
      <c r="L356" s="502" t="s">
        <v>20</v>
      </c>
      <c r="M356" s="503"/>
      <c r="N356" s="504"/>
      <c r="O356" s="505"/>
      <c r="P356" s="502" t="s">
        <v>25</v>
      </c>
      <c r="Q356" s="503"/>
      <c r="R356" s="504"/>
      <c r="S356" s="505"/>
      <c r="T356" s="502" t="s">
        <v>39</v>
      </c>
      <c r="U356" s="503"/>
      <c r="V356" s="504"/>
      <c r="W356" s="505"/>
      <c r="X356" s="511" t="s">
        <v>153</v>
      </c>
      <c r="Y356" s="514" t="s">
        <v>154</v>
      </c>
      <c r="Z356" s="515"/>
      <c r="AA356" s="2"/>
      <c r="AB356" s="8"/>
      <c r="AC356" s="502" t="s">
        <v>155</v>
      </c>
      <c r="AD356" s="503"/>
      <c r="AE356" s="504"/>
      <c r="AF356" s="505"/>
      <c r="AG356" s="10"/>
      <c r="AH356" s="2"/>
      <c r="AI356" s="2"/>
      <c r="AJ356" s="2"/>
      <c r="AK356" s="2"/>
      <c r="AL356" s="2"/>
      <c r="AM356" s="2"/>
      <c r="AN356" s="2"/>
      <c r="AO356" s="2"/>
      <c r="AP356" s="2"/>
      <c r="AQ356" s="2"/>
      <c r="AR356" s="2"/>
      <c r="AS356" s="2"/>
      <c r="AT356" s="2"/>
      <c r="AU356" s="2"/>
      <c r="AV356" s="2"/>
      <c r="AW356" s="2"/>
      <c r="AX356" s="2"/>
      <c r="AY356" s="2"/>
      <c r="AZ356" s="2"/>
      <c r="BA356" s="2"/>
      <c r="BB356" s="2"/>
      <c r="BC356" s="2"/>
      <c r="BD356" s="2"/>
    </row>
    <row r="357" spans="1:56" ht="15" customHeight="1">
      <c r="A357" s="8"/>
      <c r="B357" s="510"/>
      <c r="C357" s="510"/>
      <c r="D357" s="502" t="s">
        <v>11</v>
      </c>
      <c r="E357" s="503"/>
      <c r="F357" s="504"/>
      <c r="G357" s="505"/>
      <c r="H357" s="502" t="s">
        <v>11</v>
      </c>
      <c r="I357" s="503"/>
      <c r="J357" s="504"/>
      <c r="K357" s="505"/>
      <c r="L357" s="502" t="s">
        <v>11</v>
      </c>
      <c r="M357" s="503"/>
      <c r="N357" s="504"/>
      <c r="O357" s="505"/>
      <c r="P357" s="502" t="s">
        <v>11</v>
      </c>
      <c r="Q357" s="503"/>
      <c r="R357" s="504"/>
      <c r="S357" s="505"/>
      <c r="T357" s="502" t="s">
        <v>11</v>
      </c>
      <c r="U357" s="503"/>
      <c r="V357" s="504"/>
      <c r="W357" s="505"/>
      <c r="X357" s="510"/>
      <c r="Y357" s="516"/>
      <c r="Z357" s="517"/>
      <c r="AA357" s="2"/>
      <c r="AB357" s="8"/>
      <c r="AC357" s="502" t="str">
        <f>T357</f>
        <v>2023/2024</v>
      </c>
      <c r="AD357" s="503"/>
      <c r="AE357" s="504"/>
      <c r="AF357" s="505"/>
      <c r="AG357" s="10"/>
      <c r="AH357" s="2"/>
      <c r="AI357" s="2"/>
      <c r="AJ357" s="2"/>
      <c r="AK357" s="2"/>
      <c r="AL357" s="2"/>
      <c r="AM357" s="2"/>
      <c r="AN357" s="2"/>
      <c r="AO357" s="2"/>
      <c r="AP357" s="2"/>
      <c r="AQ357" s="2"/>
      <c r="AR357" s="2"/>
      <c r="AS357" s="2"/>
      <c r="AT357" s="2"/>
      <c r="AU357" s="2"/>
      <c r="AV357" s="2"/>
      <c r="AW357" s="2"/>
      <c r="AX357" s="2"/>
      <c r="AY357" s="2"/>
      <c r="AZ357" s="2"/>
      <c r="BA357" s="2"/>
      <c r="BB357" s="2"/>
      <c r="BC357" s="2"/>
      <c r="BD357" s="2"/>
    </row>
    <row r="358" spans="1:56" ht="15" customHeight="1">
      <c r="A358" s="8"/>
      <c r="B358" s="508"/>
      <c r="C358" s="508"/>
      <c r="D358" s="32" t="s">
        <v>117</v>
      </c>
      <c r="E358" s="32" t="s">
        <v>156</v>
      </c>
      <c r="F358" s="32" t="s">
        <v>157</v>
      </c>
      <c r="G358" s="32" t="s">
        <v>158</v>
      </c>
      <c r="H358" s="32" t="s">
        <v>117</v>
      </c>
      <c r="I358" s="32" t="s">
        <v>156</v>
      </c>
      <c r="J358" s="32" t="s">
        <v>157</v>
      </c>
      <c r="K358" s="32" t="s">
        <v>158</v>
      </c>
      <c r="L358" s="32" t="s">
        <v>159</v>
      </c>
      <c r="M358" s="32" t="s">
        <v>156</v>
      </c>
      <c r="N358" s="32" t="s">
        <v>157</v>
      </c>
      <c r="O358" s="32" t="s">
        <v>158</v>
      </c>
      <c r="P358" s="32" t="s">
        <v>159</v>
      </c>
      <c r="Q358" s="32" t="s">
        <v>156</v>
      </c>
      <c r="R358" s="32" t="s">
        <v>157</v>
      </c>
      <c r="S358" s="32" t="s">
        <v>158</v>
      </c>
      <c r="T358" s="32" t="s">
        <v>159</v>
      </c>
      <c r="U358" s="32" t="s">
        <v>156</v>
      </c>
      <c r="V358" s="32" t="s">
        <v>157</v>
      </c>
      <c r="W358" s="32" t="s">
        <v>158</v>
      </c>
      <c r="X358" s="508"/>
      <c r="Y358" s="518"/>
      <c r="Z358" s="517"/>
      <c r="AA358" s="2"/>
      <c r="AB358" s="8"/>
      <c r="AC358" s="32" t="s">
        <v>159</v>
      </c>
      <c r="AD358" s="32" t="s">
        <v>156</v>
      </c>
      <c r="AE358" s="32" t="s">
        <v>157</v>
      </c>
      <c r="AF358" s="32" t="s">
        <v>158</v>
      </c>
      <c r="AG358" s="10"/>
      <c r="AH358" s="2"/>
      <c r="AI358" s="2"/>
      <c r="AJ358" s="2"/>
      <c r="AK358" s="2"/>
      <c r="AL358" s="2"/>
      <c r="AM358" s="2"/>
      <c r="AN358" s="2"/>
      <c r="AO358" s="2"/>
      <c r="AP358" s="2"/>
      <c r="AQ358" s="2"/>
      <c r="AR358" s="2"/>
      <c r="AS358" s="2"/>
      <c r="AT358" s="2"/>
      <c r="AU358" s="2"/>
      <c r="AV358" s="2"/>
      <c r="AW358" s="2"/>
      <c r="AX358" s="2"/>
      <c r="AY358" s="2"/>
      <c r="AZ358" s="2"/>
      <c r="BA358" s="2"/>
      <c r="BB358" s="2"/>
      <c r="BC358" s="2"/>
      <c r="BD358" s="2"/>
    </row>
    <row r="359" spans="1:56" ht="14.25" customHeight="1">
      <c r="A359" s="8"/>
      <c r="B359" s="512" t="s">
        <v>69</v>
      </c>
      <c r="C359" s="156" t="s">
        <v>160</v>
      </c>
      <c r="D359" s="147"/>
      <c r="E359" s="147"/>
      <c r="F359" s="147"/>
      <c r="G359" s="147"/>
      <c r="H359" s="147"/>
      <c r="I359" s="147"/>
      <c r="J359" s="147"/>
      <c r="K359" s="147"/>
      <c r="L359" s="147"/>
      <c r="M359" s="147"/>
      <c r="N359" s="147"/>
      <c r="O359" s="147"/>
      <c r="P359" s="147"/>
      <c r="Q359" s="147"/>
      <c r="R359" s="147"/>
      <c r="S359" s="147"/>
      <c r="T359" s="148" t="str">
        <f t="shared" ref="T359:T390" si="251">IFERROR(AVERAGE(D359,H359,L359,P359),"0")</f>
        <v>0</v>
      </c>
      <c r="U359" s="148" t="str">
        <f t="shared" ref="U359:U390" si="252">IFERROR(AVERAGE(E359,I359,M359,Q359),"0")</f>
        <v>0</v>
      </c>
      <c r="V359" s="148" t="str">
        <f t="shared" ref="V359:V390" si="253">IFERROR(AVERAGE(F359,J359,N359,R359),"0")</f>
        <v>0</v>
      </c>
      <c r="W359" s="148" t="str">
        <f t="shared" ref="W359:W390" si="254">IFERROR(AVERAGE(G359,K359,O359,S359),"0")</f>
        <v>0</v>
      </c>
      <c r="X359" s="513">
        <f>SUM(Y359:Y363)/5</f>
        <v>0</v>
      </c>
      <c r="Y359" s="149">
        <f t="shared" ref="Y359:Y390" si="255">((4*T359)+(3*U359)+(2*V359)+W359)/4</f>
        <v>0</v>
      </c>
      <c r="Z359" s="150" t="s">
        <v>168</v>
      </c>
      <c r="AA359" s="2"/>
      <c r="AB359" s="26"/>
      <c r="AC359" s="157" t="s">
        <v>162</v>
      </c>
      <c r="AD359" s="157" t="s">
        <v>162</v>
      </c>
      <c r="AE359" s="157" t="s">
        <v>162</v>
      </c>
      <c r="AF359" s="157" t="s">
        <v>162</v>
      </c>
      <c r="AG359" s="158" t="str">
        <f t="shared" ref="AG359:AG390" si="256">B359</f>
        <v>ACC</v>
      </c>
      <c r="AH359" s="153" t="s">
        <v>162</v>
      </c>
      <c r="AI359" s="2"/>
      <c r="AJ359" s="2"/>
      <c r="AK359" s="2"/>
      <c r="AL359" s="2"/>
      <c r="AM359" s="2"/>
      <c r="AN359" s="2"/>
      <c r="AO359" s="2"/>
      <c r="AP359" s="2"/>
      <c r="AQ359" s="2"/>
      <c r="AR359" s="2"/>
      <c r="AS359" s="2"/>
      <c r="AT359" s="2"/>
      <c r="AU359" s="2"/>
      <c r="AV359" s="2"/>
      <c r="AW359" s="2"/>
      <c r="AX359" s="2"/>
      <c r="AY359" s="2"/>
      <c r="AZ359" s="2"/>
      <c r="BA359" s="2"/>
      <c r="BB359" s="2"/>
      <c r="BC359" s="2"/>
      <c r="BD359" s="2"/>
    </row>
    <row r="360" spans="1:56" ht="14.25" customHeight="1">
      <c r="A360" s="8"/>
      <c r="B360" s="507"/>
      <c r="C360" s="156" t="s">
        <v>163</v>
      </c>
      <c r="D360" s="147"/>
      <c r="E360" s="147"/>
      <c r="F360" s="147"/>
      <c r="G360" s="147"/>
      <c r="H360" s="147"/>
      <c r="I360" s="147"/>
      <c r="J360" s="147"/>
      <c r="K360" s="147"/>
      <c r="L360" s="147"/>
      <c r="M360" s="147"/>
      <c r="N360" s="147"/>
      <c r="O360" s="147"/>
      <c r="P360" s="147"/>
      <c r="Q360" s="147"/>
      <c r="R360" s="147"/>
      <c r="S360" s="147"/>
      <c r="T360" s="148" t="str">
        <f t="shared" si="251"/>
        <v>0</v>
      </c>
      <c r="U360" s="148" t="str">
        <f t="shared" si="252"/>
        <v>0</v>
      </c>
      <c r="V360" s="148" t="str">
        <f t="shared" si="253"/>
        <v>0</v>
      </c>
      <c r="W360" s="148" t="str">
        <f t="shared" si="254"/>
        <v>0</v>
      </c>
      <c r="X360" s="507"/>
      <c r="Y360" s="152">
        <f t="shared" si="255"/>
        <v>0</v>
      </c>
      <c r="Z360" s="150" t="s">
        <v>169</v>
      </c>
      <c r="AA360" s="2"/>
      <c r="AB360" s="26"/>
      <c r="AC360" s="159" t="s">
        <v>162</v>
      </c>
      <c r="AD360" s="159" t="s">
        <v>162</v>
      </c>
      <c r="AE360" s="159" t="s">
        <v>162</v>
      </c>
      <c r="AF360" s="159" t="s">
        <v>162</v>
      </c>
      <c r="AG360" s="31">
        <f t="shared" si="256"/>
        <v>0</v>
      </c>
      <c r="AH360" s="153" t="s">
        <v>162</v>
      </c>
      <c r="AI360" s="2"/>
      <c r="AJ360" s="2"/>
      <c r="AK360" s="2"/>
      <c r="AL360" s="2"/>
      <c r="AM360" s="2"/>
      <c r="AN360" s="2"/>
      <c r="AO360" s="2"/>
      <c r="AP360" s="2"/>
      <c r="AQ360" s="2"/>
      <c r="AR360" s="2"/>
      <c r="AS360" s="2"/>
      <c r="AT360" s="2"/>
      <c r="AU360" s="2"/>
      <c r="AV360" s="2"/>
      <c r="AW360" s="2"/>
      <c r="AX360" s="2"/>
      <c r="AY360" s="2"/>
      <c r="AZ360" s="2"/>
      <c r="BA360" s="2"/>
      <c r="BB360" s="2"/>
      <c r="BC360" s="2"/>
      <c r="BD360" s="2"/>
    </row>
    <row r="361" spans="1:56" ht="14.25" customHeight="1">
      <c r="A361" s="8"/>
      <c r="B361" s="507"/>
      <c r="C361" s="156" t="s">
        <v>164</v>
      </c>
      <c r="D361" s="147"/>
      <c r="E361" s="147"/>
      <c r="F361" s="147"/>
      <c r="G361" s="147"/>
      <c r="H361" s="147"/>
      <c r="I361" s="147"/>
      <c r="J361" s="147"/>
      <c r="K361" s="147"/>
      <c r="L361" s="147"/>
      <c r="M361" s="147"/>
      <c r="N361" s="147"/>
      <c r="O361" s="147"/>
      <c r="P361" s="147"/>
      <c r="Q361" s="147"/>
      <c r="R361" s="147"/>
      <c r="S361" s="147"/>
      <c r="T361" s="148" t="str">
        <f t="shared" si="251"/>
        <v>0</v>
      </c>
      <c r="U361" s="148" t="str">
        <f t="shared" si="252"/>
        <v>0</v>
      </c>
      <c r="V361" s="148" t="str">
        <f t="shared" si="253"/>
        <v>0</v>
      </c>
      <c r="W361" s="148" t="str">
        <f t="shared" si="254"/>
        <v>0</v>
      </c>
      <c r="X361" s="507"/>
      <c r="Y361" s="152">
        <f t="shared" si="255"/>
        <v>0</v>
      </c>
      <c r="Z361" s="150" t="s">
        <v>169</v>
      </c>
      <c r="AA361" s="2"/>
      <c r="AB361" s="26"/>
      <c r="AC361" s="159" t="s">
        <v>162</v>
      </c>
      <c r="AD361" s="159" t="s">
        <v>162</v>
      </c>
      <c r="AE361" s="159" t="s">
        <v>162</v>
      </c>
      <c r="AF361" s="159" t="s">
        <v>162</v>
      </c>
      <c r="AG361" s="31">
        <f t="shared" si="256"/>
        <v>0</v>
      </c>
      <c r="AH361" s="153" t="s">
        <v>162</v>
      </c>
      <c r="AI361" s="2"/>
      <c r="AJ361" s="2"/>
      <c r="AK361" s="2"/>
      <c r="AL361" s="2"/>
      <c r="AM361" s="2"/>
      <c r="AN361" s="2"/>
      <c r="AO361" s="2"/>
      <c r="AP361" s="2"/>
      <c r="AQ361" s="2"/>
      <c r="AR361" s="2"/>
      <c r="AS361" s="2"/>
      <c r="AT361" s="2"/>
      <c r="AU361" s="2"/>
      <c r="AV361" s="2"/>
      <c r="AW361" s="2"/>
      <c r="AX361" s="2"/>
      <c r="AY361" s="2"/>
      <c r="AZ361" s="2"/>
      <c r="BA361" s="2"/>
      <c r="BB361" s="2"/>
      <c r="BC361" s="2"/>
      <c r="BD361" s="2"/>
    </row>
    <row r="362" spans="1:56" ht="14.25" customHeight="1">
      <c r="A362" s="8"/>
      <c r="B362" s="507"/>
      <c r="C362" s="156" t="s">
        <v>165</v>
      </c>
      <c r="D362" s="147"/>
      <c r="E362" s="147"/>
      <c r="F362" s="147"/>
      <c r="G362" s="147"/>
      <c r="H362" s="147"/>
      <c r="I362" s="147"/>
      <c r="J362" s="147"/>
      <c r="K362" s="147"/>
      <c r="L362" s="147"/>
      <c r="M362" s="147"/>
      <c r="N362" s="147"/>
      <c r="O362" s="147"/>
      <c r="P362" s="147"/>
      <c r="Q362" s="147"/>
      <c r="R362" s="147"/>
      <c r="S362" s="147"/>
      <c r="T362" s="148" t="str">
        <f t="shared" si="251"/>
        <v>0</v>
      </c>
      <c r="U362" s="148" t="str">
        <f t="shared" si="252"/>
        <v>0</v>
      </c>
      <c r="V362" s="148" t="str">
        <f t="shared" si="253"/>
        <v>0</v>
      </c>
      <c r="W362" s="148" t="str">
        <f t="shared" si="254"/>
        <v>0</v>
      </c>
      <c r="X362" s="507"/>
      <c r="Y362" s="152">
        <f t="shared" si="255"/>
        <v>0</v>
      </c>
      <c r="Z362" s="150" t="s">
        <v>169</v>
      </c>
      <c r="AA362" s="2"/>
      <c r="AB362" s="26"/>
      <c r="AC362" s="159" t="s">
        <v>162</v>
      </c>
      <c r="AD362" s="159" t="s">
        <v>162</v>
      </c>
      <c r="AE362" s="159" t="s">
        <v>162</v>
      </c>
      <c r="AF362" s="159" t="s">
        <v>162</v>
      </c>
      <c r="AG362" s="31">
        <f t="shared" si="256"/>
        <v>0</v>
      </c>
      <c r="AH362" s="153" t="s">
        <v>162</v>
      </c>
      <c r="AI362" s="2"/>
      <c r="AJ362" s="2"/>
      <c r="AK362" s="2"/>
      <c r="AL362" s="2"/>
      <c r="AM362" s="2"/>
      <c r="AN362" s="2"/>
      <c r="AO362" s="2"/>
      <c r="AP362" s="2"/>
      <c r="AQ362" s="2"/>
      <c r="AR362" s="2"/>
      <c r="AS362" s="2"/>
      <c r="AT362" s="2"/>
      <c r="AU362" s="2"/>
      <c r="AV362" s="2"/>
      <c r="AW362" s="2"/>
      <c r="AX362" s="2"/>
      <c r="AY362" s="2"/>
      <c r="AZ362" s="2"/>
      <c r="BA362" s="2"/>
      <c r="BB362" s="2"/>
      <c r="BC362" s="2"/>
      <c r="BD362" s="2"/>
    </row>
    <row r="363" spans="1:56" ht="14.25" customHeight="1">
      <c r="A363" s="8"/>
      <c r="B363" s="508"/>
      <c r="C363" s="156" t="s">
        <v>166</v>
      </c>
      <c r="D363" s="147"/>
      <c r="E363" s="147"/>
      <c r="F363" s="147"/>
      <c r="G363" s="147"/>
      <c r="H363" s="147"/>
      <c r="I363" s="147"/>
      <c r="J363" s="147"/>
      <c r="K363" s="147"/>
      <c r="L363" s="147"/>
      <c r="M363" s="147"/>
      <c r="N363" s="147"/>
      <c r="O363" s="147"/>
      <c r="P363" s="147"/>
      <c r="Q363" s="147"/>
      <c r="R363" s="147"/>
      <c r="S363" s="147"/>
      <c r="T363" s="148" t="str">
        <f t="shared" si="251"/>
        <v>0</v>
      </c>
      <c r="U363" s="148" t="str">
        <f t="shared" si="252"/>
        <v>0</v>
      </c>
      <c r="V363" s="148" t="str">
        <f t="shared" si="253"/>
        <v>0</v>
      </c>
      <c r="W363" s="148" t="str">
        <f t="shared" si="254"/>
        <v>0</v>
      </c>
      <c r="X363" s="508"/>
      <c r="Y363" s="152">
        <f t="shared" si="255"/>
        <v>0</v>
      </c>
      <c r="Z363" s="150" t="s">
        <v>169</v>
      </c>
      <c r="AA363" s="2"/>
      <c r="AB363" s="26"/>
      <c r="AC363" s="159" t="s">
        <v>162</v>
      </c>
      <c r="AD363" s="159" t="s">
        <v>162</v>
      </c>
      <c r="AE363" s="159" t="s">
        <v>162</v>
      </c>
      <c r="AF363" s="159" t="s">
        <v>162</v>
      </c>
      <c r="AG363" s="31">
        <f t="shared" si="256"/>
        <v>0</v>
      </c>
      <c r="AH363" s="153" t="s">
        <v>162</v>
      </c>
      <c r="AI363" s="2"/>
      <c r="AJ363" s="2"/>
      <c r="AK363" s="2"/>
      <c r="AL363" s="2"/>
      <c r="AM363" s="2"/>
      <c r="AN363" s="2"/>
      <c r="AO363" s="2"/>
      <c r="AP363" s="2"/>
      <c r="AQ363" s="2"/>
      <c r="AR363" s="2"/>
      <c r="AS363" s="2"/>
      <c r="AT363" s="2"/>
      <c r="AU363" s="2"/>
      <c r="AV363" s="2"/>
      <c r="AW363" s="2"/>
      <c r="AX363" s="2"/>
      <c r="AY363" s="2"/>
      <c r="AZ363" s="2"/>
      <c r="BA363" s="2"/>
      <c r="BB363" s="2"/>
      <c r="BC363" s="2"/>
      <c r="BD363" s="2"/>
    </row>
    <row r="364" spans="1:56" ht="14.25" customHeight="1">
      <c r="A364" s="8"/>
      <c r="B364" s="506" t="s">
        <v>70</v>
      </c>
      <c r="C364" s="156" t="s">
        <v>160</v>
      </c>
      <c r="D364" s="147"/>
      <c r="E364" s="147"/>
      <c r="F364" s="147"/>
      <c r="G364" s="147"/>
      <c r="H364" s="147"/>
      <c r="I364" s="147"/>
      <c r="J364" s="147"/>
      <c r="K364" s="147"/>
      <c r="L364" s="147"/>
      <c r="M364" s="147"/>
      <c r="N364" s="147"/>
      <c r="O364" s="147"/>
      <c r="P364" s="147"/>
      <c r="Q364" s="147"/>
      <c r="R364" s="147"/>
      <c r="S364" s="147"/>
      <c r="T364" s="148" t="str">
        <f t="shared" si="251"/>
        <v>0</v>
      </c>
      <c r="U364" s="148" t="str">
        <f t="shared" si="252"/>
        <v>0</v>
      </c>
      <c r="V364" s="148" t="str">
        <f t="shared" si="253"/>
        <v>0</v>
      </c>
      <c r="W364" s="148" t="str">
        <f t="shared" si="254"/>
        <v>0</v>
      </c>
      <c r="X364" s="513">
        <f>SUM(Y364:Y368)/5</f>
        <v>0</v>
      </c>
      <c r="Y364" s="152">
        <f t="shared" si="255"/>
        <v>0</v>
      </c>
      <c r="Z364" s="150" t="s">
        <v>170</v>
      </c>
      <c r="AA364" s="2"/>
      <c r="AB364" s="2"/>
      <c r="AC364" s="160" t="s">
        <v>162</v>
      </c>
      <c r="AD364" s="160" t="s">
        <v>162</v>
      </c>
      <c r="AE364" s="160" t="s">
        <v>162</v>
      </c>
      <c r="AF364" s="160" t="s">
        <v>162</v>
      </c>
      <c r="AG364" s="153" t="str">
        <f t="shared" si="256"/>
        <v>CBZ</v>
      </c>
      <c r="AH364" s="153" t="s">
        <v>162</v>
      </c>
      <c r="AI364" s="2"/>
      <c r="AJ364" s="2"/>
      <c r="AK364" s="2"/>
      <c r="AL364" s="2"/>
      <c r="AM364" s="2"/>
      <c r="AN364" s="2"/>
      <c r="AO364" s="2"/>
      <c r="AP364" s="2"/>
      <c r="AQ364" s="2"/>
      <c r="AR364" s="2"/>
      <c r="AS364" s="2"/>
      <c r="AT364" s="2"/>
      <c r="AU364" s="2"/>
      <c r="AV364" s="2"/>
      <c r="AW364" s="2"/>
      <c r="AX364" s="2"/>
      <c r="AY364" s="2"/>
      <c r="AZ364" s="2"/>
      <c r="BA364" s="2"/>
      <c r="BB364" s="2"/>
      <c r="BC364" s="2"/>
      <c r="BD364" s="2"/>
    </row>
    <row r="365" spans="1:56" ht="14.25" customHeight="1">
      <c r="A365" s="8"/>
      <c r="B365" s="507"/>
      <c r="C365" s="156" t="s">
        <v>163</v>
      </c>
      <c r="D365" s="147"/>
      <c r="E365" s="147"/>
      <c r="F365" s="147"/>
      <c r="G365" s="147"/>
      <c r="H365" s="147"/>
      <c r="I365" s="147"/>
      <c r="J365" s="147"/>
      <c r="K365" s="147"/>
      <c r="L365" s="147"/>
      <c r="M365" s="147"/>
      <c r="N365" s="147"/>
      <c r="O365" s="147"/>
      <c r="P365" s="147"/>
      <c r="Q365" s="147"/>
      <c r="R365" s="147"/>
      <c r="S365" s="147"/>
      <c r="T365" s="148" t="str">
        <f t="shared" si="251"/>
        <v>0</v>
      </c>
      <c r="U365" s="148" t="str">
        <f t="shared" si="252"/>
        <v>0</v>
      </c>
      <c r="V365" s="148" t="str">
        <f t="shared" si="253"/>
        <v>0</v>
      </c>
      <c r="W365" s="148" t="str">
        <f t="shared" si="254"/>
        <v>0</v>
      </c>
      <c r="X365" s="507"/>
      <c r="Y365" s="152">
        <f t="shared" si="255"/>
        <v>0</v>
      </c>
      <c r="Z365" s="150" t="s">
        <v>169</v>
      </c>
      <c r="AA365" s="2"/>
      <c r="AB365" s="2"/>
      <c r="AC365" s="153" t="s">
        <v>162</v>
      </c>
      <c r="AD365" s="153" t="s">
        <v>162</v>
      </c>
      <c r="AE365" s="153" t="s">
        <v>162</v>
      </c>
      <c r="AF365" s="153" t="s">
        <v>162</v>
      </c>
      <c r="AG365" s="2">
        <f t="shared" si="256"/>
        <v>0</v>
      </c>
      <c r="AH365" s="153" t="s">
        <v>162</v>
      </c>
      <c r="AI365" s="2"/>
      <c r="AJ365" s="2"/>
      <c r="AK365" s="2"/>
      <c r="AL365" s="2"/>
      <c r="AM365" s="2"/>
      <c r="AN365" s="2"/>
      <c r="AO365" s="2"/>
      <c r="AP365" s="2"/>
      <c r="AQ365" s="2"/>
      <c r="AR365" s="2"/>
      <c r="AS365" s="2"/>
      <c r="AT365" s="2"/>
      <c r="AU365" s="2"/>
      <c r="AV365" s="2"/>
      <c r="AW365" s="2"/>
      <c r="AX365" s="2"/>
      <c r="AY365" s="2"/>
      <c r="AZ365" s="2"/>
      <c r="BA365" s="2"/>
      <c r="BB365" s="2"/>
      <c r="BC365" s="2"/>
      <c r="BD365" s="2"/>
    </row>
    <row r="366" spans="1:56" ht="14.25" customHeight="1">
      <c r="A366" s="8"/>
      <c r="B366" s="507"/>
      <c r="C366" s="156" t="s">
        <v>164</v>
      </c>
      <c r="D366" s="147"/>
      <c r="E366" s="147"/>
      <c r="F366" s="147"/>
      <c r="G366" s="147"/>
      <c r="H366" s="147"/>
      <c r="I366" s="147"/>
      <c r="J366" s="147"/>
      <c r="K366" s="147"/>
      <c r="L366" s="147"/>
      <c r="M366" s="147"/>
      <c r="N366" s="147"/>
      <c r="O366" s="147"/>
      <c r="P366" s="147"/>
      <c r="Q366" s="147"/>
      <c r="R366" s="147"/>
      <c r="S366" s="147"/>
      <c r="T366" s="148" t="str">
        <f t="shared" si="251"/>
        <v>0</v>
      </c>
      <c r="U366" s="148" t="str">
        <f t="shared" si="252"/>
        <v>0</v>
      </c>
      <c r="V366" s="148" t="str">
        <f t="shared" si="253"/>
        <v>0</v>
      </c>
      <c r="W366" s="148" t="str">
        <f t="shared" si="254"/>
        <v>0</v>
      </c>
      <c r="X366" s="507"/>
      <c r="Y366" s="152">
        <f t="shared" si="255"/>
        <v>0</v>
      </c>
      <c r="Z366" s="150" t="s">
        <v>169</v>
      </c>
      <c r="AA366" s="2"/>
      <c r="AB366" s="2"/>
      <c r="AC366" s="153" t="s">
        <v>162</v>
      </c>
      <c r="AD366" s="153" t="s">
        <v>162</v>
      </c>
      <c r="AE366" s="153" t="s">
        <v>162</v>
      </c>
      <c r="AF366" s="153" t="s">
        <v>162</v>
      </c>
      <c r="AG366" s="2">
        <f t="shared" si="256"/>
        <v>0</v>
      </c>
      <c r="AH366" s="153" t="s">
        <v>162</v>
      </c>
      <c r="AI366" s="2"/>
      <c r="AJ366" s="2"/>
      <c r="AK366" s="2"/>
      <c r="AL366" s="2"/>
      <c r="AM366" s="2"/>
      <c r="AN366" s="2"/>
      <c r="AO366" s="2"/>
      <c r="AP366" s="2"/>
      <c r="AQ366" s="2"/>
      <c r="AR366" s="2"/>
      <c r="AS366" s="2"/>
      <c r="AT366" s="2"/>
      <c r="AU366" s="2"/>
      <c r="AV366" s="2"/>
      <c r="AW366" s="2"/>
      <c r="AX366" s="2"/>
      <c r="AY366" s="2"/>
      <c r="AZ366" s="2"/>
      <c r="BA366" s="2"/>
      <c r="BB366" s="2"/>
      <c r="BC366" s="2"/>
      <c r="BD366" s="2"/>
    </row>
    <row r="367" spans="1:56" ht="14.25" customHeight="1">
      <c r="A367" s="8"/>
      <c r="B367" s="507"/>
      <c r="C367" s="156" t="s">
        <v>165</v>
      </c>
      <c r="D367" s="147"/>
      <c r="E367" s="147"/>
      <c r="F367" s="147"/>
      <c r="G367" s="147"/>
      <c r="H367" s="147"/>
      <c r="I367" s="147"/>
      <c r="J367" s="147"/>
      <c r="K367" s="147"/>
      <c r="L367" s="147"/>
      <c r="M367" s="147"/>
      <c r="N367" s="147"/>
      <c r="O367" s="147"/>
      <c r="P367" s="147"/>
      <c r="Q367" s="147"/>
      <c r="R367" s="147"/>
      <c r="S367" s="147"/>
      <c r="T367" s="148" t="str">
        <f t="shared" si="251"/>
        <v>0</v>
      </c>
      <c r="U367" s="148" t="str">
        <f t="shared" si="252"/>
        <v>0</v>
      </c>
      <c r="V367" s="148" t="str">
        <f t="shared" si="253"/>
        <v>0</v>
      </c>
      <c r="W367" s="148" t="str">
        <f t="shared" si="254"/>
        <v>0</v>
      </c>
      <c r="X367" s="507"/>
      <c r="Y367" s="152">
        <f t="shared" si="255"/>
        <v>0</v>
      </c>
      <c r="Z367" s="150" t="s">
        <v>169</v>
      </c>
      <c r="AA367" s="2"/>
      <c r="AB367" s="2"/>
      <c r="AC367" s="153" t="s">
        <v>162</v>
      </c>
      <c r="AD367" s="153" t="s">
        <v>162</v>
      </c>
      <c r="AE367" s="153" t="s">
        <v>162</v>
      </c>
      <c r="AF367" s="153" t="s">
        <v>162</v>
      </c>
      <c r="AG367" s="2">
        <f t="shared" si="256"/>
        <v>0</v>
      </c>
      <c r="AH367" s="153" t="s">
        <v>162</v>
      </c>
      <c r="AI367" s="2"/>
      <c r="AJ367" s="2"/>
      <c r="AK367" s="2"/>
      <c r="AL367" s="2"/>
      <c r="AM367" s="2"/>
      <c r="AN367" s="2"/>
      <c r="AO367" s="2"/>
      <c r="AP367" s="2"/>
      <c r="AQ367" s="2"/>
      <c r="AR367" s="2"/>
      <c r="AS367" s="2"/>
      <c r="AT367" s="2"/>
      <c r="AU367" s="2"/>
      <c r="AV367" s="2"/>
      <c r="AW367" s="2"/>
      <c r="AX367" s="2"/>
      <c r="AY367" s="2"/>
      <c r="AZ367" s="2"/>
      <c r="BA367" s="2"/>
      <c r="BB367" s="2"/>
      <c r="BC367" s="2"/>
      <c r="BD367" s="2"/>
    </row>
    <row r="368" spans="1:56" ht="14.25" customHeight="1">
      <c r="A368" s="8"/>
      <c r="B368" s="508"/>
      <c r="C368" s="156" t="s">
        <v>166</v>
      </c>
      <c r="D368" s="147"/>
      <c r="E368" s="147"/>
      <c r="F368" s="147"/>
      <c r="G368" s="147"/>
      <c r="H368" s="147"/>
      <c r="I368" s="147"/>
      <c r="J368" s="147"/>
      <c r="K368" s="147"/>
      <c r="L368" s="147"/>
      <c r="M368" s="147"/>
      <c r="N368" s="147"/>
      <c r="O368" s="147"/>
      <c r="P368" s="147"/>
      <c r="Q368" s="147"/>
      <c r="R368" s="147"/>
      <c r="S368" s="147"/>
      <c r="T368" s="148" t="str">
        <f t="shared" si="251"/>
        <v>0</v>
      </c>
      <c r="U368" s="148" t="str">
        <f t="shared" si="252"/>
        <v>0</v>
      </c>
      <c r="V368" s="148" t="str">
        <f t="shared" si="253"/>
        <v>0</v>
      </c>
      <c r="W368" s="148" t="str">
        <f t="shared" si="254"/>
        <v>0</v>
      </c>
      <c r="X368" s="508"/>
      <c r="Y368" s="152">
        <f t="shared" si="255"/>
        <v>0</v>
      </c>
      <c r="Z368" s="150" t="s">
        <v>169</v>
      </c>
      <c r="AA368" s="2"/>
      <c r="AB368" s="2"/>
      <c r="AC368" s="161" t="s">
        <v>162</v>
      </c>
      <c r="AD368" s="161" t="s">
        <v>162</v>
      </c>
      <c r="AE368" s="161" t="s">
        <v>162</v>
      </c>
      <c r="AF368" s="161" t="s">
        <v>162</v>
      </c>
      <c r="AG368" s="2">
        <f t="shared" si="256"/>
        <v>0</v>
      </c>
      <c r="AH368" s="153" t="s">
        <v>162</v>
      </c>
      <c r="AI368" s="2"/>
      <c r="AJ368" s="2"/>
      <c r="AK368" s="2"/>
      <c r="AL368" s="2"/>
      <c r="AM368" s="2"/>
      <c r="AN368" s="2"/>
      <c r="AO368" s="2"/>
      <c r="AP368" s="2"/>
      <c r="AQ368" s="2"/>
      <c r="AR368" s="2"/>
      <c r="AS368" s="2"/>
      <c r="AT368" s="2"/>
      <c r="AU368" s="2"/>
      <c r="AV368" s="2"/>
      <c r="AW368" s="2"/>
      <c r="AX368" s="2"/>
      <c r="AY368" s="2"/>
      <c r="AZ368" s="2"/>
      <c r="BA368" s="2"/>
      <c r="BB368" s="2"/>
      <c r="BC368" s="2"/>
      <c r="BD368" s="2"/>
    </row>
    <row r="369" spans="1:56" ht="14.25" customHeight="1">
      <c r="A369" s="8"/>
      <c r="B369" s="506" t="s">
        <v>71</v>
      </c>
      <c r="C369" s="156" t="s">
        <v>160</v>
      </c>
      <c r="D369" s="147"/>
      <c r="E369" s="147"/>
      <c r="F369" s="147"/>
      <c r="G369" s="147"/>
      <c r="H369" s="147"/>
      <c r="I369" s="147"/>
      <c r="J369" s="147"/>
      <c r="K369" s="147"/>
      <c r="L369" s="147"/>
      <c r="M369" s="147"/>
      <c r="N369" s="147"/>
      <c r="O369" s="147"/>
      <c r="P369" s="147"/>
      <c r="Q369" s="147"/>
      <c r="R369" s="147"/>
      <c r="S369" s="147"/>
      <c r="T369" s="148" t="str">
        <f t="shared" si="251"/>
        <v>0</v>
      </c>
      <c r="U369" s="148" t="str">
        <f t="shared" si="252"/>
        <v>0</v>
      </c>
      <c r="V369" s="148" t="str">
        <f t="shared" si="253"/>
        <v>0</v>
      </c>
      <c r="W369" s="148" t="str">
        <f t="shared" si="254"/>
        <v>0</v>
      </c>
      <c r="X369" s="513">
        <f>SUM(Y369:Y373)/5</f>
        <v>0</v>
      </c>
      <c r="Y369" s="152">
        <f t="shared" si="255"/>
        <v>0</v>
      </c>
      <c r="Z369" s="150" t="s">
        <v>171</v>
      </c>
      <c r="AA369" s="2"/>
      <c r="AB369" s="26"/>
      <c r="AC369" s="159" t="s">
        <v>162</v>
      </c>
      <c r="AD369" s="159" t="s">
        <v>162</v>
      </c>
      <c r="AE369" s="159" t="s">
        <v>162</v>
      </c>
      <c r="AF369" s="159" t="s">
        <v>162</v>
      </c>
      <c r="AG369" s="158" t="str">
        <f t="shared" si="256"/>
        <v>COM</v>
      </c>
      <c r="AH369" s="153" t="s">
        <v>162</v>
      </c>
      <c r="AI369" s="2"/>
      <c r="AJ369" s="2"/>
      <c r="AK369" s="2"/>
      <c r="AL369" s="2"/>
      <c r="AM369" s="2"/>
      <c r="AN369" s="2"/>
      <c r="AO369" s="2"/>
      <c r="AP369" s="2"/>
      <c r="AQ369" s="2"/>
      <c r="AR369" s="2"/>
      <c r="AS369" s="2"/>
      <c r="AT369" s="2"/>
      <c r="AU369" s="2"/>
      <c r="AV369" s="2"/>
      <c r="AW369" s="2"/>
      <c r="AX369" s="2"/>
      <c r="AY369" s="2"/>
      <c r="AZ369" s="2"/>
      <c r="BA369" s="2"/>
      <c r="BB369" s="2"/>
      <c r="BC369" s="2"/>
      <c r="BD369" s="2"/>
    </row>
    <row r="370" spans="1:56" ht="14.25" customHeight="1">
      <c r="A370" s="8"/>
      <c r="B370" s="507"/>
      <c r="C370" s="156" t="s">
        <v>163</v>
      </c>
      <c r="D370" s="147"/>
      <c r="E370" s="147"/>
      <c r="F370" s="147"/>
      <c r="G370" s="147"/>
      <c r="H370" s="147"/>
      <c r="I370" s="147"/>
      <c r="J370" s="147"/>
      <c r="K370" s="147"/>
      <c r="L370" s="147"/>
      <c r="M370" s="147"/>
      <c r="N370" s="147"/>
      <c r="O370" s="147"/>
      <c r="P370" s="147"/>
      <c r="Q370" s="147"/>
      <c r="R370" s="147"/>
      <c r="S370" s="147"/>
      <c r="T370" s="148" t="str">
        <f t="shared" si="251"/>
        <v>0</v>
      </c>
      <c r="U370" s="148" t="str">
        <f t="shared" si="252"/>
        <v>0</v>
      </c>
      <c r="V370" s="148" t="str">
        <f t="shared" si="253"/>
        <v>0</v>
      </c>
      <c r="W370" s="148" t="str">
        <f t="shared" si="254"/>
        <v>0</v>
      </c>
      <c r="X370" s="507"/>
      <c r="Y370" s="152">
        <f t="shared" si="255"/>
        <v>0</v>
      </c>
      <c r="Z370" s="150" t="s">
        <v>169</v>
      </c>
      <c r="AA370" s="2"/>
      <c r="AB370" s="26"/>
      <c r="AC370" s="159" t="s">
        <v>162</v>
      </c>
      <c r="AD370" s="159" t="s">
        <v>162</v>
      </c>
      <c r="AE370" s="159" t="s">
        <v>162</v>
      </c>
      <c r="AF370" s="159" t="s">
        <v>162</v>
      </c>
      <c r="AG370" s="31">
        <f t="shared" si="256"/>
        <v>0</v>
      </c>
      <c r="AH370" s="153" t="s">
        <v>162</v>
      </c>
      <c r="AI370" s="2"/>
      <c r="AJ370" s="2"/>
      <c r="AK370" s="2"/>
      <c r="AL370" s="2"/>
      <c r="AM370" s="2"/>
      <c r="AN370" s="2"/>
      <c r="AO370" s="2"/>
      <c r="AP370" s="2"/>
      <c r="AQ370" s="2"/>
      <c r="AR370" s="2"/>
      <c r="AS370" s="2"/>
      <c r="AT370" s="2"/>
      <c r="AU370" s="2"/>
      <c r="AV370" s="2"/>
      <c r="AW370" s="2"/>
      <c r="AX370" s="2"/>
      <c r="AY370" s="2"/>
      <c r="AZ370" s="2"/>
      <c r="BA370" s="2"/>
      <c r="BB370" s="2"/>
      <c r="BC370" s="2"/>
      <c r="BD370" s="2"/>
    </row>
    <row r="371" spans="1:56" ht="14.25" customHeight="1">
      <c r="A371" s="8"/>
      <c r="B371" s="507"/>
      <c r="C371" s="156" t="s">
        <v>164</v>
      </c>
      <c r="D371" s="147"/>
      <c r="E371" s="147"/>
      <c r="F371" s="147"/>
      <c r="G371" s="147"/>
      <c r="H371" s="147"/>
      <c r="I371" s="147"/>
      <c r="J371" s="147"/>
      <c r="K371" s="147"/>
      <c r="L371" s="147"/>
      <c r="M371" s="147"/>
      <c r="N371" s="147"/>
      <c r="O371" s="147"/>
      <c r="P371" s="147"/>
      <c r="Q371" s="147"/>
      <c r="R371" s="147"/>
      <c r="S371" s="147"/>
      <c r="T371" s="148" t="str">
        <f t="shared" si="251"/>
        <v>0</v>
      </c>
      <c r="U371" s="148" t="str">
        <f t="shared" si="252"/>
        <v>0</v>
      </c>
      <c r="V371" s="148" t="str">
        <f t="shared" si="253"/>
        <v>0</v>
      </c>
      <c r="W371" s="148" t="str">
        <f t="shared" si="254"/>
        <v>0</v>
      </c>
      <c r="X371" s="507"/>
      <c r="Y371" s="152">
        <f t="shared" si="255"/>
        <v>0</v>
      </c>
      <c r="Z371" s="150" t="s">
        <v>169</v>
      </c>
      <c r="AA371" s="2"/>
      <c r="AB371" s="26"/>
      <c r="AC371" s="159" t="s">
        <v>162</v>
      </c>
      <c r="AD371" s="159" t="s">
        <v>162</v>
      </c>
      <c r="AE371" s="159" t="s">
        <v>162</v>
      </c>
      <c r="AF371" s="159" t="s">
        <v>162</v>
      </c>
      <c r="AG371" s="31">
        <f t="shared" si="256"/>
        <v>0</v>
      </c>
      <c r="AH371" s="153" t="s">
        <v>162</v>
      </c>
      <c r="AI371" s="2"/>
      <c r="AJ371" s="2"/>
      <c r="AK371" s="2"/>
      <c r="AL371" s="2"/>
      <c r="AM371" s="2"/>
      <c r="AN371" s="2"/>
      <c r="AO371" s="2"/>
      <c r="AP371" s="2"/>
      <c r="AQ371" s="2"/>
      <c r="AR371" s="2"/>
      <c r="AS371" s="2"/>
      <c r="AT371" s="2"/>
      <c r="AU371" s="2"/>
      <c r="AV371" s="2"/>
      <c r="AW371" s="2"/>
      <c r="AX371" s="2"/>
      <c r="AY371" s="2"/>
      <c r="AZ371" s="2"/>
      <c r="BA371" s="2"/>
      <c r="BB371" s="2"/>
      <c r="BC371" s="2"/>
      <c r="BD371" s="2"/>
    </row>
    <row r="372" spans="1:56" ht="14.25" customHeight="1">
      <c r="A372" s="8"/>
      <c r="B372" s="507"/>
      <c r="C372" s="156" t="s">
        <v>165</v>
      </c>
      <c r="D372" s="147"/>
      <c r="E372" s="147"/>
      <c r="F372" s="147"/>
      <c r="G372" s="147"/>
      <c r="H372" s="147"/>
      <c r="I372" s="147"/>
      <c r="J372" s="147"/>
      <c r="K372" s="147"/>
      <c r="L372" s="147"/>
      <c r="M372" s="147"/>
      <c r="N372" s="147"/>
      <c r="O372" s="147"/>
      <c r="P372" s="147"/>
      <c r="Q372" s="147"/>
      <c r="R372" s="147"/>
      <c r="S372" s="147"/>
      <c r="T372" s="148" t="str">
        <f t="shared" si="251"/>
        <v>0</v>
      </c>
      <c r="U372" s="148" t="str">
        <f t="shared" si="252"/>
        <v>0</v>
      </c>
      <c r="V372" s="148" t="str">
        <f t="shared" si="253"/>
        <v>0</v>
      </c>
      <c r="W372" s="148" t="str">
        <f t="shared" si="254"/>
        <v>0</v>
      </c>
      <c r="X372" s="507"/>
      <c r="Y372" s="152">
        <f t="shared" si="255"/>
        <v>0</v>
      </c>
      <c r="Z372" s="150" t="s">
        <v>169</v>
      </c>
      <c r="AA372" s="2"/>
      <c r="AB372" s="26"/>
      <c r="AC372" s="159" t="s">
        <v>162</v>
      </c>
      <c r="AD372" s="159" t="s">
        <v>162</v>
      </c>
      <c r="AE372" s="159" t="s">
        <v>162</v>
      </c>
      <c r="AF372" s="159" t="s">
        <v>162</v>
      </c>
      <c r="AG372" s="31">
        <f t="shared" si="256"/>
        <v>0</v>
      </c>
      <c r="AH372" s="153" t="s">
        <v>162</v>
      </c>
      <c r="AI372" s="2"/>
      <c r="AJ372" s="2"/>
      <c r="AK372" s="2"/>
      <c r="AL372" s="2"/>
      <c r="AM372" s="2"/>
      <c r="AN372" s="2"/>
      <c r="AO372" s="2"/>
      <c r="AP372" s="2"/>
      <c r="AQ372" s="2"/>
      <c r="AR372" s="2"/>
      <c r="AS372" s="2"/>
      <c r="AT372" s="2"/>
      <c r="AU372" s="2"/>
      <c r="AV372" s="2"/>
      <c r="AW372" s="2"/>
      <c r="AX372" s="2"/>
      <c r="AY372" s="2"/>
      <c r="AZ372" s="2"/>
      <c r="BA372" s="2"/>
      <c r="BB372" s="2"/>
      <c r="BC372" s="2"/>
      <c r="BD372" s="2"/>
    </row>
    <row r="373" spans="1:56" ht="14.25" customHeight="1">
      <c r="A373" s="8"/>
      <c r="B373" s="508"/>
      <c r="C373" s="156" t="s">
        <v>166</v>
      </c>
      <c r="D373" s="147"/>
      <c r="E373" s="147"/>
      <c r="F373" s="147"/>
      <c r="G373" s="147"/>
      <c r="H373" s="147"/>
      <c r="I373" s="147"/>
      <c r="J373" s="147"/>
      <c r="K373" s="147"/>
      <c r="L373" s="147"/>
      <c r="M373" s="147"/>
      <c r="N373" s="147"/>
      <c r="O373" s="147"/>
      <c r="P373" s="147"/>
      <c r="Q373" s="147"/>
      <c r="R373" s="147"/>
      <c r="S373" s="147"/>
      <c r="T373" s="148" t="str">
        <f t="shared" si="251"/>
        <v>0</v>
      </c>
      <c r="U373" s="148" t="str">
        <f t="shared" si="252"/>
        <v>0</v>
      </c>
      <c r="V373" s="148" t="str">
        <f t="shared" si="253"/>
        <v>0</v>
      </c>
      <c r="W373" s="148" t="str">
        <f t="shared" si="254"/>
        <v>0</v>
      </c>
      <c r="X373" s="508"/>
      <c r="Y373" s="152">
        <f t="shared" si="255"/>
        <v>0</v>
      </c>
      <c r="Z373" s="150" t="s">
        <v>169</v>
      </c>
      <c r="AA373" s="2"/>
      <c r="AB373" s="26"/>
      <c r="AC373" s="159" t="s">
        <v>162</v>
      </c>
      <c r="AD373" s="159" t="s">
        <v>162</v>
      </c>
      <c r="AE373" s="159" t="s">
        <v>162</v>
      </c>
      <c r="AF373" s="159" t="s">
        <v>162</v>
      </c>
      <c r="AG373" s="31">
        <f t="shared" si="256"/>
        <v>0</v>
      </c>
      <c r="AH373" s="153" t="s">
        <v>162</v>
      </c>
      <c r="AI373" s="2"/>
      <c r="AJ373" s="2"/>
      <c r="AK373" s="2"/>
      <c r="AL373" s="2"/>
      <c r="AM373" s="2"/>
      <c r="AN373" s="2"/>
      <c r="AO373" s="2"/>
      <c r="AP373" s="2"/>
      <c r="AQ373" s="2"/>
      <c r="AR373" s="2"/>
      <c r="AS373" s="2"/>
      <c r="AT373" s="2"/>
      <c r="AU373" s="2"/>
      <c r="AV373" s="2"/>
      <c r="AW373" s="2"/>
      <c r="AX373" s="2"/>
      <c r="AY373" s="2"/>
      <c r="AZ373" s="2"/>
      <c r="BA373" s="2"/>
      <c r="BB373" s="2"/>
      <c r="BC373" s="2"/>
      <c r="BD373" s="2"/>
    </row>
    <row r="374" spans="1:56" ht="14.25" customHeight="1">
      <c r="A374" s="8"/>
      <c r="B374" s="506" t="s">
        <v>72</v>
      </c>
      <c r="C374" s="156" t="s">
        <v>160</v>
      </c>
      <c r="D374" s="147"/>
      <c r="E374" s="147"/>
      <c r="F374" s="147"/>
      <c r="G374" s="147"/>
      <c r="H374" s="147"/>
      <c r="I374" s="147"/>
      <c r="J374" s="147"/>
      <c r="K374" s="147"/>
      <c r="L374" s="147"/>
      <c r="M374" s="147"/>
      <c r="N374" s="147"/>
      <c r="O374" s="147"/>
      <c r="P374" s="147"/>
      <c r="Q374" s="147"/>
      <c r="R374" s="147"/>
      <c r="S374" s="147"/>
      <c r="T374" s="148" t="str">
        <f t="shared" si="251"/>
        <v>0</v>
      </c>
      <c r="U374" s="148" t="str">
        <f t="shared" si="252"/>
        <v>0</v>
      </c>
      <c r="V374" s="148" t="str">
        <f t="shared" si="253"/>
        <v>0</v>
      </c>
      <c r="W374" s="148" t="str">
        <f t="shared" si="254"/>
        <v>0</v>
      </c>
      <c r="X374" s="513">
        <f>SUM(Y374:Y377)/4</f>
        <v>0</v>
      </c>
      <c r="Y374" s="152">
        <f t="shared" si="255"/>
        <v>0</v>
      </c>
      <c r="Z374" s="150" t="s">
        <v>172</v>
      </c>
      <c r="AA374" s="2"/>
      <c r="AB374" s="2"/>
      <c r="AC374" s="160" t="s">
        <v>162</v>
      </c>
      <c r="AD374" s="160" t="s">
        <v>162</v>
      </c>
      <c r="AE374" s="160" t="s">
        <v>162</v>
      </c>
      <c r="AF374" s="160" t="s">
        <v>162</v>
      </c>
      <c r="AG374" s="153" t="str">
        <f t="shared" si="256"/>
        <v>DME</v>
      </c>
      <c r="AH374" s="153" t="s">
        <v>162</v>
      </c>
      <c r="AI374" s="2"/>
      <c r="AJ374" s="2"/>
      <c r="AK374" s="2"/>
      <c r="AL374" s="2"/>
      <c r="AM374" s="2"/>
      <c r="AN374" s="2"/>
      <c r="AO374" s="2"/>
      <c r="AP374" s="2"/>
      <c r="AQ374" s="2"/>
      <c r="AR374" s="2"/>
      <c r="AS374" s="2"/>
      <c r="AT374" s="2"/>
      <c r="AU374" s="2"/>
      <c r="AV374" s="2"/>
      <c r="AW374" s="2"/>
      <c r="AX374" s="2"/>
      <c r="AY374" s="2"/>
      <c r="AZ374" s="2"/>
      <c r="BA374" s="2"/>
      <c r="BB374" s="2"/>
      <c r="BC374" s="2"/>
      <c r="BD374" s="2"/>
    </row>
    <row r="375" spans="1:56" ht="14.25" customHeight="1">
      <c r="A375" s="8"/>
      <c r="B375" s="507"/>
      <c r="C375" s="156" t="s">
        <v>163</v>
      </c>
      <c r="D375" s="147"/>
      <c r="E375" s="147"/>
      <c r="F375" s="147"/>
      <c r="G375" s="147"/>
      <c r="H375" s="147"/>
      <c r="I375" s="147"/>
      <c r="J375" s="147"/>
      <c r="K375" s="147"/>
      <c r="L375" s="147"/>
      <c r="M375" s="147"/>
      <c r="N375" s="147"/>
      <c r="O375" s="147"/>
      <c r="P375" s="147"/>
      <c r="Q375" s="147"/>
      <c r="R375" s="147"/>
      <c r="S375" s="147"/>
      <c r="T375" s="148" t="str">
        <f t="shared" si="251"/>
        <v>0</v>
      </c>
      <c r="U375" s="148" t="str">
        <f t="shared" si="252"/>
        <v>0</v>
      </c>
      <c r="V375" s="148" t="str">
        <f t="shared" si="253"/>
        <v>0</v>
      </c>
      <c r="W375" s="148" t="str">
        <f t="shared" si="254"/>
        <v>0</v>
      </c>
      <c r="X375" s="507"/>
      <c r="Y375" s="152">
        <f t="shared" si="255"/>
        <v>0</v>
      </c>
      <c r="Z375" s="150" t="s">
        <v>169</v>
      </c>
      <c r="AA375" s="2"/>
      <c r="AB375" s="2"/>
      <c r="AC375" s="153" t="s">
        <v>162</v>
      </c>
      <c r="AD375" s="153" t="s">
        <v>162</v>
      </c>
      <c r="AE375" s="153" t="s">
        <v>162</v>
      </c>
      <c r="AF375" s="153" t="s">
        <v>162</v>
      </c>
      <c r="AG375" s="2">
        <f t="shared" si="256"/>
        <v>0</v>
      </c>
      <c r="AH375" s="153" t="s">
        <v>162</v>
      </c>
      <c r="AI375" s="2"/>
      <c r="AJ375" s="2"/>
      <c r="AK375" s="2"/>
      <c r="AL375" s="2"/>
      <c r="AM375" s="2"/>
      <c r="AN375" s="2"/>
      <c r="AO375" s="2"/>
      <c r="AP375" s="2"/>
      <c r="AQ375" s="2"/>
      <c r="AR375" s="2"/>
      <c r="AS375" s="2"/>
      <c r="AT375" s="2"/>
      <c r="AU375" s="2"/>
      <c r="AV375" s="2"/>
      <c r="AW375" s="2"/>
      <c r="AX375" s="2"/>
      <c r="AY375" s="2"/>
      <c r="AZ375" s="2"/>
      <c r="BA375" s="2"/>
      <c r="BB375" s="2"/>
      <c r="BC375" s="2"/>
      <c r="BD375" s="2"/>
    </row>
    <row r="376" spans="1:56" ht="14.25" customHeight="1">
      <c r="A376" s="8"/>
      <c r="B376" s="507"/>
      <c r="C376" s="156" t="s">
        <v>164</v>
      </c>
      <c r="D376" s="147"/>
      <c r="E376" s="147"/>
      <c r="F376" s="147"/>
      <c r="G376" s="147"/>
      <c r="H376" s="147"/>
      <c r="I376" s="147"/>
      <c r="J376" s="147"/>
      <c r="K376" s="147"/>
      <c r="L376" s="147"/>
      <c r="M376" s="147"/>
      <c r="N376" s="147"/>
      <c r="O376" s="147"/>
      <c r="P376" s="147"/>
      <c r="Q376" s="147"/>
      <c r="R376" s="147"/>
      <c r="S376" s="147"/>
      <c r="T376" s="148" t="str">
        <f t="shared" si="251"/>
        <v>0</v>
      </c>
      <c r="U376" s="148" t="str">
        <f t="shared" si="252"/>
        <v>0</v>
      </c>
      <c r="V376" s="148" t="str">
        <f t="shared" si="253"/>
        <v>0</v>
      </c>
      <c r="W376" s="148" t="str">
        <f t="shared" si="254"/>
        <v>0</v>
      </c>
      <c r="X376" s="507"/>
      <c r="Y376" s="152">
        <f t="shared" si="255"/>
        <v>0</v>
      </c>
      <c r="Z376" s="150" t="s">
        <v>169</v>
      </c>
      <c r="AA376" s="2"/>
      <c r="AB376" s="2"/>
      <c r="AC376" s="153" t="s">
        <v>162</v>
      </c>
      <c r="AD376" s="153" t="s">
        <v>162</v>
      </c>
      <c r="AE376" s="153" t="s">
        <v>162</v>
      </c>
      <c r="AF376" s="153" t="s">
        <v>162</v>
      </c>
      <c r="AG376" s="2">
        <f t="shared" si="256"/>
        <v>0</v>
      </c>
      <c r="AH376" s="153" t="s">
        <v>162</v>
      </c>
      <c r="AI376" s="2"/>
      <c r="AJ376" s="2"/>
      <c r="AK376" s="2"/>
      <c r="AL376" s="2"/>
      <c r="AM376" s="2"/>
      <c r="AN376" s="2"/>
      <c r="AO376" s="2"/>
      <c r="AP376" s="2"/>
      <c r="AQ376" s="2"/>
      <c r="AR376" s="2"/>
      <c r="AS376" s="2"/>
      <c r="AT376" s="2"/>
      <c r="AU376" s="2"/>
      <c r="AV376" s="2"/>
      <c r="AW376" s="2"/>
      <c r="AX376" s="2"/>
      <c r="AY376" s="2"/>
      <c r="AZ376" s="2"/>
      <c r="BA376" s="2"/>
      <c r="BB376" s="2"/>
      <c r="BC376" s="2"/>
      <c r="BD376" s="2"/>
    </row>
    <row r="377" spans="1:56" ht="14.25" customHeight="1">
      <c r="A377" s="8"/>
      <c r="B377" s="507"/>
      <c r="C377" s="156" t="s">
        <v>165</v>
      </c>
      <c r="D377" s="147"/>
      <c r="E377" s="147"/>
      <c r="F377" s="147"/>
      <c r="G377" s="147"/>
      <c r="H377" s="147"/>
      <c r="I377" s="147"/>
      <c r="J377" s="147"/>
      <c r="K377" s="147"/>
      <c r="L377" s="147"/>
      <c r="M377" s="147"/>
      <c r="N377" s="147"/>
      <c r="O377" s="147"/>
      <c r="P377" s="147"/>
      <c r="Q377" s="147"/>
      <c r="R377" s="147"/>
      <c r="S377" s="147"/>
      <c r="T377" s="148" t="str">
        <f t="shared" si="251"/>
        <v>0</v>
      </c>
      <c r="U377" s="148" t="str">
        <f t="shared" si="252"/>
        <v>0</v>
      </c>
      <c r="V377" s="148" t="str">
        <f t="shared" si="253"/>
        <v>0</v>
      </c>
      <c r="W377" s="148" t="str">
        <f t="shared" si="254"/>
        <v>0</v>
      </c>
      <c r="X377" s="507"/>
      <c r="Y377" s="152">
        <f t="shared" si="255"/>
        <v>0</v>
      </c>
      <c r="Z377" s="150" t="s">
        <v>169</v>
      </c>
      <c r="AA377" s="2"/>
      <c r="AB377" s="2"/>
      <c r="AC377" s="153" t="s">
        <v>162</v>
      </c>
      <c r="AD377" s="153" t="s">
        <v>162</v>
      </c>
      <c r="AE377" s="153" t="s">
        <v>162</v>
      </c>
      <c r="AF377" s="153" t="s">
        <v>162</v>
      </c>
      <c r="AG377" s="2">
        <f t="shared" si="256"/>
        <v>0</v>
      </c>
      <c r="AH377" s="153" t="s">
        <v>162</v>
      </c>
      <c r="AI377" s="2"/>
      <c r="AJ377" s="2"/>
      <c r="AK377" s="2"/>
      <c r="AL377" s="2"/>
      <c r="AM377" s="2"/>
      <c r="AN377" s="2"/>
      <c r="AO377" s="2"/>
      <c r="AP377" s="2"/>
      <c r="AQ377" s="2"/>
      <c r="AR377" s="2"/>
      <c r="AS377" s="2"/>
      <c r="AT377" s="2"/>
      <c r="AU377" s="2"/>
      <c r="AV377" s="2"/>
      <c r="AW377" s="2"/>
      <c r="AX377" s="2"/>
      <c r="AY377" s="2"/>
      <c r="AZ377" s="2"/>
      <c r="BA377" s="2"/>
      <c r="BB377" s="2"/>
      <c r="BC377" s="2"/>
      <c r="BD377" s="2"/>
    </row>
    <row r="378" spans="1:56" ht="14.25" customHeight="1">
      <c r="A378" s="8"/>
      <c r="B378" s="508"/>
      <c r="C378" s="156" t="s">
        <v>166</v>
      </c>
      <c r="D378" s="147"/>
      <c r="E378" s="147"/>
      <c r="F378" s="147"/>
      <c r="G378" s="147"/>
      <c r="H378" s="147"/>
      <c r="I378" s="147"/>
      <c r="J378" s="147"/>
      <c r="K378" s="147"/>
      <c r="L378" s="147"/>
      <c r="M378" s="147"/>
      <c r="N378" s="147"/>
      <c r="O378" s="147"/>
      <c r="P378" s="147"/>
      <c r="Q378" s="147"/>
      <c r="R378" s="147"/>
      <c r="S378" s="147"/>
      <c r="T378" s="148" t="str">
        <f t="shared" si="251"/>
        <v>0</v>
      </c>
      <c r="U378" s="148" t="str">
        <f t="shared" si="252"/>
        <v>0</v>
      </c>
      <c r="V378" s="148" t="str">
        <f t="shared" si="253"/>
        <v>0</v>
      </c>
      <c r="W378" s="148" t="str">
        <f t="shared" si="254"/>
        <v>0</v>
      </c>
      <c r="X378" s="508"/>
      <c r="Y378" s="152">
        <f t="shared" si="255"/>
        <v>0</v>
      </c>
      <c r="Z378" s="150" t="s">
        <v>169</v>
      </c>
      <c r="AA378" s="2"/>
      <c r="AB378" s="2"/>
      <c r="AC378" s="153" t="s">
        <v>162</v>
      </c>
      <c r="AD378" s="153" t="s">
        <v>162</v>
      </c>
      <c r="AE378" s="153" t="s">
        <v>162</v>
      </c>
      <c r="AF378" s="153" t="s">
        <v>162</v>
      </c>
      <c r="AG378" s="2">
        <f t="shared" si="256"/>
        <v>0</v>
      </c>
      <c r="AH378" s="153" t="s">
        <v>162</v>
      </c>
      <c r="AI378" s="2"/>
      <c r="AJ378" s="2"/>
      <c r="AK378" s="2"/>
      <c r="AL378" s="2"/>
      <c r="AM378" s="2"/>
      <c r="AN378" s="2"/>
      <c r="AO378" s="2"/>
      <c r="AP378" s="2"/>
      <c r="AQ378" s="2"/>
      <c r="AR378" s="2"/>
      <c r="AS378" s="2"/>
      <c r="AT378" s="2"/>
      <c r="AU378" s="2"/>
      <c r="AV378" s="2"/>
      <c r="AW378" s="2"/>
      <c r="AX378" s="2"/>
      <c r="AY378" s="2"/>
      <c r="AZ378" s="2"/>
      <c r="BA378" s="2"/>
      <c r="BB378" s="2"/>
      <c r="BC378" s="2"/>
      <c r="BD378" s="2"/>
    </row>
    <row r="379" spans="1:56" ht="14.25" customHeight="1">
      <c r="A379" s="8"/>
      <c r="B379" s="506" t="s">
        <v>73</v>
      </c>
      <c r="C379" s="156" t="s">
        <v>160</v>
      </c>
      <c r="D379" s="147"/>
      <c r="E379" s="147"/>
      <c r="F379" s="147"/>
      <c r="G379" s="147"/>
      <c r="H379" s="147"/>
      <c r="I379" s="147"/>
      <c r="J379" s="147"/>
      <c r="K379" s="147"/>
      <c r="L379" s="147"/>
      <c r="M379" s="147"/>
      <c r="N379" s="147"/>
      <c r="O379" s="147"/>
      <c r="P379" s="147"/>
      <c r="Q379" s="147"/>
      <c r="R379" s="147"/>
      <c r="S379" s="147"/>
      <c r="T379" s="148" t="str">
        <f t="shared" si="251"/>
        <v>0</v>
      </c>
      <c r="U379" s="148" t="str">
        <f t="shared" si="252"/>
        <v>0</v>
      </c>
      <c r="V379" s="148" t="str">
        <f t="shared" si="253"/>
        <v>0</v>
      </c>
      <c r="W379" s="148" t="str">
        <f t="shared" si="254"/>
        <v>0</v>
      </c>
      <c r="X379" s="513">
        <f>SUM(Y379:Y382)/4</f>
        <v>0</v>
      </c>
      <c r="Y379" s="152">
        <f t="shared" si="255"/>
        <v>0</v>
      </c>
      <c r="Z379" s="150" t="s">
        <v>173</v>
      </c>
      <c r="AA379" s="2"/>
      <c r="AB379" s="2"/>
      <c r="AC379" s="153" t="s">
        <v>162</v>
      </c>
      <c r="AD379" s="153" t="s">
        <v>162</v>
      </c>
      <c r="AE379" s="153" t="s">
        <v>162</v>
      </c>
      <c r="AF379" s="153" t="s">
        <v>162</v>
      </c>
      <c r="AG379" s="153" t="str">
        <f t="shared" si="256"/>
        <v>FDB</v>
      </c>
      <c r="AH379" s="153" t="s">
        <v>162</v>
      </c>
      <c r="AI379" s="2"/>
      <c r="AJ379" s="2"/>
      <c r="AK379" s="2"/>
      <c r="AL379" s="2"/>
      <c r="AM379" s="2"/>
      <c r="AN379" s="2"/>
      <c r="AO379" s="2"/>
      <c r="AP379" s="2"/>
      <c r="AQ379" s="2"/>
      <c r="AR379" s="2"/>
      <c r="AS379" s="2"/>
      <c r="AT379" s="2"/>
      <c r="AU379" s="2"/>
      <c r="AV379" s="2"/>
      <c r="AW379" s="2"/>
      <c r="AX379" s="2"/>
      <c r="AY379" s="2"/>
      <c r="AZ379" s="2"/>
      <c r="BA379" s="2"/>
      <c r="BB379" s="2"/>
      <c r="BC379" s="2"/>
      <c r="BD379" s="2"/>
    </row>
    <row r="380" spans="1:56" ht="14.25" customHeight="1">
      <c r="A380" s="8"/>
      <c r="B380" s="507"/>
      <c r="C380" s="156" t="s">
        <v>163</v>
      </c>
      <c r="D380" s="147"/>
      <c r="E380" s="147"/>
      <c r="F380" s="147"/>
      <c r="G380" s="147"/>
      <c r="H380" s="147"/>
      <c r="I380" s="147"/>
      <c r="J380" s="147"/>
      <c r="K380" s="147"/>
      <c r="L380" s="147"/>
      <c r="M380" s="147"/>
      <c r="N380" s="147"/>
      <c r="O380" s="147"/>
      <c r="P380" s="147"/>
      <c r="Q380" s="147"/>
      <c r="R380" s="147"/>
      <c r="S380" s="147"/>
      <c r="T380" s="148" t="str">
        <f t="shared" si="251"/>
        <v>0</v>
      </c>
      <c r="U380" s="148" t="str">
        <f t="shared" si="252"/>
        <v>0</v>
      </c>
      <c r="V380" s="148" t="str">
        <f t="shared" si="253"/>
        <v>0</v>
      </c>
      <c r="W380" s="148" t="str">
        <f t="shared" si="254"/>
        <v>0</v>
      </c>
      <c r="X380" s="507"/>
      <c r="Y380" s="152">
        <f t="shared" si="255"/>
        <v>0</v>
      </c>
      <c r="Z380" s="150" t="s">
        <v>169</v>
      </c>
      <c r="AA380" s="2"/>
      <c r="AB380" s="2"/>
      <c r="AC380" s="153" t="s">
        <v>162</v>
      </c>
      <c r="AD380" s="153" t="s">
        <v>162</v>
      </c>
      <c r="AE380" s="153" t="s">
        <v>162</v>
      </c>
      <c r="AF380" s="153" t="s">
        <v>162</v>
      </c>
      <c r="AG380" s="2">
        <f t="shared" si="256"/>
        <v>0</v>
      </c>
      <c r="AH380" s="153" t="s">
        <v>162</v>
      </c>
      <c r="AI380" s="2"/>
      <c r="AJ380" s="2"/>
      <c r="AK380" s="2"/>
      <c r="AL380" s="2"/>
      <c r="AM380" s="2"/>
      <c r="AN380" s="2"/>
      <c r="AO380" s="2"/>
      <c r="AP380" s="2"/>
      <c r="AQ380" s="2"/>
      <c r="AR380" s="2"/>
      <c r="AS380" s="2"/>
      <c r="AT380" s="2"/>
      <c r="AU380" s="2"/>
      <c r="AV380" s="2"/>
      <c r="AW380" s="2"/>
      <c r="AX380" s="2"/>
      <c r="AY380" s="2"/>
      <c r="AZ380" s="2"/>
      <c r="BA380" s="2"/>
      <c r="BB380" s="2"/>
      <c r="BC380" s="2"/>
      <c r="BD380" s="2"/>
    </row>
    <row r="381" spans="1:56" ht="14.25" customHeight="1">
      <c r="A381" s="8"/>
      <c r="B381" s="507"/>
      <c r="C381" s="156" t="s">
        <v>164</v>
      </c>
      <c r="D381" s="147"/>
      <c r="E381" s="147"/>
      <c r="F381" s="147"/>
      <c r="G381" s="147"/>
      <c r="H381" s="147"/>
      <c r="I381" s="147"/>
      <c r="J381" s="147"/>
      <c r="K381" s="147"/>
      <c r="L381" s="147"/>
      <c r="M381" s="147"/>
      <c r="N381" s="147"/>
      <c r="O381" s="147"/>
      <c r="P381" s="147"/>
      <c r="Q381" s="147"/>
      <c r="R381" s="147"/>
      <c r="S381" s="147"/>
      <c r="T381" s="148" t="str">
        <f t="shared" si="251"/>
        <v>0</v>
      </c>
      <c r="U381" s="148" t="str">
        <f t="shared" si="252"/>
        <v>0</v>
      </c>
      <c r="V381" s="148" t="str">
        <f t="shared" si="253"/>
        <v>0</v>
      </c>
      <c r="W381" s="148" t="str">
        <f t="shared" si="254"/>
        <v>0</v>
      </c>
      <c r="X381" s="507"/>
      <c r="Y381" s="152">
        <f t="shared" si="255"/>
        <v>0</v>
      </c>
      <c r="Z381" s="150" t="s">
        <v>169</v>
      </c>
      <c r="AA381" s="2"/>
      <c r="AB381" s="2"/>
      <c r="AC381" s="153" t="s">
        <v>162</v>
      </c>
      <c r="AD381" s="153" t="s">
        <v>162</v>
      </c>
      <c r="AE381" s="153" t="s">
        <v>162</v>
      </c>
      <c r="AF381" s="153" t="s">
        <v>162</v>
      </c>
      <c r="AG381" s="2">
        <f t="shared" si="256"/>
        <v>0</v>
      </c>
      <c r="AH381" s="153" t="s">
        <v>162</v>
      </c>
      <c r="AI381" s="2"/>
      <c r="AJ381" s="2"/>
      <c r="AK381" s="2"/>
      <c r="AL381" s="2"/>
      <c r="AM381" s="2"/>
      <c r="AN381" s="2"/>
      <c r="AO381" s="2"/>
      <c r="AP381" s="2"/>
      <c r="AQ381" s="2"/>
      <c r="AR381" s="2"/>
      <c r="AS381" s="2"/>
      <c r="AT381" s="2"/>
      <c r="AU381" s="2"/>
      <c r="AV381" s="2"/>
      <c r="AW381" s="2"/>
      <c r="AX381" s="2"/>
      <c r="AY381" s="2"/>
      <c r="AZ381" s="2"/>
      <c r="BA381" s="2"/>
      <c r="BB381" s="2"/>
      <c r="BC381" s="2"/>
      <c r="BD381" s="2"/>
    </row>
    <row r="382" spans="1:56" ht="14.25" customHeight="1">
      <c r="A382" s="8"/>
      <c r="B382" s="507"/>
      <c r="C382" s="156" t="s">
        <v>165</v>
      </c>
      <c r="D382" s="147"/>
      <c r="E382" s="147"/>
      <c r="F382" s="147"/>
      <c r="G382" s="147"/>
      <c r="H382" s="147"/>
      <c r="I382" s="147"/>
      <c r="J382" s="147"/>
      <c r="K382" s="147"/>
      <c r="L382" s="147"/>
      <c r="M382" s="147"/>
      <c r="N382" s="147"/>
      <c r="O382" s="147"/>
      <c r="P382" s="147"/>
      <c r="Q382" s="147"/>
      <c r="R382" s="147"/>
      <c r="S382" s="147"/>
      <c r="T382" s="148" t="str">
        <f t="shared" si="251"/>
        <v>0</v>
      </c>
      <c r="U382" s="148" t="str">
        <f t="shared" si="252"/>
        <v>0</v>
      </c>
      <c r="V382" s="148" t="str">
        <f t="shared" si="253"/>
        <v>0</v>
      </c>
      <c r="W382" s="148" t="str">
        <f t="shared" si="254"/>
        <v>0</v>
      </c>
      <c r="X382" s="507"/>
      <c r="Y382" s="152">
        <f t="shared" si="255"/>
        <v>0</v>
      </c>
      <c r="Z382" s="150" t="s">
        <v>169</v>
      </c>
      <c r="AA382" s="2"/>
      <c r="AB382" s="2"/>
      <c r="AC382" s="153" t="s">
        <v>162</v>
      </c>
      <c r="AD382" s="153" t="s">
        <v>162</v>
      </c>
      <c r="AE382" s="153" t="s">
        <v>162</v>
      </c>
      <c r="AF382" s="153" t="s">
        <v>162</v>
      </c>
      <c r="AG382" s="2">
        <f t="shared" si="256"/>
        <v>0</v>
      </c>
      <c r="AH382" s="153" t="s">
        <v>162</v>
      </c>
      <c r="AI382" s="2"/>
      <c r="AJ382" s="2"/>
      <c r="AK382" s="2"/>
      <c r="AL382" s="2"/>
      <c r="AM382" s="2"/>
      <c r="AN382" s="2"/>
      <c r="AO382" s="2"/>
      <c r="AP382" s="2"/>
      <c r="AQ382" s="2"/>
      <c r="AR382" s="2"/>
      <c r="AS382" s="2"/>
      <c r="AT382" s="2"/>
      <c r="AU382" s="2"/>
      <c r="AV382" s="2"/>
      <c r="AW382" s="2"/>
      <c r="AX382" s="2"/>
      <c r="AY382" s="2"/>
      <c r="AZ382" s="2"/>
      <c r="BA382" s="2"/>
      <c r="BB382" s="2"/>
      <c r="BC382" s="2"/>
      <c r="BD382" s="2"/>
    </row>
    <row r="383" spans="1:56" ht="14.25" customHeight="1">
      <c r="A383" s="8"/>
      <c r="B383" s="508"/>
      <c r="C383" s="156" t="s">
        <v>166</v>
      </c>
      <c r="D383" s="147"/>
      <c r="E383" s="147"/>
      <c r="F383" s="147"/>
      <c r="G383" s="147"/>
      <c r="H383" s="147"/>
      <c r="I383" s="147"/>
      <c r="J383" s="147"/>
      <c r="K383" s="147"/>
      <c r="L383" s="147"/>
      <c r="M383" s="147"/>
      <c r="N383" s="147"/>
      <c r="O383" s="147"/>
      <c r="P383" s="147"/>
      <c r="Q383" s="147"/>
      <c r="R383" s="147"/>
      <c r="S383" s="147"/>
      <c r="T383" s="148" t="str">
        <f t="shared" si="251"/>
        <v>0</v>
      </c>
      <c r="U383" s="148" t="str">
        <f t="shared" si="252"/>
        <v>0</v>
      </c>
      <c r="V383" s="148" t="str">
        <f t="shared" si="253"/>
        <v>0</v>
      </c>
      <c r="W383" s="148" t="str">
        <f t="shared" si="254"/>
        <v>0</v>
      </c>
      <c r="X383" s="508"/>
      <c r="Y383" s="152">
        <f t="shared" si="255"/>
        <v>0</v>
      </c>
      <c r="Z383" s="150" t="s">
        <v>169</v>
      </c>
      <c r="AA383" s="2"/>
      <c r="AB383" s="2"/>
      <c r="AC383" s="161" t="s">
        <v>162</v>
      </c>
      <c r="AD383" s="161" t="s">
        <v>162</v>
      </c>
      <c r="AE383" s="161" t="s">
        <v>162</v>
      </c>
      <c r="AF383" s="161" t="s">
        <v>162</v>
      </c>
      <c r="AG383" s="2">
        <f t="shared" si="256"/>
        <v>0</v>
      </c>
      <c r="AH383" s="153" t="s">
        <v>162</v>
      </c>
      <c r="AI383" s="2"/>
      <c r="AJ383" s="2"/>
      <c r="AK383" s="2"/>
      <c r="AL383" s="2"/>
      <c r="AM383" s="2"/>
      <c r="AN383" s="2"/>
      <c r="AO383" s="2"/>
      <c r="AP383" s="2"/>
      <c r="AQ383" s="2"/>
      <c r="AR383" s="2"/>
      <c r="AS383" s="2"/>
      <c r="AT383" s="2"/>
      <c r="AU383" s="2"/>
      <c r="AV383" s="2"/>
      <c r="AW383" s="2"/>
      <c r="AX383" s="2"/>
      <c r="AY383" s="2"/>
      <c r="AZ383" s="2"/>
      <c r="BA383" s="2"/>
      <c r="BB383" s="2"/>
      <c r="BC383" s="2"/>
      <c r="BD383" s="2"/>
    </row>
    <row r="384" spans="1:56" ht="14.25" customHeight="1">
      <c r="A384" s="8"/>
      <c r="B384" s="506" t="s">
        <v>74</v>
      </c>
      <c r="C384" s="156" t="s">
        <v>160</v>
      </c>
      <c r="D384" s="147"/>
      <c r="E384" s="147"/>
      <c r="F384" s="147"/>
      <c r="G384" s="147"/>
      <c r="H384" s="147"/>
      <c r="I384" s="147"/>
      <c r="J384" s="147"/>
      <c r="K384" s="147"/>
      <c r="L384" s="147"/>
      <c r="M384" s="147"/>
      <c r="N384" s="147"/>
      <c r="O384" s="147"/>
      <c r="P384" s="147"/>
      <c r="Q384" s="147"/>
      <c r="R384" s="147"/>
      <c r="S384" s="147"/>
      <c r="T384" s="148" t="str">
        <f t="shared" si="251"/>
        <v>0</v>
      </c>
      <c r="U384" s="148" t="str">
        <f t="shared" si="252"/>
        <v>0</v>
      </c>
      <c r="V384" s="148" t="str">
        <f t="shared" si="253"/>
        <v>0</v>
      </c>
      <c r="W384" s="148" t="str">
        <f t="shared" si="254"/>
        <v>0</v>
      </c>
      <c r="X384" s="513">
        <f>SUM(Y384:Y388)/5</f>
        <v>0</v>
      </c>
      <c r="Y384" s="152">
        <f t="shared" si="255"/>
        <v>0</v>
      </c>
      <c r="Z384" s="150" t="s">
        <v>174</v>
      </c>
      <c r="AA384" s="2"/>
      <c r="AB384" s="26"/>
      <c r="AC384" s="159" t="s">
        <v>162</v>
      </c>
      <c r="AD384" s="159" t="s">
        <v>162</v>
      </c>
      <c r="AE384" s="159" t="s">
        <v>162</v>
      </c>
      <c r="AF384" s="159" t="s">
        <v>162</v>
      </c>
      <c r="AG384" s="158" t="str">
        <f t="shared" si="256"/>
        <v>FPD</v>
      </c>
      <c r="AH384" s="153" t="s">
        <v>162</v>
      </c>
      <c r="AI384" s="2"/>
      <c r="AJ384" s="2"/>
      <c r="AK384" s="2"/>
      <c r="AL384" s="2"/>
      <c r="AM384" s="2"/>
      <c r="AN384" s="2"/>
      <c r="AO384" s="2"/>
      <c r="AP384" s="2"/>
      <c r="AQ384" s="2"/>
      <c r="AR384" s="2"/>
      <c r="AS384" s="2"/>
      <c r="AT384" s="2"/>
      <c r="AU384" s="2"/>
      <c r="AV384" s="2"/>
      <c r="AW384" s="2"/>
      <c r="AX384" s="2"/>
      <c r="AY384" s="2"/>
      <c r="AZ384" s="2"/>
      <c r="BA384" s="2"/>
      <c r="BB384" s="2"/>
      <c r="BC384" s="2"/>
      <c r="BD384" s="2"/>
    </row>
    <row r="385" spans="1:56" ht="14.25" customHeight="1">
      <c r="A385" s="8"/>
      <c r="B385" s="507"/>
      <c r="C385" s="156" t="s">
        <v>163</v>
      </c>
      <c r="D385" s="147"/>
      <c r="E385" s="147"/>
      <c r="F385" s="147"/>
      <c r="G385" s="147"/>
      <c r="H385" s="147"/>
      <c r="I385" s="147"/>
      <c r="J385" s="147"/>
      <c r="K385" s="147"/>
      <c r="L385" s="147"/>
      <c r="M385" s="147"/>
      <c r="N385" s="147"/>
      <c r="O385" s="147"/>
      <c r="P385" s="147"/>
      <c r="Q385" s="147"/>
      <c r="R385" s="147"/>
      <c r="S385" s="147"/>
      <c r="T385" s="148" t="str">
        <f t="shared" si="251"/>
        <v>0</v>
      </c>
      <c r="U385" s="148" t="str">
        <f t="shared" si="252"/>
        <v>0</v>
      </c>
      <c r="V385" s="148" t="str">
        <f t="shared" si="253"/>
        <v>0</v>
      </c>
      <c r="W385" s="148" t="str">
        <f t="shared" si="254"/>
        <v>0</v>
      </c>
      <c r="X385" s="507"/>
      <c r="Y385" s="152">
        <f t="shared" si="255"/>
        <v>0</v>
      </c>
      <c r="Z385" s="150" t="s">
        <v>169</v>
      </c>
      <c r="AA385" s="2"/>
      <c r="AB385" s="26"/>
      <c r="AC385" s="159" t="s">
        <v>162</v>
      </c>
      <c r="AD385" s="159" t="s">
        <v>162</v>
      </c>
      <c r="AE385" s="159" t="s">
        <v>162</v>
      </c>
      <c r="AF385" s="159" t="s">
        <v>162</v>
      </c>
      <c r="AG385" s="31">
        <f t="shared" si="256"/>
        <v>0</v>
      </c>
      <c r="AH385" s="153" t="s">
        <v>162</v>
      </c>
      <c r="AI385" s="2"/>
      <c r="AJ385" s="2"/>
      <c r="AK385" s="2"/>
      <c r="AL385" s="2"/>
      <c r="AM385" s="2"/>
      <c r="AN385" s="2"/>
      <c r="AO385" s="2"/>
      <c r="AP385" s="2"/>
      <c r="AQ385" s="2"/>
      <c r="AR385" s="2"/>
      <c r="AS385" s="2"/>
      <c r="AT385" s="2"/>
      <c r="AU385" s="2"/>
      <c r="AV385" s="2"/>
      <c r="AW385" s="2"/>
      <c r="AX385" s="2"/>
      <c r="AY385" s="2"/>
      <c r="AZ385" s="2"/>
      <c r="BA385" s="2"/>
      <c r="BB385" s="2"/>
      <c r="BC385" s="2"/>
      <c r="BD385" s="2"/>
    </row>
    <row r="386" spans="1:56" ht="14.25" customHeight="1">
      <c r="A386" s="8"/>
      <c r="B386" s="507"/>
      <c r="C386" s="156" t="s">
        <v>164</v>
      </c>
      <c r="D386" s="147"/>
      <c r="E386" s="147"/>
      <c r="F386" s="147"/>
      <c r="G386" s="147"/>
      <c r="H386" s="147"/>
      <c r="I386" s="147"/>
      <c r="J386" s="147"/>
      <c r="K386" s="147"/>
      <c r="L386" s="147"/>
      <c r="M386" s="147"/>
      <c r="N386" s="147"/>
      <c r="O386" s="147"/>
      <c r="P386" s="147"/>
      <c r="Q386" s="147"/>
      <c r="R386" s="147"/>
      <c r="S386" s="147"/>
      <c r="T386" s="148" t="str">
        <f t="shared" si="251"/>
        <v>0</v>
      </c>
      <c r="U386" s="148" t="str">
        <f t="shared" si="252"/>
        <v>0</v>
      </c>
      <c r="V386" s="148" t="str">
        <f t="shared" si="253"/>
        <v>0</v>
      </c>
      <c r="W386" s="148" t="str">
        <f t="shared" si="254"/>
        <v>0</v>
      </c>
      <c r="X386" s="507"/>
      <c r="Y386" s="152">
        <f t="shared" si="255"/>
        <v>0</v>
      </c>
      <c r="Z386" s="150" t="s">
        <v>169</v>
      </c>
      <c r="AA386" s="2"/>
      <c r="AB386" s="26"/>
      <c r="AC386" s="159" t="s">
        <v>162</v>
      </c>
      <c r="AD386" s="159" t="s">
        <v>162</v>
      </c>
      <c r="AE386" s="159" t="s">
        <v>162</v>
      </c>
      <c r="AF386" s="159" t="s">
        <v>162</v>
      </c>
      <c r="AG386" s="31">
        <f t="shared" si="256"/>
        <v>0</v>
      </c>
      <c r="AH386" s="153" t="s">
        <v>162</v>
      </c>
      <c r="AI386" s="2"/>
      <c r="AJ386" s="2"/>
      <c r="AK386" s="2"/>
      <c r="AL386" s="2"/>
      <c r="AM386" s="2"/>
      <c r="AN386" s="2"/>
      <c r="AO386" s="2"/>
      <c r="AP386" s="2"/>
      <c r="AQ386" s="2"/>
      <c r="AR386" s="2"/>
      <c r="AS386" s="2"/>
      <c r="AT386" s="2"/>
      <c r="AU386" s="2"/>
      <c r="AV386" s="2"/>
      <c r="AW386" s="2"/>
      <c r="AX386" s="2"/>
      <c r="AY386" s="2"/>
      <c r="AZ386" s="2"/>
      <c r="BA386" s="2"/>
      <c r="BB386" s="2"/>
      <c r="BC386" s="2"/>
      <c r="BD386" s="2"/>
    </row>
    <row r="387" spans="1:56" ht="14.25" customHeight="1">
      <c r="A387" s="8"/>
      <c r="B387" s="507"/>
      <c r="C387" s="156" t="s">
        <v>165</v>
      </c>
      <c r="D387" s="147"/>
      <c r="E387" s="147"/>
      <c r="F387" s="147"/>
      <c r="G387" s="147"/>
      <c r="H387" s="147"/>
      <c r="I387" s="147"/>
      <c r="J387" s="147"/>
      <c r="K387" s="147"/>
      <c r="L387" s="147"/>
      <c r="M387" s="147"/>
      <c r="N387" s="147"/>
      <c r="O387" s="147"/>
      <c r="P387" s="147"/>
      <c r="Q387" s="147"/>
      <c r="R387" s="147"/>
      <c r="S387" s="147"/>
      <c r="T387" s="148" t="str">
        <f t="shared" si="251"/>
        <v>0</v>
      </c>
      <c r="U387" s="148" t="str">
        <f t="shared" si="252"/>
        <v>0</v>
      </c>
      <c r="V387" s="148" t="str">
        <f t="shared" si="253"/>
        <v>0</v>
      </c>
      <c r="W387" s="148" t="str">
        <f t="shared" si="254"/>
        <v>0</v>
      </c>
      <c r="X387" s="507"/>
      <c r="Y387" s="152">
        <f t="shared" si="255"/>
        <v>0</v>
      </c>
      <c r="Z387" s="150" t="s">
        <v>169</v>
      </c>
      <c r="AA387" s="2"/>
      <c r="AB387" s="26"/>
      <c r="AC387" s="159" t="s">
        <v>162</v>
      </c>
      <c r="AD387" s="159" t="s">
        <v>162</v>
      </c>
      <c r="AE387" s="159" t="s">
        <v>162</v>
      </c>
      <c r="AF387" s="159" t="s">
        <v>162</v>
      </c>
      <c r="AG387" s="31">
        <f t="shared" si="256"/>
        <v>0</v>
      </c>
      <c r="AH387" s="153" t="s">
        <v>162</v>
      </c>
      <c r="AI387" s="2"/>
      <c r="AJ387" s="2"/>
      <c r="AK387" s="2"/>
      <c r="AL387" s="2"/>
      <c r="AM387" s="2"/>
      <c r="AN387" s="2"/>
      <c r="AO387" s="2"/>
      <c r="AP387" s="2"/>
      <c r="AQ387" s="2"/>
      <c r="AR387" s="2"/>
      <c r="AS387" s="2"/>
      <c r="AT387" s="2"/>
      <c r="AU387" s="2"/>
      <c r="AV387" s="2"/>
      <c r="AW387" s="2"/>
      <c r="AX387" s="2"/>
      <c r="AY387" s="2"/>
      <c r="AZ387" s="2"/>
      <c r="BA387" s="2"/>
      <c r="BB387" s="2"/>
      <c r="BC387" s="2"/>
      <c r="BD387" s="2"/>
    </row>
    <row r="388" spans="1:56" ht="14.25" customHeight="1">
      <c r="A388" s="8"/>
      <c r="B388" s="508"/>
      <c r="C388" s="156" t="s">
        <v>166</v>
      </c>
      <c r="D388" s="147"/>
      <c r="E388" s="147"/>
      <c r="F388" s="147"/>
      <c r="G388" s="147"/>
      <c r="H388" s="147"/>
      <c r="I388" s="147"/>
      <c r="J388" s="147"/>
      <c r="K388" s="147"/>
      <c r="L388" s="147"/>
      <c r="M388" s="147"/>
      <c r="N388" s="147"/>
      <c r="O388" s="147"/>
      <c r="P388" s="147"/>
      <c r="Q388" s="147"/>
      <c r="R388" s="147"/>
      <c r="S388" s="147"/>
      <c r="T388" s="148" t="str">
        <f t="shared" si="251"/>
        <v>0</v>
      </c>
      <c r="U388" s="148" t="str">
        <f t="shared" si="252"/>
        <v>0</v>
      </c>
      <c r="V388" s="148" t="str">
        <f t="shared" si="253"/>
        <v>0</v>
      </c>
      <c r="W388" s="148" t="str">
        <f t="shared" si="254"/>
        <v>0</v>
      </c>
      <c r="X388" s="508"/>
      <c r="Y388" s="152">
        <f t="shared" si="255"/>
        <v>0</v>
      </c>
      <c r="Z388" s="150" t="s">
        <v>169</v>
      </c>
      <c r="AA388" s="2"/>
      <c r="AB388" s="26"/>
      <c r="AC388" s="159" t="s">
        <v>162</v>
      </c>
      <c r="AD388" s="159" t="s">
        <v>162</v>
      </c>
      <c r="AE388" s="159" t="s">
        <v>162</v>
      </c>
      <c r="AF388" s="159" t="s">
        <v>162</v>
      </c>
      <c r="AG388" s="31">
        <f t="shared" si="256"/>
        <v>0</v>
      </c>
      <c r="AH388" s="153" t="s">
        <v>162</v>
      </c>
      <c r="AI388" s="2"/>
      <c r="AJ388" s="2"/>
      <c r="AK388" s="2"/>
      <c r="AL388" s="2"/>
      <c r="AM388" s="2"/>
      <c r="AN388" s="2"/>
      <c r="AO388" s="2"/>
      <c r="AP388" s="2"/>
      <c r="AQ388" s="2"/>
      <c r="AR388" s="2"/>
      <c r="AS388" s="2"/>
      <c r="AT388" s="2"/>
      <c r="AU388" s="2"/>
      <c r="AV388" s="2"/>
      <c r="AW388" s="2"/>
      <c r="AX388" s="2"/>
      <c r="AY388" s="2"/>
      <c r="AZ388" s="2"/>
      <c r="BA388" s="2"/>
      <c r="BB388" s="2"/>
      <c r="BC388" s="2"/>
      <c r="BD388" s="2"/>
    </row>
    <row r="389" spans="1:56" ht="14.25" customHeight="1">
      <c r="A389" s="8"/>
      <c r="B389" s="506" t="s">
        <v>75</v>
      </c>
      <c r="C389" s="156" t="s">
        <v>160</v>
      </c>
      <c r="D389" s="147"/>
      <c r="E389" s="147"/>
      <c r="F389" s="147"/>
      <c r="G389" s="147"/>
      <c r="H389" s="147"/>
      <c r="I389" s="147"/>
      <c r="J389" s="147"/>
      <c r="K389" s="147"/>
      <c r="L389" s="147"/>
      <c r="M389" s="147"/>
      <c r="N389" s="147"/>
      <c r="O389" s="147"/>
      <c r="P389" s="147"/>
      <c r="Q389" s="147"/>
      <c r="R389" s="147"/>
      <c r="S389" s="147"/>
      <c r="T389" s="148" t="str">
        <f t="shared" si="251"/>
        <v>0</v>
      </c>
      <c r="U389" s="148" t="str">
        <f t="shared" si="252"/>
        <v>0</v>
      </c>
      <c r="V389" s="148" t="str">
        <f t="shared" si="253"/>
        <v>0</v>
      </c>
      <c r="W389" s="148" t="str">
        <f t="shared" si="254"/>
        <v>0</v>
      </c>
      <c r="X389" s="513">
        <f>SUM(Y389:Y393)/5</f>
        <v>0</v>
      </c>
      <c r="Y389" s="152">
        <f t="shared" si="255"/>
        <v>0</v>
      </c>
      <c r="Z389" s="150" t="s">
        <v>175</v>
      </c>
      <c r="AA389" s="2"/>
      <c r="AB389" s="2"/>
      <c r="AC389" s="160" t="s">
        <v>162</v>
      </c>
      <c r="AD389" s="160" t="s">
        <v>162</v>
      </c>
      <c r="AE389" s="160" t="s">
        <v>162</v>
      </c>
      <c r="AF389" s="160" t="s">
        <v>162</v>
      </c>
      <c r="AG389" s="153" t="str">
        <f t="shared" si="256"/>
        <v>FTP</v>
      </c>
      <c r="AH389" s="153" t="s">
        <v>162</v>
      </c>
      <c r="AI389" s="2"/>
      <c r="AJ389" s="2"/>
      <c r="AK389" s="2"/>
      <c r="AL389" s="2"/>
      <c r="AM389" s="2"/>
      <c r="AN389" s="2"/>
      <c r="AO389" s="2"/>
      <c r="AP389" s="2"/>
      <c r="AQ389" s="2"/>
      <c r="AR389" s="2"/>
      <c r="AS389" s="2"/>
      <c r="AT389" s="2"/>
      <c r="AU389" s="2"/>
      <c r="AV389" s="2"/>
      <c r="AW389" s="2"/>
      <c r="AX389" s="2"/>
      <c r="AY389" s="2"/>
      <c r="AZ389" s="2"/>
      <c r="BA389" s="2"/>
      <c r="BB389" s="2"/>
      <c r="BC389" s="2"/>
      <c r="BD389" s="2"/>
    </row>
    <row r="390" spans="1:56" ht="14.25" customHeight="1">
      <c r="A390" s="8"/>
      <c r="B390" s="507"/>
      <c r="C390" s="156" t="s">
        <v>163</v>
      </c>
      <c r="D390" s="147"/>
      <c r="E390" s="147"/>
      <c r="F390" s="147"/>
      <c r="G390" s="147"/>
      <c r="H390" s="147"/>
      <c r="I390" s="147"/>
      <c r="J390" s="147"/>
      <c r="K390" s="147"/>
      <c r="L390" s="147"/>
      <c r="M390" s="147"/>
      <c r="N390" s="147"/>
      <c r="O390" s="147"/>
      <c r="P390" s="147"/>
      <c r="Q390" s="147"/>
      <c r="R390" s="147"/>
      <c r="S390" s="147"/>
      <c r="T390" s="148" t="str">
        <f t="shared" si="251"/>
        <v>0</v>
      </c>
      <c r="U390" s="148" t="str">
        <f t="shared" si="252"/>
        <v>0</v>
      </c>
      <c r="V390" s="148" t="str">
        <f t="shared" si="253"/>
        <v>0</v>
      </c>
      <c r="W390" s="148" t="str">
        <f t="shared" si="254"/>
        <v>0</v>
      </c>
      <c r="X390" s="507"/>
      <c r="Y390" s="152">
        <f t="shared" si="255"/>
        <v>0</v>
      </c>
      <c r="Z390" s="150" t="s">
        <v>169</v>
      </c>
      <c r="AA390" s="2"/>
      <c r="AB390" s="2"/>
      <c r="AC390" s="153" t="s">
        <v>162</v>
      </c>
      <c r="AD390" s="153" t="s">
        <v>162</v>
      </c>
      <c r="AE390" s="153" t="s">
        <v>162</v>
      </c>
      <c r="AF390" s="153" t="s">
        <v>162</v>
      </c>
      <c r="AG390" s="2">
        <f t="shared" si="256"/>
        <v>0</v>
      </c>
      <c r="AH390" s="153" t="s">
        <v>162</v>
      </c>
      <c r="AI390" s="2"/>
      <c r="AJ390" s="2"/>
      <c r="AK390" s="2"/>
      <c r="AL390" s="2"/>
      <c r="AM390" s="2"/>
      <c r="AN390" s="2"/>
      <c r="AO390" s="2"/>
      <c r="AP390" s="2"/>
      <c r="AQ390" s="2"/>
      <c r="AR390" s="2"/>
      <c r="AS390" s="2"/>
      <c r="AT390" s="2"/>
      <c r="AU390" s="2"/>
      <c r="AV390" s="2"/>
      <c r="AW390" s="2"/>
      <c r="AX390" s="2"/>
      <c r="AY390" s="2"/>
      <c r="AZ390" s="2"/>
      <c r="BA390" s="2"/>
      <c r="BB390" s="2"/>
      <c r="BC390" s="2"/>
      <c r="BD390" s="2"/>
    </row>
    <row r="391" spans="1:56" ht="14.25" customHeight="1">
      <c r="A391" s="8"/>
      <c r="B391" s="507"/>
      <c r="C391" s="156" t="s">
        <v>164</v>
      </c>
      <c r="D391" s="147"/>
      <c r="E391" s="147"/>
      <c r="F391" s="147"/>
      <c r="G391" s="147"/>
      <c r="H391" s="147"/>
      <c r="I391" s="147"/>
      <c r="J391" s="147"/>
      <c r="K391" s="147"/>
      <c r="L391" s="147"/>
      <c r="M391" s="147"/>
      <c r="N391" s="147"/>
      <c r="O391" s="147"/>
      <c r="P391" s="147"/>
      <c r="Q391" s="147"/>
      <c r="R391" s="147"/>
      <c r="S391" s="147"/>
      <c r="T391" s="148" t="str">
        <f t="shared" ref="T391:T422" si="257">IFERROR(AVERAGE(D391,H391,L391,P391),"0")</f>
        <v>0</v>
      </c>
      <c r="U391" s="148" t="str">
        <f t="shared" ref="U391:U422" si="258">IFERROR(AVERAGE(E391,I391,M391,Q391),"0")</f>
        <v>0</v>
      </c>
      <c r="V391" s="148" t="str">
        <f t="shared" ref="V391:V422" si="259">IFERROR(AVERAGE(F391,J391,N391,R391),"0")</f>
        <v>0</v>
      </c>
      <c r="W391" s="148" t="str">
        <f t="shared" ref="W391:W422" si="260">IFERROR(AVERAGE(G391,K391,O391,S391),"0")</f>
        <v>0</v>
      </c>
      <c r="X391" s="507"/>
      <c r="Y391" s="152">
        <f t="shared" ref="Y391:Y422" si="261">((4*T391)+(3*U391)+(2*V391)+W391)/4</f>
        <v>0</v>
      </c>
      <c r="Z391" s="150" t="s">
        <v>169</v>
      </c>
      <c r="AA391" s="2"/>
      <c r="AB391" s="2"/>
      <c r="AC391" s="153" t="s">
        <v>162</v>
      </c>
      <c r="AD391" s="153" t="s">
        <v>162</v>
      </c>
      <c r="AE391" s="153" t="s">
        <v>162</v>
      </c>
      <c r="AF391" s="153" t="s">
        <v>162</v>
      </c>
      <c r="AG391" s="2">
        <f t="shared" ref="AG391:AG422" si="262">B391</f>
        <v>0</v>
      </c>
      <c r="AH391" s="153" t="s">
        <v>162</v>
      </c>
      <c r="AI391" s="2"/>
      <c r="AJ391" s="2"/>
      <c r="AK391" s="2"/>
      <c r="AL391" s="2"/>
      <c r="AM391" s="2"/>
      <c r="AN391" s="2"/>
      <c r="AO391" s="2"/>
      <c r="AP391" s="2"/>
      <c r="AQ391" s="2"/>
      <c r="AR391" s="2"/>
      <c r="AS391" s="2"/>
      <c r="AT391" s="2"/>
      <c r="AU391" s="2"/>
      <c r="AV391" s="2"/>
      <c r="AW391" s="2"/>
      <c r="AX391" s="2"/>
      <c r="AY391" s="2"/>
      <c r="AZ391" s="2"/>
      <c r="BA391" s="2"/>
      <c r="BB391" s="2"/>
      <c r="BC391" s="2"/>
      <c r="BD391" s="2"/>
    </row>
    <row r="392" spans="1:56" ht="14.25" customHeight="1">
      <c r="A392" s="8"/>
      <c r="B392" s="507"/>
      <c r="C392" s="156" t="s">
        <v>165</v>
      </c>
      <c r="D392" s="147"/>
      <c r="E392" s="147"/>
      <c r="F392" s="147"/>
      <c r="G392" s="147"/>
      <c r="H392" s="147"/>
      <c r="I392" s="147"/>
      <c r="J392" s="147"/>
      <c r="K392" s="147"/>
      <c r="L392" s="147"/>
      <c r="M392" s="147"/>
      <c r="N392" s="147"/>
      <c r="O392" s="147"/>
      <c r="P392" s="147"/>
      <c r="Q392" s="147"/>
      <c r="R392" s="147"/>
      <c r="S392" s="147"/>
      <c r="T392" s="148" t="str">
        <f t="shared" si="257"/>
        <v>0</v>
      </c>
      <c r="U392" s="148" t="str">
        <f t="shared" si="258"/>
        <v>0</v>
      </c>
      <c r="V392" s="148" t="str">
        <f t="shared" si="259"/>
        <v>0</v>
      </c>
      <c r="W392" s="148" t="str">
        <f t="shared" si="260"/>
        <v>0</v>
      </c>
      <c r="X392" s="507"/>
      <c r="Y392" s="152">
        <f t="shared" si="261"/>
        <v>0</v>
      </c>
      <c r="Z392" s="150" t="s">
        <v>169</v>
      </c>
      <c r="AA392" s="2"/>
      <c r="AB392" s="2"/>
      <c r="AC392" s="153" t="s">
        <v>162</v>
      </c>
      <c r="AD392" s="153" t="s">
        <v>162</v>
      </c>
      <c r="AE392" s="153" t="s">
        <v>162</v>
      </c>
      <c r="AF392" s="153" t="s">
        <v>162</v>
      </c>
      <c r="AG392" s="2">
        <f t="shared" si="262"/>
        <v>0</v>
      </c>
      <c r="AH392" s="153" t="s">
        <v>162</v>
      </c>
      <c r="AI392" s="2"/>
      <c r="AJ392" s="2"/>
      <c r="AK392" s="2"/>
      <c r="AL392" s="2"/>
      <c r="AM392" s="2"/>
      <c r="AN392" s="2"/>
      <c r="AO392" s="2"/>
      <c r="AP392" s="2"/>
      <c r="AQ392" s="2"/>
      <c r="AR392" s="2"/>
      <c r="AS392" s="2"/>
      <c r="AT392" s="2"/>
      <c r="AU392" s="2"/>
      <c r="AV392" s="2"/>
      <c r="AW392" s="2"/>
      <c r="AX392" s="2"/>
      <c r="AY392" s="2"/>
      <c r="AZ392" s="2"/>
      <c r="BA392" s="2"/>
      <c r="BB392" s="2"/>
      <c r="BC392" s="2"/>
      <c r="BD392" s="2"/>
    </row>
    <row r="393" spans="1:56" ht="14.25" customHeight="1">
      <c r="A393" s="8"/>
      <c r="B393" s="508"/>
      <c r="C393" s="156" t="s">
        <v>166</v>
      </c>
      <c r="D393" s="147"/>
      <c r="E393" s="147"/>
      <c r="F393" s="147"/>
      <c r="G393" s="147"/>
      <c r="H393" s="147"/>
      <c r="I393" s="147"/>
      <c r="J393" s="147"/>
      <c r="K393" s="147"/>
      <c r="L393" s="147"/>
      <c r="M393" s="147"/>
      <c r="N393" s="147"/>
      <c r="O393" s="147"/>
      <c r="P393" s="147"/>
      <c r="Q393" s="147"/>
      <c r="R393" s="147"/>
      <c r="S393" s="147"/>
      <c r="T393" s="148" t="str">
        <f t="shared" si="257"/>
        <v>0</v>
      </c>
      <c r="U393" s="148" t="str">
        <f t="shared" si="258"/>
        <v>0</v>
      </c>
      <c r="V393" s="148" t="str">
        <f t="shared" si="259"/>
        <v>0</v>
      </c>
      <c r="W393" s="148" t="str">
        <f t="shared" si="260"/>
        <v>0</v>
      </c>
      <c r="X393" s="508"/>
      <c r="Y393" s="152">
        <f t="shared" si="261"/>
        <v>0</v>
      </c>
      <c r="Z393" s="150" t="s">
        <v>169</v>
      </c>
      <c r="AA393" s="2"/>
      <c r="AB393" s="2"/>
      <c r="AC393" s="161" t="s">
        <v>162</v>
      </c>
      <c r="AD393" s="161" t="s">
        <v>162</v>
      </c>
      <c r="AE393" s="161" t="s">
        <v>162</v>
      </c>
      <c r="AF393" s="161" t="s">
        <v>162</v>
      </c>
      <c r="AG393" s="2">
        <f t="shared" si="262"/>
        <v>0</v>
      </c>
      <c r="AH393" s="153" t="s">
        <v>162</v>
      </c>
      <c r="AI393" s="2"/>
      <c r="AJ393" s="2"/>
      <c r="AK393" s="2"/>
      <c r="AL393" s="2"/>
      <c r="AM393" s="2"/>
      <c r="AN393" s="2"/>
      <c r="AO393" s="2"/>
      <c r="AP393" s="2"/>
      <c r="AQ393" s="2"/>
      <c r="AR393" s="2"/>
      <c r="AS393" s="2"/>
      <c r="AT393" s="2"/>
      <c r="AU393" s="2"/>
      <c r="AV393" s="2"/>
      <c r="AW393" s="2"/>
      <c r="AX393" s="2"/>
      <c r="AY393" s="2"/>
      <c r="AZ393" s="2"/>
      <c r="BA393" s="2"/>
      <c r="BB393" s="2"/>
      <c r="BC393" s="2"/>
      <c r="BD393" s="2"/>
    </row>
    <row r="394" spans="1:56" ht="14.25" customHeight="1">
      <c r="A394" s="8"/>
      <c r="B394" s="506" t="s">
        <v>76</v>
      </c>
      <c r="C394" s="156" t="s">
        <v>160</v>
      </c>
      <c r="D394" s="147"/>
      <c r="E394" s="147"/>
      <c r="F394" s="147"/>
      <c r="G394" s="147"/>
      <c r="H394" s="147"/>
      <c r="I394" s="147"/>
      <c r="J394" s="147"/>
      <c r="K394" s="147"/>
      <c r="L394" s="147"/>
      <c r="M394" s="147"/>
      <c r="N394" s="147"/>
      <c r="O394" s="147"/>
      <c r="P394" s="147"/>
      <c r="Q394" s="147"/>
      <c r="R394" s="147"/>
      <c r="S394" s="147"/>
      <c r="T394" s="148" t="str">
        <f t="shared" si="257"/>
        <v>0</v>
      </c>
      <c r="U394" s="148" t="str">
        <f t="shared" si="258"/>
        <v>0</v>
      </c>
      <c r="V394" s="148" t="str">
        <f t="shared" si="259"/>
        <v>0</v>
      </c>
      <c r="W394" s="148" t="str">
        <f t="shared" si="260"/>
        <v>0</v>
      </c>
      <c r="X394" s="513">
        <f>SUM(Y394:Y398)/5</f>
        <v>0</v>
      </c>
      <c r="Y394" s="152">
        <f t="shared" si="261"/>
        <v>0</v>
      </c>
      <c r="Z394" s="150" t="s">
        <v>176</v>
      </c>
      <c r="AA394" s="2"/>
      <c r="AB394" s="26"/>
      <c r="AC394" s="159" t="s">
        <v>162</v>
      </c>
      <c r="AD394" s="159" t="s">
        <v>162</v>
      </c>
      <c r="AE394" s="159" t="s">
        <v>162</v>
      </c>
      <c r="AF394" s="159" t="s">
        <v>162</v>
      </c>
      <c r="AG394" s="158" t="str">
        <f t="shared" si="262"/>
        <v>HTB</v>
      </c>
      <c r="AH394" s="153" t="s">
        <v>162</v>
      </c>
      <c r="AI394" s="2"/>
      <c r="AJ394" s="2"/>
      <c r="AK394" s="2"/>
      <c r="AL394" s="2"/>
      <c r="AM394" s="2"/>
      <c r="AN394" s="2"/>
      <c r="AO394" s="2"/>
      <c r="AP394" s="2"/>
      <c r="AQ394" s="2"/>
      <c r="AR394" s="2"/>
      <c r="AS394" s="2"/>
      <c r="AT394" s="2"/>
      <c r="AU394" s="2"/>
      <c r="AV394" s="2"/>
      <c r="AW394" s="2"/>
      <c r="AX394" s="2"/>
      <c r="AY394" s="2"/>
      <c r="AZ394" s="2"/>
      <c r="BA394" s="2"/>
      <c r="BB394" s="2"/>
      <c r="BC394" s="2"/>
      <c r="BD394" s="2"/>
    </row>
    <row r="395" spans="1:56" ht="14.25" customHeight="1">
      <c r="A395" s="8"/>
      <c r="B395" s="507"/>
      <c r="C395" s="156" t="s">
        <v>163</v>
      </c>
      <c r="D395" s="147"/>
      <c r="E395" s="147"/>
      <c r="F395" s="147"/>
      <c r="G395" s="147"/>
      <c r="H395" s="147"/>
      <c r="I395" s="147"/>
      <c r="J395" s="147"/>
      <c r="K395" s="147"/>
      <c r="L395" s="147"/>
      <c r="M395" s="147"/>
      <c r="N395" s="147"/>
      <c r="O395" s="147"/>
      <c r="P395" s="147"/>
      <c r="Q395" s="147"/>
      <c r="R395" s="147"/>
      <c r="S395" s="147"/>
      <c r="T395" s="148" t="str">
        <f t="shared" si="257"/>
        <v>0</v>
      </c>
      <c r="U395" s="148" t="str">
        <f t="shared" si="258"/>
        <v>0</v>
      </c>
      <c r="V395" s="148" t="str">
        <f t="shared" si="259"/>
        <v>0</v>
      </c>
      <c r="W395" s="148" t="str">
        <f t="shared" si="260"/>
        <v>0</v>
      </c>
      <c r="X395" s="507"/>
      <c r="Y395" s="152">
        <f t="shared" si="261"/>
        <v>0</v>
      </c>
      <c r="Z395" s="150" t="s">
        <v>169</v>
      </c>
      <c r="AA395" s="2"/>
      <c r="AB395" s="26"/>
      <c r="AC395" s="159" t="s">
        <v>162</v>
      </c>
      <c r="AD395" s="159" t="s">
        <v>162</v>
      </c>
      <c r="AE395" s="159" t="s">
        <v>162</v>
      </c>
      <c r="AF395" s="159" t="s">
        <v>162</v>
      </c>
      <c r="AG395" s="31">
        <f t="shared" si="262"/>
        <v>0</v>
      </c>
      <c r="AH395" s="153" t="s">
        <v>162</v>
      </c>
      <c r="AI395" s="2"/>
      <c r="AJ395" s="2"/>
      <c r="AK395" s="2"/>
      <c r="AL395" s="2"/>
      <c r="AM395" s="2"/>
      <c r="AN395" s="2"/>
      <c r="AO395" s="2"/>
      <c r="AP395" s="2"/>
      <c r="AQ395" s="2"/>
      <c r="AR395" s="2"/>
      <c r="AS395" s="2"/>
      <c r="AT395" s="2"/>
      <c r="AU395" s="2"/>
      <c r="AV395" s="2"/>
      <c r="AW395" s="2"/>
      <c r="AX395" s="2"/>
      <c r="AY395" s="2"/>
      <c r="AZ395" s="2"/>
      <c r="BA395" s="2"/>
      <c r="BB395" s="2"/>
      <c r="BC395" s="2"/>
      <c r="BD395" s="2"/>
    </row>
    <row r="396" spans="1:56" ht="14.25" customHeight="1">
      <c r="A396" s="8"/>
      <c r="B396" s="507"/>
      <c r="C396" s="156" t="s">
        <v>164</v>
      </c>
      <c r="D396" s="147"/>
      <c r="E396" s="147"/>
      <c r="F396" s="147"/>
      <c r="G396" s="147"/>
      <c r="H396" s="147"/>
      <c r="I396" s="147"/>
      <c r="J396" s="147"/>
      <c r="K396" s="147"/>
      <c r="L396" s="147"/>
      <c r="M396" s="147"/>
      <c r="N396" s="147"/>
      <c r="O396" s="147"/>
      <c r="P396" s="147"/>
      <c r="Q396" s="147"/>
      <c r="R396" s="147"/>
      <c r="S396" s="147"/>
      <c r="T396" s="148" t="str">
        <f t="shared" si="257"/>
        <v>0</v>
      </c>
      <c r="U396" s="148" t="str">
        <f t="shared" si="258"/>
        <v>0</v>
      </c>
      <c r="V396" s="148" t="str">
        <f t="shared" si="259"/>
        <v>0</v>
      </c>
      <c r="W396" s="148" t="str">
        <f t="shared" si="260"/>
        <v>0</v>
      </c>
      <c r="X396" s="507"/>
      <c r="Y396" s="152">
        <f t="shared" si="261"/>
        <v>0</v>
      </c>
      <c r="Z396" s="150" t="s">
        <v>169</v>
      </c>
      <c r="AA396" s="2"/>
      <c r="AB396" s="26"/>
      <c r="AC396" s="159" t="s">
        <v>162</v>
      </c>
      <c r="AD396" s="159" t="s">
        <v>162</v>
      </c>
      <c r="AE396" s="159" t="s">
        <v>162</v>
      </c>
      <c r="AF396" s="159" t="s">
        <v>162</v>
      </c>
      <c r="AG396" s="31">
        <f t="shared" si="262"/>
        <v>0</v>
      </c>
      <c r="AH396" s="153" t="s">
        <v>162</v>
      </c>
      <c r="AI396" s="2"/>
      <c r="AJ396" s="2"/>
      <c r="AK396" s="2"/>
      <c r="AL396" s="2"/>
      <c r="AM396" s="2"/>
      <c r="AN396" s="2"/>
      <c r="AO396" s="2"/>
      <c r="AP396" s="2"/>
      <c r="AQ396" s="2"/>
      <c r="AR396" s="2"/>
      <c r="AS396" s="2"/>
      <c r="AT396" s="2"/>
      <c r="AU396" s="2"/>
      <c r="AV396" s="2"/>
      <c r="AW396" s="2"/>
      <c r="AX396" s="2"/>
      <c r="AY396" s="2"/>
      <c r="AZ396" s="2"/>
      <c r="BA396" s="2"/>
      <c r="BB396" s="2"/>
      <c r="BC396" s="2"/>
      <c r="BD396" s="2"/>
    </row>
    <row r="397" spans="1:56" ht="14.25" customHeight="1">
      <c r="A397" s="8"/>
      <c r="B397" s="507"/>
      <c r="C397" s="156" t="s">
        <v>165</v>
      </c>
      <c r="D397" s="147"/>
      <c r="E397" s="147"/>
      <c r="F397" s="147"/>
      <c r="G397" s="147"/>
      <c r="H397" s="147"/>
      <c r="I397" s="147"/>
      <c r="J397" s="147"/>
      <c r="K397" s="147"/>
      <c r="L397" s="147"/>
      <c r="M397" s="147"/>
      <c r="N397" s="147"/>
      <c r="O397" s="147"/>
      <c r="P397" s="147"/>
      <c r="Q397" s="147"/>
      <c r="R397" s="147"/>
      <c r="S397" s="147"/>
      <c r="T397" s="148" t="str">
        <f t="shared" si="257"/>
        <v>0</v>
      </c>
      <c r="U397" s="148" t="str">
        <f t="shared" si="258"/>
        <v>0</v>
      </c>
      <c r="V397" s="148" t="str">
        <f t="shared" si="259"/>
        <v>0</v>
      </c>
      <c r="W397" s="148" t="str">
        <f t="shared" si="260"/>
        <v>0</v>
      </c>
      <c r="X397" s="507"/>
      <c r="Y397" s="152">
        <f t="shared" si="261"/>
        <v>0</v>
      </c>
      <c r="Z397" s="150" t="s">
        <v>169</v>
      </c>
      <c r="AA397" s="2"/>
      <c r="AB397" s="26"/>
      <c r="AC397" s="159" t="s">
        <v>162</v>
      </c>
      <c r="AD397" s="159" t="s">
        <v>162</v>
      </c>
      <c r="AE397" s="159" t="s">
        <v>162</v>
      </c>
      <c r="AF397" s="159" t="s">
        <v>162</v>
      </c>
      <c r="AG397" s="31">
        <f t="shared" si="262"/>
        <v>0</v>
      </c>
      <c r="AH397" s="153" t="s">
        <v>162</v>
      </c>
      <c r="AI397" s="2"/>
      <c r="AJ397" s="2"/>
      <c r="AK397" s="2"/>
      <c r="AL397" s="2"/>
      <c r="AM397" s="2"/>
      <c r="AN397" s="2"/>
      <c r="AO397" s="2"/>
      <c r="AP397" s="2"/>
      <c r="AQ397" s="2"/>
      <c r="AR397" s="2"/>
      <c r="AS397" s="2"/>
      <c r="AT397" s="2"/>
      <c r="AU397" s="2"/>
      <c r="AV397" s="2"/>
      <c r="AW397" s="2"/>
      <c r="AX397" s="2"/>
      <c r="AY397" s="2"/>
      <c r="AZ397" s="2"/>
      <c r="BA397" s="2"/>
      <c r="BB397" s="2"/>
      <c r="BC397" s="2"/>
      <c r="BD397" s="2"/>
    </row>
    <row r="398" spans="1:56" ht="14.25" customHeight="1">
      <c r="A398" s="8"/>
      <c r="B398" s="508"/>
      <c r="C398" s="156" t="s">
        <v>166</v>
      </c>
      <c r="D398" s="147"/>
      <c r="E398" s="147"/>
      <c r="F398" s="147"/>
      <c r="G398" s="147"/>
      <c r="H398" s="147"/>
      <c r="I398" s="147"/>
      <c r="J398" s="147"/>
      <c r="K398" s="147"/>
      <c r="L398" s="147"/>
      <c r="M398" s="147"/>
      <c r="N398" s="147"/>
      <c r="O398" s="147"/>
      <c r="P398" s="147"/>
      <c r="Q398" s="147"/>
      <c r="R398" s="147"/>
      <c r="S398" s="147"/>
      <c r="T398" s="148" t="str">
        <f t="shared" si="257"/>
        <v>0</v>
      </c>
      <c r="U398" s="148" t="str">
        <f t="shared" si="258"/>
        <v>0</v>
      </c>
      <c r="V398" s="148" t="str">
        <f t="shared" si="259"/>
        <v>0</v>
      </c>
      <c r="W398" s="148" t="str">
        <f t="shared" si="260"/>
        <v>0</v>
      </c>
      <c r="X398" s="508"/>
      <c r="Y398" s="152">
        <f t="shared" si="261"/>
        <v>0</v>
      </c>
      <c r="Z398" s="150" t="s">
        <v>169</v>
      </c>
      <c r="AA398" s="2"/>
      <c r="AB398" s="26"/>
      <c r="AC398" s="159" t="s">
        <v>162</v>
      </c>
      <c r="AD398" s="159" t="s">
        <v>162</v>
      </c>
      <c r="AE398" s="159" t="s">
        <v>162</v>
      </c>
      <c r="AF398" s="159" t="s">
        <v>162</v>
      </c>
      <c r="AG398" s="31">
        <f t="shared" si="262"/>
        <v>0</v>
      </c>
      <c r="AH398" s="153" t="s">
        <v>162</v>
      </c>
      <c r="AI398" s="2"/>
      <c r="AJ398" s="2"/>
      <c r="AK398" s="2"/>
      <c r="AL398" s="2"/>
      <c r="AM398" s="2"/>
      <c r="AN398" s="2"/>
      <c r="AO398" s="2"/>
      <c r="AP398" s="2"/>
      <c r="AQ398" s="2"/>
      <c r="AR398" s="2"/>
      <c r="AS398" s="2"/>
      <c r="AT398" s="2"/>
      <c r="AU398" s="2"/>
      <c r="AV398" s="2"/>
      <c r="AW398" s="2"/>
      <c r="AX398" s="2"/>
      <c r="AY398" s="2"/>
      <c r="AZ398" s="2"/>
      <c r="BA398" s="2"/>
      <c r="BB398" s="2"/>
      <c r="BC398" s="2"/>
      <c r="BD398" s="2"/>
    </row>
    <row r="399" spans="1:56" ht="14.25" customHeight="1">
      <c r="A399" s="8"/>
      <c r="B399" s="506" t="s">
        <v>77</v>
      </c>
      <c r="C399" s="156" t="s">
        <v>160</v>
      </c>
      <c r="D399" s="147"/>
      <c r="E399" s="147"/>
      <c r="F399" s="147"/>
      <c r="G399" s="147"/>
      <c r="H399" s="147"/>
      <c r="I399" s="147"/>
      <c r="J399" s="147"/>
      <c r="K399" s="147"/>
      <c r="L399" s="147"/>
      <c r="M399" s="147"/>
      <c r="N399" s="147"/>
      <c r="O399" s="147"/>
      <c r="P399" s="147"/>
      <c r="Q399" s="147"/>
      <c r="R399" s="147"/>
      <c r="S399" s="147"/>
      <c r="T399" s="148" t="str">
        <f t="shared" si="257"/>
        <v>0</v>
      </c>
      <c r="U399" s="148" t="str">
        <f t="shared" si="258"/>
        <v>0</v>
      </c>
      <c r="V399" s="148" t="str">
        <f t="shared" si="259"/>
        <v>0</v>
      </c>
      <c r="W399" s="148" t="str">
        <f t="shared" si="260"/>
        <v>0</v>
      </c>
      <c r="X399" s="513">
        <f>SUM(Y399:Y403)/5</f>
        <v>0</v>
      </c>
      <c r="Y399" s="152">
        <f t="shared" si="261"/>
        <v>0</v>
      </c>
      <c r="Z399" s="150" t="s">
        <v>177</v>
      </c>
      <c r="AA399" s="2"/>
      <c r="AB399" s="2"/>
      <c r="AC399" s="160" t="s">
        <v>162</v>
      </c>
      <c r="AD399" s="160" t="s">
        <v>162</v>
      </c>
      <c r="AE399" s="160" t="s">
        <v>162</v>
      </c>
      <c r="AF399" s="160" t="s">
        <v>162</v>
      </c>
      <c r="AG399" s="153" t="str">
        <f t="shared" si="262"/>
        <v>IBM-IC</v>
      </c>
      <c r="AH399" s="153" t="s">
        <v>162</v>
      </c>
      <c r="AI399" s="2"/>
      <c r="AJ399" s="2"/>
      <c r="AK399" s="2"/>
      <c r="AL399" s="2"/>
      <c r="AM399" s="2"/>
      <c r="AN399" s="2"/>
      <c r="AO399" s="2"/>
      <c r="AP399" s="2"/>
      <c r="AQ399" s="2"/>
      <c r="AR399" s="2"/>
      <c r="AS399" s="2"/>
      <c r="AT399" s="2"/>
      <c r="AU399" s="2"/>
      <c r="AV399" s="2"/>
      <c r="AW399" s="2"/>
      <c r="AX399" s="2"/>
      <c r="AY399" s="2"/>
      <c r="AZ399" s="2"/>
      <c r="BA399" s="2"/>
      <c r="BB399" s="2"/>
      <c r="BC399" s="2"/>
      <c r="BD399" s="2"/>
    </row>
    <row r="400" spans="1:56" ht="14.25" customHeight="1">
      <c r="A400" s="8"/>
      <c r="B400" s="507"/>
      <c r="C400" s="156" t="s">
        <v>163</v>
      </c>
      <c r="D400" s="147"/>
      <c r="E400" s="147"/>
      <c r="F400" s="147"/>
      <c r="G400" s="147"/>
      <c r="H400" s="147"/>
      <c r="I400" s="147"/>
      <c r="J400" s="147"/>
      <c r="K400" s="147"/>
      <c r="L400" s="147"/>
      <c r="M400" s="147"/>
      <c r="N400" s="147"/>
      <c r="O400" s="147"/>
      <c r="P400" s="147"/>
      <c r="Q400" s="147"/>
      <c r="R400" s="147"/>
      <c r="S400" s="147"/>
      <c r="T400" s="148" t="str">
        <f t="shared" si="257"/>
        <v>0</v>
      </c>
      <c r="U400" s="148" t="str">
        <f t="shared" si="258"/>
        <v>0</v>
      </c>
      <c r="V400" s="148" t="str">
        <f t="shared" si="259"/>
        <v>0</v>
      </c>
      <c r="W400" s="148" t="str">
        <f t="shared" si="260"/>
        <v>0</v>
      </c>
      <c r="X400" s="507"/>
      <c r="Y400" s="152">
        <f t="shared" si="261"/>
        <v>0</v>
      </c>
      <c r="Z400" s="150" t="s">
        <v>169</v>
      </c>
      <c r="AA400" s="2"/>
      <c r="AB400" s="2"/>
      <c r="AC400" s="153" t="s">
        <v>162</v>
      </c>
      <c r="AD400" s="153" t="s">
        <v>162</v>
      </c>
      <c r="AE400" s="153" t="s">
        <v>162</v>
      </c>
      <c r="AF400" s="153" t="s">
        <v>162</v>
      </c>
      <c r="AG400" s="2">
        <f t="shared" si="262"/>
        <v>0</v>
      </c>
      <c r="AH400" s="153" t="s">
        <v>162</v>
      </c>
      <c r="AI400" s="2"/>
      <c r="AJ400" s="2"/>
      <c r="AK400" s="2"/>
      <c r="AL400" s="2"/>
      <c r="AM400" s="2"/>
      <c r="AN400" s="2"/>
      <c r="AO400" s="2"/>
      <c r="AP400" s="2"/>
      <c r="AQ400" s="2"/>
      <c r="AR400" s="2"/>
      <c r="AS400" s="2"/>
      <c r="AT400" s="2"/>
      <c r="AU400" s="2"/>
      <c r="AV400" s="2"/>
      <c r="AW400" s="2"/>
      <c r="AX400" s="2"/>
      <c r="AY400" s="2"/>
      <c r="AZ400" s="2"/>
      <c r="BA400" s="2"/>
      <c r="BB400" s="2"/>
      <c r="BC400" s="2"/>
      <c r="BD400" s="2"/>
    </row>
    <row r="401" spans="1:56" ht="14.25" customHeight="1">
      <c r="A401" s="8"/>
      <c r="B401" s="507"/>
      <c r="C401" s="156" t="s">
        <v>164</v>
      </c>
      <c r="D401" s="147"/>
      <c r="E401" s="147"/>
      <c r="F401" s="147"/>
      <c r="G401" s="147"/>
      <c r="H401" s="147"/>
      <c r="I401" s="147"/>
      <c r="J401" s="147"/>
      <c r="K401" s="147"/>
      <c r="L401" s="147"/>
      <c r="M401" s="147"/>
      <c r="N401" s="147"/>
      <c r="O401" s="147"/>
      <c r="P401" s="147"/>
      <c r="Q401" s="147"/>
      <c r="R401" s="147"/>
      <c r="S401" s="147"/>
      <c r="T401" s="148" t="str">
        <f t="shared" si="257"/>
        <v>0</v>
      </c>
      <c r="U401" s="148" t="str">
        <f t="shared" si="258"/>
        <v>0</v>
      </c>
      <c r="V401" s="148" t="str">
        <f t="shared" si="259"/>
        <v>0</v>
      </c>
      <c r="W401" s="148" t="str">
        <f t="shared" si="260"/>
        <v>0</v>
      </c>
      <c r="X401" s="507"/>
      <c r="Y401" s="152">
        <f t="shared" si="261"/>
        <v>0</v>
      </c>
      <c r="Z401" s="150" t="s">
        <v>169</v>
      </c>
      <c r="AA401" s="2"/>
      <c r="AB401" s="2"/>
      <c r="AC401" s="153" t="s">
        <v>162</v>
      </c>
      <c r="AD401" s="153" t="s">
        <v>162</v>
      </c>
      <c r="AE401" s="153" t="s">
        <v>162</v>
      </c>
      <c r="AF401" s="153" t="s">
        <v>162</v>
      </c>
      <c r="AG401" s="2">
        <f t="shared" si="262"/>
        <v>0</v>
      </c>
      <c r="AH401" s="153" t="s">
        <v>162</v>
      </c>
      <c r="AI401" s="2"/>
      <c r="AJ401" s="2"/>
      <c r="AK401" s="2"/>
      <c r="AL401" s="2"/>
      <c r="AM401" s="2"/>
      <c r="AN401" s="2"/>
      <c r="AO401" s="2"/>
      <c r="AP401" s="2"/>
      <c r="AQ401" s="2"/>
      <c r="AR401" s="2"/>
      <c r="AS401" s="2"/>
      <c r="AT401" s="2"/>
      <c r="AU401" s="2"/>
      <c r="AV401" s="2"/>
      <c r="AW401" s="2"/>
      <c r="AX401" s="2"/>
      <c r="AY401" s="2"/>
      <c r="AZ401" s="2"/>
      <c r="BA401" s="2"/>
      <c r="BB401" s="2"/>
      <c r="BC401" s="2"/>
      <c r="BD401" s="2"/>
    </row>
    <row r="402" spans="1:56" ht="14.25" customHeight="1">
      <c r="A402" s="8"/>
      <c r="B402" s="507"/>
      <c r="C402" s="156" t="s">
        <v>165</v>
      </c>
      <c r="D402" s="147"/>
      <c r="E402" s="147"/>
      <c r="F402" s="147"/>
      <c r="G402" s="147"/>
      <c r="H402" s="147"/>
      <c r="I402" s="147"/>
      <c r="J402" s="147"/>
      <c r="K402" s="147"/>
      <c r="L402" s="147"/>
      <c r="M402" s="147"/>
      <c r="N402" s="147"/>
      <c r="O402" s="147"/>
      <c r="P402" s="147"/>
      <c r="Q402" s="147"/>
      <c r="R402" s="147"/>
      <c r="S402" s="147"/>
      <c r="T402" s="148" t="str">
        <f t="shared" si="257"/>
        <v>0</v>
      </c>
      <c r="U402" s="148" t="str">
        <f t="shared" si="258"/>
        <v>0</v>
      </c>
      <c r="V402" s="148" t="str">
        <f t="shared" si="259"/>
        <v>0</v>
      </c>
      <c r="W402" s="148" t="str">
        <f t="shared" si="260"/>
        <v>0</v>
      </c>
      <c r="X402" s="507"/>
      <c r="Y402" s="152">
        <f t="shared" si="261"/>
        <v>0</v>
      </c>
      <c r="Z402" s="150" t="s">
        <v>169</v>
      </c>
      <c r="AA402" s="2"/>
      <c r="AB402" s="2"/>
      <c r="AC402" s="153" t="s">
        <v>162</v>
      </c>
      <c r="AD402" s="153" t="s">
        <v>162</v>
      </c>
      <c r="AE402" s="153" t="s">
        <v>162</v>
      </c>
      <c r="AF402" s="153" t="s">
        <v>162</v>
      </c>
      <c r="AG402" s="2">
        <f t="shared" si="262"/>
        <v>0</v>
      </c>
      <c r="AH402" s="153" t="s">
        <v>162</v>
      </c>
      <c r="AI402" s="2"/>
      <c r="AJ402" s="2"/>
      <c r="AK402" s="2"/>
      <c r="AL402" s="2"/>
      <c r="AM402" s="2"/>
      <c r="AN402" s="2"/>
      <c r="AO402" s="2"/>
      <c r="AP402" s="2"/>
      <c r="AQ402" s="2"/>
      <c r="AR402" s="2"/>
      <c r="AS402" s="2"/>
      <c r="AT402" s="2"/>
      <c r="AU402" s="2"/>
      <c r="AV402" s="2"/>
      <c r="AW402" s="2"/>
      <c r="AX402" s="2"/>
      <c r="AY402" s="2"/>
      <c r="AZ402" s="2"/>
      <c r="BA402" s="2"/>
      <c r="BB402" s="2"/>
      <c r="BC402" s="2"/>
      <c r="BD402" s="2"/>
    </row>
    <row r="403" spans="1:56" ht="14.25" customHeight="1">
      <c r="A403" s="8"/>
      <c r="B403" s="508"/>
      <c r="C403" s="156" t="s">
        <v>166</v>
      </c>
      <c r="D403" s="147"/>
      <c r="E403" s="147"/>
      <c r="F403" s="147"/>
      <c r="G403" s="147"/>
      <c r="H403" s="147"/>
      <c r="I403" s="147"/>
      <c r="J403" s="147"/>
      <c r="K403" s="147"/>
      <c r="L403" s="147"/>
      <c r="M403" s="147"/>
      <c r="N403" s="147"/>
      <c r="O403" s="147"/>
      <c r="P403" s="147"/>
      <c r="Q403" s="147"/>
      <c r="R403" s="147"/>
      <c r="S403" s="147"/>
      <c r="T403" s="148" t="str">
        <f t="shared" si="257"/>
        <v>0</v>
      </c>
      <c r="U403" s="148" t="str">
        <f t="shared" si="258"/>
        <v>0</v>
      </c>
      <c r="V403" s="148" t="str">
        <f t="shared" si="259"/>
        <v>0</v>
      </c>
      <c r="W403" s="148" t="str">
        <f t="shared" si="260"/>
        <v>0</v>
      </c>
      <c r="X403" s="508"/>
      <c r="Y403" s="152">
        <f t="shared" si="261"/>
        <v>0</v>
      </c>
      <c r="Z403" s="150" t="s">
        <v>169</v>
      </c>
      <c r="AA403" s="2"/>
      <c r="AB403" s="2"/>
      <c r="AC403" s="161" t="s">
        <v>162</v>
      </c>
      <c r="AD403" s="161" t="s">
        <v>162</v>
      </c>
      <c r="AE403" s="161" t="s">
        <v>162</v>
      </c>
      <c r="AF403" s="161" t="s">
        <v>162</v>
      </c>
      <c r="AG403" s="2">
        <f t="shared" si="262"/>
        <v>0</v>
      </c>
      <c r="AH403" s="153" t="s">
        <v>162</v>
      </c>
      <c r="AI403" s="2"/>
      <c r="AJ403" s="2"/>
      <c r="AK403" s="2"/>
      <c r="AL403" s="2"/>
      <c r="AM403" s="2"/>
      <c r="AN403" s="2"/>
      <c r="AO403" s="2"/>
      <c r="AP403" s="2"/>
      <c r="AQ403" s="2"/>
      <c r="AR403" s="2"/>
      <c r="AS403" s="2"/>
      <c r="AT403" s="2"/>
      <c r="AU403" s="2"/>
      <c r="AV403" s="2"/>
      <c r="AW403" s="2"/>
      <c r="AX403" s="2"/>
      <c r="AY403" s="2"/>
      <c r="AZ403" s="2"/>
      <c r="BA403" s="2"/>
      <c r="BB403" s="2"/>
      <c r="BC403" s="2"/>
      <c r="BD403" s="2"/>
    </row>
    <row r="404" spans="1:56" ht="14.25" customHeight="1">
      <c r="A404" s="8"/>
      <c r="B404" s="506" t="s">
        <v>78</v>
      </c>
      <c r="C404" s="156" t="s">
        <v>160</v>
      </c>
      <c r="D404" s="147"/>
      <c r="E404" s="147"/>
      <c r="F404" s="147"/>
      <c r="G404" s="147"/>
      <c r="H404" s="147"/>
      <c r="I404" s="147"/>
      <c r="J404" s="147"/>
      <c r="K404" s="147"/>
      <c r="L404" s="147"/>
      <c r="M404" s="147"/>
      <c r="N404" s="147"/>
      <c r="O404" s="147"/>
      <c r="P404" s="147"/>
      <c r="Q404" s="147"/>
      <c r="R404" s="147"/>
      <c r="S404" s="147"/>
      <c r="T404" s="148" t="str">
        <f t="shared" si="257"/>
        <v>0</v>
      </c>
      <c r="U404" s="148" t="str">
        <f t="shared" si="258"/>
        <v>0</v>
      </c>
      <c r="V404" s="148" t="str">
        <f t="shared" si="259"/>
        <v>0</v>
      </c>
      <c r="W404" s="148" t="str">
        <f t="shared" si="260"/>
        <v>0</v>
      </c>
      <c r="X404" s="513">
        <f>SUM(Y404:Y408)/5</f>
        <v>0</v>
      </c>
      <c r="Y404" s="152">
        <f t="shared" si="261"/>
        <v>0</v>
      </c>
      <c r="Z404" s="150" t="s">
        <v>178</v>
      </c>
      <c r="AA404" s="2"/>
      <c r="AB404" s="26"/>
      <c r="AC404" s="159" t="s">
        <v>162</v>
      </c>
      <c r="AD404" s="159" t="s">
        <v>162</v>
      </c>
      <c r="AE404" s="159" t="s">
        <v>162</v>
      </c>
      <c r="AF404" s="159" t="s">
        <v>162</v>
      </c>
      <c r="AG404" s="158" t="str">
        <f t="shared" si="262"/>
        <v>IBM-RC</v>
      </c>
      <c r="AH404" s="153" t="s">
        <v>162</v>
      </c>
      <c r="AI404" s="2"/>
      <c r="AJ404" s="2"/>
      <c r="AK404" s="2"/>
      <c r="AL404" s="2"/>
      <c r="AM404" s="2"/>
      <c r="AN404" s="2"/>
      <c r="AO404" s="2"/>
      <c r="AP404" s="2"/>
      <c r="AQ404" s="2"/>
      <c r="AR404" s="2"/>
      <c r="AS404" s="2"/>
      <c r="AT404" s="2"/>
      <c r="AU404" s="2"/>
      <c r="AV404" s="2"/>
      <c r="AW404" s="2"/>
      <c r="AX404" s="2"/>
      <c r="AY404" s="2"/>
      <c r="AZ404" s="2"/>
      <c r="BA404" s="2"/>
      <c r="BB404" s="2"/>
      <c r="BC404" s="2"/>
      <c r="BD404" s="2"/>
    </row>
    <row r="405" spans="1:56" ht="14.25" customHeight="1">
      <c r="A405" s="8"/>
      <c r="B405" s="507"/>
      <c r="C405" s="156" t="s">
        <v>163</v>
      </c>
      <c r="D405" s="147"/>
      <c r="E405" s="147"/>
      <c r="F405" s="147"/>
      <c r="G405" s="147"/>
      <c r="H405" s="147"/>
      <c r="I405" s="147"/>
      <c r="J405" s="147"/>
      <c r="K405" s="147"/>
      <c r="L405" s="147"/>
      <c r="M405" s="147"/>
      <c r="N405" s="147"/>
      <c r="O405" s="147"/>
      <c r="P405" s="147"/>
      <c r="Q405" s="147"/>
      <c r="R405" s="147"/>
      <c r="S405" s="147"/>
      <c r="T405" s="148" t="str">
        <f t="shared" si="257"/>
        <v>0</v>
      </c>
      <c r="U405" s="148" t="str">
        <f t="shared" si="258"/>
        <v>0</v>
      </c>
      <c r="V405" s="148" t="str">
        <f t="shared" si="259"/>
        <v>0</v>
      </c>
      <c r="W405" s="148" t="str">
        <f t="shared" si="260"/>
        <v>0</v>
      </c>
      <c r="X405" s="507"/>
      <c r="Y405" s="152">
        <f t="shared" si="261"/>
        <v>0</v>
      </c>
      <c r="Z405" s="150" t="s">
        <v>169</v>
      </c>
      <c r="AA405" s="2"/>
      <c r="AB405" s="26"/>
      <c r="AC405" s="159" t="s">
        <v>162</v>
      </c>
      <c r="AD405" s="159" t="s">
        <v>162</v>
      </c>
      <c r="AE405" s="159" t="s">
        <v>162</v>
      </c>
      <c r="AF405" s="159" t="s">
        <v>162</v>
      </c>
      <c r="AG405" s="31">
        <f t="shared" si="262"/>
        <v>0</v>
      </c>
      <c r="AH405" s="153" t="s">
        <v>162</v>
      </c>
      <c r="AI405" s="2"/>
      <c r="AJ405" s="2"/>
      <c r="AK405" s="2"/>
      <c r="AL405" s="2"/>
      <c r="AM405" s="2"/>
      <c r="AN405" s="2"/>
      <c r="AO405" s="2"/>
      <c r="AP405" s="2"/>
      <c r="AQ405" s="2"/>
      <c r="AR405" s="2"/>
      <c r="AS405" s="2"/>
      <c r="AT405" s="2"/>
      <c r="AU405" s="2"/>
      <c r="AV405" s="2"/>
      <c r="AW405" s="2"/>
      <c r="AX405" s="2"/>
      <c r="AY405" s="2"/>
      <c r="AZ405" s="2"/>
      <c r="BA405" s="2"/>
      <c r="BB405" s="2"/>
      <c r="BC405" s="2"/>
      <c r="BD405" s="2"/>
    </row>
    <row r="406" spans="1:56" ht="14.25" customHeight="1">
      <c r="A406" s="8"/>
      <c r="B406" s="507"/>
      <c r="C406" s="156" t="s">
        <v>164</v>
      </c>
      <c r="D406" s="147"/>
      <c r="E406" s="147"/>
      <c r="F406" s="147"/>
      <c r="G406" s="147"/>
      <c r="H406" s="147"/>
      <c r="I406" s="147"/>
      <c r="J406" s="147"/>
      <c r="K406" s="147"/>
      <c r="L406" s="147"/>
      <c r="M406" s="147"/>
      <c r="N406" s="147"/>
      <c r="O406" s="147"/>
      <c r="P406" s="147"/>
      <c r="Q406" s="147"/>
      <c r="R406" s="147"/>
      <c r="S406" s="147"/>
      <c r="T406" s="148" t="str">
        <f t="shared" si="257"/>
        <v>0</v>
      </c>
      <c r="U406" s="148" t="str">
        <f t="shared" si="258"/>
        <v>0</v>
      </c>
      <c r="V406" s="148" t="str">
        <f t="shared" si="259"/>
        <v>0</v>
      </c>
      <c r="W406" s="148" t="str">
        <f t="shared" si="260"/>
        <v>0</v>
      </c>
      <c r="X406" s="507"/>
      <c r="Y406" s="152">
        <f t="shared" si="261"/>
        <v>0</v>
      </c>
      <c r="Z406" s="150" t="s">
        <v>169</v>
      </c>
      <c r="AA406" s="2"/>
      <c r="AB406" s="26"/>
      <c r="AC406" s="159" t="s">
        <v>162</v>
      </c>
      <c r="AD406" s="159" t="s">
        <v>162</v>
      </c>
      <c r="AE406" s="159" t="s">
        <v>162</v>
      </c>
      <c r="AF406" s="159" t="s">
        <v>162</v>
      </c>
      <c r="AG406" s="31">
        <f t="shared" si="262"/>
        <v>0</v>
      </c>
      <c r="AH406" s="153" t="s">
        <v>162</v>
      </c>
      <c r="AI406" s="2"/>
      <c r="AJ406" s="2"/>
      <c r="AK406" s="2"/>
      <c r="AL406" s="2"/>
      <c r="AM406" s="2"/>
      <c r="AN406" s="2"/>
      <c r="AO406" s="2"/>
      <c r="AP406" s="2"/>
      <c r="AQ406" s="2"/>
      <c r="AR406" s="2"/>
      <c r="AS406" s="2"/>
      <c r="AT406" s="2"/>
      <c r="AU406" s="2"/>
      <c r="AV406" s="2"/>
      <c r="AW406" s="2"/>
      <c r="AX406" s="2"/>
      <c r="AY406" s="2"/>
      <c r="AZ406" s="2"/>
      <c r="BA406" s="2"/>
      <c r="BB406" s="2"/>
      <c r="BC406" s="2"/>
      <c r="BD406" s="2"/>
    </row>
    <row r="407" spans="1:56" ht="14.25" customHeight="1">
      <c r="A407" s="8"/>
      <c r="B407" s="507"/>
      <c r="C407" s="156" t="s">
        <v>165</v>
      </c>
      <c r="D407" s="147"/>
      <c r="E407" s="147"/>
      <c r="F407" s="147"/>
      <c r="G407" s="147"/>
      <c r="H407" s="147"/>
      <c r="I407" s="147"/>
      <c r="J407" s="147"/>
      <c r="K407" s="147"/>
      <c r="L407" s="147"/>
      <c r="M407" s="147"/>
      <c r="N407" s="147"/>
      <c r="O407" s="147"/>
      <c r="P407" s="147"/>
      <c r="Q407" s="147"/>
      <c r="R407" s="147"/>
      <c r="S407" s="147"/>
      <c r="T407" s="148" t="str">
        <f t="shared" si="257"/>
        <v>0</v>
      </c>
      <c r="U407" s="148" t="str">
        <f t="shared" si="258"/>
        <v>0</v>
      </c>
      <c r="V407" s="148" t="str">
        <f t="shared" si="259"/>
        <v>0</v>
      </c>
      <c r="W407" s="148" t="str">
        <f t="shared" si="260"/>
        <v>0</v>
      </c>
      <c r="X407" s="507"/>
      <c r="Y407" s="152">
        <f t="shared" si="261"/>
        <v>0</v>
      </c>
      <c r="Z407" s="150" t="s">
        <v>169</v>
      </c>
      <c r="AA407" s="2"/>
      <c r="AB407" s="26"/>
      <c r="AC407" s="159" t="s">
        <v>162</v>
      </c>
      <c r="AD407" s="159" t="s">
        <v>162</v>
      </c>
      <c r="AE407" s="159" t="s">
        <v>162</v>
      </c>
      <c r="AF407" s="159" t="s">
        <v>162</v>
      </c>
      <c r="AG407" s="31">
        <f t="shared" si="262"/>
        <v>0</v>
      </c>
      <c r="AH407" s="153" t="s">
        <v>162</v>
      </c>
      <c r="AI407" s="2"/>
      <c r="AJ407" s="2"/>
      <c r="AK407" s="2"/>
      <c r="AL407" s="2"/>
      <c r="AM407" s="2"/>
      <c r="AN407" s="2"/>
      <c r="AO407" s="2"/>
      <c r="AP407" s="2"/>
      <c r="AQ407" s="2"/>
      <c r="AR407" s="2"/>
      <c r="AS407" s="2"/>
      <c r="AT407" s="2"/>
      <c r="AU407" s="2"/>
      <c r="AV407" s="2"/>
      <c r="AW407" s="2"/>
      <c r="AX407" s="2"/>
      <c r="AY407" s="2"/>
      <c r="AZ407" s="2"/>
      <c r="BA407" s="2"/>
      <c r="BB407" s="2"/>
      <c r="BC407" s="2"/>
      <c r="BD407" s="2"/>
    </row>
    <row r="408" spans="1:56" ht="14.25" customHeight="1">
      <c r="A408" s="8"/>
      <c r="B408" s="508"/>
      <c r="C408" s="156" t="s">
        <v>166</v>
      </c>
      <c r="D408" s="147"/>
      <c r="E408" s="147"/>
      <c r="F408" s="147"/>
      <c r="G408" s="147"/>
      <c r="H408" s="147"/>
      <c r="I408" s="147"/>
      <c r="J408" s="147"/>
      <c r="K408" s="147"/>
      <c r="L408" s="147"/>
      <c r="M408" s="147"/>
      <c r="N408" s="147"/>
      <c r="O408" s="147"/>
      <c r="P408" s="147"/>
      <c r="Q408" s="147"/>
      <c r="R408" s="147"/>
      <c r="S408" s="147"/>
      <c r="T408" s="148" t="str">
        <f t="shared" si="257"/>
        <v>0</v>
      </c>
      <c r="U408" s="148" t="str">
        <f t="shared" si="258"/>
        <v>0</v>
      </c>
      <c r="V408" s="148" t="str">
        <f t="shared" si="259"/>
        <v>0</v>
      </c>
      <c r="W408" s="148" t="str">
        <f t="shared" si="260"/>
        <v>0</v>
      </c>
      <c r="X408" s="508"/>
      <c r="Y408" s="152">
        <f t="shared" si="261"/>
        <v>0</v>
      </c>
      <c r="Z408" s="150" t="s">
        <v>169</v>
      </c>
      <c r="AA408" s="2"/>
      <c r="AB408" s="26"/>
      <c r="AC408" s="159" t="s">
        <v>162</v>
      </c>
      <c r="AD408" s="159" t="s">
        <v>162</v>
      </c>
      <c r="AE408" s="159" t="s">
        <v>162</v>
      </c>
      <c r="AF408" s="159" t="s">
        <v>162</v>
      </c>
      <c r="AG408" s="31">
        <f t="shared" si="262"/>
        <v>0</v>
      </c>
      <c r="AH408" s="153" t="s">
        <v>162</v>
      </c>
      <c r="AI408" s="2"/>
      <c r="AJ408" s="2"/>
      <c r="AK408" s="2"/>
      <c r="AL408" s="2"/>
      <c r="AM408" s="2"/>
      <c r="AN408" s="2"/>
      <c r="AO408" s="2"/>
      <c r="AP408" s="2"/>
      <c r="AQ408" s="2"/>
      <c r="AR408" s="2"/>
      <c r="AS408" s="2"/>
      <c r="AT408" s="2"/>
      <c r="AU408" s="2"/>
      <c r="AV408" s="2"/>
      <c r="AW408" s="2"/>
      <c r="AX408" s="2"/>
      <c r="AY408" s="2"/>
      <c r="AZ408" s="2"/>
      <c r="BA408" s="2"/>
      <c r="BB408" s="2"/>
      <c r="BC408" s="2"/>
      <c r="BD408" s="2"/>
    </row>
    <row r="409" spans="1:56" ht="14.25" customHeight="1">
      <c r="A409" s="8"/>
      <c r="B409" s="506" t="s">
        <v>97</v>
      </c>
      <c r="C409" s="156" t="s">
        <v>160</v>
      </c>
      <c r="D409" s="147"/>
      <c r="E409" s="147"/>
      <c r="F409" s="147"/>
      <c r="G409" s="147"/>
      <c r="H409" s="147"/>
      <c r="I409" s="147"/>
      <c r="J409" s="147"/>
      <c r="K409" s="147"/>
      <c r="L409" s="147"/>
      <c r="M409" s="147"/>
      <c r="N409" s="147"/>
      <c r="O409" s="147"/>
      <c r="P409" s="147"/>
      <c r="Q409" s="147"/>
      <c r="R409" s="147"/>
      <c r="S409" s="147"/>
      <c r="T409" s="148" t="str">
        <f t="shared" si="257"/>
        <v>0</v>
      </c>
      <c r="U409" s="148" t="str">
        <f t="shared" si="258"/>
        <v>0</v>
      </c>
      <c r="V409" s="148" t="str">
        <f t="shared" si="259"/>
        <v>0</v>
      </c>
      <c r="W409" s="148" t="str">
        <f t="shared" si="260"/>
        <v>0</v>
      </c>
      <c r="X409" s="513">
        <f>SUM(Y409:Y413)/3</f>
        <v>0</v>
      </c>
      <c r="Y409" s="152">
        <f t="shared" si="261"/>
        <v>0</v>
      </c>
      <c r="Z409" s="150" t="s">
        <v>179</v>
      </c>
      <c r="AA409" s="2"/>
      <c r="AB409" s="26"/>
      <c r="AC409" s="159" t="s">
        <v>162</v>
      </c>
      <c r="AD409" s="159" t="s">
        <v>162</v>
      </c>
      <c r="AE409" s="159" t="s">
        <v>162</v>
      </c>
      <c r="AF409" s="159" t="s">
        <v>162</v>
      </c>
      <c r="AG409" s="158" t="str">
        <f t="shared" si="262"/>
        <v>IBM-UCO</v>
      </c>
      <c r="AH409" s="153" t="s">
        <v>162</v>
      </c>
      <c r="AI409" s="2"/>
      <c r="AJ409" s="2"/>
      <c r="AK409" s="2"/>
      <c r="AL409" s="2"/>
      <c r="AM409" s="2"/>
      <c r="AN409" s="2"/>
      <c r="AO409" s="2"/>
      <c r="AP409" s="2"/>
      <c r="AQ409" s="2"/>
      <c r="AR409" s="2"/>
      <c r="AS409" s="2"/>
      <c r="AT409" s="2"/>
      <c r="AU409" s="2"/>
      <c r="AV409" s="2"/>
      <c r="AW409" s="2"/>
      <c r="AX409" s="2"/>
      <c r="AY409" s="2"/>
      <c r="AZ409" s="2"/>
      <c r="BA409" s="2"/>
      <c r="BB409" s="2"/>
      <c r="BC409" s="2"/>
      <c r="BD409" s="2"/>
    </row>
    <row r="410" spans="1:56" ht="14.25" customHeight="1">
      <c r="A410" s="8"/>
      <c r="B410" s="507"/>
      <c r="C410" s="156" t="s">
        <v>163</v>
      </c>
      <c r="D410" s="147"/>
      <c r="E410" s="147"/>
      <c r="F410" s="147"/>
      <c r="G410" s="147"/>
      <c r="H410" s="147"/>
      <c r="I410" s="147"/>
      <c r="J410" s="147"/>
      <c r="K410" s="147"/>
      <c r="L410" s="147"/>
      <c r="M410" s="147"/>
      <c r="N410" s="147"/>
      <c r="O410" s="147"/>
      <c r="P410" s="147"/>
      <c r="Q410" s="147"/>
      <c r="R410" s="147"/>
      <c r="S410" s="147"/>
      <c r="T410" s="148" t="str">
        <f t="shared" si="257"/>
        <v>0</v>
      </c>
      <c r="U410" s="148" t="str">
        <f t="shared" si="258"/>
        <v>0</v>
      </c>
      <c r="V410" s="148" t="str">
        <f t="shared" si="259"/>
        <v>0</v>
      </c>
      <c r="W410" s="148" t="str">
        <f t="shared" si="260"/>
        <v>0</v>
      </c>
      <c r="X410" s="507"/>
      <c r="Y410" s="152">
        <f t="shared" si="261"/>
        <v>0</v>
      </c>
      <c r="Z410" s="150" t="s">
        <v>169</v>
      </c>
      <c r="AA410" s="2"/>
      <c r="AB410" s="26"/>
      <c r="AC410" s="159" t="s">
        <v>162</v>
      </c>
      <c r="AD410" s="159" t="s">
        <v>162</v>
      </c>
      <c r="AE410" s="159" t="s">
        <v>162</v>
      </c>
      <c r="AF410" s="159" t="s">
        <v>162</v>
      </c>
      <c r="AG410" s="31">
        <f t="shared" si="262"/>
        <v>0</v>
      </c>
      <c r="AH410" s="153" t="s">
        <v>162</v>
      </c>
      <c r="AI410" s="2"/>
      <c r="AJ410" s="2"/>
      <c r="AK410" s="2"/>
      <c r="AL410" s="2"/>
      <c r="AM410" s="2"/>
      <c r="AN410" s="2"/>
      <c r="AO410" s="2"/>
      <c r="AP410" s="2"/>
      <c r="AQ410" s="2"/>
      <c r="AR410" s="2"/>
      <c r="AS410" s="2"/>
      <c r="AT410" s="2"/>
      <c r="AU410" s="2"/>
      <c r="AV410" s="2"/>
      <c r="AW410" s="2"/>
      <c r="AX410" s="2"/>
      <c r="AY410" s="2"/>
      <c r="AZ410" s="2"/>
      <c r="BA410" s="2"/>
      <c r="BB410" s="2"/>
      <c r="BC410" s="2"/>
      <c r="BD410" s="2"/>
    </row>
    <row r="411" spans="1:56" ht="14.25" customHeight="1">
      <c r="A411" s="8"/>
      <c r="B411" s="507"/>
      <c r="C411" s="156" t="s">
        <v>164</v>
      </c>
      <c r="D411" s="147"/>
      <c r="E411" s="147"/>
      <c r="F411" s="147"/>
      <c r="G411" s="147"/>
      <c r="H411" s="147"/>
      <c r="I411" s="147"/>
      <c r="J411" s="147"/>
      <c r="K411" s="147"/>
      <c r="L411" s="147"/>
      <c r="M411" s="147"/>
      <c r="N411" s="147"/>
      <c r="O411" s="147"/>
      <c r="P411" s="147"/>
      <c r="Q411" s="147"/>
      <c r="R411" s="147"/>
      <c r="S411" s="147"/>
      <c r="T411" s="148" t="str">
        <f t="shared" si="257"/>
        <v>0</v>
      </c>
      <c r="U411" s="148" t="str">
        <f t="shared" si="258"/>
        <v>0</v>
      </c>
      <c r="V411" s="148" t="str">
        <f t="shared" si="259"/>
        <v>0</v>
      </c>
      <c r="W411" s="148" t="str">
        <f t="shared" si="260"/>
        <v>0</v>
      </c>
      <c r="X411" s="507"/>
      <c r="Y411" s="152">
        <f t="shared" si="261"/>
        <v>0</v>
      </c>
      <c r="Z411" s="150" t="s">
        <v>169</v>
      </c>
      <c r="AA411" s="2"/>
      <c r="AB411" s="26"/>
      <c r="AC411" s="159" t="s">
        <v>162</v>
      </c>
      <c r="AD411" s="159" t="s">
        <v>162</v>
      </c>
      <c r="AE411" s="159" t="s">
        <v>162</v>
      </c>
      <c r="AF411" s="159" t="s">
        <v>162</v>
      </c>
      <c r="AG411" s="31">
        <f t="shared" si="262"/>
        <v>0</v>
      </c>
      <c r="AH411" s="153" t="s">
        <v>162</v>
      </c>
      <c r="AI411" s="2"/>
      <c r="AJ411" s="2"/>
      <c r="AK411" s="2"/>
      <c r="AL411" s="2"/>
      <c r="AM411" s="2"/>
      <c r="AN411" s="2"/>
      <c r="AO411" s="2"/>
      <c r="AP411" s="2"/>
      <c r="AQ411" s="2"/>
      <c r="AR411" s="2"/>
      <c r="AS411" s="2"/>
      <c r="AT411" s="2"/>
      <c r="AU411" s="2"/>
      <c r="AV411" s="2"/>
      <c r="AW411" s="2"/>
      <c r="AX411" s="2"/>
      <c r="AY411" s="2"/>
      <c r="AZ411" s="2"/>
      <c r="BA411" s="2"/>
      <c r="BB411" s="2"/>
      <c r="BC411" s="2"/>
      <c r="BD411" s="2"/>
    </row>
    <row r="412" spans="1:56" ht="14.25" customHeight="1">
      <c r="A412" s="8"/>
      <c r="B412" s="507"/>
      <c r="C412" s="156" t="s">
        <v>165</v>
      </c>
      <c r="D412" s="147"/>
      <c r="E412" s="147"/>
      <c r="F412" s="147"/>
      <c r="G412" s="147"/>
      <c r="H412" s="147"/>
      <c r="I412" s="147"/>
      <c r="J412" s="147"/>
      <c r="K412" s="147"/>
      <c r="L412" s="147"/>
      <c r="M412" s="147"/>
      <c r="N412" s="147"/>
      <c r="O412" s="147"/>
      <c r="P412" s="147"/>
      <c r="Q412" s="147"/>
      <c r="R412" s="147"/>
      <c r="S412" s="147"/>
      <c r="T412" s="148" t="str">
        <f t="shared" si="257"/>
        <v>0</v>
      </c>
      <c r="U412" s="148" t="str">
        <f t="shared" si="258"/>
        <v>0</v>
      </c>
      <c r="V412" s="148" t="str">
        <f t="shared" si="259"/>
        <v>0</v>
      </c>
      <c r="W412" s="148" t="str">
        <f t="shared" si="260"/>
        <v>0</v>
      </c>
      <c r="X412" s="507"/>
      <c r="Y412" s="152">
        <f t="shared" si="261"/>
        <v>0</v>
      </c>
      <c r="Z412" s="150" t="s">
        <v>169</v>
      </c>
      <c r="AA412" s="2"/>
      <c r="AB412" s="26"/>
      <c r="AC412" s="159" t="s">
        <v>162</v>
      </c>
      <c r="AD412" s="159" t="s">
        <v>162</v>
      </c>
      <c r="AE412" s="159" t="s">
        <v>162</v>
      </c>
      <c r="AF412" s="159" t="s">
        <v>162</v>
      </c>
      <c r="AG412" s="31">
        <f t="shared" si="262"/>
        <v>0</v>
      </c>
      <c r="AH412" s="153" t="s">
        <v>162</v>
      </c>
      <c r="AI412" s="2"/>
      <c r="AJ412" s="2"/>
      <c r="AK412" s="2"/>
      <c r="AL412" s="2"/>
      <c r="AM412" s="2"/>
      <c r="AN412" s="2"/>
      <c r="AO412" s="2"/>
      <c r="AP412" s="2"/>
      <c r="AQ412" s="2"/>
      <c r="AR412" s="2"/>
      <c r="AS412" s="2"/>
      <c r="AT412" s="2"/>
      <c r="AU412" s="2"/>
      <c r="AV412" s="2"/>
      <c r="AW412" s="2"/>
      <c r="AX412" s="2"/>
      <c r="AY412" s="2"/>
      <c r="AZ412" s="2"/>
      <c r="BA412" s="2"/>
      <c r="BB412" s="2"/>
      <c r="BC412" s="2"/>
      <c r="BD412" s="2"/>
    </row>
    <row r="413" spans="1:56" ht="14.25" customHeight="1">
      <c r="A413" s="8"/>
      <c r="B413" s="508"/>
      <c r="C413" s="156" t="s">
        <v>166</v>
      </c>
      <c r="D413" s="147"/>
      <c r="E413" s="147"/>
      <c r="F413" s="147"/>
      <c r="G413" s="147"/>
      <c r="H413" s="147"/>
      <c r="I413" s="147"/>
      <c r="J413" s="147"/>
      <c r="K413" s="147"/>
      <c r="L413" s="147"/>
      <c r="M413" s="147"/>
      <c r="N413" s="147"/>
      <c r="O413" s="147"/>
      <c r="P413" s="147"/>
      <c r="Q413" s="147"/>
      <c r="R413" s="147"/>
      <c r="S413" s="147"/>
      <c r="T413" s="148" t="str">
        <f t="shared" si="257"/>
        <v>0</v>
      </c>
      <c r="U413" s="148" t="str">
        <f t="shared" si="258"/>
        <v>0</v>
      </c>
      <c r="V413" s="148" t="str">
        <f t="shared" si="259"/>
        <v>0</v>
      </c>
      <c r="W413" s="148" t="str">
        <f t="shared" si="260"/>
        <v>0</v>
      </c>
      <c r="X413" s="508"/>
      <c r="Y413" s="152">
        <f t="shared" si="261"/>
        <v>0</v>
      </c>
      <c r="Z413" s="150" t="s">
        <v>169</v>
      </c>
      <c r="AA413" s="2"/>
      <c r="AB413" s="26"/>
      <c r="AC413" s="159" t="s">
        <v>162</v>
      </c>
      <c r="AD413" s="159" t="s">
        <v>162</v>
      </c>
      <c r="AE413" s="159" t="s">
        <v>162</v>
      </c>
      <c r="AF413" s="159" t="s">
        <v>162</v>
      </c>
      <c r="AG413" s="31">
        <f t="shared" si="262"/>
        <v>0</v>
      </c>
      <c r="AH413" s="153" t="s">
        <v>162</v>
      </c>
      <c r="AI413" s="2"/>
      <c r="AJ413" s="2"/>
      <c r="AK413" s="2"/>
      <c r="AL413" s="2"/>
      <c r="AM413" s="2"/>
      <c r="AN413" s="2"/>
      <c r="AO413" s="2"/>
      <c r="AP413" s="2"/>
      <c r="AQ413" s="2"/>
      <c r="AR413" s="2"/>
      <c r="AS413" s="2"/>
      <c r="AT413" s="2"/>
      <c r="AU413" s="2"/>
      <c r="AV413" s="2"/>
      <c r="AW413" s="2"/>
      <c r="AX413" s="2"/>
      <c r="AY413" s="2"/>
      <c r="AZ413" s="2"/>
      <c r="BA413" s="2"/>
      <c r="BB413" s="2"/>
      <c r="BC413" s="2"/>
      <c r="BD413" s="2"/>
    </row>
    <row r="414" spans="1:56" ht="14.25" customHeight="1">
      <c r="A414" s="8"/>
      <c r="B414" s="506" t="s">
        <v>79</v>
      </c>
      <c r="C414" s="156" t="s">
        <v>160</v>
      </c>
      <c r="D414" s="147"/>
      <c r="E414" s="147"/>
      <c r="F414" s="147"/>
      <c r="G414" s="147"/>
      <c r="H414" s="147"/>
      <c r="I414" s="147"/>
      <c r="J414" s="147"/>
      <c r="K414" s="147"/>
      <c r="L414" s="147"/>
      <c r="M414" s="147"/>
      <c r="N414" s="147"/>
      <c r="O414" s="147"/>
      <c r="P414" s="147"/>
      <c r="Q414" s="147"/>
      <c r="R414" s="147"/>
      <c r="S414" s="147"/>
      <c r="T414" s="148" t="str">
        <f t="shared" si="257"/>
        <v>0</v>
      </c>
      <c r="U414" s="148" t="str">
        <f t="shared" si="258"/>
        <v>0</v>
      </c>
      <c r="V414" s="148" t="str">
        <f t="shared" si="259"/>
        <v>0</v>
      </c>
      <c r="W414" s="148" t="str">
        <f t="shared" si="260"/>
        <v>0</v>
      </c>
      <c r="X414" s="513">
        <f>SUM(Y414:Y418)/5</f>
        <v>0</v>
      </c>
      <c r="Y414" s="152">
        <f t="shared" si="261"/>
        <v>0</v>
      </c>
      <c r="Z414" s="150" t="s">
        <v>180</v>
      </c>
      <c r="AA414" s="2"/>
      <c r="AB414" s="2"/>
      <c r="AC414" s="160" t="s">
        <v>162</v>
      </c>
      <c r="AD414" s="160" t="s">
        <v>162</v>
      </c>
      <c r="AE414" s="160" t="s">
        <v>162</v>
      </c>
      <c r="AF414" s="160" t="s">
        <v>162</v>
      </c>
      <c r="AG414" s="153" t="str">
        <f t="shared" si="262"/>
        <v>IMT</v>
      </c>
      <c r="AH414" s="153" t="s">
        <v>162</v>
      </c>
      <c r="AI414" s="2"/>
      <c r="AJ414" s="2"/>
      <c r="AK414" s="2"/>
      <c r="AL414" s="2"/>
      <c r="AM414" s="2"/>
      <c r="AN414" s="2"/>
      <c r="AO414" s="2"/>
      <c r="AP414" s="2"/>
      <c r="AQ414" s="2"/>
      <c r="AR414" s="2"/>
      <c r="AS414" s="2"/>
      <c r="AT414" s="2"/>
      <c r="AU414" s="2"/>
      <c r="AV414" s="2"/>
      <c r="AW414" s="2"/>
      <c r="AX414" s="2"/>
      <c r="AY414" s="2"/>
      <c r="AZ414" s="2"/>
      <c r="BA414" s="2"/>
      <c r="BB414" s="2"/>
      <c r="BC414" s="2"/>
      <c r="BD414" s="2"/>
    </row>
    <row r="415" spans="1:56" ht="14.25" customHeight="1">
      <c r="A415" s="8"/>
      <c r="B415" s="507"/>
      <c r="C415" s="156" t="s">
        <v>163</v>
      </c>
      <c r="D415" s="147"/>
      <c r="E415" s="147"/>
      <c r="F415" s="147"/>
      <c r="G415" s="147"/>
      <c r="H415" s="147"/>
      <c r="I415" s="147"/>
      <c r="J415" s="147"/>
      <c r="K415" s="147"/>
      <c r="L415" s="147"/>
      <c r="M415" s="147"/>
      <c r="N415" s="147"/>
      <c r="O415" s="147"/>
      <c r="P415" s="147"/>
      <c r="Q415" s="147"/>
      <c r="R415" s="147"/>
      <c r="S415" s="147"/>
      <c r="T415" s="148" t="str">
        <f t="shared" si="257"/>
        <v>0</v>
      </c>
      <c r="U415" s="148" t="str">
        <f t="shared" si="258"/>
        <v>0</v>
      </c>
      <c r="V415" s="148" t="str">
        <f t="shared" si="259"/>
        <v>0</v>
      </c>
      <c r="W415" s="148" t="str">
        <f t="shared" si="260"/>
        <v>0</v>
      </c>
      <c r="X415" s="507"/>
      <c r="Y415" s="152">
        <f t="shared" si="261"/>
        <v>0</v>
      </c>
      <c r="Z415" s="150" t="s">
        <v>169</v>
      </c>
      <c r="AA415" s="2"/>
      <c r="AB415" s="2"/>
      <c r="AC415" s="153" t="s">
        <v>162</v>
      </c>
      <c r="AD415" s="153" t="s">
        <v>162</v>
      </c>
      <c r="AE415" s="153" t="s">
        <v>162</v>
      </c>
      <c r="AF415" s="153" t="s">
        <v>162</v>
      </c>
      <c r="AG415" s="2">
        <f t="shared" si="262"/>
        <v>0</v>
      </c>
      <c r="AH415" s="153" t="s">
        <v>162</v>
      </c>
      <c r="AI415" s="2"/>
      <c r="AJ415" s="2"/>
      <c r="AK415" s="2"/>
      <c r="AL415" s="2"/>
      <c r="AM415" s="2"/>
      <c r="AN415" s="2"/>
      <c r="AO415" s="2"/>
      <c r="AP415" s="2"/>
      <c r="AQ415" s="2"/>
      <c r="AR415" s="2"/>
      <c r="AS415" s="2"/>
      <c r="AT415" s="2"/>
      <c r="AU415" s="2"/>
      <c r="AV415" s="2"/>
      <c r="AW415" s="2"/>
      <c r="AX415" s="2"/>
      <c r="AY415" s="2"/>
      <c r="AZ415" s="2"/>
      <c r="BA415" s="2"/>
      <c r="BB415" s="2"/>
      <c r="BC415" s="2"/>
      <c r="BD415" s="2"/>
    </row>
    <row r="416" spans="1:56" ht="14.25" customHeight="1">
      <c r="A416" s="8"/>
      <c r="B416" s="507"/>
      <c r="C416" s="156" t="s">
        <v>164</v>
      </c>
      <c r="D416" s="147"/>
      <c r="E416" s="147"/>
      <c r="F416" s="147"/>
      <c r="G416" s="147"/>
      <c r="H416" s="147"/>
      <c r="I416" s="147"/>
      <c r="J416" s="147"/>
      <c r="K416" s="147"/>
      <c r="L416" s="147"/>
      <c r="M416" s="147"/>
      <c r="N416" s="147"/>
      <c r="O416" s="147"/>
      <c r="P416" s="147"/>
      <c r="Q416" s="147"/>
      <c r="R416" s="147"/>
      <c r="S416" s="147"/>
      <c r="T416" s="148" t="str">
        <f t="shared" si="257"/>
        <v>0</v>
      </c>
      <c r="U416" s="148" t="str">
        <f t="shared" si="258"/>
        <v>0</v>
      </c>
      <c r="V416" s="148" t="str">
        <f t="shared" si="259"/>
        <v>0</v>
      </c>
      <c r="W416" s="148" t="str">
        <f t="shared" si="260"/>
        <v>0</v>
      </c>
      <c r="X416" s="507"/>
      <c r="Y416" s="152">
        <f t="shared" si="261"/>
        <v>0</v>
      </c>
      <c r="Z416" s="150" t="s">
        <v>169</v>
      </c>
      <c r="AA416" s="2"/>
      <c r="AB416" s="2"/>
      <c r="AC416" s="153" t="s">
        <v>162</v>
      </c>
      <c r="AD416" s="153" t="s">
        <v>162</v>
      </c>
      <c r="AE416" s="153" t="s">
        <v>162</v>
      </c>
      <c r="AF416" s="153" t="s">
        <v>162</v>
      </c>
      <c r="AG416" s="2">
        <f t="shared" si="262"/>
        <v>0</v>
      </c>
      <c r="AH416" s="153" t="s">
        <v>162</v>
      </c>
      <c r="AI416" s="2"/>
      <c r="AJ416" s="2"/>
      <c r="AK416" s="2"/>
      <c r="AL416" s="2"/>
      <c r="AM416" s="2"/>
      <c r="AN416" s="2"/>
      <c r="AO416" s="2"/>
      <c r="AP416" s="2"/>
      <c r="AQ416" s="2"/>
      <c r="AR416" s="2"/>
      <c r="AS416" s="2"/>
      <c r="AT416" s="2"/>
      <c r="AU416" s="2"/>
      <c r="AV416" s="2"/>
      <c r="AW416" s="2"/>
      <c r="AX416" s="2"/>
      <c r="AY416" s="2"/>
      <c r="AZ416" s="2"/>
      <c r="BA416" s="2"/>
      <c r="BB416" s="2"/>
      <c r="BC416" s="2"/>
      <c r="BD416" s="2"/>
    </row>
    <row r="417" spans="1:56" ht="14.25" customHeight="1">
      <c r="A417" s="8"/>
      <c r="B417" s="507"/>
      <c r="C417" s="156" t="s">
        <v>165</v>
      </c>
      <c r="D417" s="147"/>
      <c r="E417" s="147"/>
      <c r="F417" s="147"/>
      <c r="G417" s="147"/>
      <c r="H417" s="147"/>
      <c r="I417" s="147"/>
      <c r="J417" s="147"/>
      <c r="K417" s="147"/>
      <c r="L417" s="147"/>
      <c r="M417" s="147"/>
      <c r="N417" s="147"/>
      <c r="O417" s="147"/>
      <c r="P417" s="147"/>
      <c r="Q417" s="147"/>
      <c r="R417" s="147"/>
      <c r="S417" s="147"/>
      <c r="T417" s="148" t="str">
        <f t="shared" si="257"/>
        <v>0</v>
      </c>
      <c r="U417" s="148" t="str">
        <f t="shared" si="258"/>
        <v>0</v>
      </c>
      <c r="V417" s="148" t="str">
        <f t="shared" si="259"/>
        <v>0</v>
      </c>
      <c r="W417" s="148" t="str">
        <f t="shared" si="260"/>
        <v>0</v>
      </c>
      <c r="X417" s="507"/>
      <c r="Y417" s="152">
        <f t="shared" si="261"/>
        <v>0</v>
      </c>
      <c r="Z417" s="150" t="s">
        <v>169</v>
      </c>
      <c r="AA417" s="2"/>
      <c r="AB417" s="2"/>
      <c r="AC417" s="153" t="s">
        <v>162</v>
      </c>
      <c r="AD417" s="153" t="s">
        <v>162</v>
      </c>
      <c r="AE417" s="153" t="s">
        <v>162</v>
      </c>
      <c r="AF417" s="153" t="s">
        <v>162</v>
      </c>
      <c r="AG417" s="2">
        <f t="shared" si="262"/>
        <v>0</v>
      </c>
      <c r="AH417" s="153" t="s">
        <v>162</v>
      </c>
      <c r="AI417" s="2"/>
      <c r="AJ417" s="2"/>
      <c r="AK417" s="2"/>
      <c r="AL417" s="2"/>
      <c r="AM417" s="2"/>
      <c r="AN417" s="2"/>
      <c r="AO417" s="2"/>
      <c r="AP417" s="2"/>
      <c r="AQ417" s="2"/>
      <c r="AR417" s="2"/>
      <c r="AS417" s="2"/>
      <c r="AT417" s="2"/>
      <c r="AU417" s="2"/>
      <c r="AV417" s="2"/>
      <c r="AW417" s="2"/>
      <c r="AX417" s="2"/>
      <c r="AY417" s="2"/>
      <c r="AZ417" s="2"/>
      <c r="BA417" s="2"/>
      <c r="BB417" s="2"/>
      <c r="BC417" s="2"/>
      <c r="BD417" s="2"/>
    </row>
    <row r="418" spans="1:56" ht="14.25" customHeight="1">
      <c r="A418" s="8"/>
      <c r="B418" s="508"/>
      <c r="C418" s="156" t="s">
        <v>166</v>
      </c>
      <c r="D418" s="147"/>
      <c r="E418" s="147"/>
      <c r="F418" s="147"/>
      <c r="G418" s="147"/>
      <c r="H418" s="147"/>
      <c r="I418" s="147"/>
      <c r="J418" s="147"/>
      <c r="K418" s="147"/>
      <c r="L418" s="147"/>
      <c r="M418" s="147"/>
      <c r="N418" s="147"/>
      <c r="O418" s="147"/>
      <c r="P418" s="147"/>
      <c r="Q418" s="147"/>
      <c r="R418" s="147"/>
      <c r="S418" s="147"/>
      <c r="T418" s="148" t="str">
        <f t="shared" si="257"/>
        <v>0</v>
      </c>
      <c r="U418" s="148" t="str">
        <f t="shared" si="258"/>
        <v>0</v>
      </c>
      <c r="V418" s="148" t="str">
        <f t="shared" si="259"/>
        <v>0</v>
      </c>
      <c r="W418" s="148" t="str">
        <f t="shared" si="260"/>
        <v>0</v>
      </c>
      <c r="X418" s="508"/>
      <c r="Y418" s="152">
        <f t="shared" si="261"/>
        <v>0</v>
      </c>
      <c r="Z418" s="150" t="s">
        <v>169</v>
      </c>
      <c r="AA418" s="2"/>
      <c r="AB418" s="2"/>
      <c r="AC418" s="153" t="s">
        <v>162</v>
      </c>
      <c r="AD418" s="153" t="s">
        <v>162</v>
      </c>
      <c r="AE418" s="153" t="s">
        <v>162</v>
      </c>
      <c r="AF418" s="153" t="s">
        <v>162</v>
      </c>
      <c r="AG418" s="2">
        <f t="shared" si="262"/>
        <v>0</v>
      </c>
      <c r="AH418" s="153" t="s">
        <v>162</v>
      </c>
      <c r="AI418" s="2"/>
      <c r="AJ418" s="2"/>
      <c r="AK418" s="2"/>
      <c r="AL418" s="2"/>
      <c r="AM418" s="2"/>
      <c r="AN418" s="2"/>
      <c r="AO418" s="2"/>
      <c r="AP418" s="2"/>
      <c r="AQ418" s="2"/>
      <c r="AR418" s="2"/>
      <c r="AS418" s="2"/>
      <c r="AT418" s="2"/>
      <c r="AU418" s="2"/>
      <c r="AV418" s="2"/>
      <c r="AW418" s="2"/>
      <c r="AX418" s="2"/>
      <c r="AY418" s="2"/>
      <c r="AZ418" s="2"/>
      <c r="BA418" s="2"/>
      <c r="BB418" s="2"/>
      <c r="BC418" s="2"/>
      <c r="BD418" s="2"/>
    </row>
    <row r="419" spans="1:56" ht="14.25" customHeight="1">
      <c r="A419" s="8"/>
      <c r="B419" s="506" t="s">
        <v>98</v>
      </c>
      <c r="C419" s="156" t="s">
        <v>160</v>
      </c>
      <c r="D419" s="147"/>
      <c r="E419" s="147"/>
      <c r="F419" s="147"/>
      <c r="G419" s="147"/>
      <c r="H419" s="147"/>
      <c r="I419" s="147"/>
      <c r="J419" s="147"/>
      <c r="K419" s="147"/>
      <c r="L419" s="147"/>
      <c r="M419" s="147"/>
      <c r="N419" s="147"/>
      <c r="O419" s="147"/>
      <c r="P419" s="147"/>
      <c r="Q419" s="147"/>
      <c r="R419" s="147"/>
      <c r="S419" s="147"/>
      <c r="T419" s="148" t="str">
        <f t="shared" si="257"/>
        <v>0</v>
      </c>
      <c r="U419" s="148" t="str">
        <f t="shared" si="258"/>
        <v>0</v>
      </c>
      <c r="V419" s="148" t="str">
        <f t="shared" si="259"/>
        <v>0</v>
      </c>
      <c r="W419" s="148" t="str">
        <f t="shared" si="260"/>
        <v>0</v>
      </c>
      <c r="X419" s="513">
        <f>SUM(Y419:Y423)/3</f>
        <v>0</v>
      </c>
      <c r="Y419" s="152">
        <f t="shared" si="261"/>
        <v>0</v>
      </c>
      <c r="Z419" s="150" t="s">
        <v>181</v>
      </c>
      <c r="AA419" s="2"/>
      <c r="AB419" s="2"/>
      <c r="AC419" s="153" t="s">
        <v>162</v>
      </c>
      <c r="AD419" s="153" t="s">
        <v>162</v>
      </c>
      <c r="AE419" s="153" t="s">
        <v>162</v>
      </c>
      <c r="AF419" s="153" t="s">
        <v>162</v>
      </c>
      <c r="AG419" s="153" t="str">
        <f t="shared" si="262"/>
        <v>IMT-UCO</v>
      </c>
      <c r="AH419" s="153" t="s">
        <v>162</v>
      </c>
      <c r="AI419" s="2"/>
      <c r="AJ419" s="2"/>
      <c r="AK419" s="2"/>
      <c r="AL419" s="2"/>
      <c r="AM419" s="2"/>
      <c r="AN419" s="2"/>
      <c r="AO419" s="2"/>
      <c r="AP419" s="2"/>
      <c r="AQ419" s="2"/>
      <c r="AR419" s="2"/>
      <c r="AS419" s="2"/>
      <c r="AT419" s="2"/>
      <c r="AU419" s="2"/>
      <c r="AV419" s="2"/>
      <c r="AW419" s="2"/>
      <c r="AX419" s="2"/>
      <c r="AY419" s="2"/>
      <c r="AZ419" s="2"/>
      <c r="BA419" s="2"/>
      <c r="BB419" s="2"/>
      <c r="BC419" s="2"/>
      <c r="BD419" s="2"/>
    </row>
    <row r="420" spans="1:56" ht="14.25" customHeight="1">
      <c r="A420" s="8"/>
      <c r="B420" s="507"/>
      <c r="C420" s="156" t="s">
        <v>163</v>
      </c>
      <c r="D420" s="147"/>
      <c r="E420" s="147"/>
      <c r="F420" s="147"/>
      <c r="G420" s="147"/>
      <c r="H420" s="147"/>
      <c r="I420" s="147"/>
      <c r="J420" s="147"/>
      <c r="K420" s="147"/>
      <c r="L420" s="147"/>
      <c r="M420" s="147"/>
      <c r="N420" s="147"/>
      <c r="O420" s="147"/>
      <c r="P420" s="147"/>
      <c r="Q420" s="147"/>
      <c r="R420" s="147"/>
      <c r="S420" s="147"/>
      <c r="T420" s="148" t="str">
        <f t="shared" si="257"/>
        <v>0</v>
      </c>
      <c r="U420" s="148" t="str">
        <f t="shared" si="258"/>
        <v>0</v>
      </c>
      <c r="V420" s="148" t="str">
        <f t="shared" si="259"/>
        <v>0</v>
      </c>
      <c r="W420" s="148" t="str">
        <f t="shared" si="260"/>
        <v>0</v>
      </c>
      <c r="X420" s="507"/>
      <c r="Y420" s="152">
        <f t="shared" si="261"/>
        <v>0</v>
      </c>
      <c r="Z420" s="150" t="s">
        <v>169</v>
      </c>
      <c r="AA420" s="2"/>
      <c r="AB420" s="2"/>
      <c r="AC420" s="153" t="s">
        <v>162</v>
      </c>
      <c r="AD420" s="153" t="s">
        <v>162</v>
      </c>
      <c r="AE420" s="153" t="s">
        <v>162</v>
      </c>
      <c r="AF420" s="153" t="s">
        <v>162</v>
      </c>
      <c r="AG420" s="2">
        <f t="shared" si="262"/>
        <v>0</v>
      </c>
      <c r="AH420" s="153" t="s">
        <v>162</v>
      </c>
      <c r="AI420" s="2"/>
      <c r="AJ420" s="2"/>
      <c r="AK420" s="2"/>
      <c r="AL420" s="2"/>
      <c r="AM420" s="2"/>
      <c r="AN420" s="2"/>
      <c r="AO420" s="2"/>
      <c r="AP420" s="2"/>
      <c r="AQ420" s="2"/>
      <c r="AR420" s="2"/>
      <c r="AS420" s="2"/>
      <c r="AT420" s="2"/>
      <c r="AU420" s="2"/>
      <c r="AV420" s="2"/>
      <c r="AW420" s="2"/>
      <c r="AX420" s="2"/>
      <c r="AY420" s="2"/>
      <c r="AZ420" s="2"/>
      <c r="BA420" s="2"/>
      <c r="BB420" s="2"/>
      <c r="BC420" s="2"/>
      <c r="BD420" s="2"/>
    </row>
    <row r="421" spans="1:56" ht="14.25" customHeight="1">
      <c r="A421" s="8"/>
      <c r="B421" s="507"/>
      <c r="C421" s="156" t="s">
        <v>164</v>
      </c>
      <c r="D421" s="147"/>
      <c r="E421" s="147"/>
      <c r="F421" s="147"/>
      <c r="G421" s="147"/>
      <c r="H421" s="147"/>
      <c r="I421" s="147"/>
      <c r="J421" s="147"/>
      <c r="K421" s="147"/>
      <c r="L421" s="147"/>
      <c r="M421" s="147"/>
      <c r="N421" s="147"/>
      <c r="O421" s="147"/>
      <c r="P421" s="147"/>
      <c r="Q421" s="147"/>
      <c r="R421" s="147"/>
      <c r="S421" s="147"/>
      <c r="T421" s="148" t="str">
        <f t="shared" si="257"/>
        <v>0</v>
      </c>
      <c r="U421" s="148" t="str">
        <f t="shared" si="258"/>
        <v>0</v>
      </c>
      <c r="V421" s="148" t="str">
        <f t="shared" si="259"/>
        <v>0</v>
      </c>
      <c r="W421" s="148" t="str">
        <f t="shared" si="260"/>
        <v>0</v>
      </c>
      <c r="X421" s="507"/>
      <c r="Y421" s="152">
        <f t="shared" si="261"/>
        <v>0</v>
      </c>
      <c r="Z421" s="150" t="s">
        <v>169</v>
      </c>
      <c r="AA421" s="2"/>
      <c r="AB421" s="2"/>
      <c r="AC421" s="153" t="s">
        <v>162</v>
      </c>
      <c r="AD421" s="153" t="s">
        <v>162</v>
      </c>
      <c r="AE421" s="153" t="s">
        <v>162</v>
      </c>
      <c r="AF421" s="153" t="s">
        <v>162</v>
      </c>
      <c r="AG421" s="2">
        <f t="shared" si="262"/>
        <v>0</v>
      </c>
      <c r="AH421" s="153" t="s">
        <v>162</v>
      </c>
      <c r="AI421" s="2"/>
      <c r="AJ421" s="2"/>
      <c r="AK421" s="2"/>
      <c r="AL421" s="2"/>
      <c r="AM421" s="2"/>
      <c r="AN421" s="2"/>
      <c r="AO421" s="2"/>
      <c r="AP421" s="2"/>
      <c r="AQ421" s="2"/>
      <c r="AR421" s="2"/>
      <c r="AS421" s="2"/>
      <c r="AT421" s="2"/>
      <c r="AU421" s="2"/>
      <c r="AV421" s="2"/>
      <c r="AW421" s="2"/>
      <c r="AX421" s="2"/>
      <c r="AY421" s="2"/>
      <c r="AZ421" s="2"/>
      <c r="BA421" s="2"/>
      <c r="BB421" s="2"/>
      <c r="BC421" s="2"/>
      <c r="BD421" s="2"/>
    </row>
    <row r="422" spans="1:56" ht="14.25" customHeight="1">
      <c r="A422" s="8"/>
      <c r="B422" s="507"/>
      <c r="C422" s="156" t="s">
        <v>165</v>
      </c>
      <c r="D422" s="147"/>
      <c r="E422" s="147"/>
      <c r="F422" s="147"/>
      <c r="G422" s="147"/>
      <c r="H422" s="147"/>
      <c r="I422" s="147"/>
      <c r="J422" s="147"/>
      <c r="K422" s="147"/>
      <c r="L422" s="147"/>
      <c r="M422" s="147"/>
      <c r="N422" s="147"/>
      <c r="O422" s="147"/>
      <c r="P422" s="147"/>
      <c r="Q422" s="147"/>
      <c r="R422" s="147"/>
      <c r="S422" s="147"/>
      <c r="T422" s="148" t="str">
        <f t="shared" si="257"/>
        <v>0</v>
      </c>
      <c r="U422" s="148" t="str">
        <f t="shared" si="258"/>
        <v>0</v>
      </c>
      <c r="V422" s="148" t="str">
        <f t="shared" si="259"/>
        <v>0</v>
      </c>
      <c r="W422" s="148" t="str">
        <f t="shared" si="260"/>
        <v>0</v>
      </c>
      <c r="X422" s="507"/>
      <c r="Y422" s="152">
        <f t="shared" si="261"/>
        <v>0</v>
      </c>
      <c r="Z422" s="150" t="s">
        <v>169</v>
      </c>
      <c r="AA422" s="2"/>
      <c r="AB422" s="2"/>
      <c r="AC422" s="153" t="s">
        <v>162</v>
      </c>
      <c r="AD422" s="153" t="s">
        <v>162</v>
      </c>
      <c r="AE422" s="153" t="s">
        <v>162</v>
      </c>
      <c r="AF422" s="153" t="s">
        <v>162</v>
      </c>
      <c r="AG422" s="2">
        <f t="shared" si="262"/>
        <v>0</v>
      </c>
      <c r="AH422" s="153" t="s">
        <v>162</v>
      </c>
      <c r="AI422" s="2"/>
      <c r="AJ422" s="2"/>
      <c r="AK422" s="2"/>
      <c r="AL422" s="2"/>
      <c r="AM422" s="2"/>
      <c r="AN422" s="2"/>
      <c r="AO422" s="2"/>
      <c r="AP422" s="2"/>
      <c r="AQ422" s="2"/>
      <c r="AR422" s="2"/>
      <c r="AS422" s="2"/>
      <c r="AT422" s="2"/>
      <c r="AU422" s="2"/>
      <c r="AV422" s="2"/>
      <c r="AW422" s="2"/>
      <c r="AX422" s="2"/>
      <c r="AY422" s="2"/>
      <c r="AZ422" s="2"/>
      <c r="BA422" s="2"/>
      <c r="BB422" s="2"/>
      <c r="BC422" s="2"/>
      <c r="BD422" s="2"/>
    </row>
    <row r="423" spans="1:56" ht="14.25" customHeight="1">
      <c r="A423" s="8"/>
      <c r="B423" s="508"/>
      <c r="C423" s="156" t="s">
        <v>166</v>
      </c>
      <c r="D423" s="147"/>
      <c r="E423" s="147"/>
      <c r="F423" s="147"/>
      <c r="G423" s="147"/>
      <c r="H423" s="147"/>
      <c r="I423" s="147"/>
      <c r="J423" s="147"/>
      <c r="K423" s="147"/>
      <c r="L423" s="147"/>
      <c r="M423" s="147"/>
      <c r="N423" s="147"/>
      <c r="O423" s="147"/>
      <c r="P423" s="147"/>
      <c r="Q423" s="147"/>
      <c r="R423" s="147"/>
      <c r="S423" s="147"/>
      <c r="T423" s="148" t="str">
        <f t="shared" ref="T423:T454" si="263">IFERROR(AVERAGE(D423,H423,L423,P423),"0")</f>
        <v>0</v>
      </c>
      <c r="U423" s="148" t="str">
        <f t="shared" ref="U423:U454" si="264">IFERROR(AVERAGE(E423,I423,M423,Q423),"0")</f>
        <v>0</v>
      </c>
      <c r="V423" s="148" t="str">
        <f t="shared" ref="V423:V454" si="265">IFERROR(AVERAGE(F423,J423,N423,R423),"0")</f>
        <v>0</v>
      </c>
      <c r="W423" s="148" t="str">
        <f t="shared" ref="W423:W454" si="266">IFERROR(AVERAGE(G423,K423,O423,S423),"0")</f>
        <v>0</v>
      </c>
      <c r="X423" s="508"/>
      <c r="Y423" s="152">
        <f t="shared" ref="Y423:Y454" si="267">((4*T423)+(3*U423)+(2*V423)+W423)/4</f>
        <v>0</v>
      </c>
      <c r="Z423" s="150" t="s">
        <v>169</v>
      </c>
      <c r="AA423" s="2"/>
      <c r="AB423" s="2"/>
      <c r="AC423" s="161" t="s">
        <v>162</v>
      </c>
      <c r="AD423" s="161" t="s">
        <v>162</v>
      </c>
      <c r="AE423" s="161" t="s">
        <v>162</v>
      </c>
      <c r="AF423" s="161" t="s">
        <v>162</v>
      </c>
      <c r="AG423" s="2">
        <f t="shared" ref="AG423:AG454" si="268">B423</f>
        <v>0</v>
      </c>
      <c r="AH423" s="153" t="s">
        <v>162</v>
      </c>
      <c r="AI423" s="2"/>
      <c r="AJ423" s="2"/>
      <c r="AK423" s="2"/>
      <c r="AL423" s="2"/>
      <c r="AM423" s="2"/>
      <c r="AN423" s="2"/>
      <c r="AO423" s="2"/>
      <c r="AP423" s="2"/>
      <c r="AQ423" s="2"/>
      <c r="AR423" s="2"/>
      <c r="AS423" s="2"/>
      <c r="AT423" s="2"/>
      <c r="AU423" s="2"/>
      <c r="AV423" s="2"/>
      <c r="AW423" s="2"/>
      <c r="AX423" s="2"/>
      <c r="AY423" s="2"/>
      <c r="AZ423" s="2"/>
      <c r="BA423" s="2"/>
      <c r="BB423" s="2"/>
      <c r="BC423" s="2"/>
      <c r="BD423" s="2"/>
    </row>
    <row r="424" spans="1:56" ht="14.25" customHeight="1">
      <c r="A424" s="8"/>
      <c r="B424" s="512" t="s">
        <v>80</v>
      </c>
      <c r="C424" s="156" t="s">
        <v>160</v>
      </c>
      <c r="D424" s="147"/>
      <c r="E424" s="147"/>
      <c r="F424" s="147"/>
      <c r="G424" s="147"/>
      <c r="H424" s="147"/>
      <c r="I424" s="147"/>
      <c r="J424" s="147"/>
      <c r="K424" s="147"/>
      <c r="L424" s="147"/>
      <c r="M424" s="147"/>
      <c r="N424" s="147"/>
      <c r="O424" s="147"/>
      <c r="P424" s="147"/>
      <c r="Q424" s="147"/>
      <c r="R424" s="147"/>
      <c r="S424" s="147"/>
      <c r="T424" s="148" t="str">
        <f t="shared" si="263"/>
        <v>0</v>
      </c>
      <c r="U424" s="148" t="str">
        <f t="shared" si="264"/>
        <v>0</v>
      </c>
      <c r="V424" s="148" t="str">
        <f t="shared" si="265"/>
        <v>0</v>
      </c>
      <c r="W424" s="148" t="str">
        <f t="shared" si="266"/>
        <v>0</v>
      </c>
      <c r="X424" s="513">
        <f>SUM(Y424:Y428)/5</f>
        <v>0</v>
      </c>
      <c r="Y424" s="152">
        <f t="shared" si="267"/>
        <v>0</v>
      </c>
      <c r="Z424" s="150" t="s">
        <v>182</v>
      </c>
      <c r="AA424" s="2"/>
      <c r="AB424" s="26"/>
      <c r="AC424" s="159" t="s">
        <v>162</v>
      </c>
      <c r="AD424" s="159" t="s">
        <v>162</v>
      </c>
      <c r="AE424" s="159" t="s">
        <v>162</v>
      </c>
      <c r="AF424" s="159" t="s">
        <v>162</v>
      </c>
      <c r="AG424" s="158" t="str">
        <f t="shared" si="268"/>
        <v>ARS</v>
      </c>
      <c r="AH424" s="153" t="s">
        <v>162</v>
      </c>
      <c r="AI424" s="2"/>
      <c r="AJ424" s="2"/>
      <c r="AK424" s="2"/>
      <c r="AL424" s="2"/>
      <c r="AM424" s="2"/>
      <c r="AN424" s="2"/>
      <c r="AO424" s="2"/>
      <c r="AP424" s="2"/>
      <c r="AQ424" s="2"/>
      <c r="AR424" s="2"/>
      <c r="AS424" s="2"/>
      <c r="AT424" s="2"/>
      <c r="AU424" s="2"/>
      <c r="AV424" s="2"/>
      <c r="AW424" s="2"/>
      <c r="AX424" s="2"/>
      <c r="AY424" s="2"/>
      <c r="AZ424" s="2"/>
      <c r="BA424" s="2"/>
      <c r="BB424" s="2"/>
      <c r="BC424" s="2"/>
      <c r="BD424" s="2"/>
    </row>
    <row r="425" spans="1:56" ht="14.25" customHeight="1">
      <c r="A425" s="8"/>
      <c r="B425" s="507"/>
      <c r="C425" s="156" t="s">
        <v>163</v>
      </c>
      <c r="D425" s="147"/>
      <c r="E425" s="147"/>
      <c r="F425" s="147"/>
      <c r="G425" s="147"/>
      <c r="H425" s="147"/>
      <c r="I425" s="147"/>
      <c r="J425" s="147"/>
      <c r="K425" s="147"/>
      <c r="L425" s="147"/>
      <c r="M425" s="147"/>
      <c r="N425" s="147"/>
      <c r="O425" s="147"/>
      <c r="P425" s="147"/>
      <c r="Q425" s="147"/>
      <c r="R425" s="147"/>
      <c r="S425" s="147"/>
      <c r="T425" s="148" t="str">
        <f t="shared" si="263"/>
        <v>0</v>
      </c>
      <c r="U425" s="148" t="str">
        <f t="shared" si="264"/>
        <v>0</v>
      </c>
      <c r="V425" s="148" t="str">
        <f t="shared" si="265"/>
        <v>0</v>
      </c>
      <c r="W425" s="148" t="str">
        <f t="shared" si="266"/>
        <v>0</v>
      </c>
      <c r="X425" s="507"/>
      <c r="Y425" s="152">
        <f t="shared" si="267"/>
        <v>0</v>
      </c>
      <c r="Z425" s="150" t="s">
        <v>169</v>
      </c>
      <c r="AA425" s="2"/>
      <c r="AB425" s="26"/>
      <c r="AC425" s="159" t="s">
        <v>162</v>
      </c>
      <c r="AD425" s="159" t="s">
        <v>162</v>
      </c>
      <c r="AE425" s="159" t="s">
        <v>162</v>
      </c>
      <c r="AF425" s="159" t="s">
        <v>162</v>
      </c>
      <c r="AG425" s="31">
        <f t="shared" si="268"/>
        <v>0</v>
      </c>
      <c r="AH425" s="153" t="s">
        <v>162</v>
      </c>
      <c r="AI425" s="2"/>
      <c r="AJ425" s="2"/>
      <c r="AK425" s="2"/>
      <c r="AL425" s="2"/>
      <c r="AM425" s="2"/>
      <c r="AN425" s="2"/>
      <c r="AO425" s="2"/>
      <c r="AP425" s="2"/>
      <c r="AQ425" s="2"/>
      <c r="AR425" s="2"/>
      <c r="AS425" s="2"/>
      <c r="AT425" s="2"/>
      <c r="AU425" s="2"/>
      <c r="AV425" s="2"/>
      <c r="AW425" s="2"/>
      <c r="AX425" s="2"/>
      <c r="AY425" s="2"/>
      <c r="AZ425" s="2"/>
      <c r="BA425" s="2"/>
      <c r="BB425" s="2"/>
      <c r="BC425" s="2"/>
      <c r="BD425" s="2"/>
    </row>
    <row r="426" spans="1:56" ht="14.25" customHeight="1">
      <c r="A426" s="8"/>
      <c r="B426" s="507"/>
      <c r="C426" s="156" t="s">
        <v>164</v>
      </c>
      <c r="D426" s="147"/>
      <c r="E426" s="147"/>
      <c r="F426" s="147"/>
      <c r="G426" s="147"/>
      <c r="H426" s="147"/>
      <c r="I426" s="147"/>
      <c r="J426" s="147"/>
      <c r="K426" s="147"/>
      <c r="L426" s="147"/>
      <c r="M426" s="147"/>
      <c r="N426" s="147"/>
      <c r="O426" s="147"/>
      <c r="P426" s="147"/>
      <c r="Q426" s="147"/>
      <c r="R426" s="147"/>
      <c r="S426" s="147"/>
      <c r="T426" s="148" t="str">
        <f t="shared" si="263"/>
        <v>0</v>
      </c>
      <c r="U426" s="148" t="str">
        <f t="shared" si="264"/>
        <v>0</v>
      </c>
      <c r="V426" s="148" t="str">
        <f t="shared" si="265"/>
        <v>0</v>
      </c>
      <c r="W426" s="148" t="str">
        <f t="shared" si="266"/>
        <v>0</v>
      </c>
      <c r="X426" s="507"/>
      <c r="Y426" s="152">
        <f t="shared" si="267"/>
        <v>0</v>
      </c>
      <c r="Z426" s="150" t="s">
        <v>169</v>
      </c>
      <c r="AA426" s="2"/>
      <c r="AB426" s="26"/>
      <c r="AC426" s="159" t="s">
        <v>162</v>
      </c>
      <c r="AD426" s="159" t="s">
        <v>162</v>
      </c>
      <c r="AE426" s="159" t="s">
        <v>162</v>
      </c>
      <c r="AF426" s="159" t="s">
        <v>162</v>
      </c>
      <c r="AG426" s="31">
        <f t="shared" si="268"/>
        <v>0</v>
      </c>
      <c r="AH426" s="153" t="s">
        <v>162</v>
      </c>
      <c r="AI426" s="2"/>
      <c r="AJ426" s="2"/>
      <c r="AK426" s="2"/>
      <c r="AL426" s="2"/>
      <c r="AM426" s="2"/>
      <c r="AN426" s="2"/>
      <c r="AO426" s="2"/>
      <c r="AP426" s="2"/>
      <c r="AQ426" s="2"/>
      <c r="AR426" s="2"/>
      <c r="AS426" s="2"/>
      <c r="AT426" s="2"/>
      <c r="AU426" s="2"/>
      <c r="AV426" s="2"/>
      <c r="AW426" s="2"/>
      <c r="AX426" s="2"/>
      <c r="AY426" s="2"/>
      <c r="AZ426" s="2"/>
      <c r="BA426" s="2"/>
      <c r="BB426" s="2"/>
      <c r="BC426" s="2"/>
      <c r="BD426" s="2"/>
    </row>
    <row r="427" spans="1:56" ht="14.25" customHeight="1">
      <c r="A427" s="8"/>
      <c r="B427" s="507"/>
      <c r="C427" s="156" t="s">
        <v>165</v>
      </c>
      <c r="D427" s="147"/>
      <c r="E427" s="147"/>
      <c r="F427" s="147"/>
      <c r="G427" s="147"/>
      <c r="H427" s="147"/>
      <c r="I427" s="147"/>
      <c r="J427" s="147"/>
      <c r="K427" s="147"/>
      <c r="L427" s="147"/>
      <c r="M427" s="147"/>
      <c r="N427" s="147"/>
      <c r="O427" s="147"/>
      <c r="P427" s="147"/>
      <c r="Q427" s="147"/>
      <c r="R427" s="147"/>
      <c r="S427" s="147"/>
      <c r="T427" s="148" t="str">
        <f t="shared" si="263"/>
        <v>0</v>
      </c>
      <c r="U427" s="148" t="str">
        <f t="shared" si="264"/>
        <v>0</v>
      </c>
      <c r="V427" s="148" t="str">
        <f t="shared" si="265"/>
        <v>0</v>
      </c>
      <c r="W427" s="148" t="str">
        <f t="shared" si="266"/>
        <v>0</v>
      </c>
      <c r="X427" s="507"/>
      <c r="Y427" s="152">
        <f t="shared" si="267"/>
        <v>0</v>
      </c>
      <c r="Z427" s="150" t="s">
        <v>169</v>
      </c>
      <c r="AA427" s="2"/>
      <c r="AB427" s="26"/>
      <c r="AC427" s="159" t="s">
        <v>162</v>
      </c>
      <c r="AD427" s="159" t="s">
        <v>162</v>
      </c>
      <c r="AE427" s="159" t="s">
        <v>162</v>
      </c>
      <c r="AF427" s="159" t="s">
        <v>162</v>
      </c>
      <c r="AG427" s="31">
        <f t="shared" si="268"/>
        <v>0</v>
      </c>
      <c r="AH427" s="153" t="s">
        <v>162</v>
      </c>
      <c r="AI427" s="2"/>
      <c r="AJ427" s="2"/>
      <c r="AK427" s="2"/>
      <c r="AL427" s="2"/>
      <c r="AM427" s="2"/>
      <c r="AN427" s="2"/>
      <c r="AO427" s="2"/>
      <c r="AP427" s="2"/>
      <c r="AQ427" s="2"/>
      <c r="AR427" s="2"/>
      <c r="AS427" s="2"/>
      <c r="AT427" s="2"/>
      <c r="AU427" s="2"/>
      <c r="AV427" s="2"/>
      <c r="AW427" s="2"/>
      <c r="AX427" s="2"/>
      <c r="AY427" s="2"/>
      <c r="AZ427" s="2"/>
      <c r="BA427" s="2"/>
      <c r="BB427" s="2"/>
      <c r="BC427" s="2"/>
      <c r="BD427" s="2"/>
    </row>
    <row r="428" spans="1:56" ht="14.25" customHeight="1">
      <c r="A428" s="8"/>
      <c r="B428" s="508"/>
      <c r="C428" s="156" t="s">
        <v>166</v>
      </c>
      <c r="D428" s="147"/>
      <c r="E428" s="147"/>
      <c r="F428" s="147"/>
      <c r="G428" s="147"/>
      <c r="H428" s="147"/>
      <c r="I428" s="147"/>
      <c r="J428" s="147"/>
      <c r="K428" s="147"/>
      <c r="L428" s="147"/>
      <c r="M428" s="147"/>
      <c r="N428" s="147"/>
      <c r="O428" s="147"/>
      <c r="P428" s="147"/>
      <c r="Q428" s="147"/>
      <c r="R428" s="147"/>
      <c r="S428" s="147"/>
      <c r="T428" s="148" t="str">
        <f t="shared" si="263"/>
        <v>0</v>
      </c>
      <c r="U428" s="148" t="str">
        <f t="shared" si="264"/>
        <v>0</v>
      </c>
      <c r="V428" s="148" t="str">
        <f t="shared" si="265"/>
        <v>0</v>
      </c>
      <c r="W428" s="148" t="str">
        <f t="shared" si="266"/>
        <v>0</v>
      </c>
      <c r="X428" s="508"/>
      <c r="Y428" s="152">
        <f t="shared" si="267"/>
        <v>0</v>
      </c>
      <c r="Z428" s="150" t="s">
        <v>169</v>
      </c>
      <c r="AA428" s="2"/>
      <c r="AB428" s="26"/>
      <c r="AC428" s="159" t="s">
        <v>162</v>
      </c>
      <c r="AD428" s="159" t="s">
        <v>162</v>
      </c>
      <c r="AE428" s="159" t="s">
        <v>162</v>
      </c>
      <c r="AF428" s="159" t="s">
        <v>162</v>
      </c>
      <c r="AG428" s="31">
        <f t="shared" si="268"/>
        <v>0</v>
      </c>
      <c r="AH428" s="153" t="s">
        <v>162</v>
      </c>
      <c r="AI428" s="2"/>
      <c r="AJ428" s="2"/>
      <c r="AK428" s="2"/>
      <c r="AL428" s="2"/>
      <c r="AM428" s="2"/>
      <c r="AN428" s="2"/>
      <c r="AO428" s="2"/>
      <c r="AP428" s="2"/>
      <c r="AQ428" s="2"/>
      <c r="AR428" s="2"/>
      <c r="AS428" s="2"/>
      <c r="AT428" s="2"/>
      <c r="AU428" s="2"/>
      <c r="AV428" s="2"/>
      <c r="AW428" s="2"/>
      <c r="AX428" s="2"/>
      <c r="AY428" s="2"/>
      <c r="AZ428" s="2"/>
      <c r="BA428" s="2"/>
      <c r="BB428" s="2"/>
      <c r="BC428" s="2"/>
      <c r="BD428" s="2"/>
    </row>
    <row r="429" spans="1:56" ht="14.25" customHeight="1">
      <c r="A429" s="8"/>
      <c r="B429" s="506" t="s">
        <v>81</v>
      </c>
      <c r="C429" s="156" t="s">
        <v>160</v>
      </c>
      <c r="D429" s="147"/>
      <c r="E429" s="147"/>
      <c r="F429" s="147"/>
      <c r="G429" s="147"/>
      <c r="H429" s="147"/>
      <c r="I429" s="147"/>
      <c r="J429" s="147"/>
      <c r="K429" s="147"/>
      <c r="L429" s="147"/>
      <c r="M429" s="147"/>
      <c r="N429" s="147"/>
      <c r="O429" s="147"/>
      <c r="P429" s="147"/>
      <c r="Q429" s="147"/>
      <c r="R429" s="147"/>
      <c r="S429" s="147"/>
      <c r="T429" s="148" t="str">
        <f t="shared" si="263"/>
        <v>0</v>
      </c>
      <c r="U429" s="148" t="str">
        <f t="shared" si="264"/>
        <v>0</v>
      </c>
      <c r="V429" s="148" t="str">
        <f t="shared" si="265"/>
        <v>0</v>
      </c>
      <c r="W429" s="148" t="str">
        <f t="shared" si="266"/>
        <v>0</v>
      </c>
      <c r="X429" s="513">
        <f>SUM(Y429:Y433)/5</f>
        <v>0</v>
      </c>
      <c r="Y429" s="152">
        <f t="shared" si="267"/>
        <v>0</v>
      </c>
      <c r="Z429" s="150" t="s">
        <v>183</v>
      </c>
      <c r="AA429" s="2"/>
      <c r="AB429" s="2"/>
      <c r="AC429" s="160" t="s">
        <v>162</v>
      </c>
      <c r="AD429" s="160" t="s">
        <v>162</v>
      </c>
      <c r="AE429" s="160" t="s">
        <v>162</v>
      </c>
      <c r="AF429" s="160" t="s">
        <v>162</v>
      </c>
      <c r="AG429" s="153" t="str">
        <f t="shared" si="268"/>
        <v>ISB</v>
      </c>
      <c r="AH429" s="153" t="s">
        <v>162</v>
      </c>
      <c r="AI429" s="2"/>
      <c r="AJ429" s="2"/>
      <c r="AK429" s="2"/>
      <c r="AL429" s="2"/>
      <c r="AM429" s="2"/>
      <c r="AN429" s="2"/>
      <c r="AO429" s="2"/>
      <c r="AP429" s="2"/>
      <c r="AQ429" s="2"/>
      <c r="AR429" s="2"/>
      <c r="AS429" s="2"/>
      <c r="AT429" s="2"/>
      <c r="AU429" s="2"/>
      <c r="AV429" s="2"/>
      <c r="AW429" s="2"/>
      <c r="AX429" s="2"/>
      <c r="AY429" s="2"/>
      <c r="AZ429" s="2"/>
      <c r="BA429" s="2"/>
      <c r="BB429" s="2"/>
      <c r="BC429" s="2"/>
      <c r="BD429" s="2"/>
    </row>
    <row r="430" spans="1:56" ht="14.25" customHeight="1">
      <c r="A430" s="8"/>
      <c r="B430" s="507"/>
      <c r="C430" s="156" t="s">
        <v>163</v>
      </c>
      <c r="D430" s="147"/>
      <c r="E430" s="147"/>
      <c r="F430" s="147"/>
      <c r="G430" s="147"/>
      <c r="H430" s="147"/>
      <c r="I430" s="147"/>
      <c r="J430" s="147"/>
      <c r="K430" s="147"/>
      <c r="L430" s="147"/>
      <c r="M430" s="147"/>
      <c r="N430" s="147"/>
      <c r="O430" s="147"/>
      <c r="P430" s="147"/>
      <c r="Q430" s="147"/>
      <c r="R430" s="147"/>
      <c r="S430" s="147"/>
      <c r="T430" s="148" t="str">
        <f t="shared" si="263"/>
        <v>0</v>
      </c>
      <c r="U430" s="148" t="str">
        <f t="shared" si="264"/>
        <v>0</v>
      </c>
      <c r="V430" s="148" t="str">
        <f t="shared" si="265"/>
        <v>0</v>
      </c>
      <c r="W430" s="148" t="str">
        <f t="shared" si="266"/>
        <v>0</v>
      </c>
      <c r="X430" s="507"/>
      <c r="Y430" s="152">
        <f t="shared" si="267"/>
        <v>0</v>
      </c>
      <c r="Z430" s="150" t="s">
        <v>169</v>
      </c>
      <c r="AA430" s="2"/>
      <c r="AB430" s="2"/>
      <c r="AC430" s="153" t="s">
        <v>162</v>
      </c>
      <c r="AD430" s="153" t="s">
        <v>162</v>
      </c>
      <c r="AE430" s="153" t="s">
        <v>162</v>
      </c>
      <c r="AF430" s="153" t="s">
        <v>162</v>
      </c>
      <c r="AG430" s="2">
        <f t="shared" si="268"/>
        <v>0</v>
      </c>
      <c r="AH430" s="153" t="s">
        <v>162</v>
      </c>
      <c r="AI430" s="2"/>
      <c r="AJ430" s="2"/>
      <c r="AK430" s="2"/>
      <c r="AL430" s="2"/>
      <c r="AM430" s="2"/>
      <c r="AN430" s="2"/>
      <c r="AO430" s="2"/>
      <c r="AP430" s="2"/>
      <c r="AQ430" s="2"/>
      <c r="AR430" s="2"/>
      <c r="AS430" s="2"/>
      <c r="AT430" s="2"/>
      <c r="AU430" s="2"/>
      <c r="AV430" s="2"/>
      <c r="AW430" s="2"/>
      <c r="AX430" s="2"/>
      <c r="AY430" s="2"/>
      <c r="AZ430" s="2"/>
      <c r="BA430" s="2"/>
      <c r="BB430" s="2"/>
      <c r="BC430" s="2"/>
      <c r="BD430" s="2"/>
    </row>
    <row r="431" spans="1:56" ht="14.25" customHeight="1">
      <c r="A431" s="8"/>
      <c r="B431" s="507"/>
      <c r="C431" s="156" t="s">
        <v>164</v>
      </c>
      <c r="D431" s="147"/>
      <c r="E431" s="147"/>
      <c r="F431" s="147"/>
      <c r="G431" s="147"/>
      <c r="H431" s="147"/>
      <c r="I431" s="147"/>
      <c r="J431" s="147"/>
      <c r="K431" s="147"/>
      <c r="L431" s="147"/>
      <c r="M431" s="147"/>
      <c r="N431" s="147"/>
      <c r="O431" s="147"/>
      <c r="P431" s="147"/>
      <c r="Q431" s="147"/>
      <c r="R431" s="147"/>
      <c r="S431" s="147"/>
      <c r="T431" s="148" t="str">
        <f t="shared" si="263"/>
        <v>0</v>
      </c>
      <c r="U431" s="148" t="str">
        <f t="shared" si="264"/>
        <v>0</v>
      </c>
      <c r="V431" s="148" t="str">
        <f t="shared" si="265"/>
        <v>0</v>
      </c>
      <c r="W431" s="148" t="str">
        <f t="shared" si="266"/>
        <v>0</v>
      </c>
      <c r="X431" s="507"/>
      <c r="Y431" s="152">
        <f t="shared" si="267"/>
        <v>0</v>
      </c>
      <c r="Z431" s="150" t="s">
        <v>169</v>
      </c>
      <c r="AA431" s="2"/>
      <c r="AB431" s="2"/>
      <c r="AC431" s="153" t="s">
        <v>162</v>
      </c>
      <c r="AD431" s="153" t="s">
        <v>162</v>
      </c>
      <c r="AE431" s="153" t="s">
        <v>162</v>
      </c>
      <c r="AF431" s="153" t="s">
        <v>162</v>
      </c>
      <c r="AG431" s="2">
        <f t="shared" si="268"/>
        <v>0</v>
      </c>
      <c r="AH431" s="153" t="s">
        <v>162</v>
      </c>
      <c r="AI431" s="2"/>
      <c r="AJ431" s="2"/>
      <c r="AK431" s="2"/>
      <c r="AL431" s="2"/>
      <c r="AM431" s="2"/>
      <c r="AN431" s="2"/>
      <c r="AO431" s="2"/>
      <c r="AP431" s="2"/>
      <c r="AQ431" s="2"/>
      <c r="AR431" s="2"/>
      <c r="AS431" s="2"/>
      <c r="AT431" s="2"/>
      <c r="AU431" s="2"/>
      <c r="AV431" s="2"/>
      <c r="AW431" s="2"/>
      <c r="AX431" s="2"/>
      <c r="AY431" s="2"/>
      <c r="AZ431" s="2"/>
      <c r="BA431" s="2"/>
      <c r="BB431" s="2"/>
      <c r="BC431" s="2"/>
      <c r="BD431" s="2"/>
    </row>
    <row r="432" spans="1:56" ht="14.25" customHeight="1">
      <c r="A432" s="8"/>
      <c r="B432" s="507"/>
      <c r="C432" s="156" t="s">
        <v>165</v>
      </c>
      <c r="D432" s="147"/>
      <c r="E432" s="147"/>
      <c r="F432" s="147"/>
      <c r="G432" s="147"/>
      <c r="H432" s="147"/>
      <c r="I432" s="147"/>
      <c r="J432" s="147"/>
      <c r="K432" s="147"/>
      <c r="L432" s="147"/>
      <c r="M432" s="147"/>
      <c r="N432" s="147"/>
      <c r="O432" s="147"/>
      <c r="P432" s="147"/>
      <c r="Q432" s="147"/>
      <c r="R432" s="147"/>
      <c r="S432" s="147"/>
      <c r="T432" s="148" t="str">
        <f t="shared" si="263"/>
        <v>0</v>
      </c>
      <c r="U432" s="148" t="str">
        <f t="shared" si="264"/>
        <v>0</v>
      </c>
      <c r="V432" s="148" t="str">
        <f t="shared" si="265"/>
        <v>0</v>
      </c>
      <c r="W432" s="148" t="str">
        <f t="shared" si="266"/>
        <v>0</v>
      </c>
      <c r="X432" s="507"/>
      <c r="Y432" s="152">
        <f t="shared" si="267"/>
        <v>0</v>
      </c>
      <c r="Z432" s="150" t="s">
        <v>169</v>
      </c>
      <c r="AA432" s="2"/>
      <c r="AB432" s="2"/>
      <c r="AC432" s="153" t="s">
        <v>162</v>
      </c>
      <c r="AD432" s="153" t="s">
        <v>162</v>
      </c>
      <c r="AE432" s="153" t="s">
        <v>162</v>
      </c>
      <c r="AF432" s="153" t="s">
        <v>162</v>
      </c>
      <c r="AG432" s="2">
        <f t="shared" si="268"/>
        <v>0</v>
      </c>
      <c r="AH432" s="153" t="s">
        <v>162</v>
      </c>
      <c r="AI432" s="2"/>
      <c r="AJ432" s="2"/>
      <c r="AK432" s="2"/>
      <c r="AL432" s="2"/>
      <c r="AM432" s="2"/>
      <c r="AN432" s="2"/>
      <c r="AO432" s="2"/>
      <c r="AP432" s="2"/>
      <c r="AQ432" s="2"/>
      <c r="AR432" s="2"/>
      <c r="AS432" s="2"/>
      <c r="AT432" s="2"/>
      <c r="AU432" s="2"/>
      <c r="AV432" s="2"/>
      <c r="AW432" s="2"/>
      <c r="AX432" s="2"/>
      <c r="AY432" s="2"/>
      <c r="AZ432" s="2"/>
      <c r="BA432" s="2"/>
      <c r="BB432" s="2"/>
      <c r="BC432" s="2"/>
      <c r="BD432" s="2"/>
    </row>
    <row r="433" spans="1:56" ht="14.25" customHeight="1">
      <c r="A433" s="8"/>
      <c r="B433" s="508"/>
      <c r="C433" s="156" t="s">
        <v>166</v>
      </c>
      <c r="D433" s="147"/>
      <c r="E433" s="147"/>
      <c r="F433" s="147"/>
      <c r="G433" s="147"/>
      <c r="H433" s="147"/>
      <c r="I433" s="147"/>
      <c r="J433" s="147"/>
      <c r="K433" s="147"/>
      <c r="L433" s="147"/>
      <c r="M433" s="147"/>
      <c r="N433" s="147"/>
      <c r="O433" s="147"/>
      <c r="P433" s="147"/>
      <c r="Q433" s="147"/>
      <c r="R433" s="147"/>
      <c r="S433" s="147"/>
      <c r="T433" s="148" t="str">
        <f t="shared" si="263"/>
        <v>0</v>
      </c>
      <c r="U433" s="148" t="str">
        <f t="shared" si="264"/>
        <v>0</v>
      </c>
      <c r="V433" s="148" t="str">
        <f t="shared" si="265"/>
        <v>0</v>
      </c>
      <c r="W433" s="148" t="str">
        <f t="shared" si="266"/>
        <v>0</v>
      </c>
      <c r="X433" s="508"/>
      <c r="Y433" s="152">
        <f t="shared" si="267"/>
        <v>0</v>
      </c>
      <c r="Z433" s="150" t="s">
        <v>169</v>
      </c>
      <c r="AA433" s="2"/>
      <c r="AB433" s="2"/>
      <c r="AC433" s="161" t="s">
        <v>162</v>
      </c>
      <c r="AD433" s="161" t="s">
        <v>162</v>
      </c>
      <c r="AE433" s="161" t="s">
        <v>162</v>
      </c>
      <c r="AF433" s="161" t="s">
        <v>162</v>
      </c>
      <c r="AG433" s="2">
        <f t="shared" si="268"/>
        <v>0</v>
      </c>
      <c r="AH433" s="153" t="s">
        <v>162</v>
      </c>
      <c r="AI433" s="2"/>
      <c r="AJ433" s="2"/>
      <c r="AK433" s="2"/>
      <c r="AL433" s="2"/>
      <c r="AM433" s="2"/>
      <c r="AN433" s="2"/>
      <c r="AO433" s="2"/>
      <c r="AP433" s="2"/>
      <c r="AQ433" s="2"/>
      <c r="AR433" s="2"/>
      <c r="AS433" s="2"/>
      <c r="AT433" s="2"/>
      <c r="AU433" s="2"/>
      <c r="AV433" s="2"/>
      <c r="AW433" s="2"/>
      <c r="AX433" s="2"/>
      <c r="AY433" s="2"/>
      <c r="AZ433" s="2"/>
      <c r="BA433" s="2"/>
      <c r="BB433" s="2"/>
      <c r="BC433" s="2"/>
      <c r="BD433" s="2"/>
    </row>
    <row r="434" spans="1:56" ht="14.25" customHeight="1">
      <c r="A434" s="8"/>
      <c r="B434" s="506" t="s">
        <v>82</v>
      </c>
      <c r="C434" s="156" t="s">
        <v>160</v>
      </c>
      <c r="D434" s="147"/>
      <c r="E434" s="147"/>
      <c r="F434" s="147"/>
      <c r="G434" s="147"/>
      <c r="H434" s="147"/>
      <c r="I434" s="147"/>
      <c r="J434" s="147"/>
      <c r="K434" s="147"/>
      <c r="L434" s="147"/>
      <c r="M434" s="147"/>
      <c r="N434" s="147"/>
      <c r="O434" s="147"/>
      <c r="P434" s="147"/>
      <c r="Q434" s="147"/>
      <c r="R434" s="147"/>
      <c r="S434" s="147"/>
      <c r="T434" s="148" t="str">
        <f t="shared" si="263"/>
        <v>0</v>
      </c>
      <c r="U434" s="148" t="str">
        <f t="shared" si="264"/>
        <v>0</v>
      </c>
      <c r="V434" s="148" t="str">
        <f t="shared" si="265"/>
        <v>0</v>
      </c>
      <c r="W434" s="148" t="str">
        <f t="shared" si="266"/>
        <v>0</v>
      </c>
      <c r="X434" s="513">
        <f>SUM(Y434:Y438)/2</f>
        <v>0</v>
      </c>
      <c r="Y434" s="152">
        <f t="shared" si="267"/>
        <v>0</v>
      </c>
      <c r="Z434" s="150" t="s">
        <v>184</v>
      </c>
      <c r="AA434" s="2"/>
      <c r="AB434" s="26"/>
      <c r="AC434" s="159" t="s">
        <v>162</v>
      </c>
      <c r="AD434" s="159" t="s">
        <v>162</v>
      </c>
      <c r="AE434" s="159" t="s">
        <v>162</v>
      </c>
      <c r="AF434" s="159" t="s">
        <v>162</v>
      </c>
      <c r="AG434" s="158" t="str">
        <f t="shared" si="268"/>
        <v>MCM</v>
      </c>
      <c r="AH434" s="153" t="s">
        <v>162</v>
      </c>
      <c r="AI434" s="2"/>
      <c r="AJ434" s="2"/>
      <c r="AK434" s="2"/>
      <c r="AL434" s="2"/>
      <c r="AM434" s="2"/>
      <c r="AN434" s="2"/>
      <c r="AO434" s="2"/>
      <c r="AP434" s="2"/>
      <c r="AQ434" s="2"/>
      <c r="AR434" s="2"/>
      <c r="AS434" s="2"/>
      <c r="AT434" s="2"/>
      <c r="AU434" s="2"/>
      <c r="AV434" s="2"/>
      <c r="AW434" s="2"/>
      <c r="AX434" s="2"/>
      <c r="AY434" s="2"/>
      <c r="AZ434" s="2"/>
      <c r="BA434" s="2"/>
      <c r="BB434" s="2"/>
      <c r="BC434" s="2"/>
      <c r="BD434" s="2"/>
    </row>
    <row r="435" spans="1:56" ht="14.25" customHeight="1">
      <c r="A435" s="8"/>
      <c r="B435" s="507"/>
      <c r="C435" s="156" t="s">
        <v>163</v>
      </c>
      <c r="D435" s="147"/>
      <c r="E435" s="147"/>
      <c r="F435" s="147"/>
      <c r="G435" s="147"/>
      <c r="H435" s="147"/>
      <c r="I435" s="147"/>
      <c r="J435" s="147"/>
      <c r="K435" s="147"/>
      <c r="L435" s="147"/>
      <c r="M435" s="147"/>
      <c r="N435" s="147"/>
      <c r="O435" s="147"/>
      <c r="P435" s="147"/>
      <c r="Q435" s="147"/>
      <c r="R435" s="147"/>
      <c r="S435" s="147"/>
      <c r="T435" s="148" t="str">
        <f t="shared" si="263"/>
        <v>0</v>
      </c>
      <c r="U435" s="148" t="str">
        <f t="shared" si="264"/>
        <v>0</v>
      </c>
      <c r="V435" s="148" t="str">
        <f t="shared" si="265"/>
        <v>0</v>
      </c>
      <c r="W435" s="148" t="str">
        <f t="shared" si="266"/>
        <v>0</v>
      </c>
      <c r="X435" s="507"/>
      <c r="Y435" s="152">
        <f t="shared" si="267"/>
        <v>0</v>
      </c>
      <c r="Z435" s="150" t="s">
        <v>169</v>
      </c>
      <c r="AA435" s="2"/>
      <c r="AB435" s="26"/>
      <c r="AC435" s="159" t="s">
        <v>162</v>
      </c>
      <c r="AD435" s="159" t="s">
        <v>162</v>
      </c>
      <c r="AE435" s="159" t="s">
        <v>162</v>
      </c>
      <c r="AF435" s="159" t="s">
        <v>162</v>
      </c>
      <c r="AG435" s="31">
        <f t="shared" si="268"/>
        <v>0</v>
      </c>
      <c r="AH435" s="153" t="s">
        <v>162</v>
      </c>
      <c r="AI435" s="2"/>
      <c r="AJ435" s="2"/>
      <c r="AK435" s="2"/>
      <c r="AL435" s="2"/>
      <c r="AM435" s="2"/>
      <c r="AN435" s="2"/>
      <c r="AO435" s="2"/>
      <c r="AP435" s="2"/>
      <c r="AQ435" s="2"/>
      <c r="AR435" s="2"/>
      <c r="AS435" s="2"/>
      <c r="AT435" s="2"/>
      <c r="AU435" s="2"/>
      <c r="AV435" s="2"/>
      <c r="AW435" s="2"/>
      <c r="AX435" s="2"/>
      <c r="AY435" s="2"/>
      <c r="AZ435" s="2"/>
      <c r="BA435" s="2"/>
      <c r="BB435" s="2"/>
      <c r="BC435" s="2"/>
      <c r="BD435" s="2"/>
    </row>
    <row r="436" spans="1:56" ht="14.25" customHeight="1">
      <c r="A436" s="8"/>
      <c r="B436" s="507"/>
      <c r="C436" s="156" t="s">
        <v>164</v>
      </c>
      <c r="D436" s="147"/>
      <c r="E436" s="147"/>
      <c r="F436" s="147"/>
      <c r="G436" s="147"/>
      <c r="H436" s="147"/>
      <c r="I436" s="147"/>
      <c r="J436" s="147"/>
      <c r="K436" s="147"/>
      <c r="L436" s="147"/>
      <c r="M436" s="147"/>
      <c r="N436" s="147"/>
      <c r="O436" s="147"/>
      <c r="P436" s="147"/>
      <c r="Q436" s="147"/>
      <c r="R436" s="147"/>
      <c r="S436" s="147"/>
      <c r="T436" s="148" t="str">
        <f t="shared" si="263"/>
        <v>0</v>
      </c>
      <c r="U436" s="148" t="str">
        <f t="shared" si="264"/>
        <v>0</v>
      </c>
      <c r="V436" s="148" t="str">
        <f t="shared" si="265"/>
        <v>0</v>
      </c>
      <c r="W436" s="148" t="str">
        <f t="shared" si="266"/>
        <v>0</v>
      </c>
      <c r="X436" s="507"/>
      <c r="Y436" s="152">
        <f t="shared" si="267"/>
        <v>0</v>
      </c>
      <c r="Z436" s="150" t="s">
        <v>169</v>
      </c>
      <c r="AA436" s="2"/>
      <c r="AB436" s="26"/>
      <c r="AC436" s="159" t="s">
        <v>162</v>
      </c>
      <c r="AD436" s="159" t="s">
        <v>162</v>
      </c>
      <c r="AE436" s="159" t="s">
        <v>162</v>
      </c>
      <c r="AF436" s="159" t="s">
        <v>162</v>
      </c>
      <c r="AG436" s="31">
        <f t="shared" si="268"/>
        <v>0</v>
      </c>
      <c r="AH436" s="153" t="s">
        <v>162</v>
      </c>
      <c r="AI436" s="2"/>
      <c r="AJ436" s="2"/>
      <c r="AK436" s="2"/>
      <c r="AL436" s="2"/>
      <c r="AM436" s="2"/>
      <c r="AN436" s="2"/>
      <c r="AO436" s="2"/>
      <c r="AP436" s="2"/>
      <c r="AQ436" s="2"/>
      <c r="AR436" s="2"/>
      <c r="AS436" s="2"/>
      <c r="AT436" s="2"/>
      <c r="AU436" s="2"/>
      <c r="AV436" s="2"/>
      <c r="AW436" s="2"/>
      <c r="AX436" s="2"/>
      <c r="AY436" s="2"/>
      <c r="AZ436" s="2"/>
      <c r="BA436" s="2"/>
      <c r="BB436" s="2"/>
      <c r="BC436" s="2"/>
      <c r="BD436" s="2"/>
    </row>
    <row r="437" spans="1:56" ht="14.25" customHeight="1">
      <c r="A437" s="8"/>
      <c r="B437" s="507"/>
      <c r="C437" s="156" t="s">
        <v>165</v>
      </c>
      <c r="D437" s="147"/>
      <c r="E437" s="147"/>
      <c r="F437" s="147"/>
      <c r="G437" s="147"/>
      <c r="H437" s="147"/>
      <c r="I437" s="147"/>
      <c r="J437" s="147"/>
      <c r="K437" s="147"/>
      <c r="L437" s="147"/>
      <c r="M437" s="147"/>
      <c r="N437" s="147"/>
      <c r="O437" s="147"/>
      <c r="P437" s="147"/>
      <c r="Q437" s="147"/>
      <c r="R437" s="147"/>
      <c r="S437" s="147"/>
      <c r="T437" s="148" t="str">
        <f t="shared" si="263"/>
        <v>0</v>
      </c>
      <c r="U437" s="148" t="str">
        <f t="shared" si="264"/>
        <v>0</v>
      </c>
      <c r="V437" s="148" t="str">
        <f t="shared" si="265"/>
        <v>0</v>
      </c>
      <c r="W437" s="148" t="str">
        <f t="shared" si="266"/>
        <v>0</v>
      </c>
      <c r="X437" s="507"/>
      <c r="Y437" s="152">
        <f t="shared" si="267"/>
        <v>0</v>
      </c>
      <c r="Z437" s="150" t="s">
        <v>169</v>
      </c>
      <c r="AA437" s="2"/>
      <c r="AB437" s="26"/>
      <c r="AC437" s="159" t="s">
        <v>162</v>
      </c>
      <c r="AD437" s="159" t="s">
        <v>162</v>
      </c>
      <c r="AE437" s="159" t="s">
        <v>162</v>
      </c>
      <c r="AF437" s="159" t="s">
        <v>162</v>
      </c>
      <c r="AG437" s="31">
        <f t="shared" si="268"/>
        <v>0</v>
      </c>
      <c r="AH437" s="153" t="s">
        <v>162</v>
      </c>
      <c r="AI437" s="2"/>
      <c r="AJ437" s="2"/>
      <c r="AK437" s="2"/>
      <c r="AL437" s="2"/>
      <c r="AM437" s="2"/>
      <c r="AN437" s="2"/>
      <c r="AO437" s="2"/>
      <c r="AP437" s="2"/>
      <c r="AQ437" s="2"/>
      <c r="AR437" s="2"/>
      <c r="AS437" s="2"/>
      <c r="AT437" s="2"/>
      <c r="AU437" s="2"/>
      <c r="AV437" s="2"/>
      <c r="AW437" s="2"/>
      <c r="AX437" s="2"/>
      <c r="AY437" s="2"/>
      <c r="AZ437" s="2"/>
      <c r="BA437" s="2"/>
      <c r="BB437" s="2"/>
      <c r="BC437" s="2"/>
      <c r="BD437" s="2"/>
    </row>
    <row r="438" spans="1:56" ht="14.25" customHeight="1">
      <c r="A438" s="8"/>
      <c r="B438" s="508"/>
      <c r="C438" s="156" t="s">
        <v>166</v>
      </c>
      <c r="D438" s="147"/>
      <c r="E438" s="147"/>
      <c r="F438" s="147"/>
      <c r="G438" s="147"/>
      <c r="H438" s="147"/>
      <c r="I438" s="147"/>
      <c r="J438" s="147"/>
      <c r="K438" s="147"/>
      <c r="L438" s="147"/>
      <c r="M438" s="147"/>
      <c r="N438" s="147"/>
      <c r="O438" s="147"/>
      <c r="P438" s="147"/>
      <c r="Q438" s="147"/>
      <c r="R438" s="147"/>
      <c r="S438" s="147"/>
      <c r="T438" s="148" t="str">
        <f t="shared" si="263"/>
        <v>0</v>
      </c>
      <c r="U438" s="148" t="str">
        <f t="shared" si="264"/>
        <v>0</v>
      </c>
      <c r="V438" s="148" t="str">
        <f t="shared" si="265"/>
        <v>0</v>
      </c>
      <c r="W438" s="148" t="str">
        <f t="shared" si="266"/>
        <v>0</v>
      </c>
      <c r="X438" s="508"/>
      <c r="Y438" s="152">
        <f t="shared" si="267"/>
        <v>0</v>
      </c>
      <c r="Z438" s="150" t="s">
        <v>169</v>
      </c>
      <c r="AA438" s="2"/>
      <c r="AB438" s="26"/>
      <c r="AC438" s="159" t="s">
        <v>162</v>
      </c>
      <c r="AD438" s="159" t="s">
        <v>162</v>
      </c>
      <c r="AE438" s="159" t="s">
        <v>162</v>
      </c>
      <c r="AF438" s="159" t="s">
        <v>162</v>
      </c>
      <c r="AG438" s="31">
        <f t="shared" si="268"/>
        <v>0</v>
      </c>
      <c r="AH438" s="153" t="s">
        <v>162</v>
      </c>
      <c r="AI438" s="2"/>
      <c r="AJ438" s="2"/>
      <c r="AK438" s="2"/>
      <c r="AL438" s="2"/>
      <c r="AM438" s="2"/>
      <c r="AN438" s="2"/>
      <c r="AO438" s="2"/>
      <c r="AP438" s="2"/>
      <c r="AQ438" s="2"/>
      <c r="AR438" s="2"/>
      <c r="AS438" s="2"/>
      <c r="AT438" s="2"/>
      <c r="AU438" s="2"/>
      <c r="AV438" s="2"/>
      <c r="AW438" s="2"/>
      <c r="AX438" s="2"/>
      <c r="AY438" s="2"/>
      <c r="AZ438" s="2"/>
      <c r="BA438" s="2"/>
      <c r="BB438" s="2"/>
      <c r="BC438" s="2"/>
      <c r="BD438" s="2"/>
    </row>
    <row r="439" spans="1:56" ht="14.25" customHeight="1">
      <c r="A439" s="8"/>
      <c r="B439" s="506" t="s">
        <v>83</v>
      </c>
      <c r="C439" s="156" t="s">
        <v>160</v>
      </c>
      <c r="D439" s="147"/>
      <c r="E439" s="147"/>
      <c r="F439" s="147"/>
      <c r="G439" s="147"/>
      <c r="H439" s="147"/>
      <c r="I439" s="147"/>
      <c r="J439" s="147"/>
      <c r="K439" s="147"/>
      <c r="L439" s="147"/>
      <c r="M439" s="147"/>
      <c r="N439" s="147"/>
      <c r="O439" s="147"/>
      <c r="P439" s="147"/>
      <c r="Q439" s="147"/>
      <c r="R439" s="147"/>
      <c r="S439" s="147"/>
      <c r="T439" s="148" t="str">
        <f t="shared" si="263"/>
        <v>0</v>
      </c>
      <c r="U439" s="148" t="str">
        <f t="shared" si="264"/>
        <v>0</v>
      </c>
      <c r="V439" s="148" t="str">
        <f t="shared" si="265"/>
        <v>0</v>
      </c>
      <c r="W439" s="148" t="str">
        <f t="shared" si="266"/>
        <v>0</v>
      </c>
      <c r="X439" s="513">
        <f>SUM(Y439:Y443)/5</f>
        <v>0</v>
      </c>
      <c r="Y439" s="152">
        <f t="shared" si="267"/>
        <v>0</v>
      </c>
      <c r="Z439" s="150" t="s">
        <v>185</v>
      </c>
      <c r="AA439" s="2"/>
      <c r="AB439" s="2"/>
      <c r="AC439" s="160" t="s">
        <v>162</v>
      </c>
      <c r="AD439" s="160" t="s">
        <v>162</v>
      </c>
      <c r="AE439" s="160" t="s">
        <v>162</v>
      </c>
      <c r="AF439" s="160" t="s">
        <v>162</v>
      </c>
      <c r="AG439" s="153" t="str">
        <f t="shared" si="268"/>
        <v>MDP</v>
      </c>
      <c r="AH439" s="153" t="s">
        <v>162</v>
      </c>
      <c r="AI439" s="2"/>
      <c r="AJ439" s="2"/>
      <c r="AK439" s="2"/>
      <c r="AL439" s="2"/>
      <c r="AM439" s="2"/>
      <c r="AN439" s="2"/>
      <c r="AO439" s="2"/>
      <c r="AP439" s="2"/>
      <c r="AQ439" s="2"/>
      <c r="AR439" s="2"/>
      <c r="AS439" s="2"/>
      <c r="AT439" s="2"/>
      <c r="AU439" s="2"/>
      <c r="AV439" s="2"/>
      <c r="AW439" s="2"/>
      <c r="AX439" s="2"/>
      <c r="AY439" s="2"/>
      <c r="AZ439" s="2"/>
      <c r="BA439" s="2"/>
      <c r="BB439" s="2"/>
      <c r="BC439" s="2"/>
      <c r="BD439" s="2"/>
    </row>
    <row r="440" spans="1:56" ht="14.25" customHeight="1">
      <c r="A440" s="8"/>
      <c r="B440" s="507"/>
      <c r="C440" s="156" t="s">
        <v>163</v>
      </c>
      <c r="D440" s="147"/>
      <c r="E440" s="147"/>
      <c r="F440" s="147"/>
      <c r="G440" s="147"/>
      <c r="H440" s="147"/>
      <c r="I440" s="147"/>
      <c r="J440" s="147"/>
      <c r="K440" s="147"/>
      <c r="L440" s="147"/>
      <c r="M440" s="147"/>
      <c r="N440" s="147"/>
      <c r="O440" s="147"/>
      <c r="P440" s="147"/>
      <c r="Q440" s="147"/>
      <c r="R440" s="147"/>
      <c r="S440" s="147"/>
      <c r="T440" s="148" t="str">
        <f t="shared" si="263"/>
        <v>0</v>
      </c>
      <c r="U440" s="148" t="str">
        <f t="shared" si="264"/>
        <v>0</v>
      </c>
      <c r="V440" s="148" t="str">
        <f t="shared" si="265"/>
        <v>0</v>
      </c>
      <c r="W440" s="148" t="str">
        <f t="shared" si="266"/>
        <v>0</v>
      </c>
      <c r="X440" s="507"/>
      <c r="Y440" s="152">
        <f t="shared" si="267"/>
        <v>0</v>
      </c>
      <c r="Z440" s="150" t="s">
        <v>169</v>
      </c>
      <c r="AA440" s="2"/>
      <c r="AB440" s="2"/>
      <c r="AC440" s="153" t="s">
        <v>162</v>
      </c>
      <c r="AD440" s="153" t="s">
        <v>162</v>
      </c>
      <c r="AE440" s="153" t="s">
        <v>162</v>
      </c>
      <c r="AF440" s="153" t="s">
        <v>162</v>
      </c>
      <c r="AG440" s="2">
        <f t="shared" si="268"/>
        <v>0</v>
      </c>
      <c r="AH440" s="153" t="s">
        <v>162</v>
      </c>
      <c r="AI440" s="2"/>
      <c r="AJ440" s="2"/>
      <c r="AK440" s="2"/>
      <c r="AL440" s="2"/>
      <c r="AM440" s="2"/>
      <c r="AN440" s="2"/>
      <c r="AO440" s="2"/>
      <c r="AP440" s="2"/>
      <c r="AQ440" s="2"/>
      <c r="AR440" s="2"/>
      <c r="AS440" s="2"/>
      <c r="AT440" s="2"/>
      <c r="AU440" s="2"/>
      <c r="AV440" s="2"/>
      <c r="AW440" s="2"/>
      <c r="AX440" s="2"/>
      <c r="AY440" s="2"/>
      <c r="AZ440" s="2"/>
      <c r="BA440" s="2"/>
      <c r="BB440" s="2"/>
      <c r="BC440" s="2"/>
      <c r="BD440" s="2"/>
    </row>
    <row r="441" spans="1:56" ht="14.25" customHeight="1">
      <c r="A441" s="8"/>
      <c r="B441" s="507"/>
      <c r="C441" s="156" t="s">
        <v>164</v>
      </c>
      <c r="D441" s="147"/>
      <c r="E441" s="147"/>
      <c r="F441" s="147"/>
      <c r="G441" s="147"/>
      <c r="H441" s="147"/>
      <c r="I441" s="147"/>
      <c r="J441" s="147"/>
      <c r="K441" s="147"/>
      <c r="L441" s="147"/>
      <c r="M441" s="147"/>
      <c r="N441" s="147"/>
      <c r="O441" s="147"/>
      <c r="P441" s="147"/>
      <c r="Q441" s="147"/>
      <c r="R441" s="147"/>
      <c r="S441" s="147"/>
      <c r="T441" s="148" t="str">
        <f t="shared" si="263"/>
        <v>0</v>
      </c>
      <c r="U441" s="148" t="str">
        <f t="shared" si="264"/>
        <v>0</v>
      </c>
      <c r="V441" s="148" t="str">
        <f t="shared" si="265"/>
        <v>0</v>
      </c>
      <c r="W441" s="148" t="str">
        <f t="shared" si="266"/>
        <v>0</v>
      </c>
      <c r="X441" s="507"/>
      <c r="Y441" s="152">
        <f t="shared" si="267"/>
        <v>0</v>
      </c>
      <c r="Z441" s="150" t="s">
        <v>169</v>
      </c>
      <c r="AA441" s="2"/>
      <c r="AB441" s="2"/>
      <c r="AC441" s="153" t="s">
        <v>162</v>
      </c>
      <c r="AD441" s="153" t="s">
        <v>162</v>
      </c>
      <c r="AE441" s="153" t="s">
        <v>162</v>
      </c>
      <c r="AF441" s="153" t="s">
        <v>162</v>
      </c>
      <c r="AG441" s="2">
        <f t="shared" si="268"/>
        <v>0</v>
      </c>
      <c r="AH441" s="153" t="s">
        <v>162</v>
      </c>
      <c r="AI441" s="2"/>
      <c r="AJ441" s="2"/>
      <c r="AK441" s="2"/>
      <c r="AL441" s="2"/>
      <c r="AM441" s="2"/>
      <c r="AN441" s="2"/>
      <c r="AO441" s="2"/>
      <c r="AP441" s="2"/>
      <c r="AQ441" s="2"/>
      <c r="AR441" s="2"/>
      <c r="AS441" s="2"/>
      <c r="AT441" s="2"/>
      <c r="AU441" s="2"/>
      <c r="AV441" s="2"/>
      <c r="AW441" s="2"/>
      <c r="AX441" s="2"/>
      <c r="AY441" s="2"/>
      <c r="AZ441" s="2"/>
      <c r="BA441" s="2"/>
      <c r="BB441" s="2"/>
      <c r="BC441" s="2"/>
      <c r="BD441" s="2"/>
    </row>
    <row r="442" spans="1:56" ht="14.25" customHeight="1">
      <c r="A442" s="8"/>
      <c r="B442" s="507"/>
      <c r="C442" s="156" t="s">
        <v>165</v>
      </c>
      <c r="D442" s="147"/>
      <c r="E442" s="147"/>
      <c r="F442" s="147"/>
      <c r="G442" s="147"/>
      <c r="H442" s="147"/>
      <c r="I442" s="147"/>
      <c r="J442" s="147"/>
      <c r="K442" s="147"/>
      <c r="L442" s="147"/>
      <c r="M442" s="147"/>
      <c r="N442" s="147"/>
      <c r="O442" s="147"/>
      <c r="P442" s="147"/>
      <c r="Q442" s="147"/>
      <c r="R442" s="147"/>
      <c r="S442" s="147"/>
      <c r="T442" s="148" t="str">
        <f t="shared" si="263"/>
        <v>0</v>
      </c>
      <c r="U442" s="148" t="str">
        <f t="shared" si="264"/>
        <v>0</v>
      </c>
      <c r="V442" s="148" t="str">
        <f t="shared" si="265"/>
        <v>0</v>
      </c>
      <c r="W442" s="148" t="str">
        <f t="shared" si="266"/>
        <v>0</v>
      </c>
      <c r="X442" s="507"/>
      <c r="Y442" s="152">
        <f t="shared" si="267"/>
        <v>0</v>
      </c>
      <c r="Z442" s="150" t="s">
        <v>169</v>
      </c>
      <c r="AA442" s="2"/>
      <c r="AB442" s="2"/>
      <c r="AC442" s="153" t="s">
        <v>162</v>
      </c>
      <c r="AD442" s="153" t="s">
        <v>162</v>
      </c>
      <c r="AE442" s="153" t="s">
        <v>162</v>
      </c>
      <c r="AF442" s="153" t="s">
        <v>162</v>
      </c>
      <c r="AG442" s="2">
        <f t="shared" si="268"/>
        <v>0</v>
      </c>
      <c r="AH442" s="153" t="s">
        <v>162</v>
      </c>
      <c r="AI442" s="2"/>
      <c r="AJ442" s="2"/>
      <c r="AK442" s="2"/>
      <c r="AL442" s="2"/>
      <c r="AM442" s="2"/>
      <c r="AN442" s="2"/>
      <c r="AO442" s="2"/>
      <c r="AP442" s="2"/>
      <c r="AQ442" s="2"/>
      <c r="AR442" s="2"/>
      <c r="AS442" s="2"/>
      <c r="AT442" s="2"/>
      <c r="AU442" s="2"/>
      <c r="AV442" s="2"/>
      <c r="AW442" s="2"/>
      <c r="AX442" s="2"/>
      <c r="AY442" s="2"/>
      <c r="AZ442" s="2"/>
      <c r="BA442" s="2"/>
      <c r="BB442" s="2"/>
      <c r="BC442" s="2"/>
      <c r="BD442" s="2"/>
    </row>
    <row r="443" spans="1:56" ht="14.25" customHeight="1">
      <c r="A443" s="8"/>
      <c r="B443" s="508"/>
      <c r="C443" s="156" t="s">
        <v>166</v>
      </c>
      <c r="D443" s="147"/>
      <c r="E443" s="147"/>
      <c r="F443" s="147"/>
      <c r="G443" s="147"/>
      <c r="H443" s="147"/>
      <c r="I443" s="147"/>
      <c r="J443" s="147"/>
      <c r="K443" s="147"/>
      <c r="L443" s="147"/>
      <c r="M443" s="147"/>
      <c r="N443" s="147"/>
      <c r="O443" s="147"/>
      <c r="P443" s="147"/>
      <c r="Q443" s="147"/>
      <c r="R443" s="147"/>
      <c r="S443" s="147"/>
      <c r="T443" s="148" t="str">
        <f t="shared" si="263"/>
        <v>0</v>
      </c>
      <c r="U443" s="148" t="str">
        <f t="shared" si="264"/>
        <v>0</v>
      </c>
      <c r="V443" s="148" t="str">
        <f t="shared" si="265"/>
        <v>0</v>
      </c>
      <c r="W443" s="148" t="str">
        <f t="shared" si="266"/>
        <v>0</v>
      </c>
      <c r="X443" s="508"/>
      <c r="Y443" s="152">
        <f t="shared" si="267"/>
        <v>0</v>
      </c>
      <c r="Z443" s="150" t="s">
        <v>169</v>
      </c>
      <c r="AA443" s="2"/>
      <c r="AB443" s="2"/>
      <c r="AC443" s="161" t="s">
        <v>162</v>
      </c>
      <c r="AD443" s="161" t="s">
        <v>162</v>
      </c>
      <c r="AE443" s="161" t="s">
        <v>162</v>
      </c>
      <c r="AF443" s="161" t="s">
        <v>162</v>
      </c>
      <c r="AG443" s="2">
        <f t="shared" si="268"/>
        <v>0</v>
      </c>
      <c r="AH443" s="153" t="s">
        <v>162</v>
      </c>
      <c r="AI443" s="2"/>
      <c r="AJ443" s="2"/>
      <c r="AK443" s="2"/>
      <c r="AL443" s="2"/>
      <c r="AM443" s="2"/>
      <c r="AN443" s="2"/>
      <c r="AO443" s="2"/>
      <c r="AP443" s="2"/>
      <c r="AQ443" s="2"/>
      <c r="AR443" s="2"/>
      <c r="AS443" s="2"/>
      <c r="AT443" s="2"/>
      <c r="AU443" s="2"/>
      <c r="AV443" s="2"/>
      <c r="AW443" s="2"/>
      <c r="AX443" s="2"/>
      <c r="AY443" s="2"/>
      <c r="AZ443" s="2"/>
      <c r="BA443" s="2"/>
      <c r="BB443" s="2"/>
      <c r="BC443" s="2"/>
      <c r="BD443" s="2"/>
    </row>
    <row r="444" spans="1:56" ht="14.25" customHeight="1">
      <c r="A444" s="8"/>
      <c r="B444" s="512" t="s">
        <v>84</v>
      </c>
      <c r="C444" s="156" t="s">
        <v>160</v>
      </c>
      <c r="D444" s="147"/>
      <c r="E444" s="147"/>
      <c r="F444" s="147"/>
      <c r="G444" s="147"/>
      <c r="H444" s="147"/>
      <c r="I444" s="147"/>
      <c r="J444" s="147"/>
      <c r="K444" s="147"/>
      <c r="L444" s="147"/>
      <c r="M444" s="147"/>
      <c r="N444" s="147"/>
      <c r="O444" s="147"/>
      <c r="P444" s="147"/>
      <c r="Q444" s="147"/>
      <c r="R444" s="147"/>
      <c r="S444" s="147"/>
      <c r="T444" s="148" t="str">
        <f t="shared" si="263"/>
        <v>0</v>
      </c>
      <c r="U444" s="148" t="str">
        <f t="shared" si="264"/>
        <v>0</v>
      </c>
      <c r="V444" s="148" t="str">
        <f t="shared" si="265"/>
        <v>0</v>
      </c>
      <c r="W444" s="148" t="str">
        <f t="shared" si="266"/>
        <v>0</v>
      </c>
      <c r="X444" s="513">
        <f>SUM(Y444:Y448)/5</f>
        <v>0</v>
      </c>
      <c r="Y444" s="152">
        <f t="shared" si="267"/>
        <v>0</v>
      </c>
      <c r="Z444" s="150" t="s">
        <v>186</v>
      </c>
      <c r="AA444" s="2"/>
      <c r="AB444" s="26"/>
      <c r="AC444" s="159" t="s">
        <v>162</v>
      </c>
      <c r="AD444" s="159" t="s">
        <v>162</v>
      </c>
      <c r="AE444" s="159" t="s">
        <v>162</v>
      </c>
      <c r="AF444" s="159" t="s">
        <v>162</v>
      </c>
      <c r="AG444" s="158" t="str">
        <f t="shared" si="268"/>
        <v>MED</v>
      </c>
      <c r="AH444" s="153" t="s">
        <v>162</v>
      </c>
      <c r="AI444" s="2"/>
      <c r="AJ444" s="2"/>
      <c r="AK444" s="2"/>
      <c r="AL444" s="2"/>
      <c r="AM444" s="2"/>
      <c r="AN444" s="2"/>
      <c r="AO444" s="2"/>
      <c r="AP444" s="2"/>
      <c r="AQ444" s="2"/>
      <c r="AR444" s="2"/>
      <c r="AS444" s="2"/>
      <c r="AT444" s="2"/>
      <c r="AU444" s="2"/>
      <c r="AV444" s="2"/>
      <c r="AW444" s="2"/>
      <c r="AX444" s="2"/>
      <c r="AY444" s="2"/>
      <c r="AZ444" s="2"/>
      <c r="BA444" s="2"/>
      <c r="BB444" s="2"/>
      <c r="BC444" s="2"/>
      <c r="BD444" s="2"/>
    </row>
    <row r="445" spans="1:56" ht="14.25" customHeight="1">
      <c r="A445" s="8"/>
      <c r="B445" s="507"/>
      <c r="C445" s="156" t="s">
        <v>163</v>
      </c>
      <c r="D445" s="147"/>
      <c r="E445" s="147"/>
      <c r="F445" s="147"/>
      <c r="G445" s="147"/>
      <c r="H445" s="147"/>
      <c r="I445" s="147"/>
      <c r="J445" s="147"/>
      <c r="K445" s="147"/>
      <c r="L445" s="147"/>
      <c r="M445" s="147"/>
      <c r="N445" s="147"/>
      <c r="O445" s="147"/>
      <c r="P445" s="147"/>
      <c r="Q445" s="147"/>
      <c r="R445" s="147"/>
      <c r="S445" s="147"/>
      <c r="T445" s="148" t="str">
        <f t="shared" si="263"/>
        <v>0</v>
      </c>
      <c r="U445" s="148" t="str">
        <f t="shared" si="264"/>
        <v>0</v>
      </c>
      <c r="V445" s="148" t="str">
        <f t="shared" si="265"/>
        <v>0</v>
      </c>
      <c r="W445" s="148" t="str">
        <f t="shared" si="266"/>
        <v>0</v>
      </c>
      <c r="X445" s="507"/>
      <c r="Y445" s="152">
        <f t="shared" si="267"/>
        <v>0</v>
      </c>
      <c r="Z445" s="150" t="s">
        <v>169</v>
      </c>
      <c r="AA445" s="2"/>
      <c r="AB445" s="26"/>
      <c r="AC445" s="159" t="s">
        <v>162</v>
      </c>
      <c r="AD445" s="159" t="s">
        <v>162</v>
      </c>
      <c r="AE445" s="159" t="s">
        <v>162</v>
      </c>
      <c r="AF445" s="159" t="s">
        <v>162</v>
      </c>
      <c r="AG445" s="31">
        <f t="shared" si="268"/>
        <v>0</v>
      </c>
      <c r="AH445" s="153" t="s">
        <v>162</v>
      </c>
      <c r="AI445" s="2"/>
      <c r="AJ445" s="2"/>
      <c r="AK445" s="2"/>
      <c r="AL445" s="2"/>
      <c r="AM445" s="2"/>
      <c r="AN445" s="2"/>
      <c r="AO445" s="2"/>
      <c r="AP445" s="2"/>
      <c r="AQ445" s="2"/>
      <c r="AR445" s="2"/>
      <c r="AS445" s="2"/>
      <c r="AT445" s="2"/>
      <c r="AU445" s="2"/>
      <c r="AV445" s="2"/>
      <c r="AW445" s="2"/>
      <c r="AX445" s="2"/>
      <c r="AY445" s="2"/>
      <c r="AZ445" s="2"/>
      <c r="BA445" s="2"/>
      <c r="BB445" s="2"/>
      <c r="BC445" s="2"/>
      <c r="BD445" s="2"/>
    </row>
    <row r="446" spans="1:56" ht="14.25" customHeight="1">
      <c r="A446" s="8"/>
      <c r="B446" s="507"/>
      <c r="C446" s="156" t="s">
        <v>164</v>
      </c>
      <c r="D446" s="147"/>
      <c r="E446" s="147"/>
      <c r="F446" s="147"/>
      <c r="G446" s="147"/>
      <c r="H446" s="147"/>
      <c r="I446" s="147"/>
      <c r="J446" s="147"/>
      <c r="K446" s="147"/>
      <c r="L446" s="147"/>
      <c r="M446" s="147"/>
      <c r="N446" s="147"/>
      <c r="O446" s="147"/>
      <c r="P446" s="147"/>
      <c r="Q446" s="147"/>
      <c r="R446" s="147"/>
      <c r="S446" s="147"/>
      <c r="T446" s="148" t="str">
        <f t="shared" si="263"/>
        <v>0</v>
      </c>
      <c r="U446" s="148" t="str">
        <f t="shared" si="264"/>
        <v>0</v>
      </c>
      <c r="V446" s="148" t="str">
        <f t="shared" si="265"/>
        <v>0</v>
      </c>
      <c r="W446" s="148" t="str">
        <f t="shared" si="266"/>
        <v>0</v>
      </c>
      <c r="X446" s="507"/>
      <c r="Y446" s="152">
        <f t="shared" si="267"/>
        <v>0</v>
      </c>
      <c r="Z446" s="150" t="s">
        <v>169</v>
      </c>
      <c r="AA446" s="2"/>
      <c r="AB446" s="26"/>
      <c r="AC446" s="159" t="s">
        <v>162</v>
      </c>
      <c r="AD446" s="159" t="s">
        <v>162</v>
      </c>
      <c r="AE446" s="159" t="s">
        <v>162</v>
      </c>
      <c r="AF446" s="159" t="s">
        <v>162</v>
      </c>
      <c r="AG446" s="31">
        <f t="shared" si="268"/>
        <v>0</v>
      </c>
      <c r="AH446" s="153" t="s">
        <v>162</v>
      </c>
      <c r="AI446" s="2"/>
      <c r="AJ446" s="2"/>
      <c r="AK446" s="2"/>
      <c r="AL446" s="2"/>
      <c r="AM446" s="2"/>
      <c r="AN446" s="2"/>
      <c r="AO446" s="2"/>
      <c r="AP446" s="2"/>
      <c r="AQ446" s="2"/>
      <c r="AR446" s="2"/>
      <c r="AS446" s="2"/>
      <c r="AT446" s="2"/>
      <c r="AU446" s="2"/>
      <c r="AV446" s="2"/>
      <c r="AW446" s="2"/>
      <c r="AX446" s="2"/>
      <c r="AY446" s="2"/>
      <c r="AZ446" s="2"/>
      <c r="BA446" s="2"/>
      <c r="BB446" s="2"/>
      <c r="BC446" s="2"/>
      <c r="BD446" s="2"/>
    </row>
    <row r="447" spans="1:56" ht="14.25" customHeight="1">
      <c r="A447" s="8"/>
      <c r="B447" s="507"/>
      <c r="C447" s="156" t="s">
        <v>165</v>
      </c>
      <c r="D447" s="147"/>
      <c r="E447" s="147"/>
      <c r="F447" s="147"/>
      <c r="G447" s="147"/>
      <c r="H447" s="147"/>
      <c r="I447" s="147"/>
      <c r="J447" s="147"/>
      <c r="K447" s="147"/>
      <c r="L447" s="147"/>
      <c r="M447" s="147"/>
      <c r="N447" s="147"/>
      <c r="O447" s="147"/>
      <c r="P447" s="147"/>
      <c r="Q447" s="147"/>
      <c r="R447" s="147"/>
      <c r="S447" s="147"/>
      <c r="T447" s="148" t="str">
        <f t="shared" si="263"/>
        <v>0</v>
      </c>
      <c r="U447" s="148" t="str">
        <f t="shared" si="264"/>
        <v>0</v>
      </c>
      <c r="V447" s="148" t="str">
        <f t="shared" si="265"/>
        <v>0</v>
      </c>
      <c r="W447" s="148" t="str">
        <f t="shared" si="266"/>
        <v>0</v>
      </c>
      <c r="X447" s="507"/>
      <c r="Y447" s="152">
        <f t="shared" si="267"/>
        <v>0</v>
      </c>
      <c r="Z447" s="150" t="s">
        <v>169</v>
      </c>
      <c r="AA447" s="2"/>
      <c r="AB447" s="26"/>
      <c r="AC447" s="159" t="s">
        <v>162</v>
      </c>
      <c r="AD447" s="159" t="s">
        <v>162</v>
      </c>
      <c r="AE447" s="159" t="s">
        <v>162</v>
      </c>
      <c r="AF447" s="159" t="s">
        <v>162</v>
      </c>
      <c r="AG447" s="31">
        <f t="shared" si="268"/>
        <v>0</v>
      </c>
      <c r="AH447" s="153" t="s">
        <v>162</v>
      </c>
      <c r="AI447" s="2"/>
      <c r="AJ447" s="2"/>
      <c r="AK447" s="2"/>
      <c r="AL447" s="2"/>
      <c r="AM447" s="2"/>
      <c r="AN447" s="2"/>
      <c r="AO447" s="2"/>
      <c r="AP447" s="2"/>
      <c r="AQ447" s="2"/>
      <c r="AR447" s="2"/>
      <c r="AS447" s="2"/>
      <c r="AT447" s="2"/>
      <c r="AU447" s="2"/>
      <c r="AV447" s="2"/>
      <c r="AW447" s="2"/>
      <c r="AX447" s="2"/>
      <c r="AY447" s="2"/>
      <c r="AZ447" s="2"/>
      <c r="BA447" s="2"/>
      <c r="BB447" s="2"/>
      <c r="BC447" s="2"/>
      <c r="BD447" s="2"/>
    </row>
    <row r="448" spans="1:56" ht="14.25" customHeight="1">
      <c r="A448" s="8"/>
      <c r="B448" s="508"/>
      <c r="C448" s="156" t="s">
        <v>166</v>
      </c>
      <c r="D448" s="147"/>
      <c r="E448" s="147"/>
      <c r="F448" s="147"/>
      <c r="G448" s="147"/>
      <c r="H448" s="147"/>
      <c r="I448" s="147"/>
      <c r="J448" s="147"/>
      <c r="K448" s="147"/>
      <c r="L448" s="147"/>
      <c r="M448" s="147"/>
      <c r="N448" s="147"/>
      <c r="O448" s="147"/>
      <c r="P448" s="147"/>
      <c r="Q448" s="147"/>
      <c r="R448" s="147"/>
      <c r="S448" s="147"/>
      <c r="T448" s="148" t="str">
        <f t="shared" si="263"/>
        <v>0</v>
      </c>
      <c r="U448" s="148" t="str">
        <f t="shared" si="264"/>
        <v>0</v>
      </c>
      <c r="V448" s="148" t="str">
        <f t="shared" si="265"/>
        <v>0</v>
      </c>
      <c r="W448" s="148" t="str">
        <f t="shared" si="266"/>
        <v>0</v>
      </c>
      <c r="X448" s="508"/>
      <c r="Y448" s="152">
        <f t="shared" si="267"/>
        <v>0</v>
      </c>
      <c r="Z448" s="150" t="s">
        <v>169</v>
      </c>
      <c r="AA448" s="2"/>
      <c r="AB448" s="26"/>
      <c r="AC448" s="159" t="s">
        <v>162</v>
      </c>
      <c r="AD448" s="159" t="s">
        <v>162</v>
      </c>
      <c r="AE448" s="159" t="s">
        <v>162</v>
      </c>
      <c r="AF448" s="159" t="s">
        <v>162</v>
      </c>
      <c r="AG448" s="31">
        <f t="shared" si="268"/>
        <v>0</v>
      </c>
      <c r="AH448" s="153" t="s">
        <v>162</v>
      </c>
      <c r="AI448" s="2"/>
      <c r="AJ448" s="2"/>
      <c r="AK448" s="2"/>
      <c r="AL448" s="2"/>
      <c r="AM448" s="2"/>
      <c r="AN448" s="2"/>
      <c r="AO448" s="2"/>
      <c r="AP448" s="2"/>
      <c r="AQ448" s="2"/>
      <c r="AR448" s="2"/>
      <c r="AS448" s="2"/>
      <c r="AT448" s="2"/>
      <c r="AU448" s="2"/>
      <c r="AV448" s="2"/>
      <c r="AW448" s="2"/>
      <c r="AX448" s="2"/>
      <c r="AY448" s="2"/>
      <c r="AZ448" s="2"/>
      <c r="BA448" s="2"/>
      <c r="BB448" s="2"/>
      <c r="BC448" s="2"/>
      <c r="BD448" s="2"/>
    </row>
    <row r="449" spans="1:56" ht="14.25" customHeight="1">
      <c r="A449" s="8"/>
      <c r="B449" s="506" t="s">
        <v>85</v>
      </c>
      <c r="C449" s="156" t="s">
        <v>160</v>
      </c>
      <c r="D449" s="147"/>
      <c r="E449" s="147"/>
      <c r="F449" s="147"/>
      <c r="G449" s="147"/>
      <c r="H449" s="147"/>
      <c r="I449" s="147"/>
      <c r="J449" s="147"/>
      <c r="K449" s="147"/>
      <c r="L449" s="147"/>
      <c r="M449" s="147"/>
      <c r="N449" s="147"/>
      <c r="O449" s="147"/>
      <c r="P449" s="147"/>
      <c r="Q449" s="147"/>
      <c r="R449" s="147"/>
      <c r="S449" s="147"/>
      <c r="T449" s="148" t="str">
        <f t="shared" si="263"/>
        <v>0</v>
      </c>
      <c r="U449" s="148" t="str">
        <f t="shared" si="264"/>
        <v>0</v>
      </c>
      <c r="V449" s="148" t="str">
        <f t="shared" si="265"/>
        <v>0</v>
      </c>
      <c r="W449" s="148" t="str">
        <f t="shared" si="266"/>
        <v>0</v>
      </c>
      <c r="X449" s="513">
        <f>SUM(Y449:Y453)/5</f>
        <v>0</v>
      </c>
      <c r="Y449" s="152">
        <f t="shared" si="267"/>
        <v>0</v>
      </c>
      <c r="Z449" s="150" t="s">
        <v>187</v>
      </c>
      <c r="AA449" s="2"/>
      <c r="AB449" s="2"/>
      <c r="AC449" s="160" t="s">
        <v>162</v>
      </c>
      <c r="AD449" s="160" t="s">
        <v>162</v>
      </c>
      <c r="AE449" s="160" t="s">
        <v>162</v>
      </c>
      <c r="AF449" s="160" t="s">
        <v>162</v>
      </c>
      <c r="AG449" s="153" t="str">
        <f t="shared" si="268"/>
        <v>MEM</v>
      </c>
      <c r="AH449" s="153" t="s">
        <v>162</v>
      </c>
      <c r="AI449" s="2"/>
      <c r="AJ449" s="2"/>
      <c r="AK449" s="2"/>
      <c r="AL449" s="2"/>
      <c r="AM449" s="2"/>
      <c r="AN449" s="2"/>
      <c r="AO449" s="2"/>
      <c r="AP449" s="2"/>
      <c r="AQ449" s="2"/>
      <c r="AR449" s="2"/>
      <c r="AS449" s="2"/>
      <c r="AT449" s="2"/>
      <c r="AU449" s="2"/>
      <c r="AV449" s="2"/>
      <c r="AW449" s="2"/>
      <c r="AX449" s="2"/>
      <c r="AY449" s="2"/>
      <c r="AZ449" s="2"/>
      <c r="BA449" s="2"/>
      <c r="BB449" s="2"/>
      <c r="BC449" s="2"/>
      <c r="BD449" s="2"/>
    </row>
    <row r="450" spans="1:56" ht="14.25" customHeight="1">
      <c r="A450" s="8"/>
      <c r="B450" s="507"/>
      <c r="C450" s="156" t="s">
        <v>163</v>
      </c>
      <c r="D450" s="147"/>
      <c r="E450" s="147"/>
      <c r="F450" s="147"/>
      <c r="G450" s="147"/>
      <c r="H450" s="147"/>
      <c r="I450" s="147"/>
      <c r="J450" s="147"/>
      <c r="K450" s="147"/>
      <c r="L450" s="147"/>
      <c r="M450" s="147"/>
      <c r="N450" s="147"/>
      <c r="O450" s="147"/>
      <c r="P450" s="147"/>
      <c r="Q450" s="147"/>
      <c r="R450" s="147"/>
      <c r="S450" s="147"/>
      <c r="T450" s="148" t="str">
        <f t="shared" si="263"/>
        <v>0</v>
      </c>
      <c r="U450" s="148" t="str">
        <f t="shared" si="264"/>
        <v>0</v>
      </c>
      <c r="V450" s="148" t="str">
        <f t="shared" si="265"/>
        <v>0</v>
      </c>
      <c r="W450" s="148" t="str">
        <f t="shared" si="266"/>
        <v>0</v>
      </c>
      <c r="X450" s="507"/>
      <c r="Y450" s="152">
        <f t="shared" si="267"/>
        <v>0</v>
      </c>
      <c r="Z450" s="150" t="s">
        <v>169</v>
      </c>
      <c r="AA450" s="2"/>
      <c r="AB450" s="2"/>
      <c r="AC450" s="153" t="s">
        <v>162</v>
      </c>
      <c r="AD450" s="153" t="s">
        <v>162</v>
      </c>
      <c r="AE450" s="153" t="s">
        <v>162</v>
      </c>
      <c r="AF450" s="153" t="s">
        <v>162</v>
      </c>
      <c r="AG450" s="2">
        <f t="shared" si="268"/>
        <v>0</v>
      </c>
      <c r="AH450" s="153" t="s">
        <v>162</v>
      </c>
      <c r="AI450" s="2"/>
      <c r="AJ450" s="2"/>
      <c r="AK450" s="2"/>
      <c r="AL450" s="2"/>
      <c r="AM450" s="2"/>
      <c r="AN450" s="2"/>
      <c r="AO450" s="2"/>
      <c r="AP450" s="2"/>
      <c r="AQ450" s="2"/>
      <c r="AR450" s="2"/>
      <c r="AS450" s="2"/>
      <c r="AT450" s="2"/>
      <c r="AU450" s="2"/>
      <c r="AV450" s="2"/>
      <c r="AW450" s="2"/>
      <c r="AX450" s="2"/>
      <c r="AY450" s="2"/>
      <c r="AZ450" s="2"/>
      <c r="BA450" s="2"/>
      <c r="BB450" s="2"/>
      <c r="BC450" s="2"/>
      <c r="BD450" s="2"/>
    </row>
    <row r="451" spans="1:56" ht="14.25" customHeight="1">
      <c r="A451" s="8"/>
      <c r="B451" s="507"/>
      <c r="C451" s="156" t="s">
        <v>164</v>
      </c>
      <c r="D451" s="147"/>
      <c r="E451" s="147"/>
      <c r="F451" s="147"/>
      <c r="G451" s="147"/>
      <c r="H451" s="147"/>
      <c r="I451" s="147"/>
      <c r="J451" s="147"/>
      <c r="K451" s="147"/>
      <c r="L451" s="147"/>
      <c r="M451" s="147"/>
      <c r="N451" s="147"/>
      <c r="O451" s="147"/>
      <c r="P451" s="147"/>
      <c r="Q451" s="147"/>
      <c r="R451" s="147"/>
      <c r="S451" s="147"/>
      <c r="T451" s="148" t="str">
        <f t="shared" si="263"/>
        <v>0</v>
      </c>
      <c r="U451" s="148" t="str">
        <f t="shared" si="264"/>
        <v>0</v>
      </c>
      <c r="V451" s="148" t="str">
        <f t="shared" si="265"/>
        <v>0</v>
      </c>
      <c r="W451" s="148" t="str">
        <f t="shared" si="266"/>
        <v>0</v>
      </c>
      <c r="X451" s="507"/>
      <c r="Y451" s="152">
        <f t="shared" si="267"/>
        <v>0</v>
      </c>
      <c r="Z451" s="150" t="s">
        <v>169</v>
      </c>
      <c r="AA451" s="2"/>
      <c r="AB451" s="2"/>
      <c r="AC451" s="153" t="s">
        <v>162</v>
      </c>
      <c r="AD451" s="153" t="s">
        <v>162</v>
      </c>
      <c r="AE451" s="153" t="s">
        <v>162</v>
      </c>
      <c r="AF451" s="153" t="s">
        <v>162</v>
      </c>
      <c r="AG451" s="2">
        <f t="shared" si="268"/>
        <v>0</v>
      </c>
      <c r="AH451" s="153" t="s">
        <v>162</v>
      </c>
      <c r="AI451" s="2"/>
      <c r="AJ451" s="2"/>
      <c r="AK451" s="2"/>
      <c r="AL451" s="2"/>
      <c r="AM451" s="2"/>
      <c r="AN451" s="2"/>
      <c r="AO451" s="2"/>
      <c r="AP451" s="2"/>
      <c r="AQ451" s="2"/>
      <c r="AR451" s="2"/>
      <c r="AS451" s="2"/>
      <c r="AT451" s="2"/>
      <c r="AU451" s="2"/>
      <c r="AV451" s="2"/>
      <c r="AW451" s="2"/>
      <c r="AX451" s="2"/>
      <c r="AY451" s="2"/>
      <c r="AZ451" s="2"/>
      <c r="BA451" s="2"/>
      <c r="BB451" s="2"/>
      <c r="BC451" s="2"/>
      <c r="BD451" s="2"/>
    </row>
    <row r="452" spans="1:56" ht="14.25" customHeight="1">
      <c r="A452" s="8"/>
      <c r="B452" s="507"/>
      <c r="C452" s="156" t="s">
        <v>165</v>
      </c>
      <c r="D452" s="147"/>
      <c r="E452" s="147"/>
      <c r="F452" s="147"/>
      <c r="G452" s="147"/>
      <c r="H452" s="147"/>
      <c r="I452" s="147"/>
      <c r="J452" s="147"/>
      <c r="K452" s="147"/>
      <c r="L452" s="147"/>
      <c r="M452" s="147"/>
      <c r="N452" s="147"/>
      <c r="O452" s="147"/>
      <c r="P452" s="147"/>
      <c r="Q452" s="147"/>
      <c r="R452" s="147"/>
      <c r="S452" s="147"/>
      <c r="T452" s="148" t="str">
        <f t="shared" si="263"/>
        <v>0</v>
      </c>
      <c r="U452" s="148" t="str">
        <f t="shared" si="264"/>
        <v>0</v>
      </c>
      <c r="V452" s="148" t="str">
        <f t="shared" si="265"/>
        <v>0</v>
      </c>
      <c r="W452" s="148" t="str">
        <f t="shared" si="266"/>
        <v>0</v>
      </c>
      <c r="X452" s="507"/>
      <c r="Y452" s="152">
        <f t="shared" si="267"/>
        <v>0</v>
      </c>
      <c r="Z452" s="150" t="s">
        <v>169</v>
      </c>
      <c r="AA452" s="2"/>
      <c r="AB452" s="2"/>
      <c r="AC452" s="153" t="s">
        <v>162</v>
      </c>
      <c r="AD452" s="153" t="s">
        <v>162</v>
      </c>
      <c r="AE452" s="153" t="s">
        <v>162</v>
      </c>
      <c r="AF452" s="153" t="s">
        <v>162</v>
      </c>
      <c r="AG452" s="2">
        <f t="shared" si="268"/>
        <v>0</v>
      </c>
      <c r="AH452" s="153" t="s">
        <v>162</v>
      </c>
      <c r="AI452" s="2"/>
      <c r="AJ452" s="2"/>
      <c r="AK452" s="2"/>
      <c r="AL452" s="2"/>
      <c r="AM452" s="2"/>
      <c r="AN452" s="2"/>
      <c r="AO452" s="2"/>
      <c r="AP452" s="2"/>
      <c r="AQ452" s="2"/>
      <c r="AR452" s="2"/>
      <c r="AS452" s="2"/>
      <c r="AT452" s="2"/>
      <c r="AU452" s="2"/>
      <c r="AV452" s="2"/>
      <c r="AW452" s="2"/>
      <c r="AX452" s="2"/>
      <c r="AY452" s="2"/>
      <c r="AZ452" s="2"/>
      <c r="BA452" s="2"/>
      <c r="BB452" s="2"/>
      <c r="BC452" s="2"/>
      <c r="BD452" s="2"/>
    </row>
    <row r="453" spans="1:56" ht="14.25" customHeight="1">
      <c r="A453" s="8"/>
      <c r="B453" s="508"/>
      <c r="C453" s="156" t="s">
        <v>166</v>
      </c>
      <c r="D453" s="147"/>
      <c r="E453" s="147"/>
      <c r="F453" s="147"/>
      <c r="G453" s="147"/>
      <c r="H453" s="147"/>
      <c r="I453" s="147"/>
      <c r="J453" s="147"/>
      <c r="K453" s="147"/>
      <c r="L453" s="147"/>
      <c r="M453" s="147"/>
      <c r="N453" s="147"/>
      <c r="O453" s="147"/>
      <c r="P453" s="147"/>
      <c r="Q453" s="147"/>
      <c r="R453" s="147"/>
      <c r="S453" s="147"/>
      <c r="T453" s="148" t="str">
        <f t="shared" si="263"/>
        <v>0</v>
      </c>
      <c r="U453" s="148" t="str">
        <f t="shared" si="264"/>
        <v>0</v>
      </c>
      <c r="V453" s="148" t="str">
        <f t="shared" si="265"/>
        <v>0</v>
      </c>
      <c r="W453" s="148" t="str">
        <f t="shared" si="266"/>
        <v>0</v>
      </c>
      <c r="X453" s="508"/>
      <c r="Y453" s="152">
        <f t="shared" si="267"/>
        <v>0</v>
      </c>
      <c r="Z453" s="150" t="s">
        <v>169</v>
      </c>
      <c r="AA453" s="2"/>
      <c r="AB453" s="2"/>
      <c r="AC453" s="153" t="s">
        <v>162</v>
      </c>
      <c r="AD453" s="153" t="s">
        <v>162</v>
      </c>
      <c r="AE453" s="153" t="s">
        <v>162</v>
      </c>
      <c r="AF453" s="153" t="s">
        <v>162</v>
      </c>
      <c r="AG453" s="2">
        <f t="shared" si="268"/>
        <v>0</v>
      </c>
      <c r="AH453" s="153" t="s">
        <v>162</v>
      </c>
      <c r="AI453" s="2"/>
      <c r="AJ453" s="2"/>
      <c r="AK453" s="2"/>
      <c r="AL453" s="2"/>
      <c r="AM453" s="2"/>
      <c r="AN453" s="2"/>
      <c r="AO453" s="2"/>
      <c r="AP453" s="2"/>
      <c r="AQ453" s="2"/>
      <c r="AR453" s="2"/>
      <c r="AS453" s="2"/>
      <c r="AT453" s="2"/>
      <c r="AU453" s="2"/>
      <c r="AV453" s="2"/>
      <c r="AW453" s="2"/>
      <c r="AX453" s="2"/>
      <c r="AY453" s="2"/>
      <c r="AZ453" s="2"/>
      <c r="BA453" s="2"/>
      <c r="BB453" s="2"/>
      <c r="BC453" s="2"/>
      <c r="BD453" s="2"/>
    </row>
    <row r="454" spans="1:56" ht="14.25" customHeight="1">
      <c r="A454" s="8"/>
      <c r="B454" s="506" t="s">
        <v>99</v>
      </c>
      <c r="C454" s="156" t="s">
        <v>160</v>
      </c>
      <c r="D454" s="147"/>
      <c r="E454" s="147"/>
      <c r="F454" s="147"/>
      <c r="G454" s="147"/>
      <c r="H454" s="147"/>
      <c r="I454" s="147"/>
      <c r="J454" s="147"/>
      <c r="K454" s="147"/>
      <c r="L454" s="147"/>
      <c r="M454" s="147"/>
      <c r="N454" s="147"/>
      <c r="O454" s="147"/>
      <c r="P454" s="147"/>
      <c r="Q454" s="147"/>
      <c r="R454" s="147"/>
      <c r="S454" s="147"/>
      <c r="T454" s="148" t="str">
        <f t="shared" si="263"/>
        <v>0</v>
      </c>
      <c r="U454" s="148" t="str">
        <f t="shared" si="264"/>
        <v>0</v>
      </c>
      <c r="V454" s="148" t="str">
        <f t="shared" si="265"/>
        <v>0</v>
      </c>
      <c r="W454" s="148" t="str">
        <f t="shared" si="266"/>
        <v>0</v>
      </c>
      <c r="X454" s="513">
        <f>SUM(Y454:Y458)/4</f>
        <v>0</v>
      </c>
      <c r="Y454" s="152">
        <f t="shared" si="267"/>
        <v>0</v>
      </c>
      <c r="Z454" s="150" t="s">
        <v>188</v>
      </c>
      <c r="AA454" s="2"/>
      <c r="AB454" s="2"/>
      <c r="AC454" s="153" t="s">
        <v>162</v>
      </c>
      <c r="AD454" s="153" t="s">
        <v>162</v>
      </c>
      <c r="AE454" s="153" t="s">
        <v>162</v>
      </c>
      <c r="AF454" s="153" t="s">
        <v>162</v>
      </c>
      <c r="AG454" s="153" t="str">
        <f t="shared" si="268"/>
        <v>MEM-UCO</v>
      </c>
      <c r="AH454" s="153" t="s">
        <v>162</v>
      </c>
      <c r="AI454" s="2"/>
      <c r="AJ454" s="2"/>
      <c r="AK454" s="2"/>
      <c r="AL454" s="2"/>
      <c r="AM454" s="2"/>
      <c r="AN454" s="2"/>
      <c r="AO454" s="2"/>
      <c r="AP454" s="2"/>
      <c r="AQ454" s="2"/>
      <c r="AR454" s="2"/>
      <c r="AS454" s="2"/>
      <c r="AT454" s="2"/>
      <c r="AU454" s="2"/>
      <c r="AV454" s="2"/>
      <c r="AW454" s="2"/>
      <c r="AX454" s="2"/>
      <c r="AY454" s="2"/>
      <c r="AZ454" s="2"/>
      <c r="BA454" s="2"/>
      <c r="BB454" s="2"/>
      <c r="BC454" s="2"/>
      <c r="BD454" s="2"/>
    </row>
    <row r="455" spans="1:56" ht="14.25" customHeight="1">
      <c r="A455" s="8"/>
      <c r="B455" s="507"/>
      <c r="C455" s="156" t="s">
        <v>163</v>
      </c>
      <c r="D455" s="147"/>
      <c r="E455" s="147"/>
      <c r="F455" s="147"/>
      <c r="G455" s="147"/>
      <c r="H455" s="147"/>
      <c r="I455" s="147"/>
      <c r="J455" s="147"/>
      <c r="K455" s="147"/>
      <c r="L455" s="147"/>
      <c r="M455" s="147"/>
      <c r="N455" s="147"/>
      <c r="O455" s="147"/>
      <c r="P455" s="147"/>
      <c r="Q455" s="147"/>
      <c r="R455" s="147"/>
      <c r="S455" s="147"/>
      <c r="T455" s="148" t="str">
        <f t="shared" ref="T455:T486" si="269">IFERROR(AVERAGE(D455,H455,L455,P455),"0")</f>
        <v>0</v>
      </c>
      <c r="U455" s="148" t="str">
        <f t="shared" ref="U455:U486" si="270">IFERROR(AVERAGE(E455,I455,M455,Q455),"0")</f>
        <v>0</v>
      </c>
      <c r="V455" s="148" t="str">
        <f t="shared" ref="V455:V486" si="271">IFERROR(AVERAGE(F455,J455,N455,R455),"0")</f>
        <v>0</v>
      </c>
      <c r="W455" s="148" t="str">
        <f t="shared" ref="W455:W486" si="272">IFERROR(AVERAGE(G455,K455,O455,S455),"0")</f>
        <v>0</v>
      </c>
      <c r="X455" s="507"/>
      <c r="Y455" s="152">
        <f t="shared" ref="Y455:Y486" si="273">((4*T455)+(3*U455)+(2*V455)+W455)/4</f>
        <v>0</v>
      </c>
      <c r="Z455" s="150" t="s">
        <v>169</v>
      </c>
      <c r="AA455" s="2"/>
      <c r="AB455" s="2"/>
      <c r="AC455" s="153" t="s">
        <v>162</v>
      </c>
      <c r="AD455" s="153" t="s">
        <v>162</v>
      </c>
      <c r="AE455" s="153" t="s">
        <v>162</v>
      </c>
      <c r="AF455" s="153" t="s">
        <v>162</v>
      </c>
      <c r="AG455" s="2">
        <f t="shared" ref="AG455:AG486" si="274">B455</f>
        <v>0</v>
      </c>
      <c r="AH455" s="153" t="s">
        <v>162</v>
      </c>
      <c r="AI455" s="2"/>
      <c r="AJ455" s="2"/>
      <c r="AK455" s="2"/>
      <c r="AL455" s="2"/>
      <c r="AM455" s="2"/>
      <c r="AN455" s="2"/>
      <c r="AO455" s="2"/>
      <c r="AP455" s="2"/>
      <c r="AQ455" s="2"/>
      <c r="AR455" s="2"/>
      <c r="AS455" s="2"/>
      <c r="AT455" s="2"/>
      <c r="AU455" s="2"/>
      <c r="AV455" s="2"/>
      <c r="AW455" s="2"/>
      <c r="AX455" s="2"/>
      <c r="AY455" s="2"/>
      <c r="AZ455" s="2"/>
      <c r="BA455" s="2"/>
      <c r="BB455" s="2"/>
      <c r="BC455" s="2"/>
      <c r="BD455" s="2"/>
    </row>
    <row r="456" spans="1:56" ht="14.25" customHeight="1">
      <c r="A456" s="8"/>
      <c r="B456" s="507"/>
      <c r="C456" s="156" t="s">
        <v>164</v>
      </c>
      <c r="D456" s="147"/>
      <c r="E456" s="147"/>
      <c r="F456" s="147"/>
      <c r="G456" s="147"/>
      <c r="H456" s="147"/>
      <c r="I456" s="147"/>
      <c r="J456" s="147"/>
      <c r="K456" s="147"/>
      <c r="L456" s="147"/>
      <c r="M456" s="147"/>
      <c r="N456" s="147"/>
      <c r="O456" s="147"/>
      <c r="P456" s="147"/>
      <c r="Q456" s="147"/>
      <c r="R456" s="147"/>
      <c r="S456" s="147"/>
      <c r="T456" s="148" t="str">
        <f t="shared" si="269"/>
        <v>0</v>
      </c>
      <c r="U456" s="148" t="str">
        <f t="shared" si="270"/>
        <v>0</v>
      </c>
      <c r="V456" s="148" t="str">
        <f t="shared" si="271"/>
        <v>0</v>
      </c>
      <c r="W456" s="148" t="str">
        <f t="shared" si="272"/>
        <v>0</v>
      </c>
      <c r="X456" s="507"/>
      <c r="Y456" s="152">
        <f t="shared" si="273"/>
        <v>0</v>
      </c>
      <c r="Z456" s="150" t="s">
        <v>169</v>
      </c>
      <c r="AA456" s="2"/>
      <c r="AB456" s="2"/>
      <c r="AC456" s="153" t="s">
        <v>162</v>
      </c>
      <c r="AD456" s="153" t="s">
        <v>162</v>
      </c>
      <c r="AE456" s="153" t="s">
        <v>162</v>
      </c>
      <c r="AF456" s="153" t="s">
        <v>162</v>
      </c>
      <c r="AG456" s="2">
        <f t="shared" si="274"/>
        <v>0</v>
      </c>
      <c r="AH456" s="153" t="s">
        <v>162</v>
      </c>
      <c r="AI456" s="2"/>
      <c r="AJ456" s="2"/>
      <c r="AK456" s="2"/>
      <c r="AL456" s="2"/>
      <c r="AM456" s="2"/>
      <c r="AN456" s="2"/>
      <c r="AO456" s="2"/>
      <c r="AP456" s="2"/>
      <c r="AQ456" s="2"/>
      <c r="AR456" s="2"/>
      <c r="AS456" s="2"/>
      <c r="AT456" s="2"/>
      <c r="AU456" s="2"/>
      <c r="AV456" s="2"/>
      <c r="AW456" s="2"/>
      <c r="AX456" s="2"/>
      <c r="AY456" s="2"/>
      <c r="AZ456" s="2"/>
      <c r="BA456" s="2"/>
      <c r="BB456" s="2"/>
      <c r="BC456" s="2"/>
      <c r="BD456" s="2"/>
    </row>
    <row r="457" spans="1:56" ht="14.25" customHeight="1">
      <c r="A457" s="8"/>
      <c r="B457" s="507"/>
      <c r="C457" s="156" t="s">
        <v>165</v>
      </c>
      <c r="D457" s="147"/>
      <c r="E457" s="147"/>
      <c r="F457" s="147"/>
      <c r="G457" s="147"/>
      <c r="H457" s="147"/>
      <c r="I457" s="147"/>
      <c r="J457" s="147"/>
      <c r="K457" s="147"/>
      <c r="L457" s="147"/>
      <c r="M457" s="147"/>
      <c r="N457" s="147"/>
      <c r="O457" s="147"/>
      <c r="P457" s="147"/>
      <c r="Q457" s="147"/>
      <c r="R457" s="147"/>
      <c r="S457" s="147"/>
      <c r="T457" s="148" t="str">
        <f t="shared" si="269"/>
        <v>0</v>
      </c>
      <c r="U457" s="148" t="str">
        <f t="shared" si="270"/>
        <v>0</v>
      </c>
      <c r="V457" s="148" t="str">
        <f t="shared" si="271"/>
        <v>0</v>
      </c>
      <c r="W457" s="148" t="str">
        <f t="shared" si="272"/>
        <v>0</v>
      </c>
      <c r="X457" s="507"/>
      <c r="Y457" s="152">
        <f t="shared" si="273"/>
        <v>0</v>
      </c>
      <c r="Z457" s="150" t="s">
        <v>169</v>
      </c>
      <c r="AA457" s="2"/>
      <c r="AB457" s="2"/>
      <c r="AC457" s="153" t="s">
        <v>162</v>
      </c>
      <c r="AD457" s="153" t="s">
        <v>162</v>
      </c>
      <c r="AE457" s="153" t="s">
        <v>162</v>
      </c>
      <c r="AF457" s="153" t="s">
        <v>162</v>
      </c>
      <c r="AG457" s="2">
        <f t="shared" si="274"/>
        <v>0</v>
      </c>
      <c r="AH457" s="153" t="s">
        <v>162</v>
      </c>
      <c r="AI457" s="2"/>
      <c r="AJ457" s="2"/>
      <c r="AK457" s="2"/>
      <c r="AL457" s="2"/>
      <c r="AM457" s="2"/>
      <c r="AN457" s="2"/>
      <c r="AO457" s="2"/>
      <c r="AP457" s="2"/>
      <c r="AQ457" s="2"/>
      <c r="AR457" s="2"/>
      <c r="AS457" s="2"/>
      <c r="AT457" s="2"/>
      <c r="AU457" s="2"/>
      <c r="AV457" s="2"/>
      <c r="AW457" s="2"/>
      <c r="AX457" s="2"/>
      <c r="AY457" s="2"/>
      <c r="AZ457" s="2"/>
      <c r="BA457" s="2"/>
      <c r="BB457" s="2"/>
      <c r="BC457" s="2"/>
      <c r="BD457" s="2"/>
    </row>
    <row r="458" spans="1:56" ht="14.25" customHeight="1">
      <c r="A458" s="8"/>
      <c r="B458" s="508"/>
      <c r="C458" s="156" t="s">
        <v>166</v>
      </c>
      <c r="D458" s="147"/>
      <c r="E458" s="147"/>
      <c r="F458" s="147"/>
      <c r="G458" s="147"/>
      <c r="H458" s="147"/>
      <c r="I458" s="147"/>
      <c r="J458" s="147"/>
      <c r="K458" s="147"/>
      <c r="L458" s="147"/>
      <c r="M458" s="147"/>
      <c r="N458" s="147"/>
      <c r="O458" s="147"/>
      <c r="P458" s="147"/>
      <c r="Q458" s="147"/>
      <c r="R458" s="147"/>
      <c r="S458" s="147"/>
      <c r="T458" s="148" t="str">
        <f t="shared" si="269"/>
        <v>0</v>
      </c>
      <c r="U458" s="148" t="str">
        <f t="shared" si="270"/>
        <v>0</v>
      </c>
      <c r="V458" s="148" t="str">
        <f t="shared" si="271"/>
        <v>0</v>
      </c>
      <c r="W458" s="148" t="str">
        <f t="shared" si="272"/>
        <v>0</v>
      </c>
      <c r="X458" s="508"/>
      <c r="Y458" s="152">
        <f t="shared" si="273"/>
        <v>0</v>
      </c>
      <c r="Z458" s="150" t="s">
        <v>169</v>
      </c>
      <c r="AA458" s="2"/>
      <c r="AB458" s="2"/>
      <c r="AC458" s="161" t="s">
        <v>162</v>
      </c>
      <c r="AD458" s="161" t="s">
        <v>162</v>
      </c>
      <c r="AE458" s="161" t="s">
        <v>162</v>
      </c>
      <c r="AF458" s="161" t="s">
        <v>162</v>
      </c>
      <c r="AG458" s="2">
        <f t="shared" si="274"/>
        <v>0</v>
      </c>
      <c r="AH458" s="153" t="s">
        <v>162</v>
      </c>
      <c r="AI458" s="2"/>
      <c r="AJ458" s="2"/>
      <c r="AK458" s="2"/>
      <c r="AL458" s="2"/>
      <c r="AM458" s="2"/>
      <c r="AN458" s="2"/>
      <c r="AO458" s="2"/>
      <c r="AP458" s="2"/>
      <c r="AQ458" s="2"/>
      <c r="AR458" s="2"/>
      <c r="AS458" s="2"/>
      <c r="AT458" s="2"/>
      <c r="AU458" s="2"/>
      <c r="AV458" s="2"/>
      <c r="AW458" s="2"/>
      <c r="AX458" s="2"/>
      <c r="AY458" s="2"/>
      <c r="AZ458" s="2"/>
      <c r="BA458" s="2"/>
      <c r="BB458" s="2"/>
      <c r="BC458" s="2"/>
      <c r="BD458" s="2"/>
    </row>
    <row r="459" spans="1:56" ht="14.25" customHeight="1">
      <c r="A459" s="8"/>
      <c r="B459" s="506" t="s">
        <v>86</v>
      </c>
      <c r="C459" s="156" t="s">
        <v>160</v>
      </c>
      <c r="D459" s="147"/>
      <c r="E459" s="147"/>
      <c r="F459" s="147"/>
      <c r="G459" s="147"/>
      <c r="H459" s="147"/>
      <c r="I459" s="147"/>
      <c r="J459" s="147"/>
      <c r="K459" s="147"/>
      <c r="L459" s="147"/>
      <c r="M459" s="147"/>
      <c r="N459" s="147"/>
      <c r="O459" s="147"/>
      <c r="P459" s="147"/>
      <c r="Q459" s="147"/>
      <c r="R459" s="147"/>
      <c r="S459" s="147"/>
      <c r="T459" s="148" t="str">
        <f t="shared" si="269"/>
        <v>0</v>
      </c>
      <c r="U459" s="148" t="str">
        <f t="shared" si="270"/>
        <v>0</v>
      </c>
      <c r="V459" s="148" t="str">
        <f t="shared" si="271"/>
        <v>0</v>
      </c>
      <c r="W459" s="148" t="str">
        <f t="shared" si="272"/>
        <v>0</v>
      </c>
      <c r="X459" s="513">
        <f>SUM(Y459:Y462)/4</f>
        <v>0</v>
      </c>
      <c r="Y459" s="152">
        <f t="shared" si="273"/>
        <v>0</v>
      </c>
      <c r="Z459" s="150" t="s">
        <v>189</v>
      </c>
      <c r="AA459" s="2"/>
      <c r="AB459" s="26"/>
      <c r="AC459" s="159" t="s">
        <v>162</v>
      </c>
      <c r="AD459" s="159" t="s">
        <v>162</v>
      </c>
      <c r="AE459" s="159" t="s">
        <v>162</v>
      </c>
      <c r="AF459" s="159" t="s">
        <v>162</v>
      </c>
      <c r="AG459" s="158" t="str">
        <f t="shared" si="274"/>
        <v>MIS</v>
      </c>
      <c r="AH459" s="153" t="s">
        <v>162</v>
      </c>
      <c r="AI459" s="2"/>
      <c r="AJ459" s="2"/>
      <c r="AK459" s="2"/>
      <c r="AL459" s="2"/>
      <c r="AM459" s="2"/>
      <c r="AN459" s="2"/>
      <c r="AO459" s="2"/>
      <c r="AP459" s="2"/>
      <c r="AQ459" s="2"/>
      <c r="AR459" s="2"/>
      <c r="AS459" s="2"/>
      <c r="AT459" s="2"/>
      <c r="AU459" s="2"/>
      <c r="AV459" s="2"/>
      <c r="AW459" s="2"/>
      <c r="AX459" s="2"/>
      <c r="AY459" s="2"/>
      <c r="AZ459" s="2"/>
      <c r="BA459" s="2"/>
      <c r="BB459" s="2"/>
      <c r="BC459" s="2"/>
      <c r="BD459" s="2"/>
    </row>
    <row r="460" spans="1:56" ht="14.25" customHeight="1">
      <c r="A460" s="8"/>
      <c r="B460" s="507"/>
      <c r="C460" s="156" t="s">
        <v>163</v>
      </c>
      <c r="D460" s="147"/>
      <c r="E460" s="147"/>
      <c r="F460" s="147"/>
      <c r="G460" s="147"/>
      <c r="H460" s="147"/>
      <c r="I460" s="147"/>
      <c r="J460" s="147"/>
      <c r="K460" s="147"/>
      <c r="L460" s="147"/>
      <c r="M460" s="147"/>
      <c r="N460" s="147"/>
      <c r="O460" s="147"/>
      <c r="P460" s="147"/>
      <c r="Q460" s="147"/>
      <c r="R460" s="147"/>
      <c r="S460" s="147"/>
      <c r="T460" s="148" t="str">
        <f t="shared" si="269"/>
        <v>0</v>
      </c>
      <c r="U460" s="148" t="str">
        <f t="shared" si="270"/>
        <v>0</v>
      </c>
      <c r="V460" s="148" t="str">
        <f t="shared" si="271"/>
        <v>0</v>
      </c>
      <c r="W460" s="148" t="str">
        <f t="shared" si="272"/>
        <v>0</v>
      </c>
      <c r="X460" s="507"/>
      <c r="Y460" s="152">
        <f t="shared" si="273"/>
        <v>0</v>
      </c>
      <c r="Z460" s="150" t="s">
        <v>169</v>
      </c>
      <c r="AA460" s="2"/>
      <c r="AB460" s="26"/>
      <c r="AC460" s="159" t="s">
        <v>162</v>
      </c>
      <c r="AD460" s="159" t="s">
        <v>162</v>
      </c>
      <c r="AE460" s="159" t="s">
        <v>162</v>
      </c>
      <c r="AF460" s="159" t="s">
        <v>162</v>
      </c>
      <c r="AG460" s="31">
        <f t="shared" si="274"/>
        <v>0</v>
      </c>
      <c r="AH460" s="153" t="s">
        <v>162</v>
      </c>
      <c r="AI460" s="2"/>
      <c r="AJ460" s="2"/>
      <c r="AK460" s="2"/>
      <c r="AL460" s="2"/>
      <c r="AM460" s="2"/>
      <c r="AN460" s="2"/>
      <c r="AO460" s="2"/>
      <c r="AP460" s="2"/>
      <c r="AQ460" s="2"/>
      <c r="AR460" s="2"/>
      <c r="AS460" s="2"/>
      <c r="AT460" s="2"/>
      <c r="AU460" s="2"/>
      <c r="AV460" s="2"/>
      <c r="AW460" s="2"/>
      <c r="AX460" s="2"/>
      <c r="AY460" s="2"/>
      <c r="AZ460" s="2"/>
      <c r="BA460" s="2"/>
      <c r="BB460" s="2"/>
      <c r="BC460" s="2"/>
      <c r="BD460" s="2"/>
    </row>
    <row r="461" spans="1:56" ht="14.25" customHeight="1">
      <c r="A461" s="8"/>
      <c r="B461" s="507"/>
      <c r="C461" s="156" t="s">
        <v>164</v>
      </c>
      <c r="D461" s="147"/>
      <c r="E461" s="147"/>
      <c r="F461" s="147"/>
      <c r="G461" s="147"/>
      <c r="H461" s="147"/>
      <c r="I461" s="147"/>
      <c r="J461" s="147"/>
      <c r="K461" s="147"/>
      <c r="L461" s="147"/>
      <c r="M461" s="147"/>
      <c r="N461" s="147"/>
      <c r="O461" s="147"/>
      <c r="P461" s="147"/>
      <c r="Q461" s="147"/>
      <c r="R461" s="147"/>
      <c r="S461" s="147"/>
      <c r="T461" s="148" t="str">
        <f t="shared" si="269"/>
        <v>0</v>
      </c>
      <c r="U461" s="148" t="str">
        <f t="shared" si="270"/>
        <v>0</v>
      </c>
      <c r="V461" s="148" t="str">
        <f t="shared" si="271"/>
        <v>0</v>
      </c>
      <c r="W461" s="148" t="str">
        <f t="shared" si="272"/>
        <v>0</v>
      </c>
      <c r="X461" s="507"/>
      <c r="Y461" s="152">
        <f t="shared" si="273"/>
        <v>0</v>
      </c>
      <c r="Z461" s="150" t="s">
        <v>169</v>
      </c>
      <c r="AA461" s="2"/>
      <c r="AB461" s="26"/>
      <c r="AC461" s="159" t="s">
        <v>162</v>
      </c>
      <c r="AD461" s="159" t="s">
        <v>162</v>
      </c>
      <c r="AE461" s="159" t="s">
        <v>162</v>
      </c>
      <c r="AF461" s="159" t="s">
        <v>162</v>
      </c>
      <c r="AG461" s="31">
        <f t="shared" si="274"/>
        <v>0</v>
      </c>
      <c r="AH461" s="153" t="s">
        <v>162</v>
      </c>
      <c r="AI461" s="2"/>
      <c r="AJ461" s="2"/>
      <c r="AK461" s="2"/>
      <c r="AL461" s="2"/>
      <c r="AM461" s="2"/>
      <c r="AN461" s="2"/>
      <c r="AO461" s="2"/>
      <c r="AP461" s="2"/>
      <c r="AQ461" s="2"/>
      <c r="AR461" s="2"/>
      <c r="AS461" s="2"/>
      <c r="AT461" s="2"/>
      <c r="AU461" s="2"/>
      <c r="AV461" s="2"/>
      <c r="AW461" s="2"/>
      <c r="AX461" s="2"/>
      <c r="AY461" s="2"/>
      <c r="AZ461" s="2"/>
      <c r="BA461" s="2"/>
      <c r="BB461" s="2"/>
      <c r="BC461" s="2"/>
      <c r="BD461" s="2"/>
    </row>
    <row r="462" spans="1:56" ht="14.25" customHeight="1">
      <c r="A462" s="8"/>
      <c r="B462" s="507"/>
      <c r="C462" s="156" t="s">
        <v>165</v>
      </c>
      <c r="D462" s="147"/>
      <c r="E462" s="147"/>
      <c r="F462" s="147"/>
      <c r="G462" s="147"/>
      <c r="H462" s="147"/>
      <c r="I462" s="147"/>
      <c r="J462" s="147"/>
      <c r="K462" s="147"/>
      <c r="L462" s="147"/>
      <c r="M462" s="147"/>
      <c r="N462" s="147"/>
      <c r="O462" s="147"/>
      <c r="P462" s="147"/>
      <c r="Q462" s="147"/>
      <c r="R462" s="147"/>
      <c r="S462" s="147"/>
      <c r="T462" s="148" t="str">
        <f t="shared" si="269"/>
        <v>0</v>
      </c>
      <c r="U462" s="148" t="str">
        <f t="shared" si="270"/>
        <v>0</v>
      </c>
      <c r="V462" s="148" t="str">
        <f t="shared" si="271"/>
        <v>0</v>
      </c>
      <c r="W462" s="148" t="str">
        <f t="shared" si="272"/>
        <v>0</v>
      </c>
      <c r="X462" s="507"/>
      <c r="Y462" s="152">
        <f t="shared" si="273"/>
        <v>0</v>
      </c>
      <c r="Z462" s="150" t="s">
        <v>169</v>
      </c>
      <c r="AA462" s="2"/>
      <c r="AB462" s="26"/>
      <c r="AC462" s="159" t="s">
        <v>162</v>
      </c>
      <c r="AD462" s="159" t="s">
        <v>162</v>
      </c>
      <c r="AE462" s="159" t="s">
        <v>162</v>
      </c>
      <c r="AF462" s="159" t="s">
        <v>162</v>
      </c>
      <c r="AG462" s="31">
        <f t="shared" si="274"/>
        <v>0</v>
      </c>
      <c r="AH462" s="153" t="s">
        <v>162</v>
      </c>
      <c r="AI462" s="2"/>
      <c r="AJ462" s="2"/>
      <c r="AK462" s="2"/>
      <c r="AL462" s="2"/>
      <c r="AM462" s="2"/>
      <c r="AN462" s="2"/>
      <c r="AO462" s="2"/>
      <c r="AP462" s="2"/>
      <c r="AQ462" s="2"/>
      <c r="AR462" s="2"/>
      <c r="AS462" s="2"/>
      <c r="AT462" s="2"/>
      <c r="AU462" s="2"/>
      <c r="AV462" s="2"/>
      <c r="AW462" s="2"/>
      <c r="AX462" s="2"/>
      <c r="AY462" s="2"/>
      <c r="AZ462" s="2"/>
      <c r="BA462" s="2"/>
      <c r="BB462" s="2"/>
      <c r="BC462" s="2"/>
      <c r="BD462" s="2"/>
    </row>
    <row r="463" spans="1:56" ht="14.25" customHeight="1">
      <c r="A463" s="8"/>
      <c r="B463" s="508"/>
      <c r="C463" s="156" t="s">
        <v>166</v>
      </c>
      <c r="D463" s="147"/>
      <c r="E463" s="147"/>
      <c r="F463" s="147"/>
      <c r="G463" s="147"/>
      <c r="H463" s="147"/>
      <c r="I463" s="147"/>
      <c r="J463" s="147"/>
      <c r="K463" s="147"/>
      <c r="L463" s="147"/>
      <c r="M463" s="147"/>
      <c r="N463" s="147"/>
      <c r="O463" s="147"/>
      <c r="P463" s="147"/>
      <c r="Q463" s="147"/>
      <c r="R463" s="147"/>
      <c r="S463" s="147"/>
      <c r="T463" s="148" t="str">
        <f t="shared" si="269"/>
        <v>0</v>
      </c>
      <c r="U463" s="148" t="str">
        <f t="shared" si="270"/>
        <v>0</v>
      </c>
      <c r="V463" s="148" t="str">
        <f t="shared" si="271"/>
        <v>0</v>
      </c>
      <c r="W463" s="148" t="str">
        <f t="shared" si="272"/>
        <v>0</v>
      </c>
      <c r="X463" s="508"/>
      <c r="Y463" s="152">
        <f t="shared" si="273"/>
        <v>0</v>
      </c>
      <c r="Z463" s="150" t="s">
        <v>169</v>
      </c>
      <c r="AA463" s="2"/>
      <c r="AB463" s="26"/>
      <c r="AC463" s="159" t="s">
        <v>162</v>
      </c>
      <c r="AD463" s="159" t="s">
        <v>162</v>
      </c>
      <c r="AE463" s="159" t="s">
        <v>162</v>
      </c>
      <c r="AF463" s="159" t="s">
        <v>162</v>
      </c>
      <c r="AG463" s="31">
        <f t="shared" si="274"/>
        <v>0</v>
      </c>
      <c r="AH463" s="153" t="s">
        <v>162</v>
      </c>
      <c r="AI463" s="2"/>
      <c r="AJ463" s="2"/>
      <c r="AK463" s="2"/>
      <c r="AL463" s="2"/>
      <c r="AM463" s="2"/>
      <c r="AN463" s="2"/>
      <c r="AO463" s="2"/>
      <c r="AP463" s="2"/>
      <c r="AQ463" s="2"/>
      <c r="AR463" s="2"/>
      <c r="AS463" s="2"/>
      <c r="AT463" s="2"/>
      <c r="AU463" s="2"/>
      <c r="AV463" s="2"/>
      <c r="AW463" s="2"/>
      <c r="AX463" s="2"/>
      <c r="AY463" s="2"/>
      <c r="AZ463" s="2"/>
      <c r="BA463" s="2"/>
      <c r="BB463" s="2"/>
      <c r="BC463" s="2"/>
      <c r="BD463" s="2"/>
    </row>
    <row r="464" spans="1:56" ht="14.25" customHeight="1">
      <c r="A464" s="8"/>
      <c r="B464" s="512" t="s">
        <v>87</v>
      </c>
      <c r="C464" s="156" t="s">
        <v>160</v>
      </c>
      <c r="D464" s="147"/>
      <c r="E464" s="147"/>
      <c r="F464" s="147"/>
      <c r="G464" s="147"/>
      <c r="H464" s="147"/>
      <c r="I464" s="147"/>
      <c r="J464" s="147"/>
      <c r="K464" s="147"/>
      <c r="L464" s="147"/>
      <c r="M464" s="147"/>
      <c r="N464" s="147"/>
      <c r="O464" s="147"/>
      <c r="P464" s="147"/>
      <c r="Q464" s="147"/>
      <c r="R464" s="147"/>
      <c r="S464" s="147"/>
      <c r="T464" s="148" t="str">
        <f t="shared" si="269"/>
        <v>0</v>
      </c>
      <c r="U464" s="148" t="str">
        <f t="shared" si="270"/>
        <v>0</v>
      </c>
      <c r="V464" s="148" t="str">
        <f t="shared" si="271"/>
        <v>0</v>
      </c>
      <c r="W464" s="148" t="str">
        <f t="shared" si="272"/>
        <v>0</v>
      </c>
      <c r="X464" s="513">
        <f>SUM(Y464:Y468)/5</f>
        <v>0</v>
      </c>
      <c r="Y464" s="152">
        <f t="shared" si="273"/>
        <v>0</v>
      </c>
      <c r="Z464" s="150" t="s">
        <v>190</v>
      </c>
      <c r="AA464" s="2"/>
      <c r="AB464" s="2"/>
      <c r="AC464" s="160" t="s">
        <v>162</v>
      </c>
      <c r="AD464" s="160" t="s">
        <v>162</v>
      </c>
      <c r="AE464" s="160" t="s">
        <v>162</v>
      </c>
      <c r="AF464" s="160" t="s">
        <v>162</v>
      </c>
      <c r="AG464" s="153" t="str">
        <f t="shared" si="274"/>
        <v>PSY</v>
      </c>
      <c r="AH464" s="153" t="s">
        <v>162</v>
      </c>
      <c r="AI464" s="2"/>
      <c r="AJ464" s="2"/>
      <c r="AK464" s="2"/>
      <c r="AL464" s="2"/>
      <c r="AM464" s="2"/>
      <c r="AN464" s="2"/>
      <c r="AO464" s="2"/>
      <c r="AP464" s="2"/>
      <c r="AQ464" s="2"/>
      <c r="AR464" s="2"/>
      <c r="AS464" s="2"/>
      <c r="AT464" s="2"/>
      <c r="AU464" s="2"/>
      <c r="AV464" s="2"/>
      <c r="AW464" s="2"/>
      <c r="AX464" s="2"/>
      <c r="AY464" s="2"/>
      <c r="AZ464" s="2"/>
      <c r="BA464" s="2"/>
      <c r="BB464" s="2"/>
      <c r="BC464" s="2"/>
      <c r="BD464" s="2"/>
    </row>
    <row r="465" spans="1:56" ht="14.25" customHeight="1">
      <c r="A465" s="8"/>
      <c r="B465" s="507"/>
      <c r="C465" s="156" t="s">
        <v>163</v>
      </c>
      <c r="D465" s="147"/>
      <c r="E465" s="147"/>
      <c r="F465" s="147"/>
      <c r="G465" s="147"/>
      <c r="H465" s="147"/>
      <c r="I465" s="147"/>
      <c r="J465" s="147"/>
      <c r="K465" s="147"/>
      <c r="L465" s="147"/>
      <c r="M465" s="147"/>
      <c r="N465" s="147"/>
      <c r="O465" s="147"/>
      <c r="P465" s="147"/>
      <c r="Q465" s="147"/>
      <c r="R465" s="147"/>
      <c r="S465" s="147"/>
      <c r="T465" s="148" t="str">
        <f t="shared" si="269"/>
        <v>0</v>
      </c>
      <c r="U465" s="148" t="str">
        <f t="shared" si="270"/>
        <v>0</v>
      </c>
      <c r="V465" s="148" t="str">
        <f t="shared" si="271"/>
        <v>0</v>
      </c>
      <c r="W465" s="148" t="str">
        <f t="shared" si="272"/>
        <v>0</v>
      </c>
      <c r="X465" s="507"/>
      <c r="Y465" s="152">
        <f t="shared" si="273"/>
        <v>0</v>
      </c>
      <c r="Z465" s="150" t="s">
        <v>169</v>
      </c>
      <c r="AA465" s="2"/>
      <c r="AB465" s="2"/>
      <c r="AC465" s="153" t="s">
        <v>162</v>
      </c>
      <c r="AD465" s="153" t="s">
        <v>162</v>
      </c>
      <c r="AE465" s="153" t="s">
        <v>162</v>
      </c>
      <c r="AF465" s="153" t="s">
        <v>162</v>
      </c>
      <c r="AG465" s="2">
        <f t="shared" si="274"/>
        <v>0</v>
      </c>
      <c r="AH465" s="153" t="s">
        <v>162</v>
      </c>
      <c r="AI465" s="2"/>
      <c r="AJ465" s="2"/>
      <c r="AK465" s="2"/>
      <c r="AL465" s="2"/>
      <c r="AM465" s="2"/>
      <c r="AN465" s="2"/>
      <c r="AO465" s="2"/>
      <c r="AP465" s="2"/>
      <c r="AQ465" s="2"/>
      <c r="AR465" s="2"/>
      <c r="AS465" s="2"/>
      <c r="AT465" s="2"/>
      <c r="AU465" s="2"/>
      <c r="AV465" s="2"/>
      <c r="AW465" s="2"/>
      <c r="AX465" s="2"/>
      <c r="AY465" s="2"/>
      <c r="AZ465" s="2"/>
      <c r="BA465" s="2"/>
      <c r="BB465" s="2"/>
      <c r="BC465" s="2"/>
      <c r="BD465" s="2"/>
    </row>
    <row r="466" spans="1:56" ht="14.25" customHeight="1">
      <c r="A466" s="8"/>
      <c r="B466" s="507"/>
      <c r="C466" s="156" t="s">
        <v>164</v>
      </c>
      <c r="D466" s="147"/>
      <c r="E466" s="147"/>
      <c r="F466" s="147"/>
      <c r="G466" s="147"/>
      <c r="H466" s="147"/>
      <c r="I466" s="147"/>
      <c r="J466" s="147"/>
      <c r="K466" s="147"/>
      <c r="L466" s="147"/>
      <c r="M466" s="147"/>
      <c r="N466" s="147"/>
      <c r="O466" s="147"/>
      <c r="P466" s="147"/>
      <c r="Q466" s="147"/>
      <c r="R466" s="147"/>
      <c r="S466" s="147"/>
      <c r="T466" s="148" t="str">
        <f t="shared" si="269"/>
        <v>0</v>
      </c>
      <c r="U466" s="148" t="str">
        <f t="shared" si="270"/>
        <v>0</v>
      </c>
      <c r="V466" s="148" t="str">
        <f t="shared" si="271"/>
        <v>0</v>
      </c>
      <c r="W466" s="148" t="str">
        <f t="shared" si="272"/>
        <v>0</v>
      </c>
      <c r="X466" s="507"/>
      <c r="Y466" s="152">
        <f t="shared" si="273"/>
        <v>0</v>
      </c>
      <c r="Z466" s="150" t="s">
        <v>169</v>
      </c>
      <c r="AA466" s="2"/>
      <c r="AB466" s="2"/>
      <c r="AC466" s="153" t="s">
        <v>162</v>
      </c>
      <c r="AD466" s="153" t="s">
        <v>162</v>
      </c>
      <c r="AE466" s="153" t="s">
        <v>162</v>
      </c>
      <c r="AF466" s="153" t="s">
        <v>162</v>
      </c>
      <c r="AG466" s="2">
        <f t="shared" si="274"/>
        <v>0</v>
      </c>
      <c r="AH466" s="153" t="s">
        <v>162</v>
      </c>
      <c r="AI466" s="2"/>
      <c r="AJ466" s="2"/>
      <c r="AK466" s="2"/>
      <c r="AL466" s="2"/>
      <c r="AM466" s="2"/>
      <c r="AN466" s="2"/>
      <c r="AO466" s="2"/>
      <c r="AP466" s="2"/>
      <c r="AQ466" s="2"/>
      <c r="AR466" s="2"/>
      <c r="AS466" s="2"/>
      <c r="AT466" s="2"/>
      <c r="AU466" s="2"/>
      <c r="AV466" s="2"/>
      <c r="AW466" s="2"/>
      <c r="AX466" s="2"/>
      <c r="AY466" s="2"/>
      <c r="AZ466" s="2"/>
      <c r="BA466" s="2"/>
      <c r="BB466" s="2"/>
      <c r="BC466" s="2"/>
      <c r="BD466" s="2"/>
    </row>
    <row r="467" spans="1:56" ht="14.25" customHeight="1">
      <c r="A467" s="8"/>
      <c r="B467" s="507"/>
      <c r="C467" s="156" t="s">
        <v>165</v>
      </c>
      <c r="D467" s="147"/>
      <c r="E467" s="147"/>
      <c r="F467" s="147"/>
      <c r="G467" s="147"/>
      <c r="H467" s="147"/>
      <c r="I467" s="147"/>
      <c r="J467" s="147"/>
      <c r="K467" s="147"/>
      <c r="L467" s="147"/>
      <c r="M467" s="147"/>
      <c r="N467" s="147"/>
      <c r="O467" s="147"/>
      <c r="P467" s="147"/>
      <c r="Q467" s="147"/>
      <c r="R467" s="147"/>
      <c r="S467" s="147"/>
      <c r="T467" s="148" t="str">
        <f t="shared" si="269"/>
        <v>0</v>
      </c>
      <c r="U467" s="148" t="str">
        <f t="shared" si="270"/>
        <v>0</v>
      </c>
      <c r="V467" s="148" t="str">
        <f t="shared" si="271"/>
        <v>0</v>
      </c>
      <c r="W467" s="148" t="str">
        <f t="shared" si="272"/>
        <v>0</v>
      </c>
      <c r="X467" s="507"/>
      <c r="Y467" s="152">
        <f t="shared" si="273"/>
        <v>0</v>
      </c>
      <c r="Z467" s="150" t="s">
        <v>169</v>
      </c>
      <c r="AA467" s="2"/>
      <c r="AB467" s="2"/>
      <c r="AC467" s="153" t="s">
        <v>162</v>
      </c>
      <c r="AD467" s="153" t="s">
        <v>162</v>
      </c>
      <c r="AE467" s="153" t="s">
        <v>162</v>
      </c>
      <c r="AF467" s="153" t="s">
        <v>162</v>
      </c>
      <c r="AG467" s="2">
        <f t="shared" si="274"/>
        <v>0</v>
      </c>
      <c r="AH467" s="153" t="s">
        <v>162</v>
      </c>
      <c r="AI467" s="2"/>
      <c r="AJ467" s="2"/>
      <c r="AK467" s="2"/>
      <c r="AL467" s="2"/>
      <c r="AM467" s="2"/>
      <c r="AN467" s="2"/>
      <c r="AO467" s="2"/>
      <c r="AP467" s="2"/>
      <c r="AQ467" s="2"/>
      <c r="AR467" s="2"/>
      <c r="AS467" s="2"/>
      <c r="AT467" s="2"/>
      <c r="AU467" s="2"/>
      <c r="AV467" s="2"/>
      <c r="AW467" s="2"/>
      <c r="AX467" s="2"/>
      <c r="AY467" s="2"/>
      <c r="AZ467" s="2"/>
      <c r="BA467" s="2"/>
      <c r="BB467" s="2"/>
      <c r="BC467" s="2"/>
      <c r="BD467" s="2"/>
    </row>
    <row r="468" spans="1:56" ht="14.25" customHeight="1">
      <c r="A468" s="8"/>
      <c r="B468" s="508"/>
      <c r="C468" s="156" t="s">
        <v>166</v>
      </c>
      <c r="D468" s="147"/>
      <c r="E468" s="147"/>
      <c r="F468" s="147"/>
      <c r="G468" s="147"/>
      <c r="H468" s="147"/>
      <c r="I468" s="147"/>
      <c r="J468" s="147"/>
      <c r="K468" s="147"/>
      <c r="L468" s="147"/>
      <c r="M468" s="147"/>
      <c r="N468" s="147"/>
      <c r="O468" s="147"/>
      <c r="P468" s="147"/>
      <c r="Q468" s="147"/>
      <c r="R468" s="147"/>
      <c r="S468" s="147"/>
      <c r="T468" s="148" t="str">
        <f t="shared" si="269"/>
        <v>0</v>
      </c>
      <c r="U468" s="148" t="str">
        <f t="shared" si="270"/>
        <v>0</v>
      </c>
      <c r="V468" s="148" t="str">
        <f t="shared" si="271"/>
        <v>0</v>
      </c>
      <c r="W468" s="148" t="str">
        <f t="shared" si="272"/>
        <v>0</v>
      </c>
      <c r="X468" s="508"/>
      <c r="Y468" s="152">
        <f t="shared" si="273"/>
        <v>0</v>
      </c>
      <c r="Z468" s="150" t="s">
        <v>169</v>
      </c>
      <c r="AA468" s="2"/>
      <c r="AB468" s="2"/>
      <c r="AC468" s="161" t="s">
        <v>162</v>
      </c>
      <c r="AD468" s="161" t="s">
        <v>162</v>
      </c>
      <c r="AE468" s="161" t="s">
        <v>162</v>
      </c>
      <c r="AF468" s="161" t="s">
        <v>162</v>
      </c>
      <c r="AG468" s="2">
        <f t="shared" si="274"/>
        <v>0</v>
      </c>
      <c r="AH468" s="153" t="s">
        <v>162</v>
      </c>
      <c r="AI468" s="2"/>
      <c r="AJ468" s="2"/>
      <c r="AK468" s="2"/>
      <c r="AL468" s="2"/>
      <c r="AM468" s="2"/>
      <c r="AN468" s="2"/>
      <c r="AO468" s="2"/>
      <c r="AP468" s="2"/>
      <c r="AQ468" s="2"/>
      <c r="AR468" s="2"/>
      <c r="AS468" s="2"/>
      <c r="AT468" s="2"/>
      <c r="AU468" s="2"/>
      <c r="AV468" s="2"/>
      <c r="AW468" s="2"/>
      <c r="AX468" s="2"/>
      <c r="AY468" s="2"/>
      <c r="AZ468" s="2"/>
      <c r="BA468" s="2"/>
      <c r="BB468" s="2"/>
      <c r="BC468" s="2"/>
      <c r="BD468" s="2"/>
    </row>
    <row r="469" spans="1:56" ht="14.25" customHeight="1">
      <c r="A469" s="8"/>
      <c r="B469" s="506" t="s">
        <v>88</v>
      </c>
      <c r="C469" s="156" t="s">
        <v>160</v>
      </c>
      <c r="D469" s="147"/>
      <c r="E469" s="147"/>
      <c r="F469" s="147"/>
      <c r="G469" s="147"/>
      <c r="H469" s="147"/>
      <c r="I469" s="147"/>
      <c r="J469" s="147"/>
      <c r="K469" s="147"/>
      <c r="L469" s="147"/>
      <c r="M469" s="147"/>
      <c r="N469" s="147"/>
      <c r="O469" s="147"/>
      <c r="P469" s="147"/>
      <c r="Q469" s="147"/>
      <c r="R469" s="147"/>
      <c r="S469" s="147"/>
      <c r="T469" s="148" t="str">
        <f t="shared" si="269"/>
        <v>0</v>
      </c>
      <c r="U469" s="148" t="str">
        <f t="shared" si="270"/>
        <v>0</v>
      </c>
      <c r="V469" s="148" t="str">
        <f t="shared" si="271"/>
        <v>0</v>
      </c>
      <c r="W469" s="148" t="str">
        <f t="shared" si="272"/>
        <v>0</v>
      </c>
      <c r="X469" s="513">
        <f>SUM(Y469:Y473)/5</f>
        <v>0</v>
      </c>
      <c r="Y469" s="152">
        <f t="shared" si="273"/>
        <v>0</v>
      </c>
      <c r="Z469" s="150" t="s">
        <v>191</v>
      </c>
      <c r="AA469" s="2"/>
      <c r="AB469" s="26"/>
      <c r="AC469" s="159" t="s">
        <v>162</v>
      </c>
      <c r="AD469" s="159" t="s">
        <v>162</v>
      </c>
      <c r="AE469" s="159" t="s">
        <v>162</v>
      </c>
      <c r="AF469" s="159" t="s">
        <v>162</v>
      </c>
      <c r="AG469" s="158" t="str">
        <f t="shared" si="274"/>
        <v>VCD</v>
      </c>
      <c r="AH469" s="153" t="s">
        <v>162</v>
      </c>
      <c r="AI469" s="2"/>
      <c r="AJ469" s="2"/>
      <c r="AK469" s="2"/>
      <c r="AL469" s="2"/>
      <c r="AM469" s="2"/>
      <c r="AN469" s="2"/>
      <c r="AO469" s="2"/>
      <c r="AP469" s="2"/>
      <c r="AQ469" s="2"/>
      <c r="AR469" s="2"/>
      <c r="AS469" s="2"/>
      <c r="AT469" s="2"/>
      <c r="AU469" s="2"/>
      <c r="AV469" s="2"/>
      <c r="AW469" s="2"/>
      <c r="AX469" s="2"/>
      <c r="AY469" s="2"/>
      <c r="AZ469" s="2"/>
      <c r="BA469" s="2"/>
      <c r="BB469" s="2"/>
      <c r="BC469" s="2"/>
      <c r="BD469" s="2"/>
    </row>
    <row r="470" spans="1:56" ht="14.25" customHeight="1">
      <c r="A470" s="8"/>
      <c r="B470" s="507"/>
      <c r="C470" s="156" t="s">
        <v>163</v>
      </c>
      <c r="D470" s="147"/>
      <c r="E470" s="147"/>
      <c r="F470" s="147"/>
      <c r="G470" s="147"/>
      <c r="H470" s="147"/>
      <c r="I470" s="147"/>
      <c r="J470" s="147"/>
      <c r="K470" s="147"/>
      <c r="L470" s="147"/>
      <c r="M470" s="147"/>
      <c r="N470" s="147"/>
      <c r="O470" s="147"/>
      <c r="P470" s="147"/>
      <c r="Q470" s="147"/>
      <c r="R470" s="147"/>
      <c r="S470" s="147"/>
      <c r="T470" s="148" t="str">
        <f t="shared" si="269"/>
        <v>0</v>
      </c>
      <c r="U470" s="148" t="str">
        <f t="shared" si="270"/>
        <v>0</v>
      </c>
      <c r="V470" s="148" t="str">
        <f t="shared" si="271"/>
        <v>0</v>
      </c>
      <c r="W470" s="148" t="str">
        <f t="shared" si="272"/>
        <v>0</v>
      </c>
      <c r="X470" s="507"/>
      <c r="Y470" s="152">
        <f t="shared" si="273"/>
        <v>0</v>
      </c>
      <c r="Z470" s="150" t="s">
        <v>169</v>
      </c>
      <c r="AA470" s="2"/>
      <c r="AB470" s="26"/>
      <c r="AC470" s="159" t="s">
        <v>162</v>
      </c>
      <c r="AD470" s="159" t="s">
        <v>162</v>
      </c>
      <c r="AE470" s="159" t="s">
        <v>162</v>
      </c>
      <c r="AF470" s="159" t="s">
        <v>162</v>
      </c>
      <c r="AG470" s="31">
        <f t="shared" si="274"/>
        <v>0</v>
      </c>
      <c r="AH470" s="153" t="s">
        <v>162</v>
      </c>
      <c r="AI470" s="2"/>
      <c r="AJ470" s="2"/>
      <c r="AK470" s="2"/>
      <c r="AL470" s="2"/>
      <c r="AM470" s="2"/>
      <c r="AN470" s="2"/>
      <c r="AO470" s="2"/>
      <c r="AP470" s="2"/>
      <c r="AQ470" s="2"/>
      <c r="AR470" s="2"/>
      <c r="AS470" s="2"/>
      <c r="AT470" s="2"/>
      <c r="AU470" s="2"/>
      <c r="AV470" s="2"/>
      <c r="AW470" s="2"/>
      <c r="AX470" s="2"/>
      <c r="AY470" s="2"/>
      <c r="AZ470" s="2"/>
      <c r="BA470" s="2"/>
      <c r="BB470" s="2"/>
      <c r="BC470" s="2"/>
      <c r="BD470" s="2"/>
    </row>
    <row r="471" spans="1:56" ht="14.25" customHeight="1">
      <c r="A471" s="8"/>
      <c r="B471" s="507"/>
      <c r="C471" s="156" t="s">
        <v>164</v>
      </c>
      <c r="D471" s="147"/>
      <c r="E471" s="147"/>
      <c r="F471" s="147"/>
      <c r="G471" s="147"/>
      <c r="H471" s="147"/>
      <c r="I471" s="147"/>
      <c r="J471" s="147"/>
      <c r="K471" s="147"/>
      <c r="L471" s="147"/>
      <c r="M471" s="147"/>
      <c r="N471" s="147"/>
      <c r="O471" s="147"/>
      <c r="P471" s="147"/>
      <c r="Q471" s="147"/>
      <c r="R471" s="147"/>
      <c r="S471" s="147"/>
      <c r="T471" s="148" t="str">
        <f t="shared" si="269"/>
        <v>0</v>
      </c>
      <c r="U471" s="148" t="str">
        <f t="shared" si="270"/>
        <v>0</v>
      </c>
      <c r="V471" s="148" t="str">
        <f t="shared" si="271"/>
        <v>0</v>
      </c>
      <c r="W471" s="148" t="str">
        <f t="shared" si="272"/>
        <v>0</v>
      </c>
      <c r="X471" s="507"/>
      <c r="Y471" s="152">
        <f t="shared" si="273"/>
        <v>0</v>
      </c>
      <c r="Z471" s="150" t="s">
        <v>169</v>
      </c>
      <c r="AA471" s="2"/>
      <c r="AB471" s="26"/>
      <c r="AC471" s="159" t="s">
        <v>162</v>
      </c>
      <c r="AD471" s="159" t="s">
        <v>162</v>
      </c>
      <c r="AE471" s="159" t="s">
        <v>162</v>
      </c>
      <c r="AF471" s="159" t="s">
        <v>162</v>
      </c>
      <c r="AG471" s="31">
        <f t="shared" si="274"/>
        <v>0</v>
      </c>
      <c r="AH471" s="153" t="s">
        <v>162</v>
      </c>
      <c r="AI471" s="2"/>
      <c r="AJ471" s="2"/>
      <c r="AK471" s="2"/>
      <c r="AL471" s="2"/>
      <c r="AM471" s="2"/>
      <c r="AN471" s="2"/>
      <c r="AO471" s="2"/>
      <c r="AP471" s="2"/>
      <c r="AQ471" s="2"/>
      <c r="AR471" s="2"/>
      <c r="AS471" s="2"/>
      <c r="AT471" s="2"/>
      <c r="AU471" s="2"/>
      <c r="AV471" s="2"/>
      <c r="AW471" s="2"/>
      <c r="AX471" s="2"/>
      <c r="AY471" s="2"/>
      <c r="AZ471" s="2"/>
      <c r="BA471" s="2"/>
      <c r="BB471" s="2"/>
      <c r="BC471" s="2"/>
      <c r="BD471" s="2"/>
    </row>
    <row r="472" spans="1:56" ht="14.25" customHeight="1">
      <c r="A472" s="8"/>
      <c r="B472" s="507"/>
      <c r="C472" s="156" t="s">
        <v>165</v>
      </c>
      <c r="D472" s="147"/>
      <c r="E472" s="147"/>
      <c r="F472" s="147"/>
      <c r="G472" s="147"/>
      <c r="H472" s="147"/>
      <c r="I472" s="147"/>
      <c r="J472" s="147"/>
      <c r="K472" s="147"/>
      <c r="L472" s="147"/>
      <c r="M472" s="147"/>
      <c r="N472" s="147"/>
      <c r="O472" s="147"/>
      <c r="P472" s="147"/>
      <c r="Q472" s="147"/>
      <c r="R472" s="147"/>
      <c r="S472" s="147"/>
      <c r="T472" s="148" t="str">
        <f t="shared" si="269"/>
        <v>0</v>
      </c>
      <c r="U472" s="148" t="str">
        <f t="shared" si="270"/>
        <v>0</v>
      </c>
      <c r="V472" s="148" t="str">
        <f t="shared" si="271"/>
        <v>0</v>
      </c>
      <c r="W472" s="148" t="str">
        <f t="shared" si="272"/>
        <v>0</v>
      </c>
      <c r="X472" s="507"/>
      <c r="Y472" s="152">
        <f t="shared" si="273"/>
        <v>0</v>
      </c>
      <c r="Z472" s="150" t="s">
        <v>169</v>
      </c>
      <c r="AA472" s="2"/>
      <c r="AB472" s="26"/>
      <c r="AC472" s="159" t="s">
        <v>162</v>
      </c>
      <c r="AD472" s="159" t="s">
        <v>162</v>
      </c>
      <c r="AE472" s="159" t="s">
        <v>162</v>
      </c>
      <c r="AF472" s="159" t="s">
        <v>162</v>
      </c>
      <c r="AG472" s="31">
        <f t="shared" si="274"/>
        <v>0</v>
      </c>
      <c r="AH472" s="153" t="s">
        <v>162</v>
      </c>
      <c r="AI472" s="2"/>
      <c r="AJ472" s="2"/>
      <c r="AK472" s="2"/>
      <c r="AL472" s="2"/>
      <c r="AM472" s="2"/>
      <c r="AN472" s="2"/>
      <c r="AO472" s="2"/>
      <c r="AP472" s="2"/>
      <c r="AQ472" s="2"/>
      <c r="AR472" s="2"/>
      <c r="AS472" s="2"/>
      <c r="AT472" s="2"/>
      <c r="AU472" s="2"/>
      <c r="AV472" s="2"/>
      <c r="AW472" s="2"/>
      <c r="AX472" s="2"/>
      <c r="AY472" s="2"/>
      <c r="AZ472" s="2"/>
      <c r="BA472" s="2"/>
      <c r="BB472" s="2"/>
      <c r="BC472" s="2"/>
      <c r="BD472" s="2"/>
    </row>
    <row r="473" spans="1:56" ht="14.25" customHeight="1">
      <c r="A473" s="8"/>
      <c r="B473" s="508"/>
      <c r="C473" s="156" t="s">
        <v>166</v>
      </c>
      <c r="D473" s="147"/>
      <c r="E473" s="147"/>
      <c r="F473" s="147"/>
      <c r="G473" s="147"/>
      <c r="H473" s="147"/>
      <c r="I473" s="147"/>
      <c r="J473" s="147"/>
      <c r="K473" s="147"/>
      <c r="L473" s="147"/>
      <c r="M473" s="147"/>
      <c r="N473" s="147"/>
      <c r="O473" s="147"/>
      <c r="P473" s="147"/>
      <c r="Q473" s="147"/>
      <c r="R473" s="147"/>
      <c r="S473" s="147"/>
      <c r="T473" s="148" t="str">
        <f t="shared" si="269"/>
        <v>0</v>
      </c>
      <c r="U473" s="148" t="str">
        <f t="shared" si="270"/>
        <v>0</v>
      </c>
      <c r="V473" s="148" t="str">
        <f t="shared" si="271"/>
        <v>0</v>
      </c>
      <c r="W473" s="148" t="str">
        <f t="shared" si="272"/>
        <v>0</v>
      </c>
      <c r="X473" s="508"/>
      <c r="Y473" s="152">
        <f t="shared" si="273"/>
        <v>0</v>
      </c>
      <c r="Z473" s="150" t="s">
        <v>169</v>
      </c>
      <c r="AA473" s="2"/>
      <c r="AB473" s="26"/>
      <c r="AC473" s="159" t="s">
        <v>162</v>
      </c>
      <c r="AD473" s="159" t="s">
        <v>162</v>
      </c>
      <c r="AE473" s="159" t="s">
        <v>162</v>
      </c>
      <c r="AF473" s="159" t="s">
        <v>162</v>
      </c>
      <c r="AG473" s="31">
        <f t="shared" si="274"/>
        <v>0</v>
      </c>
      <c r="AH473" s="153" t="s">
        <v>162</v>
      </c>
      <c r="AI473" s="2"/>
      <c r="AJ473" s="2"/>
      <c r="AK473" s="2"/>
      <c r="AL473" s="2"/>
      <c r="AM473" s="2"/>
      <c r="AN473" s="2"/>
      <c r="AO473" s="2"/>
      <c r="AP473" s="2"/>
      <c r="AQ473" s="2"/>
      <c r="AR473" s="2"/>
      <c r="AS473" s="2"/>
      <c r="AT473" s="2"/>
      <c r="AU473" s="2"/>
      <c r="AV473" s="2"/>
      <c r="AW473" s="2"/>
      <c r="AX473" s="2"/>
      <c r="AY473" s="2"/>
      <c r="AZ473" s="2"/>
      <c r="BA473" s="2"/>
      <c r="BB473" s="2"/>
      <c r="BC473" s="2"/>
      <c r="BD473" s="2"/>
    </row>
    <row r="474" spans="1:56" ht="14.25" customHeight="1">
      <c r="A474" s="8"/>
      <c r="B474" s="506" t="s">
        <v>89</v>
      </c>
      <c r="C474" s="156" t="s">
        <v>160</v>
      </c>
      <c r="D474" s="147"/>
      <c r="E474" s="147"/>
      <c r="F474" s="147"/>
      <c r="G474" s="147"/>
      <c r="H474" s="147"/>
      <c r="I474" s="147"/>
      <c r="J474" s="147"/>
      <c r="K474" s="147"/>
      <c r="L474" s="147"/>
      <c r="M474" s="147"/>
      <c r="N474" s="147"/>
      <c r="O474" s="147"/>
      <c r="P474" s="147"/>
      <c r="Q474" s="147"/>
      <c r="R474" s="147"/>
      <c r="S474" s="147"/>
      <c r="T474" s="148" t="str">
        <f t="shared" si="269"/>
        <v>0</v>
      </c>
      <c r="U474" s="148" t="str">
        <f t="shared" si="270"/>
        <v>0</v>
      </c>
      <c r="V474" s="148" t="str">
        <f t="shared" si="271"/>
        <v>0</v>
      </c>
      <c r="W474" s="148" t="str">
        <f t="shared" si="272"/>
        <v>0</v>
      </c>
      <c r="X474" s="513">
        <f>SUM(Y474:Y478)/5</f>
        <v>0</v>
      </c>
      <c r="Y474" s="152">
        <f t="shared" si="273"/>
        <v>0</v>
      </c>
      <c r="Z474" s="150" t="s">
        <v>192</v>
      </c>
      <c r="AA474" s="2"/>
      <c r="AB474" s="2"/>
      <c r="AC474" s="160" t="s">
        <v>162</v>
      </c>
      <c r="AD474" s="160" t="s">
        <v>162</v>
      </c>
      <c r="AE474" s="160" t="s">
        <v>162</v>
      </c>
      <c r="AF474" s="160" t="s">
        <v>162</v>
      </c>
      <c r="AG474" s="153" t="str">
        <f t="shared" si="274"/>
        <v>DKV</v>
      </c>
      <c r="AH474" s="153" t="s">
        <v>162</v>
      </c>
      <c r="AI474" s="2"/>
      <c r="AJ474" s="2"/>
      <c r="AK474" s="2"/>
      <c r="AL474" s="2"/>
      <c r="AM474" s="2"/>
      <c r="AN474" s="2"/>
      <c r="AO474" s="2"/>
      <c r="AP474" s="2"/>
      <c r="AQ474" s="2"/>
      <c r="AR474" s="2"/>
      <c r="AS474" s="2"/>
      <c r="AT474" s="2"/>
      <c r="AU474" s="2"/>
      <c r="AV474" s="2"/>
      <c r="AW474" s="2"/>
      <c r="AX474" s="2"/>
      <c r="AY474" s="2"/>
      <c r="AZ474" s="2"/>
      <c r="BA474" s="2"/>
      <c r="BB474" s="2"/>
      <c r="BC474" s="2"/>
      <c r="BD474" s="2"/>
    </row>
    <row r="475" spans="1:56" ht="14.25" customHeight="1">
      <c r="A475" s="8"/>
      <c r="B475" s="507"/>
      <c r="C475" s="156" t="s">
        <v>163</v>
      </c>
      <c r="D475" s="147"/>
      <c r="E475" s="147"/>
      <c r="F475" s="147"/>
      <c r="G475" s="147"/>
      <c r="H475" s="147"/>
      <c r="I475" s="147"/>
      <c r="J475" s="147"/>
      <c r="K475" s="147"/>
      <c r="L475" s="147"/>
      <c r="M475" s="147"/>
      <c r="N475" s="147"/>
      <c r="O475" s="147"/>
      <c r="P475" s="147"/>
      <c r="Q475" s="147"/>
      <c r="R475" s="147"/>
      <c r="S475" s="147"/>
      <c r="T475" s="148" t="str">
        <f t="shared" si="269"/>
        <v>0</v>
      </c>
      <c r="U475" s="148" t="str">
        <f t="shared" si="270"/>
        <v>0</v>
      </c>
      <c r="V475" s="148" t="str">
        <f t="shared" si="271"/>
        <v>0</v>
      </c>
      <c r="W475" s="148" t="str">
        <f t="shared" si="272"/>
        <v>0</v>
      </c>
      <c r="X475" s="507"/>
      <c r="Y475" s="152">
        <f t="shared" si="273"/>
        <v>0</v>
      </c>
      <c r="Z475" s="150" t="s">
        <v>169</v>
      </c>
      <c r="AA475" s="2"/>
      <c r="AB475" s="2"/>
      <c r="AC475" s="153" t="s">
        <v>162</v>
      </c>
      <c r="AD475" s="153" t="s">
        <v>162</v>
      </c>
      <c r="AE475" s="153" t="s">
        <v>162</v>
      </c>
      <c r="AF475" s="153" t="s">
        <v>162</v>
      </c>
      <c r="AG475" s="2">
        <f t="shared" si="274"/>
        <v>0</v>
      </c>
      <c r="AH475" s="153" t="s">
        <v>162</v>
      </c>
      <c r="AI475" s="2"/>
      <c r="AJ475" s="2"/>
      <c r="AK475" s="2"/>
      <c r="AL475" s="2"/>
      <c r="AM475" s="2"/>
      <c r="AN475" s="2"/>
      <c r="AO475" s="2"/>
      <c r="AP475" s="2"/>
      <c r="AQ475" s="2"/>
      <c r="AR475" s="2"/>
      <c r="AS475" s="2"/>
      <c r="AT475" s="2"/>
      <c r="AU475" s="2"/>
      <c r="AV475" s="2"/>
      <c r="AW475" s="2"/>
      <c r="AX475" s="2"/>
      <c r="AY475" s="2"/>
      <c r="AZ475" s="2"/>
      <c r="BA475" s="2"/>
      <c r="BB475" s="2"/>
      <c r="BC475" s="2"/>
      <c r="BD475" s="2"/>
    </row>
    <row r="476" spans="1:56" ht="14.25" customHeight="1">
      <c r="A476" s="8"/>
      <c r="B476" s="507"/>
      <c r="C476" s="156" t="s">
        <v>164</v>
      </c>
      <c r="D476" s="147"/>
      <c r="E476" s="147"/>
      <c r="F476" s="147"/>
      <c r="G476" s="147"/>
      <c r="H476" s="147"/>
      <c r="I476" s="147"/>
      <c r="J476" s="147"/>
      <c r="K476" s="147"/>
      <c r="L476" s="147"/>
      <c r="M476" s="147"/>
      <c r="N476" s="147"/>
      <c r="O476" s="147"/>
      <c r="P476" s="147"/>
      <c r="Q476" s="147"/>
      <c r="R476" s="147"/>
      <c r="S476" s="147"/>
      <c r="T476" s="148" t="str">
        <f t="shared" si="269"/>
        <v>0</v>
      </c>
      <c r="U476" s="148" t="str">
        <f t="shared" si="270"/>
        <v>0</v>
      </c>
      <c r="V476" s="148" t="str">
        <f t="shared" si="271"/>
        <v>0</v>
      </c>
      <c r="W476" s="148" t="str">
        <f t="shared" si="272"/>
        <v>0</v>
      </c>
      <c r="X476" s="507"/>
      <c r="Y476" s="152">
        <f t="shared" si="273"/>
        <v>0</v>
      </c>
      <c r="Z476" s="150" t="s">
        <v>169</v>
      </c>
      <c r="AA476" s="2"/>
      <c r="AB476" s="2"/>
      <c r="AC476" s="153" t="s">
        <v>162</v>
      </c>
      <c r="AD476" s="153" t="s">
        <v>162</v>
      </c>
      <c r="AE476" s="153" t="s">
        <v>162</v>
      </c>
      <c r="AF476" s="153" t="s">
        <v>162</v>
      </c>
      <c r="AG476" s="2">
        <f t="shared" si="274"/>
        <v>0</v>
      </c>
      <c r="AH476" s="153" t="s">
        <v>162</v>
      </c>
      <c r="AI476" s="2"/>
      <c r="AJ476" s="2"/>
      <c r="AK476" s="2"/>
      <c r="AL476" s="2"/>
      <c r="AM476" s="2"/>
      <c r="AN476" s="2"/>
      <c r="AO476" s="2"/>
      <c r="AP476" s="2"/>
      <c r="AQ476" s="2"/>
      <c r="AR476" s="2"/>
      <c r="AS476" s="2"/>
      <c r="AT476" s="2"/>
      <c r="AU476" s="2"/>
      <c r="AV476" s="2"/>
      <c r="AW476" s="2"/>
      <c r="AX476" s="2"/>
      <c r="AY476" s="2"/>
      <c r="AZ476" s="2"/>
      <c r="BA476" s="2"/>
      <c r="BB476" s="2"/>
      <c r="BC476" s="2"/>
      <c r="BD476" s="2"/>
    </row>
    <row r="477" spans="1:56" ht="14.25" customHeight="1">
      <c r="A477" s="8"/>
      <c r="B477" s="507"/>
      <c r="C477" s="156" t="s">
        <v>165</v>
      </c>
      <c r="D477" s="147"/>
      <c r="E477" s="147"/>
      <c r="F477" s="147"/>
      <c r="G477" s="147"/>
      <c r="H477" s="147"/>
      <c r="I477" s="147"/>
      <c r="J477" s="147"/>
      <c r="K477" s="147"/>
      <c r="L477" s="147"/>
      <c r="M477" s="147"/>
      <c r="N477" s="147"/>
      <c r="O477" s="147"/>
      <c r="P477" s="147"/>
      <c r="Q477" s="147"/>
      <c r="R477" s="147"/>
      <c r="S477" s="147"/>
      <c r="T477" s="148" t="str">
        <f t="shared" si="269"/>
        <v>0</v>
      </c>
      <c r="U477" s="148" t="str">
        <f t="shared" si="270"/>
        <v>0</v>
      </c>
      <c r="V477" s="148" t="str">
        <f t="shared" si="271"/>
        <v>0</v>
      </c>
      <c r="W477" s="148" t="str">
        <f t="shared" si="272"/>
        <v>0</v>
      </c>
      <c r="X477" s="507"/>
      <c r="Y477" s="152">
        <f t="shared" si="273"/>
        <v>0</v>
      </c>
      <c r="Z477" s="150" t="s">
        <v>169</v>
      </c>
      <c r="AA477" s="2"/>
      <c r="AB477" s="2"/>
      <c r="AC477" s="153" t="s">
        <v>162</v>
      </c>
      <c r="AD477" s="153" t="s">
        <v>162</v>
      </c>
      <c r="AE477" s="153" t="s">
        <v>162</v>
      </c>
      <c r="AF477" s="153" t="s">
        <v>162</v>
      </c>
      <c r="AG477" s="2">
        <f t="shared" si="274"/>
        <v>0</v>
      </c>
      <c r="AH477" s="153" t="s">
        <v>162</v>
      </c>
      <c r="AI477" s="2"/>
      <c r="AJ477" s="2"/>
      <c r="AK477" s="2"/>
      <c r="AL477" s="2"/>
      <c r="AM477" s="2"/>
      <c r="AN477" s="2"/>
      <c r="AO477" s="2"/>
      <c r="AP477" s="2"/>
      <c r="AQ477" s="2"/>
      <c r="AR477" s="2"/>
      <c r="AS477" s="2"/>
      <c r="AT477" s="2"/>
      <c r="AU477" s="2"/>
      <c r="AV477" s="2"/>
      <c r="AW477" s="2"/>
      <c r="AX477" s="2"/>
      <c r="AY477" s="2"/>
      <c r="AZ477" s="2"/>
      <c r="BA477" s="2"/>
      <c r="BB477" s="2"/>
      <c r="BC477" s="2"/>
      <c r="BD477" s="2"/>
    </row>
    <row r="478" spans="1:56" ht="14.25" customHeight="1">
      <c r="A478" s="8"/>
      <c r="B478" s="508"/>
      <c r="C478" s="156" t="s">
        <v>166</v>
      </c>
      <c r="D478" s="147"/>
      <c r="E478" s="147"/>
      <c r="F478" s="147"/>
      <c r="G478" s="147"/>
      <c r="H478" s="147"/>
      <c r="I478" s="147"/>
      <c r="J478" s="147"/>
      <c r="K478" s="147"/>
      <c r="L478" s="147"/>
      <c r="M478" s="147"/>
      <c r="N478" s="147"/>
      <c r="O478" s="147"/>
      <c r="P478" s="147"/>
      <c r="Q478" s="147"/>
      <c r="R478" s="147"/>
      <c r="S478" s="147"/>
      <c r="T478" s="148" t="str">
        <f t="shared" si="269"/>
        <v>0</v>
      </c>
      <c r="U478" s="148" t="str">
        <f t="shared" si="270"/>
        <v>0</v>
      </c>
      <c r="V478" s="148" t="str">
        <f t="shared" si="271"/>
        <v>0</v>
      </c>
      <c r="W478" s="148" t="str">
        <f t="shared" si="272"/>
        <v>0</v>
      </c>
      <c r="X478" s="508"/>
      <c r="Y478" s="152">
        <f t="shared" si="273"/>
        <v>0</v>
      </c>
      <c r="Z478" s="150" t="s">
        <v>169</v>
      </c>
      <c r="AA478" s="2"/>
      <c r="AB478" s="2"/>
      <c r="AC478" s="161" t="s">
        <v>162</v>
      </c>
      <c r="AD478" s="161" t="s">
        <v>162</v>
      </c>
      <c r="AE478" s="161" t="s">
        <v>162</v>
      </c>
      <c r="AF478" s="161" t="s">
        <v>162</v>
      </c>
      <c r="AG478" s="2">
        <f t="shared" si="274"/>
        <v>0</v>
      </c>
      <c r="AH478" s="153" t="s">
        <v>162</v>
      </c>
      <c r="AI478" s="2"/>
      <c r="AJ478" s="2"/>
      <c r="AK478" s="2"/>
      <c r="AL478" s="2"/>
      <c r="AM478" s="2"/>
      <c r="AN478" s="2"/>
      <c r="AO478" s="2"/>
      <c r="AP478" s="2"/>
      <c r="AQ478" s="2"/>
      <c r="AR478" s="2"/>
      <c r="AS478" s="2"/>
      <c r="AT478" s="2"/>
      <c r="AU478" s="2"/>
      <c r="AV478" s="2"/>
      <c r="AW478" s="2"/>
      <c r="AX478" s="2"/>
      <c r="AY478" s="2"/>
      <c r="AZ478" s="2"/>
      <c r="BA478" s="2"/>
      <c r="BB478" s="2"/>
      <c r="BC478" s="2"/>
      <c r="BD478" s="2"/>
    </row>
    <row r="479" spans="1:56" ht="14.25" customHeight="1">
      <c r="A479" s="8"/>
      <c r="B479" s="512" t="s">
        <v>90</v>
      </c>
      <c r="C479" s="156" t="s">
        <v>160</v>
      </c>
      <c r="D479" s="147"/>
      <c r="E479" s="147"/>
      <c r="F479" s="147"/>
      <c r="G479" s="147"/>
      <c r="H479" s="147"/>
      <c r="I479" s="147"/>
      <c r="J479" s="147"/>
      <c r="K479" s="147"/>
      <c r="L479" s="147"/>
      <c r="M479" s="147"/>
      <c r="N479" s="147"/>
      <c r="O479" s="147"/>
      <c r="P479" s="147"/>
      <c r="Q479" s="147"/>
      <c r="R479" s="147"/>
      <c r="S479" s="147"/>
      <c r="T479" s="148" t="str">
        <f t="shared" si="269"/>
        <v>0</v>
      </c>
      <c r="U479" s="148" t="str">
        <f t="shared" si="270"/>
        <v>0</v>
      </c>
      <c r="V479" s="148" t="str">
        <f t="shared" si="271"/>
        <v>0</v>
      </c>
      <c r="W479" s="148" t="str">
        <f t="shared" si="272"/>
        <v>0</v>
      </c>
      <c r="X479" s="513">
        <f>SUM(Y479:Y483)/5</f>
        <v>0</v>
      </c>
      <c r="Y479" s="152">
        <f t="shared" si="273"/>
        <v>0</v>
      </c>
      <c r="Z479" s="150" t="s">
        <v>193</v>
      </c>
      <c r="AA479" s="2"/>
      <c r="AB479" s="26"/>
      <c r="AC479" s="159" t="s">
        <v>162</v>
      </c>
      <c r="AD479" s="159" t="s">
        <v>162</v>
      </c>
      <c r="AE479" s="159" t="s">
        <v>162</v>
      </c>
      <c r="AF479" s="159" t="s">
        <v>162</v>
      </c>
      <c r="AG479" s="158" t="str">
        <f t="shared" si="274"/>
        <v>IFT</v>
      </c>
      <c r="AH479" s="153" t="s">
        <v>162</v>
      </c>
      <c r="AI479" s="2"/>
      <c r="AJ479" s="2"/>
      <c r="AK479" s="2"/>
      <c r="AL479" s="2"/>
      <c r="AM479" s="2"/>
      <c r="AN479" s="2"/>
      <c r="AO479" s="2"/>
      <c r="AP479" s="2"/>
      <c r="AQ479" s="2"/>
      <c r="AR479" s="2"/>
      <c r="AS479" s="2"/>
      <c r="AT479" s="2"/>
      <c r="AU479" s="2"/>
      <c r="AV479" s="2"/>
      <c r="AW479" s="2"/>
      <c r="AX479" s="2"/>
      <c r="AY479" s="2"/>
      <c r="AZ479" s="2"/>
      <c r="BA479" s="2"/>
      <c r="BB479" s="2"/>
      <c r="BC479" s="2"/>
      <c r="BD479" s="2"/>
    </row>
    <row r="480" spans="1:56" ht="14.25" customHeight="1">
      <c r="A480" s="8"/>
      <c r="B480" s="507"/>
      <c r="C480" s="156" t="s">
        <v>163</v>
      </c>
      <c r="D480" s="147"/>
      <c r="E480" s="147"/>
      <c r="F480" s="147"/>
      <c r="G480" s="147"/>
      <c r="H480" s="147"/>
      <c r="I480" s="147"/>
      <c r="J480" s="147"/>
      <c r="K480" s="147"/>
      <c r="L480" s="147"/>
      <c r="M480" s="147"/>
      <c r="N480" s="147"/>
      <c r="O480" s="147"/>
      <c r="P480" s="147"/>
      <c r="Q480" s="147"/>
      <c r="R480" s="147"/>
      <c r="S480" s="147"/>
      <c r="T480" s="148" t="str">
        <f t="shared" si="269"/>
        <v>0</v>
      </c>
      <c r="U480" s="148" t="str">
        <f t="shared" si="270"/>
        <v>0</v>
      </c>
      <c r="V480" s="148" t="str">
        <f t="shared" si="271"/>
        <v>0</v>
      </c>
      <c r="W480" s="148" t="str">
        <f t="shared" si="272"/>
        <v>0</v>
      </c>
      <c r="X480" s="507"/>
      <c r="Y480" s="152">
        <f t="shared" si="273"/>
        <v>0</v>
      </c>
      <c r="Z480" s="150" t="s">
        <v>169</v>
      </c>
      <c r="AA480" s="2"/>
      <c r="AB480" s="26"/>
      <c r="AC480" s="159" t="s">
        <v>162</v>
      </c>
      <c r="AD480" s="159" t="s">
        <v>162</v>
      </c>
      <c r="AE480" s="159" t="s">
        <v>162</v>
      </c>
      <c r="AF480" s="159" t="s">
        <v>162</v>
      </c>
      <c r="AG480" s="31">
        <f t="shared" si="274"/>
        <v>0</v>
      </c>
      <c r="AH480" s="153" t="s">
        <v>162</v>
      </c>
      <c r="AI480" s="2"/>
      <c r="AJ480" s="2"/>
      <c r="AK480" s="2"/>
      <c r="AL480" s="2"/>
      <c r="AM480" s="2"/>
      <c r="AN480" s="2"/>
      <c r="AO480" s="2"/>
      <c r="AP480" s="2"/>
      <c r="AQ480" s="2"/>
      <c r="AR480" s="2"/>
      <c r="AS480" s="2"/>
      <c r="AT480" s="2"/>
      <c r="AU480" s="2"/>
      <c r="AV480" s="2"/>
      <c r="AW480" s="2"/>
      <c r="AX480" s="2"/>
      <c r="AY480" s="2"/>
      <c r="AZ480" s="2"/>
      <c r="BA480" s="2"/>
      <c r="BB480" s="2"/>
      <c r="BC480" s="2"/>
      <c r="BD480" s="2"/>
    </row>
    <row r="481" spans="1:56" ht="14.25" customHeight="1">
      <c r="A481" s="8"/>
      <c r="B481" s="507"/>
      <c r="C481" s="156" t="s">
        <v>164</v>
      </c>
      <c r="D481" s="147"/>
      <c r="E481" s="147"/>
      <c r="F481" s="147"/>
      <c r="G481" s="147"/>
      <c r="H481" s="147"/>
      <c r="I481" s="147"/>
      <c r="J481" s="147"/>
      <c r="K481" s="147"/>
      <c r="L481" s="147"/>
      <c r="M481" s="147"/>
      <c r="N481" s="147"/>
      <c r="O481" s="147"/>
      <c r="P481" s="147"/>
      <c r="Q481" s="147"/>
      <c r="R481" s="147"/>
      <c r="S481" s="147"/>
      <c r="T481" s="148" t="str">
        <f t="shared" si="269"/>
        <v>0</v>
      </c>
      <c r="U481" s="148" t="str">
        <f t="shared" si="270"/>
        <v>0</v>
      </c>
      <c r="V481" s="148" t="str">
        <f t="shared" si="271"/>
        <v>0</v>
      </c>
      <c r="W481" s="148" t="str">
        <f t="shared" si="272"/>
        <v>0</v>
      </c>
      <c r="X481" s="507"/>
      <c r="Y481" s="152">
        <f t="shared" si="273"/>
        <v>0</v>
      </c>
      <c r="Z481" s="150" t="s">
        <v>169</v>
      </c>
      <c r="AA481" s="2"/>
      <c r="AB481" s="26"/>
      <c r="AC481" s="159" t="s">
        <v>162</v>
      </c>
      <c r="AD481" s="159" t="s">
        <v>162</v>
      </c>
      <c r="AE481" s="159" t="s">
        <v>162</v>
      </c>
      <c r="AF481" s="159" t="s">
        <v>162</v>
      </c>
      <c r="AG481" s="31">
        <f t="shared" si="274"/>
        <v>0</v>
      </c>
      <c r="AH481" s="153" t="s">
        <v>162</v>
      </c>
      <c r="AI481" s="2"/>
      <c r="AJ481" s="2"/>
      <c r="AK481" s="2"/>
      <c r="AL481" s="2"/>
      <c r="AM481" s="2"/>
      <c r="AN481" s="2"/>
      <c r="AO481" s="2"/>
      <c r="AP481" s="2"/>
      <c r="AQ481" s="2"/>
      <c r="AR481" s="2"/>
      <c r="AS481" s="2"/>
      <c r="AT481" s="2"/>
      <c r="AU481" s="2"/>
      <c r="AV481" s="2"/>
      <c r="AW481" s="2"/>
      <c r="AX481" s="2"/>
      <c r="AY481" s="2"/>
      <c r="AZ481" s="2"/>
      <c r="BA481" s="2"/>
      <c r="BB481" s="2"/>
      <c r="BC481" s="2"/>
      <c r="BD481" s="2"/>
    </row>
    <row r="482" spans="1:56" ht="14.25" customHeight="1">
      <c r="A482" s="8"/>
      <c r="B482" s="507"/>
      <c r="C482" s="156" t="s">
        <v>165</v>
      </c>
      <c r="D482" s="147"/>
      <c r="E482" s="147"/>
      <c r="F482" s="147"/>
      <c r="G482" s="147"/>
      <c r="H482" s="147"/>
      <c r="I482" s="147"/>
      <c r="J482" s="147"/>
      <c r="K482" s="147"/>
      <c r="L482" s="147"/>
      <c r="M482" s="147"/>
      <c r="N482" s="147"/>
      <c r="O482" s="147"/>
      <c r="P482" s="147"/>
      <c r="Q482" s="147"/>
      <c r="R482" s="147"/>
      <c r="S482" s="147"/>
      <c r="T482" s="148" t="str">
        <f t="shared" si="269"/>
        <v>0</v>
      </c>
      <c r="U482" s="148" t="str">
        <f t="shared" si="270"/>
        <v>0</v>
      </c>
      <c r="V482" s="148" t="str">
        <f t="shared" si="271"/>
        <v>0</v>
      </c>
      <c r="W482" s="148" t="str">
        <f t="shared" si="272"/>
        <v>0</v>
      </c>
      <c r="X482" s="507"/>
      <c r="Y482" s="152">
        <f t="shared" si="273"/>
        <v>0</v>
      </c>
      <c r="Z482" s="150" t="s">
        <v>169</v>
      </c>
      <c r="AA482" s="2"/>
      <c r="AB482" s="26"/>
      <c r="AC482" s="159" t="s">
        <v>162</v>
      </c>
      <c r="AD482" s="159" t="s">
        <v>162</v>
      </c>
      <c r="AE482" s="159" t="s">
        <v>162</v>
      </c>
      <c r="AF482" s="159" t="s">
        <v>162</v>
      </c>
      <c r="AG482" s="31">
        <f t="shared" si="274"/>
        <v>0</v>
      </c>
      <c r="AH482" s="153" t="s">
        <v>162</v>
      </c>
      <c r="AI482" s="2"/>
      <c r="AJ482" s="2"/>
      <c r="AK482" s="2"/>
      <c r="AL482" s="2"/>
      <c r="AM482" s="2"/>
      <c r="AN482" s="2"/>
      <c r="AO482" s="2"/>
      <c r="AP482" s="2"/>
      <c r="AQ482" s="2"/>
      <c r="AR482" s="2"/>
      <c r="AS482" s="2"/>
      <c r="AT482" s="2"/>
      <c r="AU482" s="2"/>
      <c r="AV482" s="2"/>
      <c r="AW482" s="2"/>
      <c r="AX482" s="2"/>
      <c r="AY482" s="2"/>
      <c r="AZ482" s="2"/>
      <c r="BA482" s="2"/>
      <c r="BB482" s="2"/>
      <c r="BC482" s="2"/>
      <c r="BD482" s="2"/>
    </row>
    <row r="483" spans="1:56" ht="14.25" customHeight="1">
      <c r="A483" s="8"/>
      <c r="B483" s="508"/>
      <c r="C483" s="156" t="s">
        <v>166</v>
      </c>
      <c r="D483" s="147"/>
      <c r="E483" s="147"/>
      <c r="F483" s="147"/>
      <c r="G483" s="147"/>
      <c r="H483" s="147"/>
      <c r="I483" s="147"/>
      <c r="J483" s="147"/>
      <c r="K483" s="147"/>
      <c r="L483" s="147"/>
      <c r="M483" s="147"/>
      <c r="N483" s="147"/>
      <c r="O483" s="147"/>
      <c r="P483" s="147"/>
      <c r="Q483" s="147"/>
      <c r="R483" s="147"/>
      <c r="S483" s="147"/>
      <c r="T483" s="148" t="str">
        <f t="shared" si="269"/>
        <v>0</v>
      </c>
      <c r="U483" s="148" t="str">
        <f t="shared" si="270"/>
        <v>0</v>
      </c>
      <c r="V483" s="148" t="str">
        <f t="shared" si="271"/>
        <v>0</v>
      </c>
      <c r="W483" s="148" t="str">
        <f t="shared" si="272"/>
        <v>0</v>
      </c>
      <c r="X483" s="508"/>
      <c r="Y483" s="152">
        <f t="shared" si="273"/>
        <v>0</v>
      </c>
      <c r="Z483" s="150" t="s">
        <v>169</v>
      </c>
      <c r="AA483" s="2"/>
      <c r="AB483" s="26"/>
      <c r="AC483" s="159" t="s">
        <v>162</v>
      </c>
      <c r="AD483" s="159" t="s">
        <v>162</v>
      </c>
      <c r="AE483" s="159" t="s">
        <v>162</v>
      </c>
      <c r="AF483" s="159" t="s">
        <v>162</v>
      </c>
      <c r="AG483" s="31">
        <f t="shared" si="274"/>
        <v>0</v>
      </c>
      <c r="AH483" s="153" t="s">
        <v>162</v>
      </c>
      <c r="AI483" s="2"/>
      <c r="AJ483" s="2"/>
      <c r="AK483" s="2"/>
      <c r="AL483" s="2"/>
      <c r="AM483" s="2"/>
      <c r="AN483" s="2"/>
      <c r="AO483" s="2"/>
      <c r="AP483" s="2"/>
      <c r="AQ483" s="2"/>
      <c r="AR483" s="2"/>
      <c r="AS483" s="2"/>
      <c r="AT483" s="2"/>
      <c r="AU483" s="2"/>
      <c r="AV483" s="2"/>
      <c r="AW483" s="2"/>
      <c r="AX483" s="2"/>
      <c r="AY483" s="2"/>
      <c r="AZ483" s="2"/>
      <c r="BA483" s="2"/>
      <c r="BB483" s="2"/>
      <c r="BC483" s="2"/>
      <c r="BD483" s="2"/>
    </row>
    <row r="484" spans="1:56" ht="14.25" customHeight="1">
      <c r="A484" s="8"/>
      <c r="B484" s="506" t="s">
        <v>91</v>
      </c>
      <c r="C484" s="156" t="s">
        <v>160</v>
      </c>
      <c r="D484" s="147"/>
      <c r="E484" s="147"/>
      <c r="F484" s="147"/>
      <c r="G484" s="147"/>
      <c r="H484" s="147"/>
      <c r="I484" s="147"/>
      <c r="J484" s="147"/>
      <c r="K484" s="147"/>
      <c r="L484" s="147"/>
      <c r="M484" s="147"/>
      <c r="N484" s="147"/>
      <c r="O484" s="147"/>
      <c r="P484" s="147"/>
      <c r="Q484" s="147"/>
      <c r="R484" s="147"/>
      <c r="S484" s="147"/>
      <c r="T484" s="148" t="str">
        <f t="shared" si="269"/>
        <v>0</v>
      </c>
      <c r="U484" s="148" t="str">
        <f t="shared" si="270"/>
        <v>0</v>
      </c>
      <c r="V484" s="148" t="str">
        <f t="shared" si="271"/>
        <v>0</v>
      </c>
      <c r="W484" s="148" t="str">
        <f t="shared" si="272"/>
        <v>0</v>
      </c>
      <c r="X484" s="513">
        <f>SUM(Y484:Y488)/5</f>
        <v>0</v>
      </c>
      <c r="Y484" s="152">
        <f t="shared" si="273"/>
        <v>0</v>
      </c>
      <c r="Z484" s="150" t="s">
        <v>194</v>
      </c>
      <c r="AA484" s="2"/>
      <c r="AB484" s="2"/>
      <c r="AC484" s="160" t="s">
        <v>162</v>
      </c>
      <c r="AD484" s="160" t="s">
        <v>162</v>
      </c>
      <c r="AE484" s="160" t="s">
        <v>162</v>
      </c>
      <c r="AF484" s="160" t="s">
        <v>162</v>
      </c>
      <c r="AG484" s="153" t="str">
        <f t="shared" si="274"/>
        <v>MAN</v>
      </c>
      <c r="AH484" s="153" t="s">
        <v>162</v>
      </c>
      <c r="AI484" s="2"/>
      <c r="AJ484" s="2"/>
      <c r="AK484" s="2"/>
      <c r="AL484" s="2"/>
      <c r="AM484" s="2"/>
      <c r="AN484" s="2"/>
      <c r="AO484" s="2"/>
      <c r="AP484" s="2"/>
      <c r="AQ484" s="2"/>
      <c r="AR484" s="2"/>
      <c r="AS484" s="2"/>
      <c r="AT484" s="2"/>
      <c r="AU484" s="2"/>
      <c r="AV484" s="2"/>
      <c r="AW484" s="2"/>
      <c r="AX484" s="2"/>
      <c r="AY484" s="2"/>
      <c r="AZ484" s="2"/>
      <c r="BA484" s="2"/>
      <c r="BB484" s="2"/>
      <c r="BC484" s="2"/>
      <c r="BD484" s="2"/>
    </row>
    <row r="485" spans="1:56" ht="14.25" customHeight="1">
      <c r="A485" s="8"/>
      <c r="B485" s="507"/>
      <c r="C485" s="156" t="s">
        <v>163</v>
      </c>
      <c r="D485" s="147"/>
      <c r="E485" s="147"/>
      <c r="F485" s="147"/>
      <c r="G485" s="147"/>
      <c r="H485" s="147"/>
      <c r="I485" s="147"/>
      <c r="J485" s="147"/>
      <c r="K485" s="147"/>
      <c r="L485" s="147"/>
      <c r="M485" s="147"/>
      <c r="N485" s="147"/>
      <c r="O485" s="147"/>
      <c r="P485" s="147"/>
      <c r="Q485" s="147"/>
      <c r="R485" s="147"/>
      <c r="S485" s="147"/>
      <c r="T485" s="148" t="str">
        <f t="shared" si="269"/>
        <v>0</v>
      </c>
      <c r="U485" s="148" t="str">
        <f t="shared" si="270"/>
        <v>0</v>
      </c>
      <c r="V485" s="148" t="str">
        <f t="shared" si="271"/>
        <v>0</v>
      </c>
      <c r="W485" s="148" t="str">
        <f t="shared" si="272"/>
        <v>0</v>
      </c>
      <c r="X485" s="507"/>
      <c r="Y485" s="152">
        <f t="shared" si="273"/>
        <v>0</v>
      </c>
      <c r="Z485" s="150" t="s">
        <v>169</v>
      </c>
      <c r="AA485" s="2"/>
      <c r="AB485" s="2"/>
      <c r="AC485" s="153" t="s">
        <v>162</v>
      </c>
      <c r="AD485" s="153" t="s">
        <v>162</v>
      </c>
      <c r="AE485" s="153" t="s">
        <v>162</v>
      </c>
      <c r="AF485" s="153" t="s">
        <v>162</v>
      </c>
      <c r="AG485" s="2">
        <f t="shared" si="274"/>
        <v>0</v>
      </c>
      <c r="AH485" s="153" t="s">
        <v>162</v>
      </c>
      <c r="AI485" s="2"/>
      <c r="AJ485" s="2"/>
      <c r="AK485" s="2"/>
      <c r="AL485" s="2"/>
      <c r="AM485" s="2"/>
      <c r="AN485" s="2"/>
      <c r="AO485" s="2"/>
      <c r="AP485" s="2"/>
      <c r="AQ485" s="2"/>
      <c r="AR485" s="2"/>
      <c r="AS485" s="2"/>
      <c r="AT485" s="2"/>
      <c r="AU485" s="2"/>
      <c r="AV485" s="2"/>
      <c r="AW485" s="2"/>
      <c r="AX485" s="2"/>
      <c r="AY485" s="2"/>
      <c r="AZ485" s="2"/>
      <c r="BA485" s="2"/>
      <c r="BB485" s="2"/>
      <c r="BC485" s="2"/>
      <c r="BD485" s="2"/>
    </row>
    <row r="486" spans="1:56" ht="14.25" customHeight="1">
      <c r="A486" s="8"/>
      <c r="B486" s="507"/>
      <c r="C486" s="156" t="s">
        <v>164</v>
      </c>
      <c r="D486" s="147"/>
      <c r="E486" s="147"/>
      <c r="F486" s="147"/>
      <c r="G486" s="147"/>
      <c r="H486" s="147"/>
      <c r="I486" s="147"/>
      <c r="J486" s="147"/>
      <c r="K486" s="147"/>
      <c r="L486" s="147"/>
      <c r="M486" s="147"/>
      <c r="N486" s="147"/>
      <c r="O486" s="147"/>
      <c r="P486" s="147"/>
      <c r="Q486" s="147"/>
      <c r="R486" s="147"/>
      <c r="S486" s="147"/>
      <c r="T486" s="148" t="str">
        <f t="shared" si="269"/>
        <v>0</v>
      </c>
      <c r="U486" s="148" t="str">
        <f t="shared" si="270"/>
        <v>0</v>
      </c>
      <c r="V486" s="148" t="str">
        <f t="shared" si="271"/>
        <v>0</v>
      </c>
      <c r="W486" s="148" t="str">
        <f t="shared" si="272"/>
        <v>0</v>
      </c>
      <c r="X486" s="507"/>
      <c r="Y486" s="152">
        <f t="shared" si="273"/>
        <v>0</v>
      </c>
      <c r="Z486" s="150" t="s">
        <v>169</v>
      </c>
      <c r="AA486" s="2"/>
      <c r="AB486" s="2"/>
      <c r="AC486" s="153" t="s">
        <v>162</v>
      </c>
      <c r="AD486" s="153" t="s">
        <v>162</v>
      </c>
      <c r="AE486" s="153" t="s">
        <v>162</v>
      </c>
      <c r="AF486" s="153" t="s">
        <v>162</v>
      </c>
      <c r="AG486" s="2">
        <f t="shared" si="274"/>
        <v>0</v>
      </c>
      <c r="AH486" s="153" t="s">
        <v>162</v>
      </c>
      <c r="AI486" s="2"/>
      <c r="AJ486" s="2"/>
      <c r="AK486" s="2"/>
      <c r="AL486" s="2"/>
      <c r="AM486" s="2"/>
      <c r="AN486" s="2"/>
      <c r="AO486" s="2"/>
      <c r="AP486" s="2"/>
      <c r="AQ486" s="2"/>
      <c r="AR486" s="2"/>
      <c r="AS486" s="2"/>
      <c r="AT486" s="2"/>
      <c r="AU486" s="2"/>
      <c r="AV486" s="2"/>
      <c r="AW486" s="2"/>
      <c r="AX486" s="2"/>
      <c r="AY486" s="2"/>
      <c r="AZ486" s="2"/>
      <c r="BA486" s="2"/>
      <c r="BB486" s="2"/>
      <c r="BC486" s="2"/>
      <c r="BD486" s="2"/>
    </row>
    <row r="487" spans="1:56" ht="14.25" customHeight="1">
      <c r="A487" s="8"/>
      <c r="B487" s="507"/>
      <c r="C487" s="156" t="s">
        <v>165</v>
      </c>
      <c r="D487" s="147"/>
      <c r="E487" s="147"/>
      <c r="F487" s="147"/>
      <c r="G487" s="147"/>
      <c r="H487" s="147"/>
      <c r="I487" s="147"/>
      <c r="J487" s="147"/>
      <c r="K487" s="147"/>
      <c r="L487" s="147"/>
      <c r="M487" s="147"/>
      <c r="N487" s="147"/>
      <c r="O487" s="147"/>
      <c r="P487" s="147"/>
      <c r="Q487" s="147"/>
      <c r="R487" s="147"/>
      <c r="S487" s="147"/>
      <c r="T487" s="148" t="str">
        <f t="shared" ref="T487:T523" si="275">IFERROR(AVERAGE(D487,H487,L487,P487),"0")</f>
        <v>0</v>
      </c>
      <c r="U487" s="148" t="str">
        <f t="shared" ref="U487:U523" si="276">IFERROR(AVERAGE(E487,I487,M487,Q487),"0")</f>
        <v>0</v>
      </c>
      <c r="V487" s="148" t="str">
        <f t="shared" ref="V487:V523" si="277">IFERROR(AVERAGE(F487,J487,N487,R487),"0")</f>
        <v>0</v>
      </c>
      <c r="W487" s="148" t="str">
        <f t="shared" ref="W487:W523" si="278">IFERROR(AVERAGE(G487,K487,O487,S487),"0")</f>
        <v>0</v>
      </c>
      <c r="X487" s="507"/>
      <c r="Y487" s="152">
        <f t="shared" ref="Y487:Y523" si="279">((4*T487)+(3*U487)+(2*V487)+W487)/4</f>
        <v>0</v>
      </c>
      <c r="Z487" s="150" t="s">
        <v>169</v>
      </c>
      <c r="AA487" s="2"/>
      <c r="AB487" s="2"/>
      <c r="AC487" s="153" t="s">
        <v>162</v>
      </c>
      <c r="AD487" s="153" t="s">
        <v>162</v>
      </c>
      <c r="AE487" s="153" t="s">
        <v>162</v>
      </c>
      <c r="AF487" s="153" t="s">
        <v>162</v>
      </c>
      <c r="AG487" s="2">
        <f t="shared" ref="AG487:AG523" si="280">B487</f>
        <v>0</v>
      </c>
      <c r="AH487" s="153" t="s">
        <v>162</v>
      </c>
      <c r="AI487" s="2"/>
      <c r="AJ487" s="2"/>
      <c r="AK487" s="2"/>
      <c r="AL487" s="2"/>
      <c r="AM487" s="2"/>
      <c r="AN487" s="2"/>
      <c r="AO487" s="2"/>
      <c r="AP487" s="2"/>
      <c r="AQ487" s="2"/>
      <c r="AR487" s="2"/>
      <c r="AS487" s="2"/>
      <c r="AT487" s="2"/>
      <c r="AU487" s="2"/>
      <c r="AV487" s="2"/>
      <c r="AW487" s="2"/>
      <c r="AX487" s="2"/>
      <c r="AY487" s="2"/>
      <c r="AZ487" s="2"/>
      <c r="BA487" s="2"/>
      <c r="BB487" s="2"/>
      <c r="BC487" s="2"/>
      <c r="BD487" s="2"/>
    </row>
    <row r="488" spans="1:56" ht="14.25" customHeight="1">
      <c r="A488" s="8"/>
      <c r="B488" s="508"/>
      <c r="C488" s="156" t="s">
        <v>166</v>
      </c>
      <c r="D488" s="147"/>
      <c r="E488" s="147"/>
      <c r="F488" s="147"/>
      <c r="G488" s="147"/>
      <c r="H488" s="147"/>
      <c r="I488" s="147"/>
      <c r="J488" s="147"/>
      <c r="K488" s="147"/>
      <c r="L488" s="147"/>
      <c r="M488" s="147"/>
      <c r="N488" s="147"/>
      <c r="O488" s="147"/>
      <c r="P488" s="147"/>
      <c r="Q488" s="147"/>
      <c r="R488" s="147"/>
      <c r="S488" s="147"/>
      <c r="T488" s="148" t="str">
        <f t="shared" si="275"/>
        <v>0</v>
      </c>
      <c r="U488" s="148" t="str">
        <f t="shared" si="276"/>
        <v>0</v>
      </c>
      <c r="V488" s="148" t="str">
        <f t="shared" si="277"/>
        <v>0</v>
      </c>
      <c r="W488" s="148" t="str">
        <f t="shared" si="278"/>
        <v>0</v>
      </c>
      <c r="X488" s="508"/>
      <c r="Y488" s="152">
        <f t="shared" si="279"/>
        <v>0</v>
      </c>
      <c r="Z488" s="150" t="s">
        <v>169</v>
      </c>
      <c r="AA488" s="2"/>
      <c r="AB488" s="2"/>
      <c r="AC488" s="161" t="s">
        <v>162</v>
      </c>
      <c r="AD488" s="161" t="s">
        <v>162</v>
      </c>
      <c r="AE488" s="161" t="s">
        <v>162</v>
      </c>
      <c r="AF488" s="161" t="s">
        <v>162</v>
      </c>
      <c r="AG488" s="2">
        <f t="shared" si="280"/>
        <v>0</v>
      </c>
      <c r="AH488" s="153" t="s">
        <v>162</v>
      </c>
      <c r="AI488" s="2"/>
      <c r="AJ488" s="2"/>
      <c r="AK488" s="2"/>
      <c r="AL488" s="2"/>
      <c r="AM488" s="2"/>
      <c r="AN488" s="2"/>
      <c r="AO488" s="2"/>
      <c r="AP488" s="2"/>
      <c r="AQ488" s="2"/>
      <c r="AR488" s="2"/>
      <c r="AS488" s="2"/>
      <c r="AT488" s="2"/>
      <c r="AU488" s="2"/>
      <c r="AV488" s="2"/>
      <c r="AW488" s="2"/>
      <c r="AX488" s="2"/>
      <c r="AY488" s="2"/>
      <c r="AZ488" s="2"/>
      <c r="BA488" s="2"/>
      <c r="BB488" s="2"/>
      <c r="BC488" s="2"/>
      <c r="BD488" s="2"/>
    </row>
    <row r="489" spans="1:56" ht="14.25" customHeight="1">
      <c r="A489" s="8"/>
      <c r="B489" s="506" t="s">
        <v>92</v>
      </c>
      <c r="C489" s="156" t="s">
        <v>160</v>
      </c>
      <c r="D489" s="147"/>
      <c r="E489" s="147"/>
      <c r="F489" s="147"/>
      <c r="G489" s="147"/>
      <c r="H489" s="147"/>
      <c r="I489" s="147"/>
      <c r="J489" s="147"/>
      <c r="K489" s="147"/>
      <c r="L489" s="147"/>
      <c r="M489" s="147"/>
      <c r="N489" s="147"/>
      <c r="O489" s="147"/>
      <c r="P489" s="147"/>
      <c r="Q489" s="147"/>
      <c r="R489" s="147"/>
      <c r="S489" s="147"/>
      <c r="T489" s="148" t="str">
        <f t="shared" si="275"/>
        <v>0</v>
      </c>
      <c r="U489" s="148" t="str">
        <f t="shared" si="276"/>
        <v>0</v>
      </c>
      <c r="V489" s="148" t="str">
        <f t="shared" si="277"/>
        <v>0</v>
      </c>
      <c r="W489" s="148" t="str">
        <f t="shared" si="278"/>
        <v>0</v>
      </c>
      <c r="X489" s="513">
        <f>SUM(Y489:Y493)/5</f>
        <v>0</v>
      </c>
      <c r="Y489" s="152">
        <f t="shared" si="279"/>
        <v>0</v>
      </c>
      <c r="Z489" s="150" t="s">
        <v>195</v>
      </c>
      <c r="AA489" s="2"/>
      <c r="AB489" s="26"/>
      <c r="AC489" s="159" t="s">
        <v>162</v>
      </c>
      <c r="AD489" s="159" t="s">
        <v>162</v>
      </c>
      <c r="AE489" s="159" t="s">
        <v>162</v>
      </c>
      <c r="AF489" s="159" t="s">
        <v>162</v>
      </c>
      <c r="AG489" s="158" t="str">
        <f t="shared" si="280"/>
        <v>MM</v>
      </c>
      <c r="AH489" s="153" t="s">
        <v>162</v>
      </c>
      <c r="AI489" s="2"/>
      <c r="AJ489" s="2"/>
      <c r="AK489" s="2"/>
      <c r="AL489" s="2"/>
      <c r="AM489" s="2"/>
      <c r="AN489" s="2"/>
      <c r="AO489" s="2"/>
      <c r="AP489" s="2"/>
      <c r="AQ489" s="2"/>
      <c r="AR489" s="2"/>
      <c r="AS489" s="2"/>
      <c r="AT489" s="2"/>
      <c r="AU489" s="2"/>
      <c r="AV489" s="2"/>
      <c r="AW489" s="2"/>
      <c r="AX489" s="2"/>
      <c r="AY489" s="2"/>
      <c r="AZ489" s="2"/>
      <c r="BA489" s="2"/>
      <c r="BB489" s="2"/>
      <c r="BC489" s="2"/>
      <c r="BD489" s="2"/>
    </row>
    <row r="490" spans="1:56" ht="14.25" customHeight="1">
      <c r="A490" s="8"/>
      <c r="B490" s="507"/>
      <c r="C490" s="156" t="s">
        <v>163</v>
      </c>
      <c r="D490" s="147"/>
      <c r="E490" s="147"/>
      <c r="F490" s="147"/>
      <c r="G490" s="147"/>
      <c r="H490" s="147"/>
      <c r="I490" s="147"/>
      <c r="J490" s="147"/>
      <c r="K490" s="147"/>
      <c r="L490" s="147"/>
      <c r="M490" s="147"/>
      <c r="N490" s="147"/>
      <c r="O490" s="147"/>
      <c r="P490" s="147"/>
      <c r="Q490" s="147"/>
      <c r="R490" s="147"/>
      <c r="S490" s="147"/>
      <c r="T490" s="148" t="str">
        <f t="shared" si="275"/>
        <v>0</v>
      </c>
      <c r="U490" s="148" t="str">
        <f t="shared" si="276"/>
        <v>0</v>
      </c>
      <c r="V490" s="148" t="str">
        <f t="shared" si="277"/>
        <v>0</v>
      </c>
      <c r="W490" s="148" t="str">
        <f t="shared" si="278"/>
        <v>0</v>
      </c>
      <c r="X490" s="507"/>
      <c r="Y490" s="152">
        <f t="shared" si="279"/>
        <v>0</v>
      </c>
      <c r="Z490" s="150" t="s">
        <v>169</v>
      </c>
      <c r="AA490" s="2"/>
      <c r="AB490" s="26"/>
      <c r="AC490" s="159" t="s">
        <v>162</v>
      </c>
      <c r="AD490" s="159" t="s">
        <v>162</v>
      </c>
      <c r="AE490" s="159" t="s">
        <v>162</v>
      </c>
      <c r="AF490" s="159" t="s">
        <v>162</v>
      </c>
      <c r="AG490" s="31">
        <f t="shared" si="280"/>
        <v>0</v>
      </c>
      <c r="AH490" s="153" t="s">
        <v>162</v>
      </c>
      <c r="AI490" s="2"/>
      <c r="AJ490" s="2"/>
      <c r="AK490" s="2"/>
      <c r="AL490" s="2"/>
      <c r="AM490" s="2"/>
      <c r="AN490" s="2"/>
      <c r="AO490" s="2"/>
      <c r="AP490" s="2"/>
      <c r="AQ490" s="2"/>
      <c r="AR490" s="2"/>
      <c r="AS490" s="2"/>
      <c r="AT490" s="2"/>
      <c r="AU490" s="2"/>
      <c r="AV490" s="2"/>
      <c r="AW490" s="2"/>
      <c r="AX490" s="2"/>
      <c r="AY490" s="2"/>
      <c r="AZ490" s="2"/>
      <c r="BA490" s="2"/>
      <c r="BB490" s="2"/>
      <c r="BC490" s="2"/>
      <c r="BD490" s="2"/>
    </row>
    <row r="491" spans="1:56" ht="14.25" customHeight="1">
      <c r="A491" s="8"/>
      <c r="B491" s="507"/>
      <c r="C491" s="156" t="s">
        <v>164</v>
      </c>
      <c r="D491" s="147"/>
      <c r="E491" s="147"/>
      <c r="F491" s="147"/>
      <c r="G491" s="147"/>
      <c r="H491" s="147"/>
      <c r="I491" s="147"/>
      <c r="J491" s="147"/>
      <c r="K491" s="147"/>
      <c r="L491" s="147"/>
      <c r="M491" s="147"/>
      <c r="N491" s="147"/>
      <c r="O491" s="147"/>
      <c r="P491" s="147"/>
      <c r="Q491" s="147"/>
      <c r="R491" s="147"/>
      <c r="S491" s="147"/>
      <c r="T491" s="148" t="str">
        <f t="shared" si="275"/>
        <v>0</v>
      </c>
      <c r="U491" s="148" t="str">
        <f t="shared" si="276"/>
        <v>0</v>
      </c>
      <c r="V491" s="148" t="str">
        <f t="shared" si="277"/>
        <v>0</v>
      </c>
      <c r="W491" s="148" t="str">
        <f t="shared" si="278"/>
        <v>0</v>
      </c>
      <c r="X491" s="507"/>
      <c r="Y491" s="152">
        <f t="shared" si="279"/>
        <v>0</v>
      </c>
      <c r="Z491" s="150" t="s">
        <v>169</v>
      </c>
      <c r="AA491" s="2"/>
      <c r="AB491" s="26"/>
      <c r="AC491" s="159" t="s">
        <v>162</v>
      </c>
      <c r="AD491" s="159" t="s">
        <v>162</v>
      </c>
      <c r="AE491" s="159" t="s">
        <v>162</v>
      </c>
      <c r="AF491" s="159" t="s">
        <v>162</v>
      </c>
      <c r="AG491" s="31">
        <f t="shared" si="280"/>
        <v>0</v>
      </c>
      <c r="AH491" s="153" t="s">
        <v>162</v>
      </c>
      <c r="AI491" s="2"/>
      <c r="AJ491" s="2"/>
      <c r="AK491" s="2"/>
      <c r="AL491" s="2"/>
      <c r="AM491" s="2"/>
      <c r="AN491" s="2"/>
      <c r="AO491" s="2"/>
      <c r="AP491" s="2"/>
      <c r="AQ491" s="2"/>
      <c r="AR491" s="2"/>
      <c r="AS491" s="2"/>
      <c r="AT491" s="2"/>
      <c r="AU491" s="2"/>
      <c r="AV491" s="2"/>
      <c r="AW491" s="2"/>
      <c r="AX491" s="2"/>
      <c r="AY491" s="2"/>
      <c r="AZ491" s="2"/>
      <c r="BA491" s="2"/>
      <c r="BB491" s="2"/>
      <c r="BC491" s="2"/>
      <c r="BD491" s="2"/>
    </row>
    <row r="492" spans="1:56" ht="14.25" customHeight="1">
      <c r="A492" s="8"/>
      <c r="B492" s="507"/>
      <c r="C492" s="156" t="s">
        <v>165</v>
      </c>
      <c r="D492" s="147"/>
      <c r="E492" s="147"/>
      <c r="F492" s="147"/>
      <c r="G492" s="147"/>
      <c r="H492" s="147"/>
      <c r="I492" s="147"/>
      <c r="J492" s="147"/>
      <c r="K492" s="147"/>
      <c r="L492" s="147"/>
      <c r="M492" s="147"/>
      <c r="N492" s="147"/>
      <c r="O492" s="147"/>
      <c r="P492" s="147"/>
      <c r="Q492" s="147"/>
      <c r="R492" s="147"/>
      <c r="S492" s="147"/>
      <c r="T492" s="148" t="str">
        <f t="shared" si="275"/>
        <v>0</v>
      </c>
      <c r="U492" s="148" t="str">
        <f t="shared" si="276"/>
        <v>0</v>
      </c>
      <c r="V492" s="148" t="str">
        <f t="shared" si="277"/>
        <v>0</v>
      </c>
      <c r="W492" s="148" t="str">
        <f t="shared" si="278"/>
        <v>0</v>
      </c>
      <c r="X492" s="507"/>
      <c r="Y492" s="152">
        <f t="shared" si="279"/>
        <v>0</v>
      </c>
      <c r="Z492" s="150" t="s">
        <v>169</v>
      </c>
      <c r="AA492" s="2"/>
      <c r="AB492" s="26"/>
      <c r="AC492" s="159" t="s">
        <v>162</v>
      </c>
      <c r="AD492" s="159" t="s">
        <v>162</v>
      </c>
      <c r="AE492" s="159" t="s">
        <v>162</v>
      </c>
      <c r="AF492" s="159" t="s">
        <v>162</v>
      </c>
      <c r="AG492" s="31">
        <f t="shared" si="280"/>
        <v>0</v>
      </c>
      <c r="AH492" s="153" t="s">
        <v>162</v>
      </c>
      <c r="AI492" s="2"/>
      <c r="AJ492" s="2"/>
      <c r="AK492" s="2"/>
      <c r="AL492" s="2"/>
      <c r="AM492" s="2"/>
      <c r="AN492" s="2"/>
      <c r="AO492" s="2"/>
      <c r="AP492" s="2"/>
      <c r="AQ492" s="2"/>
      <c r="AR492" s="2"/>
      <c r="AS492" s="2"/>
      <c r="AT492" s="2"/>
      <c r="AU492" s="2"/>
      <c r="AV492" s="2"/>
      <c r="AW492" s="2"/>
      <c r="AX492" s="2"/>
      <c r="AY492" s="2"/>
      <c r="AZ492" s="2"/>
      <c r="BA492" s="2"/>
      <c r="BB492" s="2"/>
      <c r="BC492" s="2"/>
      <c r="BD492" s="2"/>
    </row>
    <row r="493" spans="1:56" ht="14.25" customHeight="1">
      <c r="A493" s="8"/>
      <c r="B493" s="508"/>
      <c r="C493" s="156" t="s">
        <v>166</v>
      </c>
      <c r="D493" s="147"/>
      <c r="E493" s="147"/>
      <c r="F493" s="147"/>
      <c r="G493" s="147"/>
      <c r="H493" s="147"/>
      <c r="I493" s="147"/>
      <c r="J493" s="147"/>
      <c r="K493" s="147"/>
      <c r="L493" s="147"/>
      <c r="M493" s="147"/>
      <c r="N493" s="147"/>
      <c r="O493" s="147"/>
      <c r="P493" s="147"/>
      <c r="Q493" s="147"/>
      <c r="R493" s="147"/>
      <c r="S493" s="147"/>
      <c r="T493" s="148" t="str">
        <f t="shared" si="275"/>
        <v>0</v>
      </c>
      <c r="U493" s="148" t="str">
        <f t="shared" si="276"/>
        <v>0</v>
      </c>
      <c r="V493" s="148" t="str">
        <f t="shared" si="277"/>
        <v>0</v>
      </c>
      <c r="W493" s="148" t="str">
        <f t="shared" si="278"/>
        <v>0</v>
      </c>
      <c r="X493" s="508"/>
      <c r="Y493" s="152">
        <f t="shared" si="279"/>
        <v>0</v>
      </c>
      <c r="Z493" s="150" t="s">
        <v>169</v>
      </c>
      <c r="AA493" s="2"/>
      <c r="AB493" s="26"/>
      <c r="AC493" s="159" t="s">
        <v>162</v>
      </c>
      <c r="AD493" s="159" t="s">
        <v>162</v>
      </c>
      <c r="AE493" s="159" t="s">
        <v>162</v>
      </c>
      <c r="AF493" s="159" t="s">
        <v>162</v>
      </c>
      <c r="AG493" s="31">
        <f t="shared" si="280"/>
        <v>0</v>
      </c>
      <c r="AH493" s="153" t="s">
        <v>162</v>
      </c>
      <c r="AI493" s="2"/>
      <c r="AJ493" s="2"/>
      <c r="AK493" s="2"/>
      <c r="AL493" s="2"/>
      <c r="AM493" s="2"/>
      <c r="AN493" s="2"/>
      <c r="AO493" s="2"/>
      <c r="AP493" s="2"/>
      <c r="AQ493" s="2"/>
      <c r="AR493" s="2"/>
      <c r="AS493" s="2"/>
      <c r="AT493" s="2"/>
      <c r="AU493" s="2"/>
      <c r="AV493" s="2"/>
      <c r="AW493" s="2"/>
      <c r="AX493" s="2"/>
      <c r="AY493" s="2"/>
      <c r="AZ493" s="2"/>
      <c r="BA493" s="2"/>
      <c r="BB493" s="2"/>
      <c r="BC493" s="2"/>
      <c r="BD493" s="2"/>
    </row>
    <row r="494" spans="1:56" ht="14.25" customHeight="1">
      <c r="A494" s="8"/>
      <c r="B494" s="506" t="s">
        <v>93</v>
      </c>
      <c r="C494" s="156" t="s">
        <v>160</v>
      </c>
      <c r="D494" s="147"/>
      <c r="E494" s="147"/>
      <c r="F494" s="147"/>
      <c r="G494" s="147"/>
      <c r="H494" s="147"/>
      <c r="I494" s="147"/>
      <c r="J494" s="147"/>
      <c r="K494" s="147"/>
      <c r="L494" s="147"/>
      <c r="M494" s="147"/>
      <c r="N494" s="147"/>
      <c r="O494" s="147"/>
      <c r="P494" s="147"/>
      <c r="Q494" s="147"/>
      <c r="R494" s="147"/>
      <c r="S494" s="147"/>
      <c r="T494" s="148" t="str">
        <f t="shared" si="275"/>
        <v>0</v>
      </c>
      <c r="U494" s="148" t="str">
        <f t="shared" si="276"/>
        <v>0</v>
      </c>
      <c r="V494" s="148" t="str">
        <f t="shared" si="277"/>
        <v>0</v>
      </c>
      <c r="W494" s="148" t="str">
        <f t="shared" si="278"/>
        <v>0</v>
      </c>
      <c r="X494" s="513">
        <f>SUM(Y494:Y498)/5</f>
        <v>0</v>
      </c>
      <c r="Y494" s="152">
        <f t="shared" si="279"/>
        <v>0</v>
      </c>
      <c r="Z494" s="150" t="s">
        <v>196</v>
      </c>
      <c r="AA494" s="2"/>
      <c r="AB494" s="26"/>
      <c r="AC494" s="159" t="s">
        <v>162</v>
      </c>
      <c r="AD494" s="159" t="s">
        <v>162</v>
      </c>
      <c r="AE494" s="159" t="s">
        <v>162</v>
      </c>
      <c r="AF494" s="159" t="s">
        <v>162</v>
      </c>
      <c r="AG494" s="158" t="str">
        <f t="shared" si="280"/>
        <v>PAR</v>
      </c>
      <c r="AH494" s="153" t="s">
        <v>162</v>
      </c>
      <c r="AI494" s="2"/>
      <c r="AJ494" s="2"/>
      <c r="AK494" s="2"/>
      <c r="AL494" s="2"/>
      <c r="AM494" s="2"/>
      <c r="AN494" s="2"/>
      <c r="AO494" s="2"/>
      <c r="AP494" s="2"/>
      <c r="AQ494" s="2"/>
      <c r="AR494" s="2"/>
      <c r="AS494" s="2"/>
      <c r="AT494" s="2"/>
      <c r="AU494" s="2"/>
      <c r="AV494" s="2"/>
      <c r="AW494" s="2"/>
      <c r="AX494" s="2"/>
      <c r="AY494" s="2"/>
      <c r="AZ494" s="2"/>
      <c r="BA494" s="2"/>
      <c r="BB494" s="2"/>
      <c r="BC494" s="2"/>
      <c r="BD494" s="2"/>
    </row>
    <row r="495" spans="1:56" ht="14.25" customHeight="1">
      <c r="A495" s="8"/>
      <c r="B495" s="507"/>
      <c r="C495" s="156" t="s">
        <v>163</v>
      </c>
      <c r="D495" s="147"/>
      <c r="E495" s="147"/>
      <c r="F495" s="147"/>
      <c r="G495" s="147"/>
      <c r="H495" s="147"/>
      <c r="I495" s="147"/>
      <c r="J495" s="147"/>
      <c r="K495" s="147"/>
      <c r="L495" s="147"/>
      <c r="M495" s="147"/>
      <c r="N495" s="147"/>
      <c r="O495" s="147"/>
      <c r="P495" s="147"/>
      <c r="Q495" s="147"/>
      <c r="R495" s="147"/>
      <c r="S495" s="147"/>
      <c r="T495" s="148" t="str">
        <f t="shared" si="275"/>
        <v>0</v>
      </c>
      <c r="U495" s="148" t="str">
        <f t="shared" si="276"/>
        <v>0</v>
      </c>
      <c r="V495" s="148" t="str">
        <f t="shared" si="277"/>
        <v>0</v>
      </c>
      <c r="W495" s="148" t="str">
        <f t="shared" si="278"/>
        <v>0</v>
      </c>
      <c r="X495" s="507"/>
      <c r="Y495" s="152">
        <f t="shared" si="279"/>
        <v>0</v>
      </c>
      <c r="Z495" s="150" t="s">
        <v>169</v>
      </c>
      <c r="AA495" s="2"/>
      <c r="AB495" s="26"/>
      <c r="AC495" s="159" t="s">
        <v>162</v>
      </c>
      <c r="AD495" s="159" t="s">
        <v>162</v>
      </c>
      <c r="AE495" s="159" t="s">
        <v>162</v>
      </c>
      <c r="AF495" s="159" t="s">
        <v>162</v>
      </c>
      <c r="AG495" s="31">
        <f t="shared" si="280"/>
        <v>0</v>
      </c>
      <c r="AH495" s="153" t="s">
        <v>162</v>
      </c>
      <c r="AI495" s="2"/>
      <c r="AJ495" s="2"/>
      <c r="AK495" s="2"/>
      <c r="AL495" s="2"/>
      <c r="AM495" s="2"/>
      <c r="AN495" s="2"/>
      <c r="AO495" s="2"/>
      <c r="AP495" s="2"/>
      <c r="AQ495" s="2"/>
      <c r="AR495" s="2"/>
      <c r="AS495" s="2"/>
      <c r="AT495" s="2"/>
      <c r="AU495" s="2"/>
      <c r="AV495" s="2"/>
      <c r="AW495" s="2"/>
      <c r="AX495" s="2"/>
      <c r="AY495" s="2"/>
      <c r="AZ495" s="2"/>
      <c r="BA495" s="2"/>
      <c r="BB495" s="2"/>
      <c r="BC495" s="2"/>
      <c r="BD495" s="2"/>
    </row>
    <row r="496" spans="1:56" ht="14.25" customHeight="1">
      <c r="A496" s="8"/>
      <c r="B496" s="507"/>
      <c r="C496" s="156" t="s">
        <v>164</v>
      </c>
      <c r="D496" s="147"/>
      <c r="E496" s="147"/>
      <c r="F496" s="147"/>
      <c r="G496" s="147"/>
      <c r="H496" s="147"/>
      <c r="I496" s="147"/>
      <c r="J496" s="147"/>
      <c r="K496" s="147"/>
      <c r="L496" s="147"/>
      <c r="M496" s="147"/>
      <c r="N496" s="147"/>
      <c r="O496" s="147"/>
      <c r="P496" s="147"/>
      <c r="Q496" s="147"/>
      <c r="R496" s="147"/>
      <c r="S496" s="147"/>
      <c r="T496" s="148" t="str">
        <f t="shared" si="275"/>
        <v>0</v>
      </c>
      <c r="U496" s="148" t="str">
        <f t="shared" si="276"/>
        <v>0</v>
      </c>
      <c r="V496" s="148" t="str">
        <f t="shared" si="277"/>
        <v>0</v>
      </c>
      <c r="W496" s="148" t="str">
        <f t="shared" si="278"/>
        <v>0</v>
      </c>
      <c r="X496" s="507"/>
      <c r="Y496" s="152">
        <f t="shared" si="279"/>
        <v>0</v>
      </c>
      <c r="Z496" s="150" t="s">
        <v>169</v>
      </c>
      <c r="AA496" s="2"/>
      <c r="AB496" s="26"/>
      <c r="AC496" s="159" t="s">
        <v>162</v>
      </c>
      <c r="AD496" s="159" t="s">
        <v>162</v>
      </c>
      <c r="AE496" s="159" t="s">
        <v>162</v>
      </c>
      <c r="AF496" s="159" t="s">
        <v>162</v>
      </c>
      <c r="AG496" s="31">
        <f t="shared" si="280"/>
        <v>0</v>
      </c>
      <c r="AH496" s="153" t="s">
        <v>162</v>
      </c>
      <c r="AI496" s="2"/>
      <c r="AJ496" s="2"/>
      <c r="AK496" s="2"/>
      <c r="AL496" s="2"/>
      <c r="AM496" s="2"/>
      <c r="AN496" s="2"/>
      <c r="AO496" s="2"/>
      <c r="AP496" s="2"/>
      <c r="AQ496" s="2"/>
      <c r="AR496" s="2"/>
      <c r="AS496" s="2"/>
      <c r="AT496" s="2"/>
      <c r="AU496" s="2"/>
      <c r="AV496" s="2"/>
      <c r="AW496" s="2"/>
      <c r="AX496" s="2"/>
      <c r="AY496" s="2"/>
      <c r="AZ496" s="2"/>
      <c r="BA496" s="2"/>
      <c r="BB496" s="2"/>
      <c r="BC496" s="2"/>
      <c r="BD496" s="2"/>
    </row>
    <row r="497" spans="1:56" ht="14.25" customHeight="1">
      <c r="A497" s="8"/>
      <c r="B497" s="507"/>
      <c r="C497" s="156" t="s">
        <v>165</v>
      </c>
      <c r="D497" s="147"/>
      <c r="E497" s="147"/>
      <c r="F497" s="147"/>
      <c r="G497" s="147"/>
      <c r="H497" s="147"/>
      <c r="I497" s="147"/>
      <c r="J497" s="147"/>
      <c r="K497" s="147"/>
      <c r="L497" s="147"/>
      <c r="M497" s="147"/>
      <c r="N497" s="147"/>
      <c r="O497" s="147"/>
      <c r="P497" s="147"/>
      <c r="Q497" s="147"/>
      <c r="R497" s="147"/>
      <c r="S497" s="147"/>
      <c r="T497" s="148" t="str">
        <f t="shared" si="275"/>
        <v>0</v>
      </c>
      <c r="U497" s="148" t="str">
        <f t="shared" si="276"/>
        <v>0</v>
      </c>
      <c r="V497" s="148" t="str">
        <f t="shared" si="277"/>
        <v>0</v>
      </c>
      <c r="W497" s="148" t="str">
        <f t="shared" si="278"/>
        <v>0</v>
      </c>
      <c r="X497" s="507"/>
      <c r="Y497" s="152">
        <f t="shared" si="279"/>
        <v>0</v>
      </c>
      <c r="Z497" s="150" t="s">
        <v>169</v>
      </c>
      <c r="AA497" s="2"/>
      <c r="AB497" s="26"/>
      <c r="AC497" s="159" t="s">
        <v>162</v>
      </c>
      <c r="AD497" s="159" t="s">
        <v>162</v>
      </c>
      <c r="AE497" s="159" t="s">
        <v>162</v>
      </c>
      <c r="AF497" s="159" t="s">
        <v>162</v>
      </c>
      <c r="AG497" s="31">
        <f t="shared" si="280"/>
        <v>0</v>
      </c>
      <c r="AH497" s="153" t="s">
        <v>162</v>
      </c>
      <c r="AI497" s="2"/>
      <c r="AJ497" s="2"/>
      <c r="AK497" s="2"/>
      <c r="AL497" s="2"/>
      <c r="AM497" s="2"/>
      <c r="AN497" s="2"/>
      <c r="AO497" s="2"/>
      <c r="AP497" s="2"/>
      <c r="AQ497" s="2"/>
      <c r="AR497" s="2"/>
      <c r="AS497" s="2"/>
      <c r="AT497" s="2"/>
      <c r="AU497" s="2"/>
      <c r="AV497" s="2"/>
      <c r="AW497" s="2"/>
      <c r="AX497" s="2"/>
      <c r="AY497" s="2"/>
      <c r="AZ497" s="2"/>
      <c r="BA497" s="2"/>
      <c r="BB497" s="2"/>
      <c r="BC497" s="2"/>
      <c r="BD497" s="2"/>
    </row>
    <row r="498" spans="1:56" ht="14.25" customHeight="1">
      <c r="A498" s="8"/>
      <c r="B498" s="508"/>
      <c r="C498" s="156" t="s">
        <v>166</v>
      </c>
      <c r="D498" s="147"/>
      <c r="E498" s="147"/>
      <c r="F498" s="147"/>
      <c r="G498" s="147"/>
      <c r="H498" s="147"/>
      <c r="I498" s="147"/>
      <c r="J498" s="147"/>
      <c r="K498" s="147"/>
      <c r="L498" s="147"/>
      <c r="M498" s="147"/>
      <c r="N498" s="147"/>
      <c r="O498" s="147"/>
      <c r="P498" s="147"/>
      <c r="Q498" s="147"/>
      <c r="R498" s="147"/>
      <c r="S498" s="147"/>
      <c r="T498" s="148" t="str">
        <f t="shared" si="275"/>
        <v>0</v>
      </c>
      <c r="U498" s="148" t="str">
        <f t="shared" si="276"/>
        <v>0</v>
      </c>
      <c r="V498" s="148" t="str">
        <f t="shared" si="277"/>
        <v>0</v>
      </c>
      <c r="W498" s="148" t="str">
        <f t="shared" si="278"/>
        <v>0</v>
      </c>
      <c r="X498" s="508"/>
      <c r="Y498" s="152">
        <f t="shared" si="279"/>
        <v>0</v>
      </c>
      <c r="Z498" s="150" t="s">
        <v>169</v>
      </c>
      <c r="AA498" s="2"/>
      <c r="AB498" s="26"/>
      <c r="AC498" s="159" t="s">
        <v>162</v>
      </c>
      <c r="AD498" s="159" t="s">
        <v>162</v>
      </c>
      <c r="AE498" s="159" t="s">
        <v>162</v>
      </c>
      <c r="AF498" s="159" t="s">
        <v>162</v>
      </c>
      <c r="AG498" s="31">
        <f t="shared" si="280"/>
        <v>0</v>
      </c>
      <c r="AH498" s="153" t="s">
        <v>162</v>
      </c>
      <c r="AI498" s="2"/>
      <c r="AJ498" s="2"/>
      <c r="AK498" s="2"/>
      <c r="AL498" s="2"/>
      <c r="AM498" s="2"/>
      <c r="AN498" s="2"/>
      <c r="AO498" s="2"/>
      <c r="AP498" s="2"/>
      <c r="AQ498" s="2"/>
      <c r="AR498" s="2"/>
      <c r="AS498" s="2"/>
      <c r="AT498" s="2"/>
      <c r="AU498" s="2"/>
      <c r="AV498" s="2"/>
      <c r="AW498" s="2"/>
      <c r="AX498" s="2"/>
      <c r="AY498" s="2"/>
      <c r="AZ498" s="2"/>
      <c r="BA498" s="2"/>
      <c r="BB498" s="2"/>
      <c r="BC498" s="2"/>
      <c r="BD498" s="2"/>
    </row>
    <row r="499" spans="1:56" ht="14.25" customHeight="1">
      <c r="A499" s="8"/>
      <c r="B499" s="506" t="s">
        <v>94</v>
      </c>
      <c r="C499" s="156" t="s">
        <v>160</v>
      </c>
      <c r="D499" s="147"/>
      <c r="E499" s="147"/>
      <c r="F499" s="147"/>
      <c r="G499" s="147"/>
      <c r="H499" s="147"/>
      <c r="I499" s="147"/>
      <c r="J499" s="147"/>
      <c r="K499" s="147"/>
      <c r="L499" s="147"/>
      <c r="M499" s="147"/>
      <c r="N499" s="147"/>
      <c r="O499" s="147"/>
      <c r="P499" s="147"/>
      <c r="Q499" s="147"/>
      <c r="R499" s="147"/>
      <c r="S499" s="147"/>
      <c r="T499" s="148" t="str">
        <f t="shared" si="275"/>
        <v>0</v>
      </c>
      <c r="U499" s="148" t="str">
        <f t="shared" si="276"/>
        <v>0</v>
      </c>
      <c r="V499" s="148" t="str">
        <f t="shared" si="277"/>
        <v>0</v>
      </c>
      <c r="W499" s="148" t="str">
        <f t="shared" si="278"/>
        <v>0</v>
      </c>
      <c r="X499" s="513">
        <f>SUM(Y499:Y503)/5</f>
        <v>0</v>
      </c>
      <c r="Y499" s="152">
        <f t="shared" si="279"/>
        <v>0</v>
      </c>
      <c r="Z499" s="150" t="s">
        <v>197</v>
      </c>
      <c r="AA499" s="2"/>
      <c r="AB499" s="2"/>
      <c r="AC499" s="160" t="s">
        <v>162</v>
      </c>
      <c r="AD499" s="160" t="s">
        <v>162</v>
      </c>
      <c r="AE499" s="160" t="s">
        <v>162</v>
      </c>
      <c r="AF499" s="160" t="s">
        <v>162</v>
      </c>
      <c r="AG499" s="153" t="str">
        <f t="shared" si="280"/>
        <v>COM+MCM</v>
      </c>
      <c r="AH499" s="153" t="s">
        <v>162</v>
      </c>
      <c r="AI499" s="2"/>
      <c r="AJ499" s="2"/>
      <c r="AK499" s="2"/>
      <c r="AL499" s="2"/>
      <c r="AM499" s="2"/>
      <c r="AN499" s="2"/>
      <c r="AO499" s="2"/>
      <c r="AP499" s="2"/>
      <c r="AQ499" s="2"/>
      <c r="AR499" s="2"/>
      <c r="AS499" s="2"/>
      <c r="AT499" s="2"/>
      <c r="AU499" s="2"/>
      <c r="AV499" s="2"/>
      <c r="AW499" s="2"/>
      <c r="AX499" s="2"/>
      <c r="AY499" s="2"/>
      <c r="AZ499" s="2"/>
      <c r="BA499" s="2"/>
      <c r="BB499" s="2"/>
      <c r="BC499" s="2"/>
      <c r="BD499" s="2"/>
    </row>
    <row r="500" spans="1:56" ht="14.25" customHeight="1">
      <c r="A500" s="8"/>
      <c r="B500" s="507"/>
      <c r="C500" s="156" t="s">
        <v>163</v>
      </c>
      <c r="D500" s="147"/>
      <c r="E500" s="147"/>
      <c r="F500" s="147"/>
      <c r="G500" s="147"/>
      <c r="H500" s="147"/>
      <c r="I500" s="147"/>
      <c r="J500" s="147"/>
      <c r="K500" s="147"/>
      <c r="L500" s="147"/>
      <c r="M500" s="147"/>
      <c r="N500" s="147"/>
      <c r="O500" s="147"/>
      <c r="P500" s="147"/>
      <c r="Q500" s="147"/>
      <c r="R500" s="147"/>
      <c r="S500" s="147"/>
      <c r="T500" s="148" t="str">
        <f t="shared" si="275"/>
        <v>0</v>
      </c>
      <c r="U500" s="148" t="str">
        <f t="shared" si="276"/>
        <v>0</v>
      </c>
      <c r="V500" s="148" t="str">
        <f t="shared" si="277"/>
        <v>0</v>
      </c>
      <c r="W500" s="148" t="str">
        <f t="shared" si="278"/>
        <v>0</v>
      </c>
      <c r="X500" s="507"/>
      <c r="Y500" s="152">
        <f t="shared" si="279"/>
        <v>0</v>
      </c>
      <c r="Z500" s="150" t="s">
        <v>169</v>
      </c>
      <c r="AA500" s="2"/>
      <c r="AB500" s="2"/>
      <c r="AC500" s="153" t="s">
        <v>162</v>
      </c>
      <c r="AD500" s="153" t="s">
        <v>162</v>
      </c>
      <c r="AE500" s="153" t="s">
        <v>162</v>
      </c>
      <c r="AF500" s="153" t="s">
        <v>162</v>
      </c>
      <c r="AG500" s="2">
        <f t="shared" si="280"/>
        <v>0</v>
      </c>
      <c r="AH500" s="153" t="s">
        <v>162</v>
      </c>
      <c r="AI500" s="2"/>
      <c r="AJ500" s="2"/>
      <c r="AK500" s="2"/>
      <c r="AL500" s="2"/>
      <c r="AM500" s="2"/>
      <c r="AN500" s="2"/>
      <c r="AO500" s="2"/>
      <c r="AP500" s="2"/>
      <c r="AQ500" s="2"/>
      <c r="AR500" s="2"/>
      <c r="AS500" s="2"/>
      <c r="AT500" s="2"/>
      <c r="AU500" s="2"/>
      <c r="AV500" s="2"/>
      <c r="AW500" s="2"/>
      <c r="AX500" s="2"/>
      <c r="AY500" s="2"/>
      <c r="AZ500" s="2"/>
      <c r="BA500" s="2"/>
      <c r="BB500" s="2"/>
      <c r="BC500" s="2"/>
      <c r="BD500" s="2"/>
    </row>
    <row r="501" spans="1:56" ht="14.25" customHeight="1">
      <c r="A501" s="8"/>
      <c r="B501" s="507"/>
      <c r="C501" s="156" t="s">
        <v>164</v>
      </c>
      <c r="D501" s="147"/>
      <c r="E501" s="147"/>
      <c r="F501" s="147"/>
      <c r="G501" s="147"/>
      <c r="H501" s="147"/>
      <c r="I501" s="147"/>
      <c r="J501" s="147"/>
      <c r="K501" s="147"/>
      <c r="L501" s="147"/>
      <c r="M501" s="147"/>
      <c r="N501" s="147"/>
      <c r="O501" s="147"/>
      <c r="P501" s="147"/>
      <c r="Q501" s="147"/>
      <c r="R501" s="147"/>
      <c r="S501" s="147"/>
      <c r="T501" s="148" t="str">
        <f t="shared" si="275"/>
        <v>0</v>
      </c>
      <c r="U501" s="148" t="str">
        <f t="shared" si="276"/>
        <v>0</v>
      </c>
      <c r="V501" s="148" t="str">
        <f t="shared" si="277"/>
        <v>0</v>
      </c>
      <c r="W501" s="148" t="str">
        <f t="shared" si="278"/>
        <v>0</v>
      </c>
      <c r="X501" s="507"/>
      <c r="Y501" s="152">
        <f t="shared" si="279"/>
        <v>0</v>
      </c>
      <c r="Z501" s="150" t="s">
        <v>169</v>
      </c>
      <c r="AA501" s="2"/>
      <c r="AB501" s="2"/>
      <c r="AC501" s="153" t="s">
        <v>162</v>
      </c>
      <c r="AD501" s="153" t="s">
        <v>162</v>
      </c>
      <c r="AE501" s="153" t="s">
        <v>162</v>
      </c>
      <c r="AF501" s="153" t="s">
        <v>162</v>
      </c>
      <c r="AG501" s="2">
        <f t="shared" si="280"/>
        <v>0</v>
      </c>
      <c r="AH501" s="153" t="s">
        <v>162</v>
      </c>
      <c r="AI501" s="2"/>
      <c r="AJ501" s="2"/>
      <c r="AK501" s="2"/>
      <c r="AL501" s="2"/>
      <c r="AM501" s="2"/>
      <c r="AN501" s="2"/>
      <c r="AO501" s="2"/>
      <c r="AP501" s="2"/>
      <c r="AQ501" s="2"/>
      <c r="AR501" s="2"/>
      <c r="AS501" s="2"/>
      <c r="AT501" s="2"/>
      <c r="AU501" s="2"/>
      <c r="AV501" s="2"/>
      <c r="AW501" s="2"/>
      <c r="AX501" s="2"/>
      <c r="AY501" s="2"/>
      <c r="AZ501" s="2"/>
      <c r="BA501" s="2"/>
      <c r="BB501" s="2"/>
      <c r="BC501" s="2"/>
      <c r="BD501" s="2"/>
    </row>
    <row r="502" spans="1:56" ht="14.25" customHeight="1">
      <c r="A502" s="8"/>
      <c r="B502" s="507"/>
      <c r="C502" s="156" t="s">
        <v>165</v>
      </c>
      <c r="D502" s="147"/>
      <c r="E502" s="147"/>
      <c r="F502" s="147"/>
      <c r="G502" s="147"/>
      <c r="H502" s="147"/>
      <c r="I502" s="147"/>
      <c r="J502" s="147"/>
      <c r="K502" s="147"/>
      <c r="L502" s="147"/>
      <c r="M502" s="147"/>
      <c r="N502" s="147"/>
      <c r="O502" s="147"/>
      <c r="P502" s="147"/>
      <c r="Q502" s="147"/>
      <c r="R502" s="147"/>
      <c r="S502" s="147"/>
      <c r="T502" s="148" t="str">
        <f t="shared" si="275"/>
        <v>0</v>
      </c>
      <c r="U502" s="148" t="str">
        <f t="shared" si="276"/>
        <v>0</v>
      </c>
      <c r="V502" s="148" t="str">
        <f t="shared" si="277"/>
        <v>0</v>
      </c>
      <c r="W502" s="148" t="str">
        <f t="shared" si="278"/>
        <v>0</v>
      </c>
      <c r="X502" s="507"/>
      <c r="Y502" s="152">
        <f t="shared" si="279"/>
        <v>0</v>
      </c>
      <c r="Z502" s="150" t="s">
        <v>169</v>
      </c>
      <c r="AA502" s="2"/>
      <c r="AB502" s="2"/>
      <c r="AC502" s="153" t="s">
        <v>162</v>
      </c>
      <c r="AD502" s="153" t="s">
        <v>162</v>
      </c>
      <c r="AE502" s="153" t="s">
        <v>162</v>
      </c>
      <c r="AF502" s="153" t="s">
        <v>162</v>
      </c>
      <c r="AG502" s="2">
        <f t="shared" si="280"/>
        <v>0</v>
      </c>
      <c r="AH502" s="153" t="s">
        <v>162</v>
      </c>
      <c r="AI502" s="2"/>
      <c r="AJ502" s="2"/>
      <c r="AK502" s="2"/>
      <c r="AL502" s="2"/>
      <c r="AM502" s="2"/>
      <c r="AN502" s="2"/>
      <c r="AO502" s="2"/>
      <c r="AP502" s="2"/>
      <c r="AQ502" s="2"/>
      <c r="AR502" s="2"/>
      <c r="AS502" s="2"/>
      <c r="AT502" s="2"/>
      <c r="AU502" s="2"/>
      <c r="AV502" s="2"/>
      <c r="AW502" s="2"/>
      <c r="AX502" s="2"/>
      <c r="AY502" s="2"/>
      <c r="AZ502" s="2"/>
      <c r="BA502" s="2"/>
      <c r="BB502" s="2"/>
      <c r="BC502" s="2"/>
      <c r="BD502" s="2"/>
    </row>
    <row r="503" spans="1:56" ht="14.25" customHeight="1">
      <c r="A503" s="8"/>
      <c r="B503" s="508"/>
      <c r="C503" s="156" t="s">
        <v>166</v>
      </c>
      <c r="D503" s="147"/>
      <c r="E503" s="147"/>
      <c r="F503" s="147"/>
      <c r="G503" s="147"/>
      <c r="H503" s="147"/>
      <c r="I503" s="147"/>
      <c r="J503" s="147"/>
      <c r="K503" s="147"/>
      <c r="L503" s="147"/>
      <c r="M503" s="147"/>
      <c r="N503" s="147"/>
      <c r="O503" s="147"/>
      <c r="P503" s="147"/>
      <c r="Q503" s="147"/>
      <c r="R503" s="147"/>
      <c r="S503" s="147"/>
      <c r="T503" s="148" t="str">
        <f t="shared" si="275"/>
        <v>0</v>
      </c>
      <c r="U503" s="148" t="str">
        <f t="shared" si="276"/>
        <v>0</v>
      </c>
      <c r="V503" s="148" t="str">
        <f t="shared" si="277"/>
        <v>0</v>
      </c>
      <c r="W503" s="148" t="str">
        <f t="shared" si="278"/>
        <v>0</v>
      </c>
      <c r="X503" s="508"/>
      <c r="Y503" s="152">
        <f t="shared" si="279"/>
        <v>0</v>
      </c>
      <c r="Z503" s="150" t="s">
        <v>169</v>
      </c>
      <c r="AA503" s="2"/>
      <c r="AB503" s="2"/>
      <c r="AC503" s="161" t="s">
        <v>162</v>
      </c>
      <c r="AD503" s="161" t="s">
        <v>162</v>
      </c>
      <c r="AE503" s="161" t="s">
        <v>162</v>
      </c>
      <c r="AF503" s="161" t="s">
        <v>162</v>
      </c>
      <c r="AG503" s="2">
        <f t="shared" si="280"/>
        <v>0</v>
      </c>
      <c r="AH503" s="153" t="s">
        <v>162</v>
      </c>
      <c r="AI503" s="2"/>
      <c r="AJ503" s="2"/>
      <c r="AK503" s="2"/>
      <c r="AL503" s="2"/>
      <c r="AM503" s="2"/>
      <c r="AN503" s="2"/>
      <c r="AO503" s="2"/>
      <c r="AP503" s="2"/>
      <c r="AQ503" s="2"/>
      <c r="AR503" s="2"/>
      <c r="AS503" s="2"/>
      <c r="AT503" s="2"/>
      <c r="AU503" s="2"/>
      <c r="AV503" s="2"/>
      <c r="AW503" s="2"/>
      <c r="AX503" s="2"/>
      <c r="AY503" s="2"/>
      <c r="AZ503" s="2"/>
      <c r="BA503" s="2"/>
      <c r="BB503" s="2"/>
      <c r="BC503" s="2"/>
      <c r="BD503" s="2"/>
    </row>
    <row r="504" spans="1:56" ht="14.25" customHeight="1">
      <c r="A504" s="8"/>
      <c r="B504" s="506" t="s">
        <v>95</v>
      </c>
      <c r="C504" s="156" t="s">
        <v>160</v>
      </c>
      <c r="D504" s="147"/>
      <c r="E504" s="147"/>
      <c r="F504" s="147"/>
      <c r="G504" s="147"/>
      <c r="H504" s="147"/>
      <c r="I504" s="147"/>
      <c r="J504" s="147"/>
      <c r="K504" s="147"/>
      <c r="L504" s="147"/>
      <c r="M504" s="147"/>
      <c r="N504" s="147"/>
      <c r="O504" s="147"/>
      <c r="P504" s="147"/>
      <c r="Q504" s="147"/>
      <c r="R504" s="147"/>
      <c r="S504" s="147"/>
      <c r="T504" s="148" t="str">
        <f t="shared" si="275"/>
        <v>0</v>
      </c>
      <c r="U504" s="148" t="str">
        <f t="shared" si="276"/>
        <v>0</v>
      </c>
      <c r="V504" s="148" t="str">
        <f t="shared" si="277"/>
        <v>0</v>
      </c>
      <c r="W504" s="148" t="str">
        <f t="shared" si="278"/>
        <v>0</v>
      </c>
      <c r="X504" s="513">
        <f>SUM(Y504:Y508)/5</f>
        <v>0</v>
      </c>
      <c r="Y504" s="152">
        <f t="shared" si="279"/>
        <v>0</v>
      </c>
      <c r="Z504" s="150" t="s">
        <v>198</v>
      </c>
      <c r="AA504" s="2"/>
      <c r="AB504" s="26"/>
      <c r="AC504" s="159" t="s">
        <v>162</v>
      </c>
      <c r="AD504" s="159" t="s">
        <v>162</v>
      </c>
      <c r="AE504" s="159" t="s">
        <v>162</v>
      </c>
      <c r="AF504" s="159" t="s">
        <v>162</v>
      </c>
      <c r="AG504" s="158" t="str">
        <f t="shared" si="280"/>
        <v>FPD+FDB</v>
      </c>
      <c r="AH504" s="153" t="s">
        <v>162</v>
      </c>
      <c r="AI504" s="2"/>
      <c r="AJ504" s="2"/>
      <c r="AK504" s="2"/>
      <c r="AL504" s="2"/>
      <c r="AM504" s="2"/>
      <c r="AN504" s="2"/>
      <c r="AO504" s="2"/>
      <c r="AP504" s="2"/>
      <c r="AQ504" s="2"/>
      <c r="AR504" s="2"/>
      <c r="AS504" s="2"/>
      <c r="AT504" s="2"/>
      <c r="AU504" s="2"/>
      <c r="AV504" s="2"/>
      <c r="AW504" s="2"/>
      <c r="AX504" s="2"/>
      <c r="AY504" s="2"/>
      <c r="AZ504" s="2"/>
      <c r="BA504" s="2"/>
      <c r="BB504" s="2"/>
      <c r="BC504" s="2"/>
      <c r="BD504" s="2"/>
    </row>
    <row r="505" spans="1:56" ht="14.25" customHeight="1">
      <c r="A505" s="8"/>
      <c r="B505" s="507"/>
      <c r="C505" s="156" t="s">
        <v>163</v>
      </c>
      <c r="D505" s="147"/>
      <c r="E505" s="147"/>
      <c r="F505" s="147"/>
      <c r="G505" s="147"/>
      <c r="H505" s="147"/>
      <c r="I505" s="147"/>
      <c r="J505" s="147"/>
      <c r="K505" s="147"/>
      <c r="L505" s="147"/>
      <c r="M505" s="147"/>
      <c r="N505" s="147"/>
      <c r="O505" s="147"/>
      <c r="P505" s="147"/>
      <c r="Q505" s="147"/>
      <c r="R505" s="147"/>
      <c r="S505" s="147"/>
      <c r="T505" s="148" t="str">
        <f t="shared" si="275"/>
        <v>0</v>
      </c>
      <c r="U505" s="148" t="str">
        <f t="shared" si="276"/>
        <v>0</v>
      </c>
      <c r="V505" s="148" t="str">
        <f t="shared" si="277"/>
        <v>0</v>
      </c>
      <c r="W505" s="148" t="str">
        <f t="shared" si="278"/>
        <v>0</v>
      </c>
      <c r="X505" s="507"/>
      <c r="Y505" s="152">
        <f t="shared" si="279"/>
        <v>0</v>
      </c>
      <c r="Z505" s="150" t="s">
        <v>169</v>
      </c>
      <c r="AA505" s="2"/>
      <c r="AB505" s="26"/>
      <c r="AC505" s="159" t="s">
        <v>162</v>
      </c>
      <c r="AD505" s="159" t="s">
        <v>162</v>
      </c>
      <c r="AE505" s="159" t="s">
        <v>162</v>
      </c>
      <c r="AF505" s="159" t="s">
        <v>162</v>
      </c>
      <c r="AG505" s="31">
        <f t="shared" si="280"/>
        <v>0</v>
      </c>
      <c r="AH505" s="153" t="s">
        <v>162</v>
      </c>
      <c r="AI505" s="2"/>
      <c r="AJ505" s="2"/>
      <c r="AK505" s="2"/>
      <c r="AL505" s="2"/>
      <c r="AM505" s="2"/>
      <c r="AN505" s="2"/>
      <c r="AO505" s="2"/>
      <c r="AP505" s="2"/>
      <c r="AQ505" s="2"/>
      <c r="AR505" s="2"/>
      <c r="AS505" s="2"/>
      <c r="AT505" s="2"/>
      <c r="AU505" s="2"/>
      <c r="AV505" s="2"/>
      <c r="AW505" s="2"/>
      <c r="AX505" s="2"/>
      <c r="AY505" s="2"/>
      <c r="AZ505" s="2"/>
      <c r="BA505" s="2"/>
      <c r="BB505" s="2"/>
      <c r="BC505" s="2"/>
      <c r="BD505" s="2"/>
    </row>
    <row r="506" spans="1:56" ht="14.25" customHeight="1">
      <c r="A506" s="8"/>
      <c r="B506" s="507"/>
      <c r="C506" s="156" t="s">
        <v>164</v>
      </c>
      <c r="D506" s="147"/>
      <c r="E506" s="147"/>
      <c r="F506" s="147"/>
      <c r="G506" s="147"/>
      <c r="H506" s="147"/>
      <c r="I506" s="147"/>
      <c r="J506" s="147"/>
      <c r="K506" s="147"/>
      <c r="L506" s="147"/>
      <c r="M506" s="147"/>
      <c r="N506" s="147"/>
      <c r="O506" s="147"/>
      <c r="P506" s="147"/>
      <c r="Q506" s="147"/>
      <c r="R506" s="147"/>
      <c r="S506" s="147"/>
      <c r="T506" s="148" t="str">
        <f t="shared" si="275"/>
        <v>0</v>
      </c>
      <c r="U506" s="148" t="str">
        <f t="shared" si="276"/>
        <v>0</v>
      </c>
      <c r="V506" s="148" t="str">
        <f t="shared" si="277"/>
        <v>0</v>
      </c>
      <c r="W506" s="148" t="str">
        <f t="shared" si="278"/>
        <v>0</v>
      </c>
      <c r="X506" s="507"/>
      <c r="Y506" s="152">
        <f t="shared" si="279"/>
        <v>0</v>
      </c>
      <c r="Z506" s="150" t="s">
        <v>169</v>
      </c>
      <c r="AA506" s="2"/>
      <c r="AB506" s="26"/>
      <c r="AC506" s="159" t="s">
        <v>162</v>
      </c>
      <c r="AD506" s="159" t="s">
        <v>162</v>
      </c>
      <c r="AE506" s="159" t="s">
        <v>162</v>
      </c>
      <c r="AF506" s="159" t="s">
        <v>162</v>
      </c>
      <c r="AG506" s="31">
        <f t="shared" si="280"/>
        <v>0</v>
      </c>
      <c r="AH506" s="153" t="s">
        <v>162</v>
      </c>
      <c r="AI506" s="2"/>
      <c r="AJ506" s="2"/>
      <c r="AK506" s="2"/>
      <c r="AL506" s="2"/>
      <c r="AM506" s="2"/>
      <c r="AN506" s="2"/>
      <c r="AO506" s="2"/>
      <c r="AP506" s="2"/>
      <c r="AQ506" s="2"/>
      <c r="AR506" s="2"/>
      <c r="AS506" s="2"/>
      <c r="AT506" s="2"/>
      <c r="AU506" s="2"/>
      <c r="AV506" s="2"/>
      <c r="AW506" s="2"/>
      <c r="AX506" s="2"/>
      <c r="AY506" s="2"/>
      <c r="AZ506" s="2"/>
      <c r="BA506" s="2"/>
      <c r="BB506" s="2"/>
      <c r="BC506" s="2"/>
      <c r="BD506" s="2"/>
    </row>
    <row r="507" spans="1:56" ht="14.25" customHeight="1">
      <c r="A507" s="8"/>
      <c r="B507" s="507"/>
      <c r="C507" s="156" t="s">
        <v>165</v>
      </c>
      <c r="D507" s="147"/>
      <c r="E507" s="147"/>
      <c r="F507" s="147"/>
      <c r="G507" s="147"/>
      <c r="H507" s="147"/>
      <c r="I507" s="147"/>
      <c r="J507" s="147"/>
      <c r="K507" s="147"/>
      <c r="L507" s="147"/>
      <c r="M507" s="147"/>
      <c r="N507" s="147"/>
      <c r="O507" s="147"/>
      <c r="P507" s="147"/>
      <c r="Q507" s="147"/>
      <c r="R507" s="147"/>
      <c r="S507" s="147"/>
      <c r="T507" s="148" t="str">
        <f t="shared" si="275"/>
        <v>0</v>
      </c>
      <c r="U507" s="148" t="str">
        <f t="shared" si="276"/>
        <v>0</v>
      </c>
      <c r="V507" s="148" t="str">
        <f t="shared" si="277"/>
        <v>0</v>
      </c>
      <c r="W507" s="148" t="str">
        <f t="shared" si="278"/>
        <v>0</v>
      </c>
      <c r="X507" s="507"/>
      <c r="Y507" s="152">
        <f t="shared" si="279"/>
        <v>0</v>
      </c>
      <c r="Z507" s="150" t="s">
        <v>169</v>
      </c>
      <c r="AA507" s="2"/>
      <c r="AB507" s="26"/>
      <c r="AC507" s="159" t="s">
        <v>162</v>
      </c>
      <c r="AD507" s="159" t="s">
        <v>162</v>
      </c>
      <c r="AE507" s="159" t="s">
        <v>162</v>
      </c>
      <c r="AF507" s="159" t="s">
        <v>162</v>
      </c>
      <c r="AG507" s="31">
        <f t="shared" si="280"/>
        <v>0</v>
      </c>
      <c r="AH507" s="153" t="s">
        <v>162</v>
      </c>
      <c r="AI507" s="2"/>
      <c r="AJ507" s="2"/>
      <c r="AK507" s="2"/>
      <c r="AL507" s="2"/>
      <c r="AM507" s="2"/>
      <c r="AN507" s="2"/>
      <c r="AO507" s="2"/>
      <c r="AP507" s="2"/>
      <c r="AQ507" s="2"/>
      <c r="AR507" s="2"/>
      <c r="AS507" s="2"/>
      <c r="AT507" s="2"/>
      <c r="AU507" s="2"/>
      <c r="AV507" s="2"/>
      <c r="AW507" s="2"/>
      <c r="AX507" s="2"/>
      <c r="AY507" s="2"/>
      <c r="AZ507" s="2"/>
      <c r="BA507" s="2"/>
      <c r="BB507" s="2"/>
      <c r="BC507" s="2"/>
      <c r="BD507" s="2"/>
    </row>
    <row r="508" spans="1:56" ht="14.25" customHeight="1">
      <c r="A508" s="8"/>
      <c r="B508" s="508"/>
      <c r="C508" s="156" t="s">
        <v>166</v>
      </c>
      <c r="D508" s="147"/>
      <c r="E508" s="147"/>
      <c r="F508" s="147"/>
      <c r="G508" s="147"/>
      <c r="H508" s="147"/>
      <c r="I508" s="147"/>
      <c r="J508" s="147"/>
      <c r="K508" s="147"/>
      <c r="L508" s="147"/>
      <c r="M508" s="147"/>
      <c r="N508" s="147"/>
      <c r="O508" s="147"/>
      <c r="P508" s="147"/>
      <c r="Q508" s="147"/>
      <c r="R508" s="147"/>
      <c r="S508" s="147"/>
      <c r="T508" s="148" t="str">
        <f t="shared" si="275"/>
        <v>0</v>
      </c>
      <c r="U508" s="148" t="str">
        <f t="shared" si="276"/>
        <v>0</v>
      </c>
      <c r="V508" s="148" t="str">
        <f t="shared" si="277"/>
        <v>0</v>
      </c>
      <c r="W508" s="148" t="str">
        <f t="shared" si="278"/>
        <v>0</v>
      </c>
      <c r="X508" s="508"/>
      <c r="Y508" s="152">
        <f t="shared" si="279"/>
        <v>0</v>
      </c>
      <c r="Z508" s="150" t="s">
        <v>169</v>
      </c>
      <c r="AA508" s="2"/>
      <c r="AB508" s="26"/>
      <c r="AC508" s="159" t="s">
        <v>162</v>
      </c>
      <c r="AD508" s="159" t="s">
        <v>162</v>
      </c>
      <c r="AE508" s="159" t="s">
        <v>162</v>
      </c>
      <c r="AF508" s="159" t="s">
        <v>162</v>
      </c>
      <c r="AG508" s="31">
        <f t="shared" si="280"/>
        <v>0</v>
      </c>
      <c r="AH508" s="153" t="s">
        <v>162</v>
      </c>
      <c r="AI508" s="2"/>
      <c r="AJ508" s="2"/>
      <c r="AK508" s="2"/>
      <c r="AL508" s="2"/>
      <c r="AM508" s="2"/>
      <c r="AN508" s="2"/>
      <c r="AO508" s="2"/>
      <c r="AP508" s="2"/>
      <c r="AQ508" s="2"/>
      <c r="AR508" s="2"/>
      <c r="AS508" s="2"/>
      <c r="AT508" s="2"/>
      <c r="AU508" s="2"/>
      <c r="AV508" s="2"/>
      <c r="AW508" s="2"/>
      <c r="AX508" s="2"/>
      <c r="AY508" s="2"/>
      <c r="AZ508" s="2"/>
      <c r="BA508" s="2"/>
      <c r="BB508" s="2"/>
      <c r="BC508" s="2"/>
      <c r="BD508" s="2"/>
    </row>
    <row r="509" spans="1:56" ht="14.25" customHeight="1">
      <c r="A509" s="8"/>
      <c r="B509" s="506" t="s">
        <v>96</v>
      </c>
      <c r="C509" s="156" t="s">
        <v>160</v>
      </c>
      <c r="D509" s="147"/>
      <c r="E509" s="147"/>
      <c r="F509" s="147"/>
      <c r="G509" s="147"/>
      <c r="H509" s="147"/>
      <c r="I509" s="147"/>
      <c r="J509" s="147"/>
      <c r="K509" s="147"/>
      <c r="L509" s="147"/>
      <c r="M509" s="147"/>
      <c r="N509" s="147"/>
      <c r="O509" s="147"/>
      <c r="P509" s="147"/>
      <c r="Q509" s="147"/>
      <c r="R509" s="147"/>
      <c r="S509" s="147"/>
      <c r="T509" s="148" t="str">
        <f t="shared" si="275"/>
        <v>0</v>
      </c>
      <c r="U509" s="148" t="str">
        <f t="shared" si="276"/>
        <v>0</v>
      </c>
      <c r="V509" s="148" t="str">
        <f t="shared" si="277"/>
        <v>0</v>
      </c>
      <c r="W509" s="148" t="str">
        <f t="shared" si="278"/>
        <v>0</v>
      </c>
      <c r="X509" s="513">
        <f>SUM(Y509:Y513)/5</f>
        <v>0</v>
      </c>
      <c r="Y509" s="152">
        <f t="shared" si="279"/>
        <v>0</v>
      </c>
      <c r="Z509" s="150" t="s">
        <v>199</v>
      </c>
      <c r="AA509" s="2"/>
      <c r="AB509" s="26"/>
      <c r="AC509" s="159" t="s">
        <v>162</v>
      </c>
      <c r="AD509" s="159" t="s">
        <v>162</v>
      </c>
      <c r="AE509" s="159" t="s">
        <v>162</v>
      </c>
      <c r="AF509" s="159" t="s">
        <v>162</v>
      </c>
      <c r="AG509" s="158" t="str">
        <f t="shared" si="280"/>
        <v>ISB+MIS</v>
      </c>
      <c r="AH509" s="153" t="s">
        <v>162</v>
      </c>
      <c r="AI509" s="2"/>
      <c r="AJ509" s="2"/>
      <c r="AK509" s="2"/>
      <c r="AL509" s="2"/>
      <c r="AM509" s="2"/>
      <c r="AN509" s="2"/>
      <c r="AO509" s="2"/>
      <c r="AP509" s="2"/>
      <c r="AQ509" s="2"/>
      <c r="AR509" s="2"/>
      <c r="AS509" s="2"/>
      <c r="AT509" s="2"/>
      <c r="AU509" s="2"/>
      <c r="AV509" s="2"/>
      <c r="AW509" s="2"/>
      <c r="AX509" s="2"/>
      <c r="AY509" s="2"/>
      <c r="AZ509" s="2"/>
      <c r="BA509" s="2"/>
      <c r="BB509" s="2"/>
      <c r="BC509" s="2"/>
      <c r="BD509" s="2"/>
    </row>
    <row r="510" spans="1:56" ht="14.25" customHeight="1">
      <c r="A510" s="8"/>
      <c r="B510" s="507"/>
      <c r="C510" s="156" t="s">
        <v>163</v>
      </c>
      <c r="D510" s="147"/>
      <c r="E510" s="147"/>
      <c r="F510" s="147"/>
      <c r="G510" s="147"/>
      <c r="H510" s="147"/>
      <c r="I510" s="147"/>
      <c r="J510" s="147"/>
      <c r="K510" s="147"/>
      <c r="L510" s="147"/>
      <c r="M510" s="147"/>
      <c r="N510" s="147"/>
      <c r="O510" s="147"/>
      <c r="P510" s="147"/>
      <c r="Q510" s="147"/>
      <c r="R510" s="147"/>
      <c r="S510" s="147"/>
      <c r="T510" s="148" t="str">
        <f t="shared" si="275"/>
        <v>0</v>
      </c>
      <c r="U510" s="148" t="str">
        <f t="shared" si="276"/>
        <v>0</v>
      </c>
      <c r="V510" s="148" t="str">
        <f t="shared" si="277"/>
        <v>0</v>
      </c>
      <c r="W510" s="148" t="str">
        <f t="shared" si="278"/>
        <v>0</v>
      </c>
      <c r="X510" s="507"/>
      <c r="Y510" s="152">
        <f t="shared" si="279"/>
        <v>0</v>
      </c>
      <c r="Z510" s="150" t="s">
        <v>169</v>
      </c>
      <c r="AA510" s="2"/>
      <c r="AB510" s="26"/>
      <c r="AC510" s="159" t="s">
        <v>162</v>
      </c>
      <c r="AD510" s="159" t="s">
        <v>162</v>
      </c>
      <c r="AE510" s="159" t="s">
        <v>162</v>
      </c>
      <c r="AF510" s="159" t="s">
        <v>162</v>
      </c>
      <c r="AG510" s="31">
        <f t="shared" si="280"/>
        <v>0</v>
      </c>
      <c r="AH510" s="153" t="s">
        <v>162</v>
      </c>
      <c r="AI510" s="2"/>
      <c r="AJ510" s="2"/>
      <c r="AK510" s="2"/>
      <c r="AL510" s="2"/>
      <c r="AM510" s="2"/>
      <c r="AN510" s="2"/>
      <c r="AO510" s="2"/>
      <c r="AP510" s="2"/>
      <c r="AQ510" s="2"/>
      <c r="AR510" s="2"/>
      <c r="AS510" s="2"/>
      <c r="AT510" s="2"/>
      <c r="AU510" s="2"/>
      <c r="AV510" s="2"/>
      <c r="AW510" s="2"/>
      <c r="AX510" s="2"/>
      <c r="AY510" s="2"/>
      <c r="AZ510" s="2"/>
      <c r="BA510" s="2"/>
      <c r="BB510" s="2"/>
      <c r="BC510" s="2"/>
      <c r="BD510" s="2"/>
    </row>
    <row r="511" spans="1:56" ht="14.25" customHeight="1">
      <c r="A511" s="8"/>
      <c r="B511" s="507"/>
      <c r="C511" s="156" t="s">
        <v>164</v>
      </c>
      <c r="D511" s="147"/>
      <c r="E511" s="147"/>
      <c r="F511" s="147"/>
      <c r="G511" s="147"/>
      <c r="H511" s="147"/>
      <c r="I511" s="147"/>
      <c r="J511" s="147"/>
      <c r="K511" s="147"/>
      <c r="L511" s="147"/>
      <c r="M511" s="147"/>
      <c r="N511" s="147"/>
      <c r="O511" s="147"/>
      <c r="P511" s="147"/>
      <c r="Q511" s="147"/>
      <c r="R511" s="147"/>
      <c r="S511" s="147"/>
      <c r="T511" s="148" t="str">
        <f t="shared" si="275"/>
        <v>0</v>
      </c>
      <c r="U511" s="148" t="str">
        <f t="shared" si="276"/>
        <v>0</v>
      </c>
      <c r="V511" s="148" t="str">
        <f t="shared" si="277"/>
        <v>0</v>
      </c>
      <c r="W511" s="148" t="str">
        <f t="shared" si="278"/>
        <v>0</v>
      </c>
      <c r="X511" s="507"/>
      <c r="Y511" s="152">
        <f t="shared" si="279"/>
        <v>0</v>
      </c>
      <c r="Z511" s="150" t="s">
        <v>169</v>
      </c>
      <c r="AA511" s="2"/>
      <c r="AB511" s="26"/>
      <c r="AC511" s="159" t="s">
        <v>162</v>
      </c>
      <c r="AD511" s="159" t="s">
        <v>162</v>
      </c>
      <c r="AE511" s="159" t="s">
        <v>162</v>
      </c>
      <c r="AF511" s="159" t="s">
        <v>162</v>
      </c>
      <c r="AG511" s="31">
        <f t="shared" si="280"/>
        <v>0</v>
      </c>
      <c r="AH511" s="153" t="s">
        <v>162</v>
      </c>
      <c r="AI511" s="2"/>
      <c r="AJ511" s="2"/>
      <c r="AK511" s="2"/>
      <c r="AL511" s="2"/>
      <c r="AM511" s="2"/>
      <c r="AN511" s="2"/>
      <c r="AO511" s="2"/>
      <c r="AP511" s="2"/>
      <c r="AQ511" s="2"/>
      <c r="AR511" s="2"/>
      <c r="AS511" s="2"/>
      <c r="AT511" s="2"/>
      <c r="AU511" s="2"/>
      <c r="AV511" s="2"/>
      <c r="AW511" s="2"/>
      <c r="AX511" s="2"/>
      <c r="AY511" s="2"/>
      <c r="AZ511" s="2"/>
      <c r="BA511" s="2"/>
      <c r="BB511" s="2"/>
      <c r="BC511" s="2"/>
      <c r="BD511" s="2"/>
    </row>
    <row r="512" spans="1:56" ht="14.25" customHeight="1">
      <c r="A512" s="8"/>
      <c r="B512" s="507"/>
      <c r="C512" s="156" t="s">
        <v>165</v>
      </c>
      <c r="D512" s="147"/>
      <c r="E512" s="147"/>
      <c r="F512" s="147"/>
      <c r="G512" s="147"/>
      <c r="H512" s="147"/>
      <c r="I512" s="147"/>
      <c r="J512" s="147"/>
      <c r="K512" s="147"/>
      <c r="L512" s="147"/>
      <c r="M512" s="147"/>
      <c r="N512" s="147"/>
      <c r="O512" s="147"/>
      <c r="P512" s="147"/>
      <c r="Q512" s="147"/>
      <c r="R512" s="147"/>
      <c r="S512" s="147"/>
      <c r="T512" s="148" t="str">
        <f t="shared" si="275"/>
        <v>0</v>
      </c>
      <c r="U512" s="148" t="str">
        <f t="shared" si="276"/>
        <v>0</v>
      </c>
      <c r="V512" s="148" t="str">
        <f t="shared" si="277"/>
        <v>0</v>
      </c>
      <c r="W512" s="148" t="str">
        <f t="shared" si="278"/>
        <v>0</v>
      </c>
      <c r="X512" s="507"/>
      <c r="Y512" s="152">
        <f t="shared" si="279"/>
        <v>0</v>
      </c>
      <c r="Z512" s="150" t="s">
        <v>169</v>
      </c>
      <c r="AA512" s="2"/>
      <c r="AB512" s="26"/>
      <c r="AC512" s="159" t="s">
        <v>162</v>
      </c>
      <c r="AD512" s="159" t="s">
        <v>162</v>
      </c>
      <c r="AE512" s="159" t="s">
        <v>162</v>
      </c>
      <c r="AF512" s="159" t="s">
        <v>162</v>
      </c>
      <c r="AG512" s="31">
        <f t="shared" si="280"/>
        <v>0</v>
      </c>
      <c r="AH512" s="153" t="s">
        <v>162</v>
      </c>
      <c r="AI512" s="2"/>
      <c r="AJ512" s="2"/>
      <c r="AK512" s="2"/>
      <c r="AL512" s="2"/>
      <c r="AM512" s="2"/>
      <c r="AN512" s="2"/>
      <c r="AO512" s="2"/>
      <c r="AP512" s="2"/>
      <c r="AQ512" s="2"/>
      <c r="AR512" s="2"/>
      <c r="AS512" s="2"/>
      <c r="AT512" s="2"/>
      <c r="AU512" s="2"/>
      <c r="AV512" s="2"/>
      <c r="AW512" s="2"/>
      <c r="AX512" s="2"/>
      <c r="AY512" s="2"/>
      <c r="AZ512" s="2"/>
      <c r="BA512" s="2"/>
      <c r="BB512" s="2"/>
      <c r="BC512" s="2"/>
      <c r="BD512" s="2"/>
    </row>
    <row r="513" spans="1:56" ht="14.25" customHeight="1">
      <c r="A513" s="8"/>
      <c r="B513" s="508"/>
      <c r="C513" s="156" t="s">
        <v>166</v>
      </c>
      <c r="D513" s="147"/>
      <c r="E513" s="147"/>
      <c r="F513" s="147"/>
      <c r="G513" s="147"/>
      <c r="H513" s="147"/>
      <c r="I513" s="147"/>
      <c r="J513" s="147"/>
      <c r="K513" s="147"/>
      <c r="L513" s="147"/>
      <c r="M513" s="147"/>
      <c r="N513" s="147"/>
      <c r="O513" s="147"/>
      <c r="P513" s="147"/>
      <c r="Q513" s="147"/>
      <c r="R513" s="147"/>
      <c r="S513" s="147"/>
      <c r="T513" s="148" t="str">
        <f t="shared" si="275"/>
        <v>0</v>
      </c>
      <c r="U513" s="148" t="str">
        <f t="shared" si="276"/>
        <v>0</v>
      </c>
      <c r="V513" s="148" t="str">
        <f t="shared" si="277"/>
        <v>0</v>
      </c>
      <c r="W513" s="148" t="str">
        <f t="shared" si="278"/>
        <v>0</v>
      </c>
      <c r="X513" s="508"/>
      <c r="Y513" s="152">
        <f t="shared" si="279"/>
        <v>0</v>
      </c>
      <c r="Z513" s="150" t="s">
        <v>169</v>
      </c>
      <c r="AA513" s="2"/>
      <c r="AB513" s="26"/>
      <c r="AC513" s="159" t="s">
        <v>162</v>
      </c>
      <c r="AD513" s="159" t="s">
        <v>162</v>
      </c>
      <c r="AE513" s="159" t="s">
        <v>162</v>
      </c>
      <c r="AF513" s="159" t="s">
        <v>162</v>
      </c>
      <c r="AG513" s="31">
        <f t="shared" si="280"/>
        <v>0</v>
      </c>
      <c r="AH513" s="153" t="s">
        <v>162</v>
      </c>
      <c r="AI513" s="2"/>
      <c r="AJ513" s="2"/>
      <c r="AK513" s="2"/>
      <c r="AL513" s="2"/>
      <c r="AM513" s="2"/>
      <c r="AN513" s="2"/>
      <c r="AO513" s="2"/>
      <c r="AP513" s="2"/>
      <c r="AQ513" s="2"/>
      <c r="AR513" s="2"/>
      <c r="AS513" s="2"/>
      <c r="AT513" s="2"/>
      <c r="AU513" s="2"/>
      <c r="AV513" s="2"/>
      <c r="AW513" s="2"/>
      <c r="AX513" s="2"/>
      <c r="AY513" s="2"/>
      <c r="AZ513" s="2"/>
      <c r="BA513" s="2"/>
      <c r="BB513" s="2"/>
      <c r="BC513" s="2"/>
      <c r="BD513" s="2"/>
    </row>
    <row r="514" spans="1:56" ht="14.25" customHeight="1">
      <c r="A514" s="8"/>
      <c r="B514" s="509" t="s">
        <v>100</v>
      </c>
      <c r="C514" s="156" t="s">
        <v>160</v>
      </c>
      <c r="D514" s="147"/>
      <c r="E514" s="147"/>
      <c r="F514" s="147"/>
      <c r="G514" s="147"/>
      <c r="H514" s="147"/>
      <c r="I514" s="147"/>
      <c r="J514" s="147"/>
      <c r="K514" s="147"/>
      <c r="L514" s="147"/>
      <c r="M514" s="147"/>
      <c r="N514" s="147"/>
      <c r="O514" s="147"/>
      <c r="P514" s="147"/>
      <c r="Q514" s="147"/>
      <c r="R514" s="147"/>
      <c r="S514" s="147"/>
      <c r="T514" s="148" t="str">
        <f t="shared" si="275"/>
        <v>0</v>
      </c>
      <c r="U514" s="148" t="str">
        <f t="shared" si="276"/>
        <v>0</v>
      </c>
      <c r="V514" s="148" t="str">
        <f t="shared" si="277"/>
        <v>0</v>
      </c>
      <c r="W514" s="148" t="str">
        <f t="shared" si="278"/>
        <v>0</v>
      </c>
      <c r="X514" s="513">
        <f>SUM(Y514:Y518)/5</f>
        <v>0</v>
      </c>
      <c r="Y514" s="152">
        <f t="shared" si="279"/>
        <v>0</v>
      </c>
      <c r="Z514" s="150" t="s">
        <v>200</v>
      </c>
      <c r="AA514" s="2"/>
      <c r="AB514" s="26"/>
      <c r="AC514" s="159" t="s">
        <v>162</v>
      </c>
      <c r="AD514" s="159" t="s">
        <v>162</v>
      </c>
      <c r="AE514" s="159" t="s">
        <v>162</v>
      </c>
      <c r="AF514" s="159" t="s">
        <v>162</v>
      </c>
      <c r="AG514" s="158" t="str">
        <f t="shared" si="280"/>
        <v>IMT-MKS</v>
      </c>
      <c r="AH514" s="153" t="s">
        <v>162</v>
      </c>
      <c r="AI514" s="2"/>
      <c r="AJ514" s="2"/>
      <c r="AK514" s="2"/>
      <c r="AL514" s="2"/>
      <c r="AM514" s="2"/>
      <c r="AN514" s="2"/>
      <c r="AO514" s="2"/>
      <c r="AP514" s="2"/>
      <c r="AQ514" s="2"/>
      <c r="AR514" s="2"/>
      <c r="AS514" s="2"/>
      <c r="AT514" s="2"/>
      <c r="AU514" s="2"/>
      <c r="AV514" s="2"/>
      <c r="AW514" s="2"/>
      <c r="AX514" s="2"/>
      <c r="AY514" s="2"/>
      <c r="AZ514" s="2"/>
      <c r="BA514" s="2"/>
      <c r="BB514" s="2"/>
      <c r="BC514" s="2"/>
      <c r="BD514" s="2"/>
    </row>
    <row r="515" spans="1:56" ht="14.25" customHeight="1">
      <c r="A515" s="8"/>
      <c r="B515" s="510"/>
      <c r="C515" s="156" t="s">
        <v>163</v>
      </c>
      <c r="D515" s="147"/>
      <c r="E515" s="147"/>
      <c r="F515" s="147"/>
      <c r="G515" s="147"/>
      <c r="H515" s="147"/>
      <c r="I515" s="147"/>
      <c r="J515" s="147"/>
      <c r="K515" s="147"/>
      <c r="L515" s="147"/>
      <c r="M515" s="147"/>
      <c r="N515" s="147"/>
      <c r="O515" s="147"/>
      <c r="P515" s="147"/>
      <c r="Q515" s="147"/>
      <c r="R515" s="147"/>
      <c r="S515" s="147"/>
      <c r="T515" s="148" t="str">
        <f t="shared" si="275"/>
        <v>0</v>
      </c>
      <c r="U515" s="148" t="str">
        <f t="shared" si="276"/>
        <v>0</v>
      </c>
      <c r="V515" s="148" t="str">
        <f t="shared" si="277"/>
        <v>0</v>
      </c>
      <c r="W515" s="148" t="str">
        <f t="shared" si="278"/>
        <v>0</v>
      </c>
      <c r="X515" s="507"/>
      <c r="Y515" s="152">
        <f t="shared" si="279"/>
        <v>0</v>
      </c>
      <c r="Z515" s="150" t="s">
        <v>169</v>
      </c>
      <c r="AA515" s="2"/>
      <c r="AB515" s="26"/>
      <c r="AC515" s="159" t="s">
        <v>162</v>
      </c>
      <c r="AD515" s="159" t="s">
        <v>162</v>
      </c>
      <c r="AE515" s="159" t="s">
        <v>162</v>
      </c>
      <c r="AF515" s="159" t="s">
        <v>162</v>
      </c>
      <c r="AG515" s="31">
        <f t="shared" si="280"/>
        <v>0</v>
      </c>
      <c r="AH515" s="153" t="s">
        <v>162</v>
      </c>
      <c r="AI515" s="2"/>
      <c r="AJ515" s="2"/>
      <c r="AK515" s="2"/>
      <c r="AL515" s="2"/>
      <c r="AM515" s="2"/>
      <c r="AN515" s="2"/>
      <c r="AO515" s="2"/>
      <c r="AP515" s="2"/>
      <c r="AQ515" s="2"/>
      <c r="AR515" s="2"/>
      <c r="AS515" s="2"/>
      <c r="AT515" s="2"/>
      <c r="AU515" s="2"/>
      <c r="AV515" s="2"/>
      <c r="AW515" s="2"/>
      <c r="AX515" s="2"/>
      <c r="AY515" s="2"/>
      <c r="AZ515" s="2"/>
      <c r="BA515" s="2"/>
      <c r="BB515" s="2"/>
      <c r="BC515" s="2"/>
      <c r="BD515" s="2"/>
    </row>
    <row r="516" spans="1:56" ht="14.25" customHeight="1">
      <c r="A516" s="8"/>
      <c r="B516" s="507"/>
      <c r="C516" s="156" t="s">
        <v>164</v>
      </c>
      <c r="D516" s="147"/>
      <c r="E516" s="147"/>
      <c r="F516" s="147"/>
      <c r="G516" s="147"/>
      <c r="H516" s="147"/>
      <c r="I516" s="147"/>
      <c r="J516" s="147"/>
      <c r="K516" s="147"/>
      <c r="L516" s="147"/>
      <c r="M516" s="147"/>
      <c r="N516" s="147"/>
      <c r="O516" s="147"/>
      <c r="P516" s="147"/>
      <c r="Q516" s="147"/>
      <c r="R516" s="147"/>
      <c r="S516" s="147"/>
      <c r="T516" s="148" t="str">
        <f t="shared" si="275"/>
        <v>0</v>
      </c>
      <c r="U516" s="148" t="str">
        <f t="shared" si="276"/>
        <v>0</v>
      </c>
      <c r="V516" s="148" t="str">
        <f t="shared" si="277"/>
        <v>0</v>
      </c>
      <c r="W516" s="148" t="str">
        <f t="shared" si="278"/>
        <v>0</v>
      </c>
      <c r="X516" s="507"/>
      <c r="Y516" s="152">
        <f t="shared" si="279"/>
        <v>0</v>
      </c>
      <c r="Z516" s="150" t="s">
        <v>169</v>
      </c>
      <c r="AA516" s="2"/>
      <c r="AB516" s="26"/>
      <c r="AC516" s="159" t="s">
        <v>162</v>
      </c>
      <c r="AD516" s="159" t="s">
        <v>162</v>
      </c>
      <c r="AE516" s="159" t="s">
        <v>162</v>
      </c>
      <c r="AF516" s="159" t="s">
        <v>162</v>
      </c>
      <c r="AG516" s="31">
        <f t="shared" si="280"/>
        <v>0</v>
      </c>
      <c r="AH516" s="153" t="s">
        <v>162</v>
      </c>
      <c r="AI516" s="2"/>
      <c r="AJ516" s="2"/>
      <c r="AK516" s="2"/>
      <c r="AL516" s="2"/>
      <c r="AM516" s="2"/>
      <c r="AN516" s="2"/>
      <c r="AO516" s="2"/>
      <c r="AP516" s="2"/>
      <c r="AQ516" s="2"/>
      <c r="AR516" s="2"/>
      <c r="AS516" s="2"/>
      <c r="AT516" s="2"/>
      <c r="AU516" s="2"/>
      <c r="AV516" s="2"/>
      <c r="AW516" s="2"/>
      <c r="AX516" s="2"/>
      <c r="AY516" s="2"/>
      <c r="AZ516" s="2"/>
      <c r="BA516" s="2"/>
      <c r="BB516" s="2"/>
      <c r="BC516" s="2"/>
      <c r="BD516" s="2"/>
    </row>
    <row r="517" spans="1:56" ht="14.25" customHeight="1">
      <c r="A517" s="8"/>
      <c r="B517" s="507"/>
      <c r="C517" s="156" t="s">
        <v>165</v>
      </c>
      <c r="D517" s="147"/>
      <c r="E517" s="147"/>
      <c r="F517" s="147"/>
      <c r="G517" s="147"/>
      <c r="H517" s="147"/>
      <c r="I517" s="147"/>
      <c r="J517" s="147"/>
      <c r="K517" s="147"/>
      <c r="L517" s="147"/>
      <c r="M517" s="147"/>
      <c r="N517" s="147"/>
      <c r="O517" s="147"/>
      <c r="P517" s="147"/>
      <c r="Q517" s="147"/>
      <c r="R517" s="147"/>
      <c r="S517" s="147"/>
      <c r="T517" s="148" t="str">
        <f t="shared" si="275"/>
        <v>0</v>
      </c>
      <c r="U517" s="148" t="str">
        <f t="shared" si="276"/>
        <v>0</v>
      </c>
      <c r="V517" s="148" t="str">
        <f t="shared" si="277"/>
        <v>0</v>
      </c>
      <c r="W517" s="148" t="str">
        <f t="shared" si="278"/>
        <v>0</v>
      </c>
      <c r="X517" s="507"/>
      <c r="Y517" s="152">
        <f t="shared" si="279"/>
        <v>0</v>
      </c>
      <c r="Z517" s="150" t="s">
        <v>169</v>
      </c>
      <c r="AA517" s="2"/>
      <c r="AB517" s="26"/>
      <c r="AC517" s="159" t="s">
        <v>162</v>
      </c>
      <c r="AD517" s="159" t="s">
        <v>162</v>
      </c>
      <c r="AE517" s="159" t="s">
        <v>162</v>
      </c>
      <c r="AF517" s="159" t="s">
        <v>162</v>
      </c>
      <c r="AG517" s="31">
        <f t="shared" si="280"/>
        <v>0</v>
      </c>
      <c r="AH517" s="153" t="s">
        <v>162</v>
      </c>
      <c r="AI517" s="2"/>
      <c r="AJ517" s="2"/>
      <c r="AK517" s="2"/>
      <c r="AL517" s="2"/>
      <c r="AM517" s="2"/>
      <c r="AN517" s="2"/>
      <c r="AO517" s="2"/>
      <c r="AP517" s="2"/>
      <c r="AQ517" s="2"/>
      <c r="AR517" s="2"/>
      <c r="AS517" s="2"/>
      <c r="AT517" s="2"/>
      <c r="AU517" s="2"/>
      <c r="AV517" s="2"/>
      <c r="AW517" s="2"/>
      <c r="AX517" s="2"/>
      <c r="AY517" s="2"/>
      <c r="AZ517" s="2"/>
      <c r="BA517" s="2"/>
      <c r="BB517" s="2"/>
      <c r="BC517" s="2"/>
      <c r="BD517" s="2"/>
    </row>
    <row r="518" spans="1:56" ht="14.25" customHeight="1">
      <c r="A518" s="8"/>
      <c r="B518" s="508"/>
      <c r="C518" s="156" t="s">
        <v>166</v>
      </c>
      <c r="D518" s="147"/>
      <c r="E518" s="147"/>
      <c r="F518" s="147"/>
      <c r="G518" s="147"/>
      <c r="H518" s="147"/>
      <c r="I518" s="147"/>
      <c r="J518" s="147"/>
      <c r="K518" s="147"/>
      <c r="L518" s="147"/>
      <c r="M518" s="147"/>
      <c r="N518" s="147"/>
      <c r="O518" s="147"/>
      <c r="P518" s="147"/>
      <c r="Q518" s="147"/>
      <c r="R518" s="147"/>
      <c r="S518" s="147"/>
      <c r="T518" s="148" t="str">
        <f t="shared" si="275"/>
        <v>0</v>
      </c>
      <c r="U518" s="148" t="str">
        <f t="shared" si="276"/>
        <v>0</v>
      </c>
      <c r="V518" s="148" t="str">
        <f t="shared" si="277"/>
        <v>0</v>
      </c>
      <c r="W518" s="148" t="str">
        <f t="shared" si="278"/>
        <v>0</v>
      </c>
      <c r="X518" s="508"/>
      <c r="Y518" s="152">
        <f t="shared" si="279"/>
        <v>0</v>
      </c>
      <c r="Z518" s="150" t="s">
        <v>169</v>
      </c>
      <c r="AA518" s="2"/>
      <c r="AB518" s="26"/>
      <c r="AC518" s="159" t="s">
        <v>162</v>
      </c>
      <c r="AD518" s="159" t="s">
        <v>162</v>
      </c>
      <c r="AE518" s="159" t="s">
        <v>162</v>
      </c>
      <c r="AF518" s="159" t="s">
        <v>162</v>
      </c>
      <c r="AG518" s="31">
        <f t="shared" si="280"/>
        <v>0</v>
      </c>
      <c r="AH518" s="153" t="s">
        <v>162</v>
      </c>
      <c r="AI518" s="2"/>
      <c r="AJ518" s="2"/>
      <c r="AK518" s="2"/>
      <c r="AL518" s="2"/>
      <c r="AM518" s="2"/>
      <c r="AN518" s="2"/>
      <c r="AO518" s="2"/>
      <c r="AP518" s="2"/>
      <c r="AQ518" s="2"/>
      <c r="AR518" s="2"/>
      <c r="AS518" s="2"/>
      <c r="AT518" s="2"/>
      <c r="AU518" s="2"/>
      <c r="AV518" s="2"/>
      <c r="AW518" s="2"/>
      <c r="AX518" s="2"/>
      <c r="AY518" s="2"/>
      <c r="AZ518" s="2"/>
      <c r="BA518" s="2"/>
      <c r="BB518" s="2"/>
      <c r="BC518" s="2"/>
      <c r="BD518" s="2"/>
    </row>
    <row r="519" spans="1:56" ht="14.25" customHeight="1">
      <c r="A519" s="8"/>
      <c r="B519" s="509" t="s">
        <v>101</v>
      </c>
      <c r="C519" s="156" t="s">
        <v>160</v>
      </c>
      <c r="D519" s="147"/>
      <c r="E519" s="147"/>
      <c r="F519" s="147"/>
      <c r="G519" s="147"/>
      <c r="H519" s="147"/>
      <c r="I519" s="147"/>
      <c r="J519" s="147"/>
      <c r="K519" s="147"/>
      <c r="L519" s="147"/>
      <c r="M519" s="147"/>
      <c r="N519" s="147"/>
      <c r="O519" s="147"/>
      <c r="P519" s="147"/>
      <c r="Q519" s="147"/>
      <c r="R519" s="147"/>
      <c r="S519" s="147"/>
      <c r="T519" s="148" t="str">
        <f t="shared" si="275"/>
        <v>0</v>
      </c>
      <c r="U519" s="148" t="str">
        <f t="shared" si="276"/>
        <v>0</v>
      </c>
      <c r="V519" s="148" t="str">
        <f t="shared" si="277"/>
        <v>0</v>
      </c>
      <c r="W519" s="148" t="str">
        <f t="shared" si="278"/>
        <v>0</v>
      </c>
      <c r="X519" s="513">
        <f>SUM(Y519:Y523)/5</f>
        <v>0</v>
      </c>
      <c r="Y519" s="152">
        <f t="shared" si="279"/>
        <v>0</v>
      </c>
      <c r="Z519" s="150" t="s">
        <v>201</v>
      </c>
      <c r="AA519" s="2"/>
      <c r="AB519" s="26"/>
      <c r="AC519" s="159" t="s">
        <v>162</v>
      </c>
      <c r="AD519" s="159" t="s">
        <v>162</v>
      </c>
      <c r="AE519" s="159" t="s">
        <v>162</v>
      </c>
      <c r="AF519" s="159" t="s">
        <v>162</v>
      </c>
      <c r="AG519" s="158" t="str">
        <f t="shared" si="280"/>
        <v>VCD-MKS</v>
      </c>
      <c r="AH519" s="153" t="s">
        <v>162</v>
      </c>
      <c r="AI519" s="2"/>
      <c r="AJ519" s="2"/>
      <c r="AK519" s="2"/>
      <c r="AL519" s="2"/>
      <c r="AM519" s="2"/>
      <c r="AN519" s="2"/>
      <c r="AO519" s="2"/>
      <c r="AP519" s="2"/>
      <c r="AQ519" s="2"/>
      <c r="AR519" s="2"/>
      <c r="AS519" s="2"/>
      <c r="AT519" s="2"/>
      <c r="AU519" s="2"/>
      <c r="AV519" s="2"/>
      <c r="AW519" s="2"/>
      <c r="AX519" s="2"/>
      <c r="AY519" s="2"/>
      <c r="AZ519" s="2"/>
      <c r="BA519" s="2"/>
      <c r="BB519" s="2"/>
      <c r="BC519" s="2"/>
      <c r="BD519" s="2"/>
    </row>
    <row r="520" spans="1:56" ht="14.25" customHeight="1">
      <c r="A520" s="8"/>
      <c r="B520" s="510"/>
      <c r="C520" s="156" t="s">
        <v>163</v>
      </c>
      <c r="D520" s="147"/>
      <c r="E520" s="147"/>
      <c r="F520" s="147"/>
      <c r="G520" s="147"/>
      <c r="H520" s="147"/>
      <c r="I520" s="147"/>
      <c r="J520" s="147"/>
      <c r="K520" s="147"/>
      <c r="L520" s="147"/>
      <c r="M520" s="147"/>
      <c r="N520" s="147"/>
      <c r="O520" s="147"/>
      <c r="P520" s="147"/>
      <c r="Q520" s="147"/>
      <c r="R520" s="147"/>
      <c r="S520" s="147"/>
      <c r="T520" s="148" t="str">
        <f t="shared" si="275"/>
        <v>0</v>
      </c>
      <c r="U520" s="148" t="str">
        <f t="shared" si="276"/>
        <v>0</v>
      </c>
      <c r="V520" s="148" t="str">
        <f t="shared" si="277"/>
        <v>0</v>
      </c>
      <c r="W520" s="148" t="str">
        <f t="shared" si="278"/>
        <v>0</v>
      </c>
      <c r="X520" s="507"/>
      <c r="Y520" s="152">
        <f t="shared" si="279"/>
        <v>0</v>
      </c>
      <c r="Z520" s="150" t="s">
        <v>169</v>
      </c>
      <c r="AA520" s="2"/>
      <c r="AB520" s="26"/>
      <c r="AC520" s="159" t="s">
        <v>162</v>
      </c>
      <c r="AD520" s="159" t="s">
        <v>162</v>
      </c>
      <c r="AE520" s="159" t="s">
        <v>162</v>
      </c>
      <c r="AF520" s="159" t="s">
        <v>162</v>
      </c>
      <c r="AG520" s="31">
        <f t="shared" si="280"/>
        <v>0</v>
      </c>
      <c r="AH520" s="153" t="s">
        <v>162</v>
      </c>
      <c r="AI520" s="2"/>
      <c r="AJ520" s="2"/>
      <c r="AK520" s="2"/>
      <c r="AL520" s="2"/>
      <c r="AM520" s="2"/>
      <c r="AN520" s="2"/>
      <c r="AO520" s="2"/>
      <c r="AP520" s="2"/>
      <c r="AQ520" s="2"/>
      <c r="AR520" s="2"/>
      <c r="AS520" s="2"/>
      <c r="AT520" s="2"/>
      <c r="AU520" s="2"/>
      <c r="AV520" s="2"/>
      <c r="AW520" s="2"/>
      <c r="AX520" s="2"/>
      <c r="AY520" s="2"/>
      <c r="AZ520" s="2"/>
      <c r="BA520" s="2"/>
      <c r="BB520" s="2"/>
      <c r="BC520" s="2"/>
      <c r="BD520" s="2"/>
    </row>
    <row r="521" spans="1:56" ht="14.25" customHeight="1">
      <c r="A521" s="8"/>
      <c r="B521" s="507"/>
      <c r="C521" s="156" t="s">
        <v>164</v>
      </c>
      <c r="D521" s="147"/>
      <c r="E521" s="147"/>
      <c r="F521" s="147"/>
      <c r="G521" s="147"/>
      <c r="H521" s="147"/>
      <c r="I521" s="147"/>
      <c r="J521" s="147"/>
      <c r="K521" s="147"/>
      <c r="L521" s="147"/>
      <c r="M521" s="147"/>
      <c r="N521" s="147"/>
      <c r="O521" s="147"/>
      <c r="P521" s="147"/>
      <c r="Q521" s="147"/>
      <c r="R521" s="147"/>
      <c r="S521" s="147"/>
      <c r="T521" s="148" t="str">
        <f t="shared" si="275"/>
        <v>0</v>
      </c>
      <c r="U521" s="148" t="str">
        <f t="shared" si="276"/>
        <v>0</v>
      </c>
      <c r="V521" s="148" t="str">
        <f t="shared" si="277"/>
        <v>0</v>
      </c>
      <c r="W521" s="148" t="str">
        <f t="shared" si="278"/>
        <v>0</v>
      </c>
      <c r="X521" s="507"/>
      <c r="Y521" s="152">
        <f t="shared" si="279"/>
        <v>0</v>
      </c>
      <c r="Z521" s="150" t="s">
        <v>169</v>
      </c>
      <c r="AA521" s="2"/>
      <c r="AB521" s="26"/>
      <c r="AC521" s="159" t="s">
        <v>162</v>
      </c>
      <c r="AD521" s="159" t="s">
        <v>162</v>
      </c>
      <c r="AE521" s="159" t="s">
        <v>162</v>
      </c>
      <c r="AF521" s="159" t="s">
        <v>162</v>
      </c>
      <c r="AG521" s="31">
        <f t="shared" si="280"/>
        <v>0</v>
      </c>
      <c r="AH521" s="153" t="s">
        <v>162</v>
      </c>
      <c r="AI521" s="2"/>
      <c r="AJ521" s="2"/>
      <c r="AK521" s="2"/>
      <c r="AL521" s="2"/>
      <c r="AM521" s="2"/>
      <c r="AN521" s="2"/>
      <c r="AO521" s="2"/>
      <c r="AP521" s="2"/>
      <c r="AQ521" s="2"/>
      <c r="AR521" s="2"/>
      <c r="AS521" s="2"/>
      <c r="AT521" s="2"/>
      <c r="AU521" s="2"/>
      <c r="AV521" s="2"/>
      <c r="AW521" s="2"/>
      <c r="AX521" s="2"/>
      <c r="AY521" s="2"/>
      <c r="AZ521" s="2"/>
      <c r="BA521" s="2"/>
      <c r="BB521" s="2"/>
      <c r="BC521" s="2"/>
      <c r="BD521" s="2"/>
    </row>
    <row r="522" spans="1:56" ht="14.25" customHeight="1">
      <c r="A522" s="8"/>
      <c r="B522" s="507"/>
      <c r="C522" s="156" t="s">
        <v>165</v>
      </c>
      <c r="D522" s="147"/>
      <c r="E522" s="147"/>
      <c r="F522" s="147"/>
      <c r="G522" s="147"/>
      <c r="H522" s="147"/>
      <c r="I522" s="147"/>
      <c r="J522" s="147"/>
      <c r="K522" s="147"/>
      <c r="L522" s="147"/>
      <c r="M522" s="147"/>
      <c r="N522" s="147"/>
      <c r="O522" s="147"/>
      <c r="P522" s="147"/>
      <c r="Q522" s="147"/>
      <c r="R522" s="147"/>
      <c r="S522" s="147"/>
      <c r="T522" s="148" t="str">
        <f t="shared" si="275"/>
        <v>0</v>
      </c>
      <c r="U522" s="148" t="str">
        <f t="shared" si="276"/>
        <v>0</v>
      </c>
      <c r="V522" s="148" t="str">
        <f t="shared" si="277"/>
        <v>0</v>
      </c>
      <c r="W522" s="148" t="str">
        <f t="shared" si="278"/>
        <v>0</v>
      </c>
      <c r="X522" s="507"/>
      <c r="Y522" s="152">
        <f t="shared" si="279"/>
        <v>0</v>
      </c>
      <c r="Z522" s="150" t="s">
        <v>169</v>
      </c>
      <c r="AA522" s="2"/>
      <c r="AB522" s="26"/>
      <c r="AC522" s="159" t="s">
        <v>162</v>
      </c>
      <c r="AD522" s="159" t="s">
        <v>162</v>
      </c>
      <c r="AE522" s="159" t="s">
        <v>162</v>
      </c>
      <c r="AF522" s="159" t="s">
        <v>162</v>
      </c>
      <c r="AG522" s="31">
        <f t="shared" si="280"/>
        <v>0</v>
      </c>
      <c r="AH522" s="153" t="s">
        <v>162</v>
      </c>
      <c r="AI522" s="2"/>
      <c r="AJ522" s="2"/>
      <c r="AK522" s="2"/>
      <c r="AL522" s="2"/>
      <c r="AM522" s="2"/>
      <c r="AN522" s="2"/>
      <c r="AO522" s="2"/>
      <c r="AP522" s="2"/>
      <c r="AQ522" s="2"/>
      <c r="AR522" s="2"/>
      <c r="AS522" s="2"/>
      <c r="AT522" s="2"/>
      <c r="AU522" s="2"/>
      <c r="AV522" s="2"/>
      <c r="AW522" s="2"/>
      <c r="AX522" s="2"/>
      <c r="AY522" s="2"/>
      <c r="AZ522" s="2"/>
      <c r="BA522" s="2"/>
      <c r="BB522" s="2"/>
      <c r="BC522" s="2"/>
      <c r="BD522" s="2"/>
    </row>
    <row r="523" spans="1:56" ht="14.25" customHeight="1">
      <c r="A523" s="8"/>
      <c r="B523" s="508"/>
      <c r="C523" s="156" t="s">
        <v>166</v>
      </c>
      <c r="D523" s="147"/>
      <c r="E523" s="147"/>
      <c r="F523" s="147"/>
      <c r="G523" s="147"/>
      <c r="H523" s="147"/>
      <c r="I523" s="147"/>
      <c r="J523" s="147"/>
      <c r="K523" s="147"/>
      <c r="L523" s="147"/>
      <c r="M523" s="147"/>
      <c r="N523" s="147"/>
      <c r="O523" s="147"/>
      <c r="P523" s="147"/>
      <c r="Q523" s="147"/>
      <c r="R523" s="147"/>
      <c r="S523" s="147"/>
      <c r="T523" s="148" t="str">
        <f t="shared" si="275"/>
        <v>0</v>
      </c>
      <c r="U523" s="148" t="str">
        <f t="shared" si="276"/>
        <v>0</v>
      </c>
      <c r="V523" s="148" t="str">
        <f t="shared" si="277"/>
        <v>0</v>
      </c>
      <c r="W523" s="148" t="str">
        <f t="shared" si="278"/>
        <v>0</v>
      </c>
      <c r="X523" s="508"/>
      <c r="Y523" s="152">
        <f t="shared" si="279"/>
        <v>0</v>
      </c>
      <c r="Z523" s="150" t="s">
        <v>169</v>
      </c>
      <c r="AA523" s="2"/>
      <c r="AB523" s="26"/>
      <c r="AC523" s="159" t="s">
        <v>162</v>
      </c>
      <c r="AD523" s="159" t="s">
        <v>162</v>
      </c>
      <c r="AE523" s="159" t="s">
        <v>162</v>
      </c>
      <c r="AF523" s="159" t="s">
        <v>162</v>
      </c>
      <c r="AG523" s="31">
        <f t="shared" si="280"/>
        <v>0</v>
      </c>
      <c r="AH523" s="153" t="s">
        <v>162</v>
      </c>
      <c r="AI523" s="2"/>
      <c r="AJ523" s="2"/>
      <c r="AK523" s="2"/>
      <c r="AL523" s="2"/>
      <c r="AM523" s="2"/>
      <c r="AN523" s="2"/>
      <c r="AO523" s="2"/>
      <c r="AP523" s="2"/>
      <c r="AQ523" s="2"/>
      <c r="AR523" s="2"/>
      <c r="AS523" s="2"/>
      <c r="AT523" s="2"/>
      <c r="AU523" s="2"/>
      <c r="AV523" s="2"/>
      <c r="AW523" s="2"/>
      <c r="AX523" s="2"/>
      <c r="AY523" s="2"/>
      <c r="AZ523" s="2"/>
      <c r="BA523" s="2"/>
      <c r="BB523" s="2"/>
      <c r="BC523" s="2"/>
      <c r="BD523" s="2"/>
    </row>
    <row r="524" spans="1:56" ht="14.25" customHeight="1">
      <c r="A524" s="2"/>
      <c r="B524" s="154"/>
      <c r="C524" s="154"/>
      <c r="D524" s="154"/>
      <c r="E524" s="154"/>
      <c r="F524" s="154"/>
      <c r="G524" s="154"/>
      <c r="H524" s="154"/>
      <c r="I524" s="154"/>
      <c r="J524" s="154"/>
      <c r="K524" s="154"/>
      <c r="L524" s="154"/>
      <c r="M524" s="154"/>
      <c r="N524" s="154"/>
      <c r="O524" s="154"/>
      <c r="P524" s="154"/>
      <c r="Q524" s="154"/>
      <c r="R524" s="154"/>
      <c r="S524" s="154"/>
      <c r="T524" s="154"/>
      <c r="U524" s="154"/>
      <c r="V524" s="154"/>
      <c r="W524" s="154"/>
      <c r="X524" s="23"/>
      <c r="Y524" s="23"/>
      <c r="Z524" s="2"/>
      <c r="AA524" s="2"/>
      <c r="AB524" s="2"/>
      <c r="AC524" s="63"/>
      <c r="AD524" s="63"/>
      <c r="AE524" s="63"/>
      <c r="AF524" s="63"/>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row>
    <row r="525" spans="1:56" ht="14.25" customHeight="1">
      <c r="A525" s="26"/>
      <c r="B525" s="144" t="s">
        <v>202</v>
      </c>
      <c r="C525" s="145"/>
      <c r="D525" s="145"/>
      <c r="E525" s="145"/>
      <c r="F525" s="145"/>
      <c r="G525" s="145"/>
      <c r="H525" s="145"/>
      <c r="I525" s="145"/>
      <c r="J525" s="145"/>
      <c r="K525" s="145"/>
      <c r="L525" s="145"/>
      <c r="M525" s="145"/>
      <c r="N525" s="145"/>
      <c r="O525" s="145"/>
      <c r="P525" s="145"/>
      <c r="Q525" s="145"/>
      <c r="R525" s="145"/>
      <c r="S525" s="145"/>
      <c r="T525" s="145"/>
      <c r="U525" s="145"/>
      <c r="V525" s="145"/>
      <c r="W525" s="145"/>
      <c r="X525" s="146"/>
      <c r="Y525" s="7"/>
      <c r="Z525" s="7"/>
      <c r="AA525" s="7"/>
      <c r="AB525" s="2"/>
      <c r="AC525" s="7"/>
      <c r="AD525" s="7"/>
      <c r="AE525" s="7"/>
      <c r="AF525" s="7"/>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row>
    <row r="526" spans="1:56" ht="15" customHeight="1">
      <c r="A526" s="8"/>
      <c r="B526" s="511" t="s">
        <v>37</v>
      </c>
      <c r="C526" s="511" t="s">
        <v>152</v>
      </c>
      <c r="D526" s="502" t="s">
        <v>18</v>
      </c>
      <c r="E526" s="503"/>
      <c r="F526" s="504"/>
      <c r="G526" s="505"/>
      <c r="H526" s="502" t="s">
        <v>21</v>
      </c>
      <c r="I526" s="503"/>
      <c r="J526" s="504"/>
      <c r="K526" s="505"/>
      <c r="L526" s="502" t="s">
        <v>20</v>
      </c>
      <c r="M526" s="503"/>
      <c r="N526" s="504"/>
      <c r="O526" s="505"/>
      <c r="P526" s="502" t="s">
        <v>25</v>
      </c>
      <c r="Q526" s="503"/>
      <c r="R526" s="504"/>
      <c r="S526" s="505"/>
      <c r="T526" s="502" t="s">
        <v>39</v>
      </c>
      <c r="U526" s="503"/>
      <c r="V526" s="504"/>
      <c r="W526" s="505"/>
      <c r="X526" s="511" t="s">
        <v>153</v>
      </c>
      <c r="Y526" s="511" t="s">
        <v>153</v>
      </c>
      <c r="Z526" s="514" t="s">
        <v>154</v>
      </c>
      <c r="AA526" s="515"/>
      <c r="AB526" s="8"/>
      <c r="AC526" s="502" t="s">
        <v>155</v>
      </c>
      <c r="AD526" s="503"/>
      <c r="AE526" s="504"/>
      <c r="AF526" s="505"/>
      <c r="AG526" s="10"/>
      <c r="AH526" s="2"/>
      <c r="AI526" s="2"/>
      <c r="AJ526" s="2"/>
      <c r="AK526" s="2"/>
      <c r="AL526" s="2"/>
      <c r="AM526" s="2"/>
      <c r="AN526" s="2"/>
      <c r="AO526" s="2"/>
      <c r="AP526" s="2"/>
      <c r="AQ526" s="2"/>
      <c r="AR526" s="2"/>
      <c r="AS526" s="2"/>
      <c r="AT526" s="2"/>
      <c r="AU526" s="2"/>
      <c r="AV526" s="2"/>
      <c r="AW526" s="2"/>
      <c r="AX526" s="2"/>
      <c r="AY526" s="2"/>
      <c r="AZ526" s="2"/>
      <c r="BA526" s="2"/>
      <c r="BB526" s="2"/>
      <c r="BC526" s="2"/>
      <c r="BD526" s="2"/>
    </row>
    <row r="527" spans="1:56" ht="15" customHeight="1">
      <c r="A527" s="8"/>
      <c r="B527" s="510"/>
      <c r="C527" s="510"/>
      <c r="D527" s="502" t="s">
        <v>11</v>
      </c>
      <c r="E527" s="503"/>
      <c r="F527" s="504"/>
      <c r="G527" s="505"/>
      <c r="H527" s="502" t="s">
        <v>11</v>
      </c>
      <c r="I527" s="503"/>
      <c r="J527" s="504"/>
      <c r="K527" s="505"/>
      <c r="L527" s="502" t="s">
        <v>11</v>
      </c>
      <c r="M527" s="503"/>
      <c r="N527" s="504"/>
      <c r="O527" s="505"/>
      <c r="P527" s="502" t="s">
        <v>11</v>
      </c>
      <c r="Q527" s="503"/>
      <c r="R527" s="504"/>
      <c r="S527" s="505"/>
      <c r="T527" s="502" t="s">
        <v>11</v>
      </c>
      <c r="U527" s="503"/>
      <c r="V527" s="504"/>
      <c r="W527" s="505"/>
      <c r="X527" s="510"/>
      <c r="Y527" s="510"/>
      <c r="Z527" s="516"/>
      <c r="AA527" s="517"/>
      <c r="AB527" s="8"/>
      <c r="AC527" s="519">
        <f>U527</f>
        <v>0</v>
      </c>
      <c r="AD527" s="503"/>
      <c r="AE527" s="504"/>
      <c r="AF527" s="505"/>
      <c r="AG527" s="10"/>
      <c r="AH527" s="2"/>
      <c r="AI527" s="2"/>
      <c r="AJ527" s="2"/>
      <c r="AK527" s="2"/>
      <c r="AL527" s="2"/>
      <c r="AM527" s="2"/>
      <c r="AN527" s="2"/>
      <c r="AO527" s="2"/>
      <c r="AP527" s="2"/>
      <c r="AQ527" s="2"/>
      <c r="AR527" s="2"/>
      <c r="AS527" s="2"/>
      <c r="AT527" s="2"/>
      <c r="AU527" s="2"/>
      <c r="AV527" s="2"/>
      <c r="AW527" s="2"/>
      <c r="AX527" s="2"/>
      <c r="AY527" s="2"/>
      <c r="AZ527" s="2"/>
      <c r="BA527" s="2"/>
      <c r="BB527" s="2"/>
      <c r="BC527" s="2"/>
      <c r="BD527" s="2"/>
    </row>
    <row r="528" spans="1:56" ht="15" customHeight="1">
      <c r="A528" s="8"/>
      <c r="B528" s="508"/>
      <c r="C528" s="508"/>
      <c r="D528" s="32" t="s">
        <v>117</v>
      </c>
      <c r="E528" s="32" t="s">
        <v>156</v>
      </c>
      <c r="F528" s="32" t="s">
        <v>157</v>
      </c>
      <c r="G528" s="32" t="s">
        <v>158</v>
      </c>
      <c r="H528" s="32" t="s">
        <v>117</v>
      </c>
      <c r="I528" s="32" t="s">
        <v>156</v>
      </c>
      <c r="J528" s="32" t="s">
        <v>157</v>
      </c>
      <c r="K528" s="32" t="s">
        <v>158</v>
      </c>
      <c r="L528" s="32" t="s">
        <v>159</v>
      </c>
      <c r="M528" s="32" t="s">
        <v>156</v>
      </c>
      <c r="N528" s="32" t="s">
        <v>157</v>
      </c>
      <c r="O528" s="32" t="s">
        <v>158</v>
      </c>
      <c r="P528" s="32" t="s">
        <v>159</v>
      </c>
      <c r="Q528" s="32" t="s">
        <v>156</v>
      </c>
      <c r="R528" s="32" t="s">
        <v>157</v>
      </c>
      <c r="S528" s="32" t="s">
        <v>158</v>
      </c>
      <c r="T528" s="32" t="s">
        <v>159</v>
      </c>
      <c r="U528" s="32" t="s">
        <v>156</v>
      </c>
      <c r="V528" s="32" t="s">
        <v>157</v>
      </c>
      <c r="W528" s="32" t="s">
        <v>158</v>
      </c>
      <c r="X528" s="508"/>
      <c r="Y528" s="508"/>
      <c r="Z528" s="518"/>
      <c r="AA528" s="517"/>
      <c r="AB528" s="8"/>
      <c r="AC528" s="32" t="s">
        <v>159</v>
      </c>
      <c r="AD528" s="32" t="s">
        <v>156</v>
      </c>
      <c r="AE528" s="32" t="s">
        <v>157</v>
      </c>
      <c r="AF528" s="32" t="s">
        <v>158</v>
      </c>
      <c r="AG528" s="10"/>
      <c r="AH528" s="2"/>
      <c r="AI528" s="2"/>
      <c r="AJ528" s="2"/>
      <c r="AK528" s="2"/>
      <c r="AL528" s="2"/>
      <c r="AM528" s="2"/>
      <c r="AN528" s="2"/>
      <c r="AO528" s="2"/>
      <c r="AP528" s="2"/>
      <c r="AQ528" s="2"/>
      <c r="AR528" s="2"/>
      <c r="AS528" s="2"/>
      <c r="AT528" s="2"/>
      <c r="AU528" s="2"/>
      <c r="AV528" s="2"/>
      <c r="AW528" s="2"/>
      <c r="AX528" s="2"/>
      <c r="AY528" s="2"/>
      <c r="AZ528" s="2"/>
      <c r="BA528" s="2"/>
      <c r="BB528" s="2"/>
      <c r="BC528" s="2"/>
      <c r="BD528" s="2"/>
    </row>
    <row r="529" spans="1:56" ht="14.25" customHeight="1">
      <c r="A529" s="8"/>
      <c r="B529" s="512" t="s">
        <v>119</v>
      </c>
      <c r="C529" s="156" t="s">
        <v>160</v>
      </c>
      <c r="D529" s="147"/>
      <c r="E529" s="147"/>
      <c r="F529" s="147"/>
      <c r="G529" s="147"/>
      <c r="H529" s="147"/>
      <c r="I529" s="147"/>
      <c r="J529" s="147"/>
      <c r="K529" s="147"/>
      <c r="L529" s="147"/>
      <c r="M529" s="147"/>
      <c r="N529" s="147"/>
      <c r="O529" s="147"/>
      <c r="P529" s="147"/>
      <c r="Q529" s="147"/>
      <c r="R529" s="147"/>
      <c r="S529" s="147"/>
      <c r="T529" s="148" t="str">
        <f t="shared" ref="T529:T560" si="281">IFERROR(AVERAGE(D529,H529,L529,P529),"0")</f>
        <v>0</v>
      </c>
      <c r="U529" s="148" t="str">
        <f t="shared" ref="U529:U560" si="282">IFERROR(AVERAGE(E529,I529,M529,Q529),"0")</f>
        <v>0</v>
      </c>
      <c r="V529" s="148" t="str">
        <f t="shared" ref="V529:V560" si="283">IFERROR(AVERAGE(F529,J529,N529,R529),"0")</f>
        <v>0</v>
      </c>
      <c r="W529" s="148" t="str">
        <f t="shared" ref="W529:W560" si="284">IFERROR(AVERAGE(G529,K529,O529,S529),"0")</f>
        <v>0</v>
      </c>
      <c r="X529" s="513">
        <f>SUM(Y529:Y533)/5</f>
        <v>0</v>
      </c>
      <c r="Y529" s="152">
        <f t="shared" ref="Y529:Y560" si="285">((4*T529)+(3*U529)+(2*V529)+W529)/4</f>
        <v>0</v>
      </c>
      <c r="Z529" s="150" t="s">
        <v>203</v>
      </c>
      <c r="AA529" s="2"/>
      <c r="AB529" s="26"/>
      <c r="AC529" s="157" t="s">
        <v>162</v>
      </c>
      <c r="AD529" s="157" t="s">
        <v>162</v>
      </c>
      <c r="AE529" s="157" t="s">
        <v>162</v>
      </c>
      <c r="AF529" s="157" t="s">
        <v>162</v>
      </c>
      <c r="AG529" s="158" t="str">
        <f t="shared" ref="AG529:AG560" si="286">B529</f>
        <v>SBM</v>
      </c>
      <c r="AH529" s="153" t="s">
        <v>162</v>
      </c>
      <c r="AI529" s="2"/>
      <c r="AJ529" s="2"/>
      <c r="AK529" s="2"/>
      <c r="AL529" s="2"/>
      <c r="AM529" s="2"/>
      <c r="AN529" s="2"/>
      <c r="AO529" s="2"/>
      <c r="AP529" s="2"/>
      <c r="AQ529" s="2"/>
      <c r="AR529" s="2"/>
      <c r="AS529" s="2"/>
      <c r="AT529" s="2"/>
      <c r="AU529" s="2"/>
      <c r="AV529" s="2"/>
      <c r="AW529" s="2"/>
      <c r="AX529" s="2"/>
      <c r="AY529" s="2"/>
      <c r="AZ529" s="2"/>
      <c r="BA529" s="2"/>
      <c r="BB529" s="2"/>
      <c r="BC529" s="2"/>
      <c r="BD529" s="2"/>
    </row>
    <row r="530" spans="1:56" ht="14.25" customHeight="1">
      <c r="A530" s="8"/>
      <c r="B530" s="507"/>
      <c r="C530" s="156" t="s">
        <v>163</v>
      </c>
      <c r="D530" s="147"/>
      <c r="E530" s="147"/>
      <c r="F530" s="147"/>
      <c r="G530" s="147"/>
      <c r="H530" s="147"/>
      <c r="I530" s="147"/>
      <c r="J530" s="147"/>
      <c r="K530" s="147"/>
      <c r="L530" s="147"/>
      <c r="M530" s="147"/>
      <c r="N530" s="147"/>
      <c r="O530" s="147"/>
      <c r="P530" s="147"/>
      <c r="Q530" s="147"/>
      <c r="R530" s="147"/>
      <c r="S530" s="147"/>
      <c r="T530" s="148" t="str">
        <f t="shared" si="281"/>
        <v>0</v>
      </c>
      <c r="U530" s="148" t="str">
        <f t="shared" si="282"/>
        <v>0</v>
      </c>
      <c r="V530" s="148" t="str">
        <f t="shared" si="283"/>
        <v>0</v>
      </c>
      <c r="W530" s="148" t="str">
        <f t="shared" si="284"/>
        <v>0</v>
      </c>
      <c r="X530" s="507"/>
      <c r="Y530" s="152">
        <f t="shared" si="285"/>
        <v>0</v>
      </c>
      <c r="Z530" s="150" t="s">
        <v>169</v>
      </c>
      <c r="AA530" s="153" t="s">
        <v>204</v>
      </c>
      <c r="AB530" s="26"/>
      <c r="AC530" s="159" t="s">
        <v>162</v>
      </c>
      <c r="AD530" s="159" t="s">
        <v>162</v>
      </c>
      <c r="AE530" s="159" t="s">
        <v>162</v>
      </c>
      <c r="AF530" s="159" t="s">
        <v>162</v>
      </c>
      <c r="AG530" s="31">
        <f t="shared" si="286"/>
        <v>0</v>
      </c>
      <c r="AH530" s="153" t="s">
        <v>162</v>
      </c>
      <c r="AI530" s="2"/>
      <c r="AJ530" s="2"/>
      <c r="AK530" s="2"/>
      <c r="AL530" s="2"/>
      <c r="AM530" s="2"/>
      <c r="AN530" s="2"/>
      <c r="AO530" s="2"/>
      <c r="AP530" s="2"/>
      <c r="AQ530" s="2"/>
      <c r="AR530" s="2"/>
      <c r="AS530" s="2"/>
      <c r="AT530" s="2"/>
      <c r="AU530" s="2"/>
      <c r="AV530" s="2"/>
      <c r="AW530" s="2"/>
      <c r="AX530" s="2"/>
      <c r="AY530" s="2"/>
      <c r="AZ530" s="2"/>
      <c r="BA530" s="2"/>
      <c r="BB530" s="2"/>
      <c r="BC530" s="2"/>
      <c r="BD530" s="2"/>
    </row>
    <row r="531" spans="1:56" ht="14.25" customHeight="1">
      <c r="A531" s="8"/>
      <c r="B531" s="507"/>
      <c r="C531" s="156" t="s">
        <v>164</v>
      </c>
      <c r="D531" s="147"/>
      <c r="E531" s="147"/>
      <c r="F531" s="147"/>
      <c r="G531" s="147"/>
      <c r="H531" s="147"/>
      <c r="I531" s="147"/>
      <c r="J531" s="147"/>
      <c r="K531" s="147"/>
      <c r="L531" s="147"/>
      <c r="M531" s="147"/>
      <c r="N531" s="147"/>
      <c r="O531" s="147"/>
      <c r="P531" s="147"/>
      <c r="Q531" s="147"/>
      <c r="R531" s="147"/>
      <c r="S531" s="147"/>
      <c r="T531" s="148" t="str">
        <f t="shared" si="281"/>
        <v>0</v>
      </c>
      <c r="U531" s="148" t="str">
        <f t="shared" si="282"/>
        <v>0</v>
      </c>
      <c r="V531" s="148" t="str">
        <f t="shared" si="283"/>
        <v>0</v>
      </c>
      <c r="W531" s="148" t="str">
        <f t="shared" si="284"/>
        <v>0</v>
      </c>
      <c r="X531" s="507"/>
      <c r="Y531" s="152">
        <f t="shared" si="285"/>
        <v>0</v>
      </c>
      <c r="Z531" s="150" t="s">
        <v>169</v>
      </c>
      <c r="AA531" s="153" t="s">
        <v>205</v>
      </c>
      <c r="AB531" s="26"/>
      <c r="AC531" s="159" t="s">
        <v>162</v>
      </c>
      <c r="AD531" s="159" t="s">
        <v>162</v>
      </c>
      <c r="AE531" s="159" t="s">
        <v>162</v>
      </c>
      <c r="AF531" s="159" t="s">
        <v>162</v>
      </c>
      <c r="AG531" s="31">
        <f t="shared" si="286"/>
        <v>0</v>
      </c>
      <c r="AH531" s="153" t="s">
        <v>162</v>
      </c>
      <c r="AI531" s="2"/>
      <c r="AJ531" s="2"/>
      <c r="AK531" s="2"/>
      <c r="AL531" s="2"/>
      <c r="AM531" s="2"/>
      <c r="AN531" s="2"/>
      <c r="AO531" s="2"/>
      <c r="AP531" s="2"/>
      <c r="AQ531" s="2"/>
      <c r="AR531" s="2"/>
      <c r="AS531" s="2"/>
      <c r="AT531" s="2"/>
      <c r="AU531" s="2"/>
      <c r="AV531" s="2"/>
      <c r="AW531" s="2"/>
      <c r="AX531" s="2"/>
      <c r="AY531" s="2"/>
      <c r="AZ531" s="2"/>
      <c r="BA531" s="2"/>
      <c r="BB531" s="2"/>
      <c r="BC531" s="2"/>
      <c r="BD531" s="2"/>
    </row>
    <row r="532" spans="1:56" ht="14.25" customHeight="1">
      <c r="A532" s="8"/>
      <c r="B532" s="507"/>
      <c r="C532" s="156" t="s">
        <v>165</v>
      </c>
      <c r="D532" s="147"/>
      <c r="E532" s="147"/>
      <c r="F532" s="147"/>
      <c r="G532" s="147"/>
      <c r="H532" s="147"/>
      <c r="I532" s="147"/>
      <c r="J532" s="147"/>
      <c r="K532" s="147"/>
      <c r="L532" s="147"/>
      <c r="M532" s="147"/>
      <c r="N532" s="147"/>
      <c r="O532" s="147"/>
      <c r="P532" s="147"/>
      <c r="Q532" s="147"/>
      <c r="R532" s="147"/>
      <c r="S532" s="147"/>
      <c r="T532" s="148" t="str">
        <f t="shared" si="281"/>
        <v>0</v>
      </c>
      <c r="U532" s="148" t="str">
        <f t="shared" si="282"/>
        <v>0</v>
      </c>
      <c r="V532" s="148" t="str">
        <f t="shared" si="283"/>
        <v>0</v>
      </c>
      <c r="W532" s="148" t="str">
        <f t="shared" si="284"/>
        <v>0</v>
      </c>
      <c r="X532" s="507"/>
      <c r="Y532" s="152">
        <f t="shared" si="285"/>
        <v>0</v>
      </c>
      <c r="Z532" s="150" t="s">
        <v>169</v>
      </c>
      <c r="AA532" s="153" t="s">
        <v>206</v>
      </c>
      <c r="AB532" s="26"/>
      <c r="AC532" s="159" t="s">
        <v>162</v>
      </c>
      <c r="AD532" s="159" t="s">
        <v>162</v>
      </c>
      <c r="AE532" s="159" t="s">
        <v>162</v>
      </c>
      <c r="AF532" s="159" t="s">
        <v>162</v>
      </c>
      <c r="AG532" s="31">
        <f t="shared" si="286"/>
        <v>0</v>
      </c>
      <c r="AH532" s="153" t="s">
        <v>162</v>
      </c>
      <c r="AI532" s="2"/>
      <c r="AJ532" s="2"/>
      <c r="AK532" s="2"/>
      <c r="AL532" s="2"/>
      <c r="AM532" s="2"/>
      <c r="AN532" s="2"/>
      <c r="AO532" s="2"/>
      <c r="AP532" s="2"/>
      <c r="AQ532" s="2"/>
      <c r="AR532" s="2"/>
      <c r="AS532" s="2"/>
      <c r="AT532" s="2"/>
      <c r="AU532" s="2"/>
      <c r="AV532" s="2"/>
      <c r="AW532" s="2"/>
      <c r="AX532" s="2"/>
      <c r="AY532" s="2"/>
      <c r="AZ532" s="2"/>
      <c r="BA532" s="2"/>
      <c r="BB532" s="2"/>
      <c r="BC532" s="2"/>
      <c r="BD532" s="2"/>
    </row>
    <row r="533" spans="1:56" ht="14.25" customHeight="1">
      <c r="A533" s="8"/>
      <c r="B533" s="508"/>
      <c r="C533" s="156" t="s">
        <v>166</v>
      </c>
      <c r="D533" s="147"/>
      <c r="E533" s="147"/>
      <c r="F533" s="147"/>
      <c r="G533" s="147"/>
      <c r="H533" s="147"/>
      <c r="I533" s="147"/>
      <c r="J533" s="147"/>
      <c r="K533" s="147"/>
      <c r="L533" s="147"/>
      <c r="M533" s="147"/>
      <c r="N533" s="147"/>
      <c r="O533" s="147"/>
      <c r="P533" s="147"/>
      <c r="Q533" s="147"/>
      <c r="R533" s="147"/>
      <c r="S533" s="147"/>
      <c r="T533" s="148" t="str">
        <f t="shared" si="281"/>
        <v>0</v>
      </c>
      <c r="U533" s="148" t="str">
        <f t="shared" si="282"/>
        <v>0</v>
      </c>
      <c r="V533" s="148" t="str">
        <f t="shared" si="283"/>
        <v>0</v>
      </c>
      <c r="W533" s="148" t="str">
        <f t="shared" si="284"/>
        <v>0</v>
      </c>
      <c r="X533" s="508"/>
      <c r="Y533" s="152">
        <f t="shared" si="285"/>
        <v>0</v>
      </c>
      <c r="Z533" s="150" t="s">
        <v>169</v>
      </c>
      <c r="AA533" s="153" t="s">
        <v>207</v>
      </c>
      <c r="AB533" s="26"/>
      <c r="AC533" s="159" t="s">
        <v>162</v>
      </c>
      <c r="AD533" s="159" t="s">
        <v>162</v>
      </c>
      <c r="AE533" s="159" t="s">
        <v>162</v>
      </c>
      <c r="AF533" s="159" t="s">
        <v>162</v>
      </c>
      <c r="AG533" s="31">
        <f t="shared" si="286"/>
        <v>0</v>
      </c>
      <c r="AH533" s="153" t="s">
        <v>162</v>
      </c>
      <c r="AI533" s="2"/>
      <c r="AJ533" s="2"/>
      <c r="AK533" s="2"/>
      <c r="AL533" s="2"/>
      <c r="AM533" s="2"/>
      <c r="AN533" s="2"/>
      <c r="AO533" s="2"/>
      <c r="AP533" s="2"/>
      <c r="AQ533" s="2"/>
      <c r="AR533" s="2"/>
      <c r="AS533" s="2"/>
      <c r="AT533" s="2"/>
      <c r="AU533" s="2"/>
      <c r="AV533" s="2"/>
      <c r="AW533" s="2"/>
      <c r="AX533" s="2"/>
      <c r="AY533" s="2"/>
      <c r="AZ533" s="2"/>
      <c r="BA533" s="2"/>
      <c r="BB533" s="2"/>
      <c r="BC533" s="2"/>
      <c r="BD533" s="2"/>
    </row>
    <row r="534" spans="1:56" ht="14.25" customHeight="1">
      <c r="A534" s="8"/>
      <c r="B534" s="506" t="s">
        <v>120</v>
      </c>
      <c r="C534" s="156" t="s">
        <v>160</v>
      </c>
      <c r="D534" s="147"/>
      <c r="E534" s="147"/>
      <c r="F534" s="147"/>
      <c r="G534" s="147"/>
      <c r="H534" s="147"/>
      <c r="I534" s="147"/>
      <c r="J534" s="147"/>
      <c r="K534" s="147"/>
      <c r="L534" s="147"/>
      <c r="M534" s="147"/>
      <c r="N534" s="147"/>
      <c r="O534" s="147"/>
      <c r="P534" s="147"/>
      <c r="Q534" s="147"/>
      <c r="R534" s="147"/>
      <c r="S534" s="147"/>
      <c r="T534" s="148" t="str">
        <f t="shared" si="281"/>
        <v>0</v>
      </c>
      <c r="U534" s="148" t="str">
        <f t="shared" si="282"/>
        <v>0</v>
      </c>
      <c r="V534" s="148" t="str">
        <f t="shared" si="283"/>
        <v>0</v>
      </c>
      <c r="W534" s="148" t="str">
        <f t="shared" si="284"/>
        <v>0</v>
      </c>
      <c r="X534" s="513">
        <f>SUM(Y534:Y538)/5</f>
        <v>0</v>
      </c>
      <c r="Y534" s="152">
        <f t="shared" si="285"/>
        <v>0</v>
      </c>
      <c r="Z534" s="150" t="s">
        <v>208</v>
      </c>
      <c r="AA534" s="153" t="s">
        <v>209</v>
      </c>
      <c r="AB534" s="2"/>
      <c r="AC534" s="160" t="s">
        <v>162</v>
      </c>
      <c r="AD534" s="160" t="s">
        <v>162</v>
      </c>
      <c r="AE534" s="160" t="s">
        <v>162</v>
      </c>
      <c r="AF534" s="160" t="s">
        <v>162</v>
      </c>
      <c r="AG534" s="153" t="str">
        <f t="shared" si="286"/>
        <v>SCI</v>
      </c>
      <c r="AH534" s="153" t="s">
        <v>162</v>
      </c>
      <c r="AI534" s="2"/>
      <c r="AJ534" s="2"/>
      <c r="AK534" s="2"/>
      <c r="AL534" s="2"/>
      <c r="AM534" s="2"/>
      <c r="AN534" s="2"/>
      <c r="AO534" s="2"/>
      <c r="AP534" s="2"/>
      <c r="AQ534" s="2"/>
      <c r="AR534" s="2"/>
      <c r="AS534" s="2"/>
      <c r="AT534" s="2"/>
      <c r="AU534" s="2"/>
      <c r="AV534" s="2"/>
      <c r="AW534" s="2"/>
      <c r="AX534" s="2"/>
      <c r="AY534" s="2"/>
      <c r="AZ534" s="2"/>
      <c r="BA534" s="2"/>
      <c r="BB534" s="2"/>
      <c r="BC534" s="2"/>
      <c r="BD534" s="2"/>
    </row>
    <row r="535" spans="1:56" ht="14.25" customHeight="1">
      <c r="A535" s="8"/>
      <c r="B535" s="507"/>
      <c r="C535" s="156" t="s">
        <v>163</v>
      </c>
      <c r="D535" s="147"/>
      <c r="E535" s="147"/>
      <c r="F535" s="147"/>
      <c r="G535" s="147"/>
      <c r="H535" s="147"/>
      <c r="I535" s="147"/>
      <c r="J535" s="147"/>
      <c r="K535" s="147"/>
      <c r="L535" s="147"/>
      <c r="M535" s="147"/>
      <c r="N535" s="147"/>
      <c r="O535" s="147"/>
      <c r="P535" s="147"/>
      <c r="Q535" s="147"/>
      <c r="R535" s="147"/>
      <c r="S535" s="147"/>
      <c r="T535" s="148" t="str">
        <f t="shared" si="281"/>
        <v>0</v>
      </c>
      <c r="U535" s="148" t="str">
        <f t="shared" si="282"/>
        <v>0</v>
      </c>
      <c r="V535" s="148" t="str">
        <f t="shared" si="283"/>
        <v>0</v>
      </c>
      <c r="W535" s="148" t="str">
        <f t="shared" si="284"/>
        <v>0</v>
      </c>
      <c r="X535" s="507"/>
      <c r="Y535" s="152">
        <f t="shared" si="285"/>
        <v>0</v>
      </c>
      <c r="Z535" s="150" t="s">
        <v>169</v>
      </c>
      <c r="AA535" s="153" t="s">
        <v>210</v>
      </c>
      <c r="AB535" s="2"/>
      <c r="AC535" s="153" t="s">
        <v>162</v>
      </c>
      <c r="AD535" s="153" t="s">
        <v>162</v>
      </c>
      <c r="AE535" s="153" t="s">
        <v>162</v>
      </c>
      <c r="AF535" s="153" t="s">
        <v>162</v>
      </c>
      <c r="AG535" s="2">
        <f t="shared" si="286"/>
        <v>0</v>
      </c>
      <c r="AH535" s="153" t="s">
        <v>162</v>
      </c>
      <c r="AI535" s="2"/>
      <c r="AJ535" s="2"/>
      <c r="AK535" s="2"/>
      <c r="AL535" s="2"/>
      <c r="AM535" s="2"/>
      <c r="AN535" s="2"/>
      <c r="AO535" s="2"/>
      <c r="AP535" s="2"/>
      <c r="AQ535" s="2"/>
      <c r="AR535" s="2"/>
      <c r="AS535" s="2"/>
      <c r="AT535" s="2"/>
      <c r="AU535" s="2"/>
      <c r="AV535" s="2"/>
      <c r="AW535" s="2"/>
      <c r="AX535" s="2"/>
      <c r="AY535" s="2"/>
      <c r="AZ535" s="2"/>
      <c r="BA535" s="2"/>
      <c r="BB535" s="2"/>
      <c r="BC535" s="2"/>
      <c r="BD535" s="2"/>
    </row>
    <row r="536" spans="1:56" ht="14.25" customHeight="1">
      <c r="A536" s="8"/>
      <c r="B536" s="507"/>
      <c r="C536" s="156" t="s">
        <v>164</v>
      </c>
      <c r="D536" s="147"/>
      <c r="E536" s="147"/>
      <c r="F536" s="147"/>
      <c r="G536" s="147"/>
      <c r="H536" s="147"/>
      <c r="I536" s="147"/>
      <c r="J536" s="147"/>
      <c r="K536" s="147"/>
      <c r="L536" s="147"/>
      <c r="M536" s="147"/>
      <c r="N536" s="147"/>
      <c r="O536" s="147"/>
      <c r="P536" s="147"/>
      <c r="Q536" s="147"/>
      <c r="R536" s="147"/>
      <c r="S536" s="147"/>
      <c r="T536" s="148" t="str">
        <f t="shared" si="281"/>
        <v>0</v>
      </c>
      <c r="U536" s="148" t="str">
        <f t="shared" si="282"/>
        <v>0</v>
      </c>
      <c r="V536" s="148" t="str">
        <f t="shared" si="283"/>
        <v>0</v>
      </c>
      <c r="W536" s="148" t="str">
        <f t="shared" si="284"/>
        <v>0</v>
      </c>
      <c r="X536" s="507"/>
      <c r="Y536" s="152">
        <f t="shared" si="285"/>
        <v>0</v>
      </c>
      <c r="Z536" s="150" t="s">
        <v>169</v>
      </c>
      <c r="AA536" s="153" t="s">
        <v>211</v>
      </c>
      <c r="AB536" s="2"/>
      <c r="AC536" s="153" t="s">
        <v>162</v>
      </c>
      <c r="AD536" s="153" t="s">
        <v>162</v>
      </c>
      <c r="AE536" s="153" t="s">
        <v>162</v>
      </c>
      <c r="AF536" s="153" t="s">
        <v>162</v>
      </c>
      <c r="AG536" s="2">
        <f t="shared" si="286"/>
        <v>0</v>
      </c>
      <c r="AH536" s="153" t="s">
        <v>162</v>
      </c>
      <c r="AI536" s="2"/>
      <c r="AJ536" s="2"/>
      <c r="AK536" s="2"/>
      <c r="AL536" s="2"/>
      <c r="AM536" s="2"/>
      <c r="AN536" s="2"/>
      <c r="AO536" s="2"/>
      <c r="AP536" s="2"/>
      <c r="AQ536" s="2"/>
      <c r="AR536" s="2"/>
      <c r="AS536" s="2"/>
      <c r="AT536" s="2"/>
      <c r="AU536" s="2"/>
      <c r="AV536" s="2"/>
      <c r="AW536" s="2"/>
      <c r="AX536" s="2"/>
      <c r="AY536" s="2"/>
      <c r="AZ536" s="2"/>
      <c r="BA536" s="2"/>
      <c r="BB536" s="2"/>
      <c r="BC536" s="2"/>
      <c r="BD536" s="2"/>
    </row>
    <row r="537" spans="1:56" ht="14.25" customHeight="1">
      <c r="A537" s="8"/>
      <c r="B537" s="507"/>
      <c r="C537" s="156" t="s">
        <v>165</v>
      </c>
      <c r="D537" s="147"/>
      <c r="E537" s="147"/>
      <c r="F537" s="147"/>
      <c r="G537" s="147"/>
      <c r="H537" s="147"/>
      <c r="I537" s="147"/>
      <c r="J537" s="147"/>
      <c r="K537" s="147"/>
      <c r="L537" s="147"/>
      <c r="M537" s="147"/>
      <c r="N537" s="147"/>
      <c r="O537" s="147"/>
      <c r="P537" s="147"/>
      <c r="Q537" s="147"/>
      <c r="R537" s="147"/>
      <c r="S537" s="147"/>
      <c r="T537" s="148" t="str">
        <f t="shared" si="281"/>
        <v>0</v>
      </c>
      <c r="U537" s="148" t="str">
        <f t="shared" si="282"/>
        <v>0</v>
      </c>
      <c r="V537" s="148" t="str">
        <f t="shared" si="283"/>
        <v>0</v>
      </c>
      <c r="W537" s="148" t="str">
        <f t="shared" si="284"/>
        <v>0</v>
      </c>
      <c r="X537" s="507"/>
      <c r="Y537" s="152">
        <f t="shared" si="285"/>
        <v>0</v>
      </c>
      <c r="Z537" s="150" t="s">
        <v>169</v>
      </c>
      <c r="AA537" s="2"/>
      <c r="AB537" s="2"/>
      <c r="AC537" s="153" t="s">
        <v>162</v>
      </c>
      <c r="AD537" s="153" t="s">
        <v>162</v>
      </c>
      <c r="AE537" s="153" t="s">
        <v>162</v>
      </c>
      <c r="AF537" s="153" t="s">
        <v>162</v>
      </c>
      <c r="AG537" s="2">
        <f t="shared" si="286"/>
        <v>0</v>
      </c>
      <c r="AH537" s="153" t="s">
        <v>162</v>
      </c>
      <c r="AI537" s="2"/>
      <c r="AJ537" s="2"/>
      <c r="AK537" s="2"/>
      <c r="AL537" s="2"/>
      <c r="AM537" s="2"/>
      <c r="AN537" s="2"/>
      <c r="AO537" s="2"/>
      <c r="AP537" s="2"/>
      <c r="AQ537" s="2"/>
      <c r="AR537" s="2"/>
      <c r="AS537" s="2"/>
      <c r="AT537" s="2"/>
      <c r="AU537" s="2"/>
      <c r="AV537" s="2"/>
      <c r="AW537" s="2"/>
      <c r="AX537" s="2"/>
      <c r="AY537" s="2"/>
      <c r="AZ537" s="2"/>
      <c r="BA537" s="2"/>
      <c r="BB537" s="2"/>
      <c r="BC537" s="2"/>
      <c r="BD537" s="2"/>
    </row>
    <row r="538" spans="1:56" ht="14.25" customHeight="1">
      <c r="A538" s="8"/>
      <c r="B538" s="508"/>
      <c r="C538" s="156" t="s">
        <v>166</v>
      </c>
      <c r="D538" s="147"/>
      <c r="E538" s="147"/>
      <c r="F538" s="147"/>
      <c r="G538" s="147"/>
      <c r="H538" s="147"/>
      <c r="I538" s="147"/>
      <c r="J538" s="147"/>
      <c r="K538" s="147"/>
      <c r="L538" s="147"/>
      <c r="M538" s="147"/>
      <c r="N538" s="147"/>
      <c r="O538" s="147"/>
      <c r="P538" s="147"/>
      <c r="Q538" s="147"/>
      <c r="R538" s="147"/>
      <c r="S538" s="147"/>
      <c r="T538" s="148" t="str">
        <f t="shared" si="281"/>
        <v>0</v>
      </c>
      <c r="U538" s="148" t="str">
        <f t="shared" si="282"/>
        <v>0</v>
      </c>
      <c r="V538" s="148" t="str">
        <f t="shared" si="283"/>
        <v>0</v>
      </c>
      <c r="W538" s="148" t="str">
        <f t="shared" si="284"/>
        <v>0</v>
      </c>
      <c r="X538" s="508"/>
      <c r="Y538" s="152">
        <f t="shared" si="285"/>
        <v>0</v>
      </c>
      <c r="Z538" s="150" t="s">
        <v>169</v>
      </c>
      <c r="AA538" s="2"/>
      <c r="AB538" s="2"/>
      <c r="AC538" s="161" t="s">
        <v>162</v>
      </c>
      <c r="AD538" s="161" t="s">
        <v>162</v>
      </c>
      <c r="AE538" s="161" t="s">
        <v>162</v>
      </c>
      <c r="AF538" s="161" t="s">
        <v>162</v>
      </c>
      <c r="AG538" s="2">
        <f t="shared" si="286"/>
        <v>0</v>
      </c>
      <c r="AH538" s="153" t="s">
        <v>162</v>
      </c>
      <c r="AI538" s="2"/>
      <c r="AJ538" s="2"/>
      <c r="AK538" s="2"/>
      <c r="AL538" s="2"/>
      <c r="AM538" s="2"/>
      <c r="AN538" s="2"/>
      <c r="AO538" s="2"/>
      <c r="AP538" s="2"/>
      <c r="AQ538" s="2"/>
      <c r="AR538" s="2"/>
      <c r="AS538" s="2"/>
      <c r="AT538" s="2"/>
      <c r="AU538" s="2"/>
      <c r="AV538" s="2"/>
      <c r="AW538" s="2"/>
      <c r="AX538" s="2"/>
      <c r="AY538" s="2"/>
      <c r="AZ538" s="2"/>
      <c r="BA538" s="2"/>
      <c r="BB538" s="2"/>
      <c r="BC538" s="2"/>
      <c r="BD538" s="2"/>
    </row>
    <row r="539" spans="1:56" ht="14.25" customHeight="1">
      <c r="A539" s="8"/>
      <c r="B539" s="506" t="s">
        <v>121</v>
      </c>
      <c r="C539" s="156" t="s">
        <v>160</v>
      </c>
      <c r="D539" s="147"/>
      <c r="E539" s="147"/>
      <c r="F539" s="147"/>
      <c r="G539" s="147"/>
      <c r="H539" s="147"/>
      <c r="I539" s="147"/>
      <c r="J539" s="147"/>
      <c r="K539" s="147"/>
      <c r="L539" s="147"/>
      <c r="M539" s="147"/>
      <c r="N539" s="147"/>
      <c r="O539" s="147"/>
      <c r="P539" s="147"/>
      <c r="Q539" s="147"/>
      <c r="R539" s="147"/>
      <c r="S539" s="147"/>
      <c r="T539" s="148" t="str">
        <f t="shared" si="281"/>
        <v>0</v>
      </c>
      <c r="U539" s="148" t="str">
        <f t="shared" si="282"/>
        <v>0</v>
      </c>
      <c r="V539" s="148" t="str">
        <f t="shared" si="283"/>
        <v>0</v>
      </c>
      <c r="W539" s="148" t="str">
        <f t="shared" si="284"/>
        <v>0</v>
      </c>
      <c r="X539" s="513">
        <f>SUM(Y539:Y543)/5</f>
        <v>0</v>
      </c>
      <c r="Y539" s="152">
        <f t="shared" si="285"/>
        <v>0</v>
      </c>
      <c r="Z539" s="150" t="s">
        <v>212</v>
      </c>
      <c r="AA539" s="2"/>
      <c r="AB539" s="26"/>
      <c r="AC539" s="159" t="s">
        <v>162</v>
      </c>
      <c r="AD539" s="159" t="s">
        <v>162</v>
      </c>
      <c r="AE539" s="159" t="s">
        <v>162</v>
      </c>
      <c r="AF539" s="159" t="s">
        <v>162</v>
      </c>
      <c r="AG539" s="158" t="str">
        <f t="shared" si="286"/>
        <v>SIFT</v>
      </c>
      <c r="AH539" s="153" t="s">
        <v>162</v>
      </c>
      <c r="AI539" s="2"/>
      <c r="AJ539" s="2"/>
      <c r="AK539" s="2"/>
      <c r="AL539" s="2"/>
      <c r="AM539" s="2"/>
      <c r="AN539" s="2"/>
      <c r="AO539" s="2"/>
      <c r="AP539" s="2"/>
      <c r="AQ539" s="2"/>
      <c r="AR539" s="2"/>
      <c r="AS539" s="2"/>
      <c r="AT539" s="2"/>
      <c r="AU539" s="2"/>
      <c r="AV539" s="2"/>
      <c r="AW539" s="2"/>
      <c r="AX539" s="2"/>
      <c r="AY539" s="2"/>
      <c r="AZ539" s="2"/>
      <c r="BA539" s="2"/>
      <c r="BB539" s="2"/>
      <c r="BC539" s="2"/>
      <c r="BD539" s="2"/>
    </row>
    <row r="540" spans="1:56" ht="14.25" customHeight="1">
      <c r="A540" s="8"/>
      <c r="B540" s="507"/>
      <c r="C540" s="156" t="s">
        <v>163</v>
      </c>
      <c r="D540" s="147"/>
      <c r="E540" s="147"/>
      <c r="F540" s="147"/>
      <c r="G540" s="147"/>
      <c r="H540" s="147"/>
      <c r="I540" s="147"/>
      <c r="J540" s="147"/>
      <c r="K540" s="147"/>
      <c r="L540" s="147"/>
      <c r="M540" s="147"/>
      <c r="N540" s="147"/>
      <c r="O540" s="147"/>
      <c r="P540" s="147"/>
      <c r="Q540" s="147"/>
      <c r="R540" s="147"/>
      <c r="S540" s="147"/>
      <c r="T540" s="148" t="str">
        <f t="shared" si="281"/>
        <v>0</v>
      </c>
      <c r="U540" s="148" t="str">
        <f t="shared" si="282"/>
        <v>0</v>
      </c>
      <c r="V540" s="148" t="str">
        <f t="shared" si="283"/>
        <v>0</v>
      </c>
      <c r="W540" s="148" t="str">
        <f t="shared" si="284"/>
        <v>0</v>
      </c>
      <c r="X540" s="507"/>
      <c r="Y540" s="152">
        <f t="shared" si="285"/>
        <v>0</v>
      </c>
      <c r="Z540" s="150" t="s">
        <v>169</v>
      </c>
      <c r="AA540" s="2"/>
      <c r="AB540" s="26"/>
      <c r="AC540" s="159" t="s">
        <v>162</v>
      </c>
      <c r="AD540" s="159" t="s">
        <v>162</v>
      </c>
      <c r="AE540" s="159" t="s">
        <v>162</v>
      </c>
      <c r="AF540" s="159" t="s">
        <v>162</v>
      </c>
      <c r="AG540" s="31">
        <f t="shared" si="286"/>
        <v>0</v>
      </c>
      <c r="AH540" s="153" t="s">
        <v>162</v>
      </c>
      <c r="AI540" s="2"/>
      <c r="AJ540" s="2"/>
      <c r="AK540" s="2"/>
      <c r="AL540" s="2"/>
      <c r="AM540" s="2"/>
      <c r="AN540" s="2"/>
      <c r="AO540" s="2"/>
      <c r="AP540" s="2"/>
      <c r="AQ540" s="2"/>
      <c r="AR540" s="2"/>
      <c r="AS540" s="2"/>
      <c r="AT540" s="2"/>
      <c r="AU540" s="2"/>
      <c r="AV540" s="2"/>
      <c r="AW540" s="2"/>
      <c r="AX540" s="2"/>
      <c r="AY540" s="2"/>
      <c r="AZ540" s="2"/>
      <c r="BA540" s="2"/>
      <c r="BB540" s="2"/>
      <c r="BC540" s="2"/>
      <c r="BD540" s="2"/>
    </row>
    <row r="541" spans="1:56" ht="14.25" customHeight="1">
      <c r="A541" s="8"/>
      <c r="B541" s="507"/>
      <c r="C541" s="156" t="s">
        <v>164</v>
      </c>
      <c r="D541" s="147"/>
      <c r="E541" s="147"/>
      <c r="F541" s="147"/>
      <c r="G541" s="147"/>
      <c r="H541" s="147"/>
      <c r="I541" s="147"/>
      <c r="J541" s="147"/>
      <c r="K541" s="147"/>
      <c r="L541" s="147"/>
      <c r="M541" s="147"/>
      <c r="N541" s="147"/>
      <c r="O541" s="147"/>
      <c r="P541" s="147"/>
      <c r="Q541" s="147"/>
      <c r="R541" s="147"/>
      <c r="S541" s="147"/>
      <c r="T541" s="148" t="str">
        <f t="shared" si="281"/>
        <v>0</v>
      </c>
      <c r="U541" s="148" t="str">
        <f t="shared" si="282"/>
        <v>0</v>
      </c>
      <c r="V541" s="148" t="str">
        <f t="shared" si="283"/>
        <v>0</v>
      </c>
      <c r="W541" s="148" t="str">
        <f t="shared" si="284"/>
        <v>0</v>
      </c>
      <c r="X541" s="507"/>
      <c r="Y541" s="152">
        <f t="shared" si="285"/>
        <v>0</v>
      </c>
      <c r="Z541" s="150" t="s">
        <v>169</v>
      </c>
      <c r="AA541" s="2"/>
      <c r="AB541" s="26"/>
      <c r="AC541" s="159" t="s">
        <v>162</v>
      </c>
      <c r="AD541" s="159" t="s">
        <v>162</v>
      </c>
      <c r="AE541" s="159" t="s">
        <v>162</v>
      </c>
      <c r="AF541" s="159" t="s">
        <v>162</v>
      </c>
      <c r="AG541" s="31">
        <f t="shared" si="286"/>
        <v>0</v>
      </c>
      <c r="AH541" s="153" t="s">
        <v>162</v>
      </c>
      <c r="AI541" s="2"/>
      <c r="AJ541" s="2"/>
      <c r="AK541" s="2"/>
      <c r="AL541" s="2"/>
      <c r="AM541" s="2"/>
      <c r="AN541" s="2"/>
      <c r="AO541" s="2"/>
      <c r="AP541" s="2"/>
      <c r="AQ541" s="2"/>
      <c r="AR541" s="2"/>
      <c r="AS541" s="2"/>
      <c r="AT541" s="2"/>
      <c r="AU541" s="2"/>
      <c r="AV541" s="2"/>
      <c r="AW541" s="2"/>
      <c r="AX541" s="2"/>
      <c r="AY541" s="2"/>
      <c r="AZ541" s="2"/>
      <c r="BA541" s="2"/>
      <c r="BB541" s="2"/>
      <c r="BC541" s="2"/>
      <c r="BD541" s="2"/>
    </row>
    <row r="542" spans="1:56" ht="14.25" customHeight="1">
      <c r="A542" s="8"/>
      <c r="B542" s="507"/>
      <c r="C542" s="156" t="s">
        <v>165</v>
      </c>
      <c r="D542" s="147"/>
      <c r="E542" s="147"/>
      <c r="F542" s="147"/>
      <c r="G542" s="147"/>
      <c r="H542" s="147"/>
      <c r="I542" s="147"/>
      <c r="J542" s="147"/>
      <c r="K542" s="147"/>
      <c r="L542" s="147"/>
      <c r="M542" s="147"/>
      <c r="N542" s="147"/>
      <c r="O542" s="147"/>
      <c r="P542" s="147"/>
      <c r="Q542" s="147"/>
      <c r="R542" s="147"/>
      <c r="S542" s="147"/>
      <c r="T542" s="148" t="str">
        <f t="shared" si="281"/>
        <v>0</v>
      </c>
      <c r="U542" s="148" t="str">
        <f t="shared" si="282"/>
        <v>0</v>
      </c>
      <c r="V542" s="148" t="str">
        <f t="shared" si="283"/>
        <v>0</v>
      </c>
      <c r="W542" s="148" t="str">
        <f t="shared" si="284"/>
        <v>0</v>
      </c>
      <c r="X542" s="507"/>
      <c r="Y542" s="152">
        <f t="shared" si="285"/>
        <v>0</v>
      </c>
      <c r="Z542" s="150" t="s">
        <v>169</v>
      </c>
      <c r="AA542" s="2"/>
      <c r="AB542" s="26"/>
      <c r="AC542" s="159" t="s">
        <v>162</v>
      </c>
      <c r="AD542" s="159" t="s">
        <v>162</v>
      </c>
      <c r="AE542" s="159" t="s">
        <v>162</v>
      </c>
      <c r="AF542" s="159" t="s">
        <v>162</v>
      </c>
      <c r="AG542" s="31">
        <f t="shared" si="286"/>
        <v>0</v>
      </c>
      <c r="AH542" s="153" t="s">
        <v>162</v>
      </c>
      <c r="AI542" s="2"/>
      <c r="AJ542" s="2"/>
      <c r="AK542" s="2"/>
      <c r="AL542" s="2"/>
      <c r="AM542" s="2"/>
      <c r="AN542" s="2"/>
      <c r="AO542" s="2"/>
      <c r="AP542" s="2"/>
      <c r="AQ542" s="2"/>
      <c r="AR542" s="2"/>
      <c r="AS542" s="2"/>
      <c r="AT542" s="2"/>
      <c r="AU542" s="2"/>
      <c r="AV542" s="2"/>
      <c r="AW542" s="2"/>
      <c r="AX542" s="2"/>
      <c r="AY542" s="2"/>
      <c r="AZ542" s="2"/>
      <c r="BA542" s="2"/>
      <c r="BB542" s="2"/>
      <c r="BC542" s="2"/>
      <c r="BD542" s="2"/>
    </row>
    <row r="543" spans="1:56" ht="14.25" customHeight="1">
      <c r="A543" s="8"/>
      <c r="B543" s="508"/>
      <c r="C543" s="156" t="s">
        <v>166</v>
      </c>
      <c r="D543" s="147"/>
      <c r="E543" s="147"/>
      <c r="F543" s="147"/>
      <c r="G543" s="147"/>
      <c r="H543" s="147"/>
      <c r="I543" s="147"/>
      <c r="J543" s="147"/>
      <c r="K543" s="147"/>
      <c r="L543" s="147"/>
      <c r="M543" s="147"/>
      <c r="N543" s="147"/>
      <c r="O543" s="147"/>
      <c r="P543" s="147"/>
      <c r="Q543" s="147"/>
      <c r="R543" s="147"/>
      <c r="S543" s="147"/>
      <c r="T543" s="148" t="str">
        <f t="shared" si="281"/>
        <v>0</v>
      </c>
      <c r="U543" s="148" t="str">
        <f t="shared" si="282"/>
        <v>0</v>
      </c>
      <c r="V543" s="148" t="str">
        <f t="shared" si="283"/>
        <v>0</v>
      </c>
      <c r="W543" s="148" t="str">
        <f t="shared" si="284"/>
        <v>0</v>
      </c>
      <c r="X543" s="508"/>
      <c r="Y543" s="152">
        <f t="shared" si="285"/>
        <v>0</v>
      </c>
      <c r="Z543" s="150" t="s">
        <v>169</v>
      </c>
      <c r="AA543" s="2"/>
      <c r="AB543" s="26"/>
      <c r="AC543" s="159" t="s">
        <v>162</v>
      </c>
      <c r="AD543" s="159" t="s">
        <v>162</v>
      </c>
      <c r="AE543" s="159" t="s">
        <v>162</v>
      </c>
      <c r="AF543" s="159" t="s">
        <v>162</v>
      </c>
      <c r="AG543" s="31">
        <f t="shared" si="286"/>
        <v>0</v>
      </c>
      <c r="AH543" s="153" t="s">
        <v>162</v>
      </c>
      <c r="AI543" s="2"/>
      <c r="AJ543" s="2"/>
      <c r="AK543" s="2"/>
      <c r="AL543" s="2"/>
      <c r="AM543" s="2"/>
      <c r="AN543" s="2"/>
      <c r="AO543" s="2"/>
      <c r="AP543" s="2"/>
      <c r="AQ543" s="2"/>
      <c r="AR543" s="2"/>
      <c r="AS543" s="2"/>
      <c r="AT543" s="2"/>
      <c r="AU543" s="2"/>
      <c r="AV543" s="2"/>
      <c r="AW543" s="2"/>
      <c r="AX543" s="2"/>
      <c r="AY543" s="2"/>
      <c r="AZ543" s="2"/>
      <c r="BA543" s="2"/>
      <c r="BB543" s="2"/>
      <c r="BC543" s="2"/>
      <c r="BD543" s="2"/>
    </row>
    <row r="544" spans="1:56" ht="14.25" customHeight="1">
      <c r="A544" s="8"/>
      <c r="B544" s="506" t="s">
        <v>122</v>
      </c>
      <c r="C544" s="156" t="s">
        <v>160</v>
      </c>
      <c r="D544" s="147"/>
      <c r="E544" s="147"/>
      <c r="F544" s="147"/>
      <c r="G544" s="147"/>
      <c r="H544" s="147"/>
      <c r="I544" s="147"/>
      <c r="J544" s="147"/>
      <c r="K544" s="147"/>
      <c r="L544" s="147"/>
      <c r="M544" s="147"/>
      <c r="N544" s="147"/>
      <c r="O544" s="147"/>
      <c r="P544" s="147"/>
      <c r="Q544" s="147"/>
      <c r="R544" s="147"/>
      <c r="S544" s="147"/>
      <c r="T544" s="148" t="str">
        <f t="shared" si="281"/>
        <v>0</v>
      </c>
      <c r="U544" s="148" t="str">
        <f t="shared" si="282"/>
        <v>0</v>
      </c>
      <c r="V544" s="148" t="str">
        <f t="shared" si="283"/>
        <v>0</v>
      </c>
      <c r="W544" s="148" t="str">
        <f t="shared" si="284"/>
        <v>0</v>
      </c>
      <c r="X544" s="513">
        <f>SUM(Y544:Y548)/5</f>
        <v>0</v>
      </c>
      <c r="Y544" s="152">
        <f t="shared" si="285"/>
        <v>0</v>
      </c>
      <c r="Z544" s="150" t="s">
        <v>213</v>
      </c>
      <c r="AA544" s="2"/>
      <c r="AB544" s="2"/>
      <c r="AC544" s="160" t="s">
        <v>162</v>
      </c>
      <c r="AD544" s="160" t="s">
        <v>162</v>
      </c>
      <c r="AE544" s="160" t="s">
        <v>162</v>
      </c>
      <c r="AF544" s="160" t="s">
        <v>162</v>
      </c>
      <c r="AG544" s="153" t="str">
        <f t="shared" si="286"/>
        <v>SoC</v>
      </c>
      <c r="AH544" s="153" t="s">
        <v>162</v>
      </c>
      <c r="AI544" s="2"/>
      <c r="AJ544" s="2"/>
      <c r="AK544" s="2"/>
      <c r="AL544" s="2"/>
      <c r="AM544" s="2"/>
      <c r="AN544" s="2"/>
      <c r="AO544" s="2"/>
      <c r="AP544" s="2"/>
      <c r="AQ544" s="2"/>
      <c r="AR544" s="2"/>
      <c r="AS544" s="2"/>
      <c r="AT544" s="2"/>
      <c r="AU544" s="2"/>
      <c r="AV544" s="2"/>
      <c r="AW544" s="2"/>
      <c r="AX544" s="2"/>
      <c r="AY544" s="2"/>
      <c r="AZ544" s="2"/>
      <c r="BA544" s="2"/>
      <c r="BB544" s="2"/>
      <c r="BC544" s="2"/>
      <c r="BD544" s="2"/>
    </row>
    <row r="545" spans="1:56" ht="14.25" customHeight="1">
      <c r="A545" s="8"/>
      <c r="B545" s="507"/>
      <c r="C545" s="156" t="s">
        <v>163</v>
      </c>
      <c r="D545" s="147"/>
      <c r="E545" s="147"/>
      <c r="F545" s="147"/>
      <c r="G545" s="147"/>
      <c r="H545" s="147"/>
      <c r="I545" s="147"/>
      <c r="J545" s="147"/>
      <c r="K545" s="147"/>
      <c r="L545" s="147"/>
      <c r="M545" s="147"/>
      <c r="N545" s="147"/>
      <c r="O545" s="147"/>
      <c r="P545" s="147"/>
      <c r="Q545" s="147"/>
      <c r="R545" s="147"/>
      <c r="S545" s="147"/>
      <c r="T545" s="148" t="str">
        <f t="shared" si="281"/>
        <v>0</v>
      </c>
      <c r="U545" s="148" t="str">
        <f t="shared" si="282"/>
        <v>0</v>
      </c>
      <c r="V545" s="148" t="str">
        <f t="shared" si="283"/>
        <v>0</v>
      </c>
      <c r="W545" s="148" t="str">
        <f t="shared" si="284"/>
        <v>0</v>
      </c>
      <c r="X545" s="507"/>
      <c r="Y545" s="152">
        <f t="shared" si="285"/>
        <v>0</v>
      </c>
      <c r="Z545" s="150" t="s">
        <v>169</v>
      </c>
      <c r="AA545" s="2"/>
      <c r="AB545" s="2"/>
      <c r="AC545" s="153" t="s">
        <v>162</v>
      </c>
      <c r="AD545" s="153" t="s">
        <v>162</v>
      </c>
      <c r="AE545" s="153" t="s">
        <v>162</v>
      </c>
      <c r="AF545" s="153" t="s">
        <v>162</v>
      </c>
      <c r="AG545" s="2">
        <f t="shared" si="286"/>
        <v>0</v>
      </c>
      <c r="AH545" s="153" t="s">
        <v>162</v>
      </c>
      <c r="AI545" s="2"/>
      <c r="AJ545" s="2"/>
      <c r="AK545" s="2"/>
      <c r="AL545" s="2"/>
      <c r="AM545" s="2"/>
      <c r="AN545" s="2"/>
      <c r="AO545" s="2"/>
      <c r="AP545" s="2"/>
      <c r="AQ545" s="2"/>
      <c r="AR545" s="2"/>
      <c r="AS545" s="2"/>
      <c r="AT545" s="2"/>
      <c r="AU545" s="2"/>
      <c r="AV545" s="2"/>
      <c r="AW545" s="2"/>
      <c r="AX545" s="2"/>
      <c r="AY545" s="2"/>
      <c r="AZ545" s="2"/>
      <c r="BA545" s="2"/>
      <c r="BB545" s="2"/>
      <c r="BC545" s="2"/>
      <c r="BD545" s="2"/>
    </row>
    <row r="546" spans="1:56" ht="14.25" customHeight="1">
      <c r="A546" s="8"/>
      <c r="B546" s="507"/>
      <c r="C546" s="156" t="s">
        <v>164</v>
      </c>
      <c r="D546" s="147"/>
      <c r="E546" s="147"/>
      <c r="F546" s="147"/>
      <c r="G546" s="147"/>
      <c r="H546" s="147"/>
      <c r="I546" s="147"/>
      <c r="J546" s="147"/>
      <c r="K546" s="147"/>
      <c r="L546" s="147"/>
      <c r="M546" s="147"/>
      <c r="N546" s="147"/>
      <c r="O546" s="147"/>
      <c r="P546" s="147"/>
      <c r="Q546" s="147"/>
      <c r="R546" s="147"/>
      <c r="S546" s="147"/>
      <c r="T546" s="148" t="str">
        <f t="shared" si="281"/>
        <v>0</v>
      </c>
      <c r="U546" s="148" t="str">
        <f t="shared" si="282"/>
        <v>0</v>
      </c>
      <c r="V546" s="148" t="str">
        <f t="shared" si="283"/>
        <v>0</v>
      </c>
      <c r="W546" s="148" t="str">
        <f t="shared" si="284"/>
        <v>0</v>
      </c>
      <c r="X546" s="507"/>
      <c r="Y546" s="152">
        <f t="shared" si="285"/>
        <v>0</v>
      </c>
      <c r="Z546" s="150" t="s">
        <v>169</v>
      </c>
      <c r="AA546" s="2"/>
      <c r="AB546" s="2"/>
      <c r="AC546" s="153" t="s">
        <v>162</v>
      </c>
      <c r="AD546" s="153" t="s">
        <v>162</v>
      </c>
      <c r="AE546" s="153" t="s">
        <v>162</v>
      </c>
      <c r="AF546" s="153" t="s">
        <v>162</v>
      </c>
      <c r="AG546" s="2">
        <f t="shared" si="286"/>
        <v>0</v>
      </c>
      <c r="AH546" s="153" t="s">
        <v>162</v>
      </c>
      <c r="AI546" s="2"/>
      <c r="AJ546" s="2"/>
      <c r="AK546" s="2"/>
      <c r="AL546" s="2"/>
      <c r="AM546" s="2"/>
      <c r="AN546" s="2"/>
      <c r="AO546" s="2"/>
      <c r="AP546" s="2"/>
      <c r="AQ546" s="2"/>
      <c r="AR546" s="2"/>
      <c r="AS546" s="2"/>
      <c r="AT546" s="2"/>
      <c r="AU546" s="2"/>
      <c r="AV546" s="2"/>
      <c r="AW546" s="2"/>
      <c r="AX546" s="2"/>
      <c r="AY546" s="2"/>
      <c r="AZ546" s="2"/>
      <c r="BA546" s="2"/>
      <c r="BB546" s="2"/>
      <c r="BC546" s="2"/>
      <c r="BD546" s="2"/>
    </row>
    <row r="547" spans="1:56" ht="14.25" customHeight="1">
      <c r="A547" s="8"/>
      <c r="B547" s="507"/>
      <c r="C547" s="156" t="s">
        <v>165</v>
      </c>
      <c r="D547" s="147"/>
      <c r="E547" s="147"/>
      <c r="F547" s="147"/>
      <c r="G547" s="147"/>
      <c r="H547" s="147"/>
      <c r="I547" s="147"/>
      <c r="J547" s="147"/>
      <c r="K547" s="147"/>
      <c r="L547" s="147"/>
      <c r="M547" s="147"/>
      <c r="N547" s="147"/>
      <c r="O547" s="147"/>
      <c r="P547" s="147"/>
      <c r="Q547" s="147"/>
      <c r="R547" s="147"/>
      <c r="S547" s="147"/>
      <c r="T547" s="148" t="str">
        <f t="shared" si="281"/>
        <v>0</v>
      </c>
      <c r="U547" s="148" t="str">
        <f t="shared" si="282"/>
        <v>0</v>
      </c>
      <c r="V547" s="148" t="str">
        <f t="shared" si="283"/>
        <v>0</v>
      </c>
      <c r="W547" s="148" t="str">
        <f t="shared" si="284"/>
        <v>0</v>
      </c>
      <c r="X547" s="507"/>
      <c r="Y547" s="152">
        <f t="shared" si="285"/>
        <v>0</v>
      </c>
      <c r="Z547" s="150" t="s">
        <v>169</v>
      </c>
      <c r="AA547" s="2"/>
      <c r="AB547" s="2"/>
      <c r="AC547" s="153" t="s">
        <v>162</v>
      </c>
      <c r="AD547" s="153" t="s">
        <v>162</v>
      </c>
      <c r="AE547" s="153" t="s">
        <v>162</v>
      </c>
      <c r="AF547" s="153" t="s">
        <v>162</v>
      </c>
      <c r="AG547" s="2">
        <f t="shared" si="286"/>
        <v>0</v>
      </c>
      <c r="AH547" s="153" t="s">
        <v>162</v>
      </c>
      <c r="AI547" s="2"/>
      <c r="AJ547" s="2"/>
      <c r="AK547" s="2"/>
      <c r="AL547" s="2"/>
      <c r="AM547" s="2"/>
      <c r="AN547" s="2"/>
      <c r="AO547" s="2"/>
      <c r="AP547" s="2"/>
      <c r="AQ547" s="2"/>
      <c r="AR547" s="2"/>
      <c r="AS547" s="2"/>
      <c r="AT547" s="2"/>
      <c r="AU547" s="2"/>
      <c r="AV547" s="2"/>
      <c r="AW547" s="2"/>
      <c r="AX547" s="2"/>
      <c r="AY547" s="2"/>
      <c r="AZ547" s="2"/>
      <c r="BA547" s="2"/>
      <c r="BB547" s="2"/>
      <c r="BC547" s="2"/>
      <c r="BD547" s="2"/>
    </row>
    <row r="548" spans="1:56" ht="14.25" customHeight="1">
      <c r="A548" s="8"/>
      <c r="B548" s="508"/>
      <c r="C548" s="156" t="s">
        <v>166</v>
      </c>
      <c r="D548" s="147"/>
      <c r="E548" s="147"/>
      <c r="F548" s="147"/>
      <c r="G548" s="147"/>
      <c r="H548" s="147"/>
      <c r="I548" s="147"/>
      <c r="J548" s="147"/>
      <c r="K548" s="147"/>
      <c r="L548" s="147"/>
      <c r="M548" s="147"/>
      <c r="N548" s="147"/>
      <c r="O548" s="147"/>
      <c r="P548" s="147"/>
      <c r="Q548" s="147"/>
      <c r="R548" s="147"/>
      <c r="S548" s="147"/>
      <c r="T548" s="148" t="str">
        <f t="shared" si="281"/>
        <v>0</v>
      </c>
      <c r="U548" s="148" t="str">
        <f t="shared" si="282"/>
        <v>0</v>
      </c>
      <c r="V548" s="148" t="str">
        <f t="shared" si="283"/>
        <v>0</v>
      </c>
      <c r="W548" s="148" t="str">
        <f t="shared" si="284"/>
        <v>0</v>
      </c>
      <c r="X548" s="508"/>
      <c r="Y548" s="152">
        <f t="shared" si="285"/>
        <v>0</v>
      </c>
      <c r="Z548" s="150" t="s">
        <v>169</v>
      </c>
      <c r="AA548" s="2"/>
      <c r="AB548" s="2"/>
      <c r="AC548" s="161" t="s">
        <v>162</v>
      </c>
      <c r="AD548" s="161" t="s">
        <v>162</v>
      </c>
      <c r="AE548" s="161" t="s">
        <v>162</v>
      </c>
      <c r="AF548" s="161" t="s">
        <v>162</v>
      </c>
      <c r="AG548" s="2">
        <f t="shared" si="286"/>
        <v>0</v>
      </c>
      <c r="AH548" s="153" t="s">
        <v>162</v>
      </c>
      <c r="AI548" s="2"/>
      <c r="AJ548" s="2"/>
      <c r="AK548" s="2"/>
      <c r="AL548" s="2"/>
      <c r="AM548" s="2"/>
      <c r="AN548" s="2"/>
      <c r="AO548" s="2"/>
      <c r="AP548" s="2"/>
      <c r="AQ548" s="2"/>
      <c r="AR548" s="2"/>
      <c r="AS548" s="2"/>
      <c r="AT548" s="2"/>
      <c r="AU548" s="2"/>
      <c r="AV548" s="2"/>
      <c r="AW548" s="2"/>
      <c r="AX548" s="2"/>
      <c r="AY548" s="2"/>
      <c r="AZ548" s="2"/>
      <c r="BA548" s="2"/>
      <c r="BB548" s="2"/>
      <c r="BC548" s="2"/>
      <c r="BD548" s="2"/>
    </row>
    <row r="549" spans="1:56" ht="14.25" customHeight="1">
      <c r="A549" s="8"/>
      <c r="B549" s="506" t="s">
        <v>123</v>
      </c>
      <c r="C549" s="156" t="s">
        <v>160</v>
      </c>
      <c r="D549" s="147"/>
      <c r="E549" s="147"/>
      <c r="F549" s="147"/>
      <c r="G549" s="147"/>
      <c r="H549" s="147"/>
      <c r="I549" s="147"/>
      <c r="J549" s="147"/>
      <c r="K549" s="147"/>
      <c r="L549" s="147"/>
      <c r="M549" s="147"/>
      <c r="N549" s="147"/>
      <c r="O549" s="147"/>
      <c r="P549" s="147"/>
      <c r="Q549" s="147"/>
      <c r="R549" s="147"/>
      <c r="S549" s="147"/>
      <c r="T549" s="148" t="str">
        <f t="shared" si="281"/>
        <v>0</v>
      </c>
      <c r="U549" s="148" t="str">
        <f t="shared" si="282"/>
        <v>0</v>
      </c>
      <c r="V549" s="148" t="str">
        <f t="shared" si="283"/>
        <v>0</v>
      </c>
      <c r="W549" s="148" t="str">
        <f t="shared" si="284"/>
        <v>0</v>
      </c>
      <c r="X549" s="513">
        <f>SUM(Y549:Y553)/5</f>
        <v>0</v>
      </c>
      <c r="Y549" s="152">
        <f t="shared" si="285"/>
        <v>0</v>
      </c>
      <c r="Z549" s="150" t="s">
        <v>214</v>
      </c>
      <c r="AA549" s="2"/>
      <c r="AB549" s="26"/>
      <c r="AC549" s="159" t="s">
        <v>162</v>
      </c>
      <c r="AD549" s="159" t="s">
        <v>162</v>
      </c>
      <c r="AE549" s="159" t="s">
        <v>162</v>
      </c>
      <c r="AF549" s="159" t="s">
        <v>162</v>
      </c>
      <c r="AG549" s="158" t="str">
        <f t="shared" si="286"/>
        <v>SoM</v>
      </c>
      <c r="AH549" s="153" t="s">
        <v>162</v>
      </c>
      <c r="AI549" s="2"/>
      <c r="AJ549" s="2"/>
      <c r="AK549" s="2"/>
      <c r="AL549" s="2"/>
      <c r="AM549" s="2"/>
      <c r="AN549" s="2"/>
      <c r="AO549" s="2"/>
      <c r="AP549" s="2"/>
      <c r="AQ549" s="2"/>
      <c r="AR549" s="2"/>
      <c r="AS549" s="2"/>
      <c r="AT549" s="2"/>
      <c r="AU549" s="2"/>
      <c r="AV549" s="2"/>
      <c r="AW549" s="2"/>
      <c r="AX549" s="2"/>
      <c r="AY549" s="2"/>
      <c r="AZ549" s="2"/>
      <c r="BA549" s="2"/>
      <c r="BB549" s="2"/>
      <c r="BC549" s="2"/>
      <c r="BD549" s="2"/>
    </row>
    <row r="550" spans="1:56" ht="14.25" customHeight="1">
      <c r="A550" s="8"/>
      <c r="B550" s="507"/>
      <c r="C550" s="156" t="s">
        <v>163</v>
      </c>
      <c r="D550" s="147"/>
      <c r="E550" s="147"/>
      <c r="F550" s="147"/>
      <c r="G550" s="147"/>
      <c r="H550" s="147"/>
      <c r="I550" s="147"/>
      <c r="J550" s="147"/>
      <c r="K550" s="147"/>
      <c r="L550" s="147"/>
      <c r="M550" s="147"/>
      <c r="N550" s="147"/>
      <c r="O550" s="147"/>
      <c r="P550" s="147"/>
      <c r="Q550" s="147"/>
      <c r="R550" s="147"/>
      <c r="S550" s="147"/>
      <c r="T550" s="148" t="str">
        <f t="shared" si="281"/>
        <v>0</v>
      </c>
      <c r="U550" s="148" t="str">
        <f t="shared" si="282"/>
        <v>0</v>
      </c>
      <c r="V550" s="148" t="str">
        <f t="shared" si="283"/>
        <v>0</v>
      </c>
      <c r="W550" s="148" t="str">
        <f t="shared" si="284"/>
        <v>0</v>
      </c>
      <c r="X550" s="507"/>
      <c r="Y550" s="152">
        <f t="shared" si="285"/>
        <v>0</v>
      </c>
      <c r="Z550" s="150" t="s">
        <v>169</v>
      </c>
      <c r="AA550" s="2"/>
      <c r="AB550" s="26"/>
      <c r="AC550" s="159" t="s">
        <v>162</v>
      </c>
      <c r="AD550" s="159" t="s">
        <v>162</v>
      </c>
      <c r="AE550" s="159" t="s">
        <v>162</v>
      </c>
      <c r="AF550" s="159" t="s">
        <v>162</v>
      </c>
      <c r="AG550" s="31">
        <f t="shared" si="286"/>
        <v>0</v>
      </c>
      <c r="AH550" s="153" t="s">
        <v>162</v>
      </c>
      <c r="AI550" s="2"/>
      <c r="AJ550" s="2"/>
      <c r="AK550" s="2"/>
      <c r="AL550" s="2"/>
      <c r="AM550" s="2"/>
      <c r="AN550" s="2"/>
      <c r="AO550" s="2"/>
      <c r="AP550" s="2"/>
      <c r="AQ550" s="2"/>
      <c r="AR550" s="2"/>
      <c r="AS550" s="2"/>
      <c r="AT550" s="2"/>
      <c r="AU550" s="2"/>
      <c r="AV550" s="2"/>
      <c r="AW550" s="2"/>
      <c r="AX550" s="2"/>
      <c r="AY550" s="2"/>
      <c r="AZ550" s="2"/>
      <c r="BA550" s="2"/>
      <c r="BB550" s="2"/>
      <c r="BC550" s="2"/>
      <c r="BD550" s="2"/>
    </row>
    <row r="551" spans="1:56" ht="14.25" customHeight="1">
      <c r="A551" s="8"/>
      <c r="B551" s="507"/>
      <c r="C551" s="156" t="s">
        <v>164</v>
      </c>
      <c r="D551" s="147"/>
      <c r="E551" s="147"/>
      <c r="F551" s="147"/>
      <c r="G551" s="147"/>
      <c r="H551" s="147"/>
      <c r="I551" s="147"/>
      <c r="J551" s="147"/>
      <c r="K551" s="147"/>
      <c r="L551" s="147"/>
      <c r="M551" s="147"/>
      <c r="N551" s="147"/>
      <c r="O551" s="147"/>
      <c r="P551" s="147"/>
      <c r="Q551" s="147"/>
      <c r="R551" s="147"/>
      <c r="S551" s="147"/>
      <c r="T551" s="148" t="str">
        <f t="shared" si="281"/>
        <v>0</v>
      </c>
      <c r="U551" s="148" t="str">
        <f t="shared" si="282"/>
        <v>0</v>
      </c>
      <c r="V551" s="148" t="str">
        <f t="shared" si="283"/>
        <v>0</v>
      </c>
      <c r="W551" s="148" t="str">
        <f t="shared" si="284"/>
        <v>0</v>
      </c>
      <c r="X551" s="507"/>
      <c r="Y551" s="152">
        <f t="shared" si="285"/>
        <v>0</v>
      </c>
      <c r="Z551" s="150" t="s">
        <v>169</v>
      </c>
      <c r="AA551" s="2"/>
      <c r="AB551" s="26"/>
      <c r="AC551" s="159" t="s">
        <v>162</v>
      </c>
      <c r="AD551" s="159" t="s">
        <v>162</v>
      </c>
      <c r="AE551" s="159" t="s">
        <v>162</v>
      </c>
      <c r="AF551" s="159" t="s">
        <v>162</v>
      </c>
      <c r="AG551" s="31">
        <f t="shared" si="286"/>
        <v>0</v>
      </c>
      <c r="AH551" s="153" t="s">
        <v>162</v>
      </c>
      <c r="AI551" s="2"/>
      <c r="AJ551" s="2"/>
      <c r="AK551" s="2"/>
      <c r="AL551" s="2"/>
      <c r="AM551" s="2"/>
      <c r="AN551" s="2"/>
      <c r="AO551" s="2"/>
      <c r="AP551" s="2"/>
      <c r="AQ551" s="2"/>
      <c r="AR551" s="2"/>
      <c r="AS551" s="2"/>
      <c r="AT551" s="2"/>
      <c r="AU551" s="2"/>
      <c r="AV551" s="2"/>
      <c r="AW551" s="2"/>
      <c r="AX551" s="2"/>
      <c r="AY551" s="2"/>
      <c r="AZ551" s="2"/>
      <c r="BA551" s="2"/>
      <c r="BB551" s="2"/>
      <c r="BC551" s="2"/>
      <c r="BD551" s="2"/>
    </row>
    <row r="552" spans="1:56" ht="14.25" customHeight="1">
      <c r="A552" s="8"/>
      <c r="B552" s="507"/>
      <c r="C552" s="156" t="s">
        <v>165</v>
      </c>
      <c r="D552" s="147"/>
      <c r="E552" s="147"/>
      <c r="F552" s="147"/>
      <c r="G552" s="147"/>
      <c r="H552" s="147"/>
      <c r="I552" s="147"/>
      <c r="J552" s="147"/>
      <c r="K552" s="147"/>
      <c r="L552" s="147"/>
      <c r="M552" s="147"/>
      <c r="N552" s="147"/>
      <c r="O552" s="147"/>
      <c r="P552" s="147"/>
      <c r="Q552" s="147"/>
      <c r="R552" s="147"/>
      <c r="S552" s="147"/>
      <c r="T552" s="148" t="str">
        <f t="shared" si="281"/>
        <v>0</v>
      </c>
      <c r="U552" s="148" t="str">
        <f t="shared" si="282"/>
        <v>0</v>
      </c>
      <c r="V552" s="148" t="str">
        <f t="shared" si="283"/>
        <v>0</v>
      </c>
      <c r="W552" s="148" t="str">
        <f t="shared" si="284"/>
        <v>0</v>
      </c>
      <c r="X552" s="507"/>
      <c r="Y552" s="152">
        <f t="shared" si="285"/>
        <v>0</v>
      </c>
      <c r="Z552" s="150" t="s">
        <v>169</v>
      </c>
      <c r="AA552" s="2"/>
      <c r="AB552" s="26"/>
      <c r="AC552" s="159" t="s">
        <v>162</v>
      </c>
      <c r="AD552" s="159" t="s">
        <v>162</v>
      </c>
      <c r="AE552" s="159" t="s">
        <v>162</v>
      </c>
      <c r="AF552" s="159" t="s">
        <v>162</v>
      </c>
      <c r="AG552" s="31">
        <f t="shared" si="286"/>
        <v>0</v>
      </c>
      <c r="AH552" s="153" t="s">
        <v>162</v>
      </c>
      <c r="AI552" s="2"/>
      <c r="AJ552" s="2"/>
      <c r="AK552" s="2"/>
      <c r="AL552" s="2"/>
      <c r="AM552" s="2"/>
      <c r="AN552" s="2"/>
      <c r="AO552" s="2"/>
      <c r="AP552" s="2"/>
      <c r="AQ552" s="2"/>
      <c r="AR552" s="2"/>
      <c r="AS552" s="2"/>
      <c r="AT552" s="2"/>
      <c r="AU552" s="2"/>
      <c r="AV552" s="2"/>
      <c r="AW552" s="2"/>
      <c r="AX552" s="2"/>
      <c r="AY552" s="2"/>
      <c r="AZ552" s="2"/>
      <c r="BA552" s="2"/>
      <c r="BB552" s="2"/>
      <c r="BC552" s="2"/>
      <c r="BD552" s="2"/>
    </row>
    <row r="553" spans="1:56" ht="14.25" customHeight="1">
      <c r="A553" s="8"/>
      <c r="B553" s="508"/>
      <c r="C553" s="156" t="s">
        <v>166</v>
      </c>
      <c r="D553" s="147"/>
      <c r="E553" s="147"/>
      <c r="F553" s="147"/>
      <c r="G553" s="147"/>
      <c r="H553" s="147"/>
      <c r="I553" s="147"/>
      <c r="J553" s="147"/>
      <c r="K553" s="147"/>
      <c r="L553" s="147"/>
      <c r="M553" s="147"/>
      <c r="N553" s="147"/>
      <c r="O553" s="147"/>
      <c r="P553" s="147"/>
      <c r="Q553" s="147"/>
      <c r="R553" s="147"/>
      <c r="S553" s="147"/>
      <c r="T553" s="148" t="str">
        <f t="shared" si="281"/>
        <v>0</v>
      </c>
      <c r="U553" s="148" t="str">
        <f t="shared" si="282"/>
        <v>0</v>
      </c>
      <c r="V553" s="148" t="str">
        <f t="shared" si="283"/>
        <v>0</v>
      </c>
      <c r="W553" s="148" t="str">
        <f t="shared" si="284"/>
        <v>0</v>
      </c>
      <c r="X553" s="508"/>
      <c r="Y553" s="152">
        <f t="shared" si="285"/>
        <v>0</v>
      </c>
      <c r="Z553" s="150" t="s">
        <v>169</v>
      </c>
      <c r="AA553" s="2"/>
      <c r="AB553" s="26"/>
      <c r="AC553" s="159" t="s">
        <v>162</v>
      </c>
      <c r="AD553" s="159" t="s">
        <v>162</v>
      </c>
      <c r="AE553" s="159" t="s">
        <v>162</v>
      </c>
      <c r="AF553" s="159" t="s">
        <v>162</v>
      </c>
      <c r="AG553" s="31">
        <f t="shared" si="286"/>
        <v>0</v>
      </c>
      <c r="AH553" s="153" t="s">
        <v>162</v>
      </c>
      <c r="AI553" s="2"/>
      <c r="AJ553" s="2"/>
      <c r="AK553" s="2"/>
      <c r="AL553" s="2"/>
      <c r="AM553" s="2"/>
      <c r="AN553" s="2"/>
      <c r="AO553" s="2"/>
      <c r="AP553" s="2"/>
      <c r="AQ553" s="2"/>
      <c r="AR553" s="2"/>
      <c r="AS553" s="2"/>
      <c r="AT553" s="2"/>
      <c r="AU553" s="2"/>
      <c r="AV553" s="2"/>
      <c r="AW553" s="2"/>
      <c r="AX553" s="2"/>
      <c r="AY553" s="2"/>
      <c r="AZ553" s="2"/>
      <c r="BA553" s="2"/>
      <c r="BB553" s="2"/>
      <c r="BC553" s="2"/>
      <c r="BD553" s="2"/>
    </row>
    <row r="554" spans="1:56" ht="14.25" customHeight="1">
      <c r="A554" s="8"/>
      <c r="B554" s="506" t="s">
        <v>124</v>
      </c>
      <c r="C554" s="156" t="s">
        <v>160</v>
      </c>
      <c r="D554" s="147"/>
      <c r="E554" s="147"/>
      <c r="F554" s="147"/>
      <c r="G554" s="147"/>
      <c r="H554" s="147"/>
      <c r="I554" s="147"/>
      <c r="J554" s="147"/>
      <c r="K554" s="147"/>
      <c r="L554" s="147"/>
      <c r="M554" s="147"/>
      <c r="N554" s="147"/>
      <c r="O554" s="147"/>
      <c r="P554" s="147"/>
      <c r="Q554" s="147"/>
      <c r="R554" s="147"/>
      <c r="S554" s="147"/>
      <c r="T554" s="148" t="str">
        <f t="shared" si="281"/>
        <v>0</v>
      </c>
      <c r="U554" s="148" t="str">
        <f t="shared" si="282"/>
        <v>0</v>
      </c>
      <c r="V554" s="148" t="str">
        <f t="shared" si="283"/>
        <v>0</v>
      </c>
      <c r="W554" s="148" t="str">
        <f t="shared" si="284"/>
        <v>0</v>
      </c>
      <c r="X554" s="513">
        <f>SUM(Y554:Y558)/5</f>
        <v>0</v>
      </c>
      <c r="Y554" s="152">
        <f t="shared" si="285"/>
        <v>0</v>
      </c>
      <c r="Z554" s="150" t="s">
        <v>215</v>
      </c>
      <c r="AA554" s="2"/>
      <c r="AB554" s="2"/>
      <c r="AC554" s="160" t="s">
        <v>162</v>
      </c>
      <c r="AD554" s="160" t="s">
        <v>162</v>
      </c>
      <c r="AE554" s="160" t="s">
        <v>162</v>
      </c>
      <c r="AF554" s="160" t="s">
        <v>162</v>
      </c>
      <c r="AG554" s="153" t="str">
        <f t="shared" si="286"/>
        <v>SoP</v>
      </c>
      <c r="AH554" s="153" t="s">
        <v>162</v>
      </c>
      <c r="AI554" s="2"/>
      <c r="AJ554" s="2"/>
      <c r="AK554" s="2"/>
      <c r="AL554" s="2"/>
      <c r="AM554" s="2"/>
      <c r="AN554" s="2"/>
      <c r="AO554" s="2"/>
      <c r="AP554" s="2"/>
      <c r="AQ554" s="2"/>
      <c r="AR554" s="2"/>
      <c r="AS554" s="2"/>
      <c r="AT554" s="2"/>
      <c r="AU554" s="2"/>
      <c r="AV554" s="2"/>
      <c r="AW554" s="2"/>
      <c r="AX554" s="2"/>
      <c r="AY554" s="2"/>
      <c r="AZ554" s="2"/>
      <c r="BA554" s="2"/>
      <c r="BB554" s="2"/>
      <c r="BC554" s="2"/>
      <c r="BD554" s="2"/>
    </row>
    <row r="555" spans="1:56" ht="14.25" customHeight="1">
      <c r="A555" s="8"/>
      <c r="B555" s="507"/>
      <c r="C555" s="156" t="s">
        <v>163</v>
      </c>
      <c r="D555" s="147"/>
      <c r="E555" s="147"/>
      <c r="F555" s="147"/>
      <c r="G555" s="147"/>
      <c r="H555" s="147"/>
      <c r="I555" s="147"/>
      <c r="J555" s="147"/>
      <c r="K555" s="147"/>
      <c r="L555" s="147"/>
      <c r="M555" s="147"/>
      <c r="N555" s="147"/>
      <c r="O555" s="147"/>
      <c r="P555" s="147"/>
      <c r="Q555" s="147"/>
      <c r="R555" s="147"/>
      <c r="S555" s="147"/>
      <c r="T555" s="148" t="str">
        <f t="shared" si="281"/>
        <v>0</v>
      </c>
      <c r="U555" s="148" t="str">
        <f t="shared" si="282"/>
        <v>0</v>
      </c>
      <c r="V555" s="148" t="str">
        <f t="shared" si="283"/>
        <v>0</v>
      </c>
      <c r="W555" s="148" t="str">
        <f t="shared" si="284"/>
        <v>0</v>
      </c>
      <c r="X555" s="507"/>
      <c r="Y555" s="152">
        <f t="shared" si="285"/>
        <v>0</v>
      </c>
      <c r="Z555" s="150" t="s">
        <v>169</v>
      </c>
      <c r="AA555" s="2"/>
      <c r="AB555" s="2"/>
      <c r="AC555" s="153" t="s">
        <v>162</v>
      </c>
      <c r="AD555" s="153" t="s">
        <v>162</v>
      </c>
      <c r="AE555" s="153" t="s">
        <v>162</v>
      </c>
      <c r="AF555" s="153" t="s">
        <v>162</v>
      </c>
      <c r="AG555" s="2">
        <f t="shared" si="286"/>
        <v>0</v>
      </c>
      <c r="AH555" s="153" t="s">
        <v>162</v>
      </c>
      <c r="AI555" s="2"/>
      <c r="AJ555" s="2"/>
      <c r="AK555" s="2"/>
      <c r="AL555" s="2"/>
      <c r="AM555" s="2"/>
      <c r="AN555" s="2"/>
      <c r="AO555" s="2"/>
      <c r="AP555" s="2"/>
      <c r="AQ555" s="2"/>
      <c r="AR555" s="2"/>
      <c r="AS555" s="2"/>
      <c r="AT555" s="2"/>
      <c r="AU555" s="2"/>
      <c r="AV555" s="2"/>
      <c r="AW555" s="2"/>
      <c r="AX555" s="2"/>
      <c r="AY555" s="2"/>
      <c r="AZ555" s="2"/>
      <c r="BA555" s="2"/>
      <c r="BB555" s="2"/>
      <c r="BC555" s="2"/>
      <c r="BD555" s="2"/>
    </row>
    <row r="556" spans="1:56" ht="14.25" customHeight="1">
      <c r="A556" s="8"/>
      <c r="B556" s="507"/>
      <c r="C556" s="156" t="s">
        <v>164</v>
      </c>
      <c r="D556" s="147"/>
      <c r="E556" s="147"/>
      <c r="F556" s="147"/>
      <c r="G556" s="147"/>
      <c r="H556" s="147"/>
      <c r="I556" s="147"/>
      <c r="J556" s="147"/>
      <c r="K556" s="147"/>
      <c r="L556" s="147"/>
      <c r="M556" s="147"/>
      <c r="N556" s="147"/>
      <c r="O556" s="147"/>
      <c r="P556" s="147"/>
      <c r="Q556" s="147"/>
      <c r="R556" s="147"/>
      <c r="S556" s="147"/>
      <c r="T556" s="148" t="str">
        <f t="shared" si="281"/>
        <v>0</v>
      </c>
      <c r="U556" s="148" t="str">
        <f t="shared" si="282"/>
        <v>0</v>
      </c>
      <c r="V556" s="148" t="str">
        <f t="shared" si="283"/>
        <v>0</v>
      </c>
      <c r="W556" s="148" t="str">
        <f t="shared" si="284"/>
        <v>0</v>
      </c>
      <c r="X556" s="507"/>
      <c r="Y556" s="152">
        <f t="shared" si="285"/>
        <v>0</v>
      </c>
      <c r="Z556" s="150" t="s">
        <v>169</v>
      </c>
      <c r="AA556" s="2"/>
      <c r="AB556" s="2"/>
      <c r="AC556" s="153" t="s">
        <v>162</v>
      </c>
      <c r="AD556" s="153" t="s">
        <v>162</v>
      </c>
      <c r="AE556" s="153" t="s">
        <v>162</v>
      </c>
      <c r="AF556" s="153" t="s">
        <v>162</v>
      </c>
      <c r="AG556" s="2">
        <f t="shared" si="286"/>
        <v>0</v>
      </c>
      <c r="AH556" s="153" t="s">
        <v>162</v>
      </c>
      <c r="AI556" s="2"/>
      <c r="AJ556" s="2"/>
      <c r="AK556" s="2"/>
      <c r="AL556" s="2"/>
      <c r="AM556" s="2"/>
      <c r="AN556" s="2"/>
      <c r="AO556" s="2"/>
      <c r="AP556" s="2"/>
      <c r="AQ556" s="2"/>
      <c r="AR556" s="2"/>
      <c r="AS556" s="2"/>
      <c r="AT556" s="2"/>
      <c r="AU556" s="2"/>
      <c r="AV556" s="2"/>
      <c r="AW556" s="2"/>
      <c r="AX556" s="2"/>
      <c r="AY556" s="2"/>
      <c r="AZ556" s="2"/>
      <c r="BA556" s="2"/>
      <c r="BB556" s="2"/>
      <c r="BC556" s="2"/>
      <c r="BD556" s="2"/>
    </row>
    <row r="557" spans="1:56" ht="14.25" customHeight="1">
      <c r="A557" s="8"/>
      <c r="B557" s="507"/>
      <c r="C557" s="156" t="s">
        <v>165</v>
      </c>
      <c r="D557" s="147"/>
      <c r="E557" s="147"/>
      <c r="F557" s="147"/>
      <c r="G557" s="147"/>
      <c r="H557" s="147"/>
      <c r="I557" s="147"/>
      <c r="J557" s="147"/>
      <c r="K557" s="147"/>
      <c r="L557" s="147"/>
      <c r="M557" s="147"/>
      <c r="N557" s="147"/>
      <c r="O557" s="147"/>
      <c r="P557" s="147"/>
      <c r="Q557" s="147"/>
      <c r="R557" s="147"/>
      <c r="S557" s="147"/>
      <c r="T557" s="148" t="str">
        <f t="shared" si="281"/>
        <v>0</v>
      </c>
      <c r="U557" s="148" t="str">
        <f t="shared" si="282"/>
        <v>0</v>
      </c>
      <c r="V557" s="148" t="str">
        <f t="shared" si="283"/>
        <v>0</v>
      </c>
      <c r="W557" s="148" t="str">
        <f t="shared" si="284"/>
        <v>0</v>
      </c>
      <c r="X557" s="507"/>
      <c r="Y557" s="152">
        <f t="shared" si="285"/>
        <v>0</v>
      </c>
      <c r="Z557" s="150" t="s">
        <v>169</v>
      </c>
      <c r="AA557" s="2"/>
      <c r="AB557" s="2"/>
      <c r="AC557" s="153" t="s">
        <v>162</v>
      </c>
      <c r="AD557" s="153" t="s">
        <v>162</v>
      </c>
      <c r="AE557" s="153" t="s">
        <v>162</v>
      </c>
      <c r="AF557" s="153" t="s">
        <v>162</v>
      </c>
      <c r="AG557" s="2">
        <f t="shared" si="286"/>
        <v>0</v>
      </c>
      <c r="AH557" s="153" t="s">
        <v>162</v>
      </c>
      <c r="AI557" s="2"/>
      <c r="AJ557" s="2"/>
      <c r="AK557" s="2"/>
      <c r="AL557" s="2"/>
      <c r="AM557" s="2"/>
      <c r="AN557" s="2"/>
      <c r="AO557" s="2"/>
      <c r="AP557" s="2"/>
      <c r="AQ557" s="2"/>
      <c r="AR557" s="2"/>
      <c r="AS557" s="2"/>
      <c r="AT557" s="2"/>
      <c r="AU557" s="2"/>
      <c r="AV557" s="2"/>
      <c r="AW557" s="2"/>
      <c r="AX557" s="2"/>
      <c r="AY557" s="2"/>
      <c r="AZ557" s="2"/>
      <c r="BA557" s="2"/>
      <c r="BB557" s="2"/>
      <c r="BC557" s="2"/>
      <c r="BD557" s="2"/>
    </row>
    <row r="558" spans="1:56" ht="14.25" customHeight="1">
      <c r="A558" s="8"/>
      <c r="B558" s="508"/>
      <c r="C558" s="156" t="s">
        <v>166</v>
      </c>
      <c r="D558" s="147"/>
      <c r="E558" s="147"/>
      <c r="F558" s="147"/>
      <c r="G558" s="147"/>
      <c r="H558" s="147"/>
      <c r="I558" s="147"/>
      <c r="J558" s="147"/>
      <c r="K558" s="147"/>
      <c r="L558" s="147"/>
      <c r="M558" s="147"/>
      <c r="N558" s="147"/>
      <c r="O558" s="147"/>
      <c r="P558" s="147"/>
      <c r="Q558" s="147"/>
      <c r="R558" s="147"/>
      <c r="S558" s="147"/>
      <c r="T558" s="148" t="str">
        <f t="shared" si="281"/>
        <v>0</v>
      </c>
      <c r="U558" s="148" t="str">
        <f t="shared" si="282"/>
        <v>0</v>
      </c>
      <c r="V558" s="148" t="str">
        <f t="shared" si="283"/>
        <v>0</v>
      </c>
      <c r="W558" s="148" t="str">
        <f t="shared" si="284"/>
        <v>0</v>
      </c>
      <c r="X558" s="508"/>
      <c r="Y558" s="152">
        <f t="shared" si="285"/>
        <v>0</v>
      </c>
      <c r="Z558" s="150" t="s">
        <v>169</v>
      </c>
      <c r="AA558" s="2"/>
      <c r="AB558" s="2"/>
      <c r="AC558" s="161" t="s">
        <v>162</v>
      </c>
      <c r="AD558" s="161" t="s">
        <v>162</v>
      </c>
      <c r="AE558" s="161" t="s">
        <v>162</v>
      </c>
      <c r="AF558" s="161" t="s">
        <v>162</v>
      </c>
      <c r="AG558" s="2">
        <f t="shared" si="286"/>
        <v>0</v>
      </c>
      <c r="AH558" s="153" t="s">
        <v>162</v>
      </c>
      <c r="AI558" s="2"/>
      <c r="AJ558" s="2"/>
      <c r="AK558" s="2"/>
      <c r="AL558" s="2"/>
      <c r="AM558" s="2"/>
      <c r="AN558" s="2"/>
      <c r="AO558" s="2"/>
      <c r="AP558" s="2"/>
      <c r="AQ558" s="2"/>
      <c r="AR558" s="2"/>
      <c r="AS558" s="2"/>
      <c r="AT558" s="2"/>
      <c r="AU558" s="2"/>
      <c r="AV558" s="2"/>
      <c r="AW558" s="2"/>
      <c r="AX558" s="2"/>
      <c r="AY558" s="2"/>
      <c r="AZ558" s="2"/>
      <c r="BA558" s="2"/>
      <c r="BB558" s="2"/>
      <c r="BC558" s="2"/>
      <c r="BD558" s="2"/>
    </row>
    <row r="559" spans="1:56" ht="14.25" customHeight="1">
      <c r="A559" s="8"/>
      <c r="B559" s="506" t="s">
        <v>125</v>
      </c>
      <c r="C559" s="156" t="s">
        <v>160</v>
      </c>
      <c r="D559" s="147"/>
      <c r="E559" s="147"/>
      <c r="F559" s="147"/>
      <c r="G559" s="147"/>
      <c r="H559" s="147"/>
      <c r="I559" s="147"/>
      <c r="J559" s="147"/>
      <c r="K559" s="147"/>
      <c r="L559" s="147"/>
      <c r="M559" s="147"/>
      <c r="N559" s="147"/>
      <c r="O559" s="147"/>
      <c r="P559" s="147"/>
      <c r="Q559" s="147"/>
      <c r="R559" s="147"/>
      <c r="S559" s="147"/>
      <c r="T559" s="148" t="str">
        <f t="shared" si="281"/>
        <v>0</v>
      </c>
      <c r="U559" s="148" t="str">
        <f t="shared" si="282"/>
        <v>0</v>
      </c>
      <c r="V559" s="148" t="str">
        <f t="shared" si="283"/>
        <v>0</v>
      </c>
      <c r="W559" s="148" t="str">
        <f t="shared" si="284"/>
        <v>0</v>
      </c>
      <c r="X559" s="513">
        <f>SUM(Y559:Y563)/5</f>
        <v>0</v>
      </c>
      <c r="Y559" s="152">
        <f t="shared" si="285"/>
        <v>0</v>
      </c>
      <c r="Z559" s="150" t="s">
        <v>216</v>
      </c>
      <c r="AA559" s="2"/>
      <c r="AB559" s="26"/>
      <c r="AC559" s="159" t="s">
        <v>162</v>
      </c>
      <c r="AD559" s="159" t="s">
        <v>162</v>
      </c>
      <c r="AE559" s="159" t="s">
        <v>162</v>
      </c>
      <c r="AF559" s="159" t="s">
        <v>162</v>
      </c>
      <c r="AG559" s="158" t="str">
        <f t="shared" si="286"/>
        <v>SoT</v>
      </c>
      <c r="AH559" s="153" t="s">
        <v>162</v>
      </c>
      <c r="AI559" s="2"/>
      <c r="AJ559" s="2"/>
      <c r="AK559" s="2"/>
      <c r="AL559" s="2"/>
      <c r="AM559" s="2"/>
      <c r="AN559" s="2"/>
      <c r="AO559" s="2"/>
      <c r="AP559" s="2"/>
      <c r="AQ559" s="2"/>
      <c r="AR559" s="2"/>
      <c r="AS559" s="2"/>
      <c r="AT559" s="2"/>
      <c r="AU559" s="2"/>
      <c r="AV559" s="2"/>
      <c r="AW559" s="2"/>
      <c r="AX559" s="2"/>
      <c r="AY559" s="2"/>
      <c r="AZ559" s="2"/>
      <c r="BA559" s="2"/>
      <c r="BB559" s="2"/>
      <c r="BC559" s="2"/>
      <c r="BD559" s="2"/>
    </row>
    <row r="560" spans="1:56" ht="14.25" customHeight="1">
      <c r="A560" s="8"/>
      <c r="B560" s="507"/>
      <c r="C560" s="156" t="s">
        <v>163</v>
      </c>
      <c r="D560" s="147"/>
      <c r="E560" s="147"/>
      <c r="F560" s="147"/>
      <c r="G560" s="147"/>
      <c r="H560" s="147"/>
      <c r="I560" s="147"/>
      <c r="J560" s="147"/>
      <c r="K560" s="147"/>
      <c r="L560" s="147"/>
      <c r="M560" s="147"/>
      <c r="N560" s="147"/>
      <c r="O560" s="147"/>
      <c r="P560" s="147"/>
      <c r="Q560" s="147"/>
      <c r="R560" s="147"/>
      <c r="S560" s="147"/>
      <c r="T560" s="148" t="str">
        <f t="shared" si="281"/>
        <v>0</v>
      </c>
      <c r="U560" s="148" t="str">
        <f t="shared" si="282"/>
        <v>0</v>
      </c>
      <c r="V560" s="148" t="str">
        <f t="shared" si="283"/>
        <v>0</v>
      </c>
      <c r="W560" s="148" t="str">
        <f t="shared" si="284"/>
        <v>0</v>
      </c>
      <c r="X560" s="507"/>
      <c r="Y560" s="152">
        <f t="shared" si="285"/>
        <v>0</v>
      </c>
      <c r="Z560" s="150" t="s">
        <v>169</v>
      </c>
      <c r="AA560" s="2"/>
      <c r="AB560" s="26"/>
      <c r="AC560" s="159" t="s">
        <v>162</v>
      </c>
      <c r="AD560" s="159" t="s">
        <v>162</v>
      </c>
      <c r="AE560" s="159" t="s">
        <v>162</v>
      </c>
      <c r="AF560" s="159" t="s">
        <v>162</v>
      </c>
      <c r="AG560" s="31">
        <f t="shared" si="286"/>
        <v>0</v>
      </c>
      <c r="AH560" s="153" t="s">
        <v>162</v>
      </c>
      <c r="AI560" s="2"/>
      <c r="AJ560" s="2"/>
      <c r="AK560" s="2"/>
      <c r="AL560" s="2"/>
      <c r="AM560" s="2"/>
      <c r="AN560" s="2"/>
      <c r="AO560" s="2"/>
      <c r="AP560" s="2"/>
      <c r="AQ560" s="2"/>
      <c r="AR560" s="2"/>
      <c r="AS560" s="2"/>
      <c r="AT560" s="2"/>
      <c r="AU560" s="2"/>
      <c r="AV560" s="2"/>
      <c r="AW560" s="2"/>
      <c r="AX560" s="2"/>
      <c r="AY560" s="2"/>
      <c r="AZ560" s="2"/>
      <c r="BA560" s="2"/>
      <c r="BB560" s="2"/>
      <c r="BC560" s="2"/>
      <c r="BD560" s="2"/>
    </row>
    <row r="561" spans="1:56" ht="14.25" customHeight="1">
      <c r="A561" s="8"/>
      <c r="B561" s="507"/>
      <c r="C561" s="156" t="s">
        <v>164</v>
      </c>
      <c r="D561" s="147"/>
      <c r="E561" s="147"/>
      <c r="F561" s="147"/>
      <c r="G561" s="147"/>
      <c r="H561" s="147"/>
      <c r="I561" s="147"/>
      <c r="J561" s="147"/>
      <c r="K561" s="147"/>
      <c r="L561" s="147"/>
      <c r="M561" s="147"/>
      <c r="N561" s="147"/>
      <c r="O561" s="147"/>
      <c r="P561" s="147"/>
      <c r="Q561" s="147"/>
      <c r="R561" s="147"/>
      <c r="S561" s="147"/>
      <c r="T561" s="148" t="str">
        <f t="shared" ref="T561:T592" si="287">IFERROR(AVERAGE(D561,H561,L561,P561),"0")</f>
        <v>0</v>
      </c>
      <c r="U561" s="148" t="str">
        <f t="shared" ref="U561:U592" si="288">IFERROR(AVERAGE(E561,I561,M561,Q561),"0")</f>
        <v>0</v>
      </c>
      <c r="V561" s="148" t="str">
        <f t="shared" ref="V561:V592" si="289">IFERROR(AVERAGE(F561,J561,N561,R561),"0")</f>
        <v>0</v>
      </c>
      <c r="W561" s="148" t="str">
        <f t="shared" ref="W561:W592" si="290">IFERROR(AVERAGE(G561,K561,O561,S561),"0")</f>
        <v>0</v>
      </c>
      <c r="X561" s="507"/>
      <c r="Y561" s="152">
        <f t="shared" ref="Y561:Y592" si="291">((4*T561)+(3*U561)+(2*V561)+W561)/4</f>
        <v>0</v>
      </c>
      <c r="Z561" s="150" t="s">
        <v>169</v>
      </c>
      <c r="AA561" s="2"/>
      <c r="AB561" s="26"/>
      <c r="AC561" s="159" t="s">
        <v>162</v>
      </c>
      <c r="AD561" s="159" t="s">
        <v>162</v>
      </c>
      <c r="AE561" s="159" t="s">
        <v>162</v>
      </c>
      <c r="AF561" s="159" t="s">
        <v>162</v>
      </c>
      <c r="AG561" s="31">
        <f t="shared" ref="AG561:AG592" si="292">B561</f>
        <v>0</v>
      </c>
      <c r="AH561" s="153" t="s">
        <v>162</v>
      </c>
      <c r="AI561" s="2"/>
      <c r="AJ561" s="2"/>
      <c r="AK561" s="2"/>
      <c r="AL561" s="2"/>
      <c r="AM561" s="2"/>
      <c r="AN561" s="2"/>
      <c r="AO561" s="2"/>
      <c r="AP561" s="2"/>
      <c r="AQ561" s="2"/>
      <c r="AR561" s="2"/>
      <c r="AS561" s="2"/>
      <c r="AT561" s="2"/>
      <c r="AU561" s="2"/>
      <c r="AV561" s="2"/>
      <c r="AW561" s="2"/>
      <c r="AX561" s="2"/>
      <c r="AY561" s="2"/>
      <c r="AZ561" s="2"/>
      <c r="BA561" s="2"/>
      <c r="BB561" s="2"/>
      <c r="BC561" s="2"/>
      <c r="BD561" s="2"/>
    </row>
    <row r="562" spans="1:56" ht="14.25" customHeight="1">
      <c r="A562" s="8"/>
      <c r="B562" s="507"/>
      <c r="C562" s="156" t="s">
        <v>165</v>
      </c>
      <c r="D562" s="147"/>
      <c r="E562" s="147"/>
      <c r="F562" s="147"/>
      <c r="G562" s="147"/>
      <c r="H562" s="147"/>
      <c r="I562" s="147"/>
      <c r="J562" s="147"/>
      <c r="K562" s="147"/>
      <c r="L562" s="147"/>
      <c r="M562" s="147"/>
      <c r="N562" s="147"/>
      <c r="O562" s="147"/>
      <c r="P562" s="147"/>
      <c r="Q562" s="147"/>
      <c r="R562" s="147"/>
      <c r="S562" s="147"/>
      <c r="T562" s="148" t="str">
        <f t="shared" si="287"/>
        <v>0</v>
      </c>
      <c r="U562" s="148" t="str">
        <f t="shared" si="288"/>
        <v>0</v>
      </c>
      <c r="V562" s="148" t="str">
        <f t="shared" si="289"/>
        <v>0</v>
      </c>
      <c r="W562" s="148" t="str">
        <f t="shared" si="290"/>
        <v>0</v>
      </c>
      <c r="X562" s="507"/>
      <c r="Y562" s="152">
        <f t="shared" si="291"/>
        <v>0</v>
      </c>
      <c r="Z562" s="150" t="s">
        <v>169</v>
      </c>
      <c r="AA562" s="2"/>
      <c r="AB562" s="26"/>
      <c r="AC562" s="159" t="s">
        <v>162</v>
      </c>
      <c r="AD562" s="159" t="s">
        <v>162</v>
      </c>
      <c r="AE562" s="159" t="s">
        <v>162</v>
      </c>
      <c r="AF562" s="159" t="s">
        <v>162</v>
      </c>
      <c r="AG562" s="31">
        <f t="shared" si="292"/>
        <v>0</v>
      </c>
      <c r="AH562" s="153" t="s">
        <v>162</v>
      </c>
      <c r="AI562" s="2"/>
      <c r="AJ562" s="2"/>
      <c r="AK562" s="2"/>
      <c r="AL562" s="2"/>
      <c r="AM562" s="2"/>
      <c r="AN562" s="2"/>
      <c r="AO562" s="2"/>
      <c r="AP562" s="2"/>
      <c r="AQ562" s="2"/>
      <c r="AR562" s="2"/>
      <c r="AS562" s="2"/>
      <c r="AT562" s="2"/>
      <c r="AU562" s="2"/>
      <c r="AV562" s="2"/>
      <c r="AW562" s="2"/>
      <c r="AX562" s="2"/>
      <c r="AY562" s="2"/>
      <c r="AZ562" s="2"/>
      <c r="BA562" s="2"/>
      <c r="BB562" s="2"/>
      <c r="BC562" s="2"/>
      <c r="BD562" s="2"/>
    </row>
    <row r="563" spans="1:56" ht="14.25" customHeight="1">
      <c r="A563" s="8"/>
      <c r="B563" s="508"/>
      <c r="C563" s="156" t="s">
        <v>166</v>
      </c>
      <c r="D563" s="147"/>
      <c r="E563" s="147"/>
      <c r="F563" s="147"/>
      <c r="G563" s="147"/>
      <c r="H563" s="147"/>
      <c r="I563" s="147"/>
      <c r="J563" s="147"/>
      <c r="K563" s="147"/>
      <c r="L563" s="147"/>
      <c r="M563" s="147"/>
      <c r="N563" s="147"/>
      <c r="O563" s="147"/>
      <c r="P563" s="147"/>
      <c r="Q563" s="147"/>
      <c r="R563" s="147"/>
      <c r="S563" s="147"/>
      <c r="T563" s="148" t="str">
        <f t="shared" si="287"/>
        <v>0</v>
      </c>
      <c r="U563" s="148" t="str">
        <f t="shared" si="288"/>
        <v>0</v>
      </c>
      <c r="V563" s="148" t="str">
        <f t="shared" si="289"/>
        <v>0</v>
      </c>
      <c r="W563" s="148" t="str">
        <f t="shared" si="290"/>
        <v>0</v>
      </c>
      <c r="X563" s="508"/>
      <c r="Y563" s="152">
        <f t="shared" si="291"/>
        <v>0</v>
      </c>
      <c r="Z563" s="150" t="s">
        <v>169</v>
      </c>
      <c r="AA563" s="2"/>
      <c r="AB563" s="26"/>
      <c r="AC563" s="159" t="s">
        <v>162</v>
      </c>
      <c r="AD563" s="159" t="s">
        <v>162</v>
      </c>
      <c r="AE563" s="159" t="s">
        <v>162</v>
      </c>
      <c r="AF563" s="159" t="s">
        <v>162</v>
      </c>
      <c r="AG563" s="31">
        <f t="shared" si="292"/>
        <v>0</v>
      </c>
      <c r="AH563" s="153" t="s">
        <v>162</v>
      </c>
      <c r="AI563" s="2"/>
      <c r="AJ563" s="2"/>
      <c r="AK563" s="2"/>
      <c r="AL563" s="2"/>
      <c r="AM563" s="2"/>
      <c r="AN563" s="2"/>
      <c r="AO563" s="2"/>
      <c r="AP563" s="2"/>
      <c r="AQ563" s="2"/>
      <c r="AR563" s="2"/>
      <c r="AS563" s="2"/>
      <c r="AT563" s="2"/>
      <c r="AU563" s="2"/>
      <c r="AV563" s="2"/>
      <c r="AW563" s="2"/>
      <c r="AX563" s="2"/>
      <c r="AY563" s="2"/>
      <c r="AZ563" s="2"/>
      <c r="BA563" s="2"/>
      <c r="BB563" s="2"/>
      <c r="BC563" s="2"/>
      <c r="BD563" s="2"/>
    </row>
    <row r="564" spans="1:56" ht="14.25" customHeight="1">
      <c r="A564" s="8"/>
      <c r="B564" s="512" t="s">
        <v>126</v>
      </c>
      <c r="C564" s="156" t="s">
        <v>160</v>
      </c>
      <c r="D564" s="147"/>
      <c r="E564" s="147"/>
      <c r="F564" s="147"/>
      <c r="G564" s="147"/>
      <c r="H564" s="147"/>
      <c r="I564" s="147"/>
      <c r="J564" s="147"/>
      <c r="K564" s="147"/>
      <c r="L564" s="147"/>
      <c r="M564" s="147"/>
      <c r="N564" s="147"/>
      <c r="O564" s="147"/>
      <c r="P564" s="147"/>
      <c r="Q564" s="147"/>
      <c r="R564" s="147"/>
      <c r="S564" s="147"/>
      <c r="T564" s="148" t="str">
        <f t="shared" si="287"/>
        <v>0</v>
      </c>
      <c r="U564" s="148" t="str">
        <f t="shared" si="288"/>
        <v>0</v>
      </c>
      <c r="V564" s="148" t="str">
        <f t="shared" si="289"/>
        <v>0</v>
      </c>
      <c r="W564" s="148" t="str">
        <f t="shared" si="290"/>
        <v>0</v>
      </c>
      <c r="X564" s="513">
        <f>SUM(Y564:Y568)/5</f>
        <v>0</v>
      </c>
      <c r="Y564" s="152">
        <f t="shared" si="291"/>
        <v>0</v>
      </c>
      <c r="Z564" s="150" t="s">
        <v>217</v>
      </c>
      <c r="AA564" s="2"/>
      <c r="AB564" s="2"/>
      <c r="AC564" s="160" t="s">
        <v>162</v>
      </c>
      <c r="AD564" s="160" t="s">
        <v>162</v>
      </c>
      <c r="AE564" s="160" t="s">
        <v>162</v>
      </c>
      <c r="AF564" s="160" t="s">
        <v>162</v>
      </c>
      <c r="AG564" s="153" t="str">
        <f t="shared" si="292"/>
        <v>SBM-UC</v>
      </c>
      <c r="AH564" s="153" t="s">
        <v>162</v>
      </c>
      <c r="AI564" s="2"/>
      <c r="AJ564" s="2"/>
      <c r="AK564" s="2"/>
      <c r="AL564" s="2"/>
      <c r="AM564" s="2"/>
      <c r="AN564" s="2"/>
      <c r="AO564" s="2"/>
      <c r="AP564" s="2"/>
      <c r="AQ564" s="2"/>
      <c r="AR564" s="2"/>
      <c r="AS564" s="2"/>
      <c r="AT564" s="2"/>
      <c r="AU564" s="2"/>
      <c r="AV564" s="2"/>
      <c r="AW564" s="2"/>
      <c r="AX564" s="2"/>
      <c r="AY564" s="2"/>
      <c r="AZ564" s="2"/>
      <c r="BA564" s="2"/>
      <c r="BB564" s="2"/>
      <c r="BC564" s="2"/>
      <c r="BD564" s="2"/>
    </row>
    <row r="565" spans="1:56" ht="14.25" customHeight="1">
      <c r="A565" s="8"/>
      <c r="B565" s="507"/>
      <c r="C565" s="156" t="s">
        <v>163</v>
      </c>
      <c r="D565" s="147"/>
      <c r="E565" s="147"/>
      <c r="F565" s="147"/>
      <c r="G565" s="147"/>
      <c r="H565" s="147"/>
      <c r="I565" s="147"/>
      <c r="J565" s="147"/>
      <c r="K565" s="147"/>
      <c r="L565" s="147"/>
      <c r="M565" s="147"/>
      <c r="N565" s="147"/>
      <c r="O565" s="147"/>
      <c r="P565" s="147"/>
      <c r="Q565" s="147"/>
      <c r="R565" s="147"/>
      <c r="S565" s="147"/>
      <c r="T565" s="148" t="str">
        <f t="shared" si="287"/>
        <v>0</v>
      </c>
      <c r="U565" s="148" t="str">
        <f t="shared" si="288"/>
        <v>0</v>
      </c>
      <c r="V565" s="148" t="str">
        <f t="shared" si="289"/>
        <v>0</v>
      </c>
      <c r="W565" s="148" t="str">
        <f t="shared" si="290"/>
        <v>0</v>
      </c>
      <c r="X565" s="507"/>
      <c r="Y565" s="152">
        <f t="shared" si="291"/>
        <v>0</v>
      </c>
      <c r="Z565" s="150" t="s">
        <v>169</v>
      </c>
      <c r="AA565" s="153" t="s">
        <v>204</v>
      </c>
      <c r="AB565" s="2"/>
      <c r="AC565" s="153" t="s">
        <v>162</v>
      </c>
      <c r="AD565" s="153" t="s">
        <v>162</v>
      </c>
      <c r="AE565" s="153" t="s">
        <v>162</v>
      </c>
      <c r="AF565" s="153" t="s">
        <v>162</v>
      </c>
      <c r="AG565" s="2">
        <f t="shared" si="292"/>
        <v>0</v>
      </c>
      <c r="AH565" s="153" t="s">
        <v>162</v>
      </c>
      <c r="AI565" s="2"/>
      <c r="AJ565" s="2"/>
      <c r="AK565" s="2"/>
      <c r="AL565" s="2"/>
      <c r="AM565" s="2"/>
      <c r="AN565" s="2"/>
      <c r="AO565" s="2"/>
      <c r="AP565" s="2"/>
      <c r="AQ565" s="2"/>
      <c r="AR565" s="2"/>
      <c r="AS565" s="2"/>
      <c r="AT565" s="2"/>
      <c r="AU565" s="2"/>
      <c r="AV565" s="2"/>
      <c r="AW565" s="2"/>
      <c r="AX565" s="2"/>
      <c r="AY565" s="2"/>
      <c r="AZ565" s="2"/>
      <c r="BA565" s="2"/>
      <c r="BB565" s="2"/>
      <c r="BC565" s="2"/>
      <c r="BD565" s="2"/>
    </row>
    <row r="566" spans="1:56" ht="14.25" customHeight="1">
      <c r="A566" s="8"/>
      <c r="B566" s="507"/>
      <c r="C566" s="156" t="s">
        <v>164</v>
      </c>
      <c r="D566" s="147"/>
      <c r="E566" s="147"/>
      <c r="F566" s="147"/>
      <c r="G566" s="147"/>
      <c r="H566" s="147"/>
      <c r="I566" s="147"/>
      <c r="J566" s="147"/>
      <c r="K566" s="147"/>
      <c r="L566" s="147"/>
      <c r="M566" s="147"/>
      <c r="N566" s="147"/>
      <c r="O566" s="147"/>
      <c r="P566" s="147"/>
      <c r="Q566" s="147"/>
      <c r="R566" s="147"/>
      <c r="S566" s="147"/>
      <c r="T566" s="148" t="str">
        <f t="shared" si="287"/>
        <v>0</v>
      </c>
      <c r="U566" s="148" t="str">
        <f t="shared" si="288"/>
        <v>0</v>
      </c>
      <c r="V566" s="148" t="str">
        <f t="shared" si="289"/>
        <v>0</v>
      </c>
      <c r="W566" s="148" t="str">
        <f t="shared" si="290"/>
        <v>0</v>
      </c>
      <c r="X566" s="507"/>
      <c r="Y566" s="152">
        <f t="shared" si="291"/>
        <v>0</v>
      </c>
      <c r="Z566" s="150" t="s">
        <v>169</v>
      </c>
      <c r="AA566" s="153" t="s">
        <v>205</v>
      </c>
      <c r="AB566" s="2"/>
      <c r="AC566" s="153" t="s">
        <v>162</v>
      </c>
      <c r="AD566" s="153" t="s">
        <v>162</v>
      </c>
      <c r="AE566" s="153" t="s">
        <v>162</v>
      </c>
      <c r="AF566" s="153" t="s">
        <v>162</v>
      </c>
      <c r="AG566" s="2">
        <f t="shared" si="292"/>
        <v>0</v>
      </c>
      <c r="AH566" s="153" t="s">
        <v>162</v>
      </c>
      <c r="AI566" s="2"/>
      <c r="AJ566" s="2"/>
      <c r="AK566" s="2"/>
      <c r="AL566" s="2"/>
      <c r="AM566" s="2"/>
      <c r="AN566" s="2"/>
      <c r="AO566" s="2"/>
      <c r="AP566" s="2"/>
      <c r="AQ566" s="2"/>
      <c r="AR566" s="2"/>
      <c r="AS566" s="2"/>
      <c r="AT566" s="2"/>
      <c r="AU566" s="2"/>
      <c r="AV566" s="2"/>
      <c r="AW566" s="2"/>
      <c r="AX566" s="2"/>
      <c r="AY566" s="2"/>
      <c r="AZ566" s="2"/>
      <c r="BA566" s="2"/>
      <c r="BB566" s="2"/>
      <c r="BC566" s="2"/>
      <c r="BD566" s="2"/>
    </row>
    <row r="567" spans="1:56" ht="14.25" customHeight="1">
      <c r="A567" s="8"/>
      <c r="B567" s="507"/>
      <c r="C567" s="156" t="s">
        <v>165</v>
      </c>
      <c r="D567" s="147"/>
      <c r="E567" s="147"/>
      <c r="F567" s="147"/>
      <c r="G567" s="147"/>
      <c r="H567" s="147"/>
      <c r="I567" s="147"/>
      <c r="J567" s="147"/>
      <c r="K567" s="147"/>
      <c r="L567" s="147"/>
      <c r="M567" s="147"/>
      <c r="N567" s="147"/>
      <c r="O567" s="147"/>
      <c r="P567" s="147"/>
      <c r="Q567" s="147"/>
      <c r="R567" s="147"/>
      <c r="S567" s="147"/>
      <c r="T567" s="148" t="str">
        <f t="shared" si="287"/>
        <v>0</v>
      </c>
      <c r="U567" s="148" t="str">
        <f t="shared" si="288"/>
        <v>0</v>
      </c>
      <c r="V567" s="148" t="str">
        <f t="shared" si="289"/>
        <v>0</v>
      </c>
      <c r="W567" s="148" t="str">
        <f t="shared" si="290"/>
        <v>0</v>
      </c>
      <c r="X567" s="507"/>
      <c r="Y567" s="152">
        <f t="shared" si="291"/>
        <v>0</v>
      </c>
      <c r="Z567" s="150" t="s">
        <v>169</v>
      </c>
      <c r="AA567" s="153" t="s">
        <v>206</v>
      </c>
      <c r="AB567" s="2"/>
      <c r="AC567" s="153" t="s">
        <v>162</v>
      </c>
      <c r="AD567" s="153" t="s">
        <v>162</v>
      </c>
      <c r="AE567" s="153" t="s">
        <v>162</v>
      </c>
      <c r="AF567" s="153" t="s">
        <v>162</v>
      </c>
      <c r="AG567" s="2">
        <f t="shared" si="292"/>
        <v>0</v>
      </c>
      <c r="AH567" s="153" t="s">
        <v>162</v>
      </c>
      <c r="AI567" s="2"/>
      <c r="AJ567" s="2"/>
      <c r="AK567" s="2"/>
      <c r="AL567" s="2"/>
      <c r="AM567" s="2"/>
      <c r="AN567" s="2"/>
      <c r="AO567" s="2"/>
      <c r="AP567" s="2"/>
      <c r="AQ567" s="2"/>
      <c r="AR567" s="2"/>
      <c r="AS567" s="2"/>
      <c r="AT567" s="2"/>
      <c r="AU567" s="2"/>
      <c r="AV567" s="2"/>
      <c r="AW567" s="2"/>
      <c r="AX567" s="2"/>
      <c r="AY567" s="2"/>
      <c r="AZ567" s="2"/>
      <c r="BA567" s="2"/>
      <c r="BB567" s="2"/>
      <c r="BC567" s="2"/>
      <c r="BD567" s="2"/>
    </row>
    <row r="568" spans="1:56" ht="14.25" customHeight="1">
      <c r="A568" s="8"/>
      <c r="B568" s="508"/>
      <c r="C568" s="156" t="s">
        <v>166</v>
      </c>
      <c r="D568" s="147"/>
      <c r="E568" s="147"/>
      <c r="F568" s="147"/>
      <c r="G568" s="147"/>
      <c r="H568" s="147"/>
      <c r="I568" s="147"/>
      <c r="J568" s="147"/>
      <c r="K568" s="147"/>
      <c r="L568" s="147"/>
      <c r="M568" s="147"/>
      <c r="N568" s="147"/>
      <c r="O568" s="147"/>
      <c r="P568" s="147"/>
      <c r="Q568" s="147"/>
      <c r="R568" s="147"/>
      <c r="S568" s="147"/>
      <c r="T568" s="148" t="str">
        <f t="shared" si="287"/>
        <v>0</v>
      </c>
      <c r="U568" s="148" t="str">
        <f t="shared" si="288"/>
        <v>0</v>
      </c>
      <c r="V568" s="148" t="str">
        <f t="shared" si="289"/>
        <v>0</v>
      </c>
      <c r="W568" s="148" t="str">
        <f t="shared" si="290"/>
        <v>0</v>
      </c>
      <c r="X568" s="508"/>
      <c r="Y568" s="152">
        <f t="shared" si="291"/>
        <v>0</v>
      </c>
      <c r="Z568" s="150" t="s">
        <v>169</v>
      </c>
      <c r="AA568" s="153" t="s">
        <v>207</v>
      </c>
      <c r="AB568" s="2"/>
      <c r="AC568" s="161" t="s">
        <v>162</v>
      </c>
      <c r="AD568" s="161" t="s">
        <v>162</v>
      </c>
      <c r="AE568" s="161" t="s">
        <v>162</v>
      </c>
      <c r="AF568" s="161" t="s">
        <v>162</v>
      </c>
      <c r="AG568" s="2">
        <f t="shared" si="292"/>
        <v>0</v>
      </c>
      <c r="AH568" s="153" t="s">
        <v>162</v>
      </c>
      <c r="AI568" s="2"/>
      <c r="AJ568" s="2"/>
      <c r="AK568" s="2"/>
      <c r="AL568" s="2"/>
      <c r="AM568" s="2"/>
      <c r="AN568" s="2"/>
      <c r="AO568" s="2"/>
      <c r="AP568" s="2"/>
      <c r="AQ568" s="2"/>
      <c r="AR568" s="2"/>
      <c r="AS568" s="2"/>
      <c r="AT568" s="2"/>
      <c r="AU568" s="2"/>
      <c r="AV568" s="2"/>
      <c r="AW568" s="2"/>
      <c r="AX568" s="2"/>
      <c r="AY568" s="2"/>
      <c r="AZ568" s="2"/>
      <c r="BA568" s="2"/>
      <c r="BB568" s="2"/>
      <c r="BC568" s="2"/>
      <c r="BD568" s="2"/>
    </row>
    <row r="569" spans="1:56" ht="14.25" customHeight="1">
      <c r="A569" s="8"/>
      <c r="B569" s="512" t="s">
        <v>127</v>
      </c>
      <c r="C569" s="156" t="s">
        <v>160</v>
      </c>
      <c r="D569" s="147"/>
      <c r="E569" s="147"/>
      <c r="F569" s="147"/>
      <c r="G569" s="147"/>
      <c r="H569" s="147"/>
      <c r="I569" s="147"/>
      <c r="J569" s="147"/>
      <c r="K569" s="147"/>
      <c r="L569" s="147"/>
      <c r="M569" s="147"/>
      <c r="N569" s="147"/>
      <c r="O569" s="147"/>
      <c r="P569" s="147"/>
      <c r="Q569" s="147"/>
      <c r="R569" s="147"/>
      <c r="S569" s="147"/>
      <c r="T569" s="148" t="str">
        <f t="shared" si="287"/>
        <v>0</v>
      </c>
      <c r="U569" s="148" t="str">
        <f t="shared" si="288"/>
        <v>0</v>
      </c>
      <c r="V569" s="148" t="str">
        <f t="shared" si="289"/>
        <v>0</v>
      </c>
      <c r="W569" s="148" t="str">
        <f t="shared" si="290"/>
        <v>0</v>
      </c>
      <c r="X569" s="513">
        <f>SUM(Y569:Y573)/5</f>
        <v>0</v>
      </c>
      <c r="Y569" s="152">
        <f t="shared" si="291"/>
        <v>0</v>
      </c>
      <c r="Z569" s="150" t="s">
        <v>218</v>
      </c>
      <c r="AA569" s="2"/>
      <c r="AB569" s="26"/>
      <c r="AC569" s="159" t="s">
        <v>162</v>
      </c>
      <c r="AD569" s="159" t="s">
        <v>162</v>
      </c>
      <c r="AE569" s="159" t="s">
        <v>162</v>
      </c>
      <c r="AF569" s="159" t="s">
        <v>162</v>
      </c>
      <c r="AG569" s="158" t="str">
        <f t="shared" si="292"/>
        <v>SBM-UCO</v>
      </c>
      <c r="AH569" s="153" t="s">
        <v>162</v>
      </c>
      <c r="AI569" s="2"/>
      <c r="AJ569" s="2"/>
      <c r="AK569" s="2"/>
      <c r="AL569" s="2"/>
      <c r="AM569" s="2"/>
      <c r="AN569" s="2"/>
      <c r="AO569" s="2"/>
      <c r="AP569" s="2"/>
      <c r="AQ569" s="2"/>
      <c r="AR569" s="2"/>
      <c r="AS569" s="2"/>
      <c r="AT569" s="2"/>
      <c r="AU569" s="2"/>
      <c r="AV569" s="2"/>
      <c r="AW569" s="2"/>
      <c r="AX569" s="2"/>
      <c r="AY569" s="2"/>
      <c r="AZ569" s="2"/>
      <c r="BA569" s="2"/>
      <c r="BB569" s="2"/>
      <c r="BC569" s="2"/>
      <c r="BD569" s="2"/>
    </row>
    <row r="570" spans="1:56" ht="14.25" customHeight="1">
      <c r="A570" s="8"/>
      <c r="B570" s="507"/>
      <c r="C570" s="156" t="s">
        <v>163</v>
      </c>
      <c r="D570" s="147"/>
      <c r="E570" s="147"/>
      <c r="F570" s="147"/>
      <c r="G570" s="147"/>
      <c r="H570" s="147"/>
      <c r="I570" s="147"/>
      <c r="J570" s="147"/>
      <c r="K570" s="147"/>
      <c r="L570" s="147"/>
      <c r="M570" s="147"/>
      <c r="N570" s="147"/>
      <c r="O570" s="147"/>
      <c r="P570" s="147"/>
      <c r="Q570" s="147"/>
      <c r="R570" s="147"/>
      <c r="S570" s="147"/>
      <c r="T570" s="148" t="str">
        <f t="shared" si="287"/>
        <v>0</v>
      </c>
      <c r="U570" s="148" t="str">
        <f t="shared" si="288"/>
        <v>0</v>
      </c>
      <c r="V570" s="148" t="str">
        <f t="shared" si="289"/>
        <v>0</v>
      </c>
      <c r="W570" s="148" t="str">
        <f t="shared" si="290"/>
        <v>0</v>
      </c>
      <c r="X570" s="507"/>
      <c r="Y570" s="152">
        <f t="shared" si="291"/>
        <v>0</v>
      </c>
      <c r="Z570" s="150" t="s">
        <v>169</v>
      </c>
      <c r="AA570" s="153" t="s">
        <v>204</v>
      </c>
      <c r="AB570" s="26"/>
      <c r="AC570" s="159" t="s">
        <v>162</v>
      </c>
      <c r="AD570" s="159" t="s">
        <v>162</v>
      </c>
      <c r="AE570" s="159" t="s">
        <v>162</v>
      </c>
      <c r="AF570" s="159" t="s">
        <v>162</v>
      </c>
      <c r="AG570" s="31">
        <f t="shared" si="292"/>
        <v>0</v>
      </c>
      <c r="AH570" s="153" t="s">
        <v>162</v>
      </c>
      <c r="AI570" s="2"/>
      <c r="AJ570" s="2"/>
      <c r="AK570" s="2"/>
      <c r="AL570" s="2"/>
      <c r="AM570" s="2"/>
      <c r="AN570" s="2"/>
      <c r="AO570" s="2"/>
      <c r="AP570" s="2"/>
      <c r="AQ570" s="2"/>
      <c r="AR570" s="2"/>
      <c r="AS570" s="2"/>
      <c r="AT570" s="2"/>
      <c r="AU570" s="2"/>
      <c r="AV570" s="2"/>
      <c r="AW570" s="2"/>
      <c r="AX570" s="2"/>
      <c r="AY570" s="2"/>
      <c r="AZ570" s="2"/>
      <c r="BA570" s="2"/>
      <c r="BB570" s="2"/>
      <c r="BC570" s="2"/>
      <c r="BD570" s="2"/>
    </row>
    <row r="571" spans="1:56" ht="14.25" customHeight="1">
      <c r="A571" s="8"/>
      <c r="B571" s="507"/>
      <c r="C571" s="156" t="s">
        <v>164</v>
      </c>
      <c r="D571" s="147"/>
      <c r="E571" s="147"/>
      <c r="F571" s="147"/>
      <c r="G571" s="147"/>
      <c r="H571" s="147"/>
      <c r="I571" s="147"/>
      <c r="J571" s="147"/>
      <c r="K571" s="147"/>
      <c r="L571" s="147"/>
      <c r="M571" s="147"/>
      <c r="N571" s="147"/>
      <c r="O571" s="147"/>
      <c r="P571" s="147"/>
      <c r="Q571" s="147"/>
      <c r="R571" s="147"/>
      <c r="S571" s="147"/>
      <c r="T571" s="148" t="str">
        <f t="shared" si="287"/>
        <v>0</v>
      </c>
      <c r="U571" s="148" t="str">
        <f t="shared" si="288"/>
        <v>0</v>
      </c>
      <c r="V571" s="148" t="str">
        <f t="shared" si="289"/>
        <v>0</v>
      </c>
      <c r="W571" s="148" t="str">
        <f t="shared" si="290"/>
        <v>0</v>
      </c>
      <c r="X571" s="507"/>
      <c r="Y571" s="152">
        <f t="shared" si="291"/>
        <v>0</v>
      </c>
      <c r="Z571" s="150" t="s">
        <v>169</v>
      </c>
      <c r="AA571" s="153" t="s">
        <v>205</v>
      </c>
      <c r="AB571" s="26"/>
      <c r="AC571" s="159" t="s">
        <v>162</v>
      </c>
      <c r="AD571" s="159" t="s">
        <v>162</v>
      </c>
      <c r="AE571" s="159" t="s">
        <v>162</v>
      </c>
      <c r="AF571" s="159" t="s">
        <v>162</v>
      </c>
      <c r="AG571" s="31">
        <f t="shared" si="292"/>
        <v>0</v>
      </c>
      <c r="AH571" s="153" t="s">
        <v>162</v>
      </c>
      <c r="AI571" s="2"/>
      <c r="AJ571" s="2"/>
      <c r="AK571" s="2"/>
      <c r="AL571" s="2"/>
      <c r="AM571" s="2"/>
      <c r="AN571" s="2"/>
      <c r="AO571" s="2"/>
      <c r="AP571" s="2"/>
      <c r="AQ571" s="2"/>
      <c r="AR571" s="2"/>
      <c r="AS571" s="2"/>
      <c r="AT571" s="2"/>
      <c r="AU571" s="2"/>
      <c r="AV571" s="2"/>
      <c r="AW571" s="2"/>
      <c r="AX571" s="2"/>
      <c r="AY571" s="2"/>
      <c r="AZ571" s="2"/>
      <c r="BA571" s="2"/>
      <c r="BB571" s="2"/>
      <c r="BC571" s="2"/>
      <c r="BD571" s="2"/>
    </row>
    <row r="572" spans="1:56" ht="14.25" customHeight="1">
      <c r="A572" s="8"/>
      <c r="B572" s="507"/>
      <c r="C572" s="156" t="s">
        <v>165</v>
      </c>
      <c r="D572" s="147"/>
      <c r="E572" s="147"/>
      <c r="F572" s="147"/>
      <c r="G572" s="147"/>
      <c r="H572" s="147"/>
      <c r="I572" s="147"/>
      <c r="J572" s="147"/>
      <c r="K572" s="147"/>
      <c r="L572" s="147"/>
      <c r="M572" s="147"/>
      <c r="N572" s="147"/>
      <c r="O572" s="147"/>
      <c r="P572" s="147"/>
      <c r="Q572" s="147"/>
      <c r="R572" s="147"/>
      <c r="S572" s="147"/>
      <c r="T572" s="148" t="str">
        <f t="shared" si="287"/>
        <v>0</v>
      </c>
      <c r="U572" s="148" t="str">
        <f t="shared" si="288"/>
        <v>0</v>
      </c>
      <c r="V572" s="148" t="str">
        <f t="shared" si="289"/>
        <v>0</v>
      </c>
      <c r="W572" s="148" t="str">
        <f t="shared" si="290"/>
        <v>0</v>
      </c>
      <c r="X572" s="507"/>
      <c r="Y572" s="152">
        <f t="shared" si="291"/>
        <v>0</v>
      </c>
      <c r="Z572" s="150" t="s">
        <v>169</v>
      </c>
      <c r="AA572" s="153" t="s">
        <v>206</v>
      </c>
      <c r="AB572" s="26"/>
      <c r="AC572" s="159" t="s">
        <v>162</v>
      </c>
      <c r="AD572" s="159" t="s">
        <v>162</v>
      </c>
      <c r="AE572" s="159" t="s">
        <v>162</v>
      </c>
      <c r="AF572" s="159" t="s">
        <v>162</v>
      </c>
      <c r="AG572" s="31">
        <f t="shared" si="292"/>
        <v>0</v>
      </c>
      <c r="AH572" s="153" t="s">
        <v>162</v>
      </c>
      <c r="AI572" s="2"/>
      <c r="AJ572" s="2"/>
      <c r="AK572" s="2"/>
      <c r="AL572" s="2"/>
      <c r="AM572" s="2"/>
      <c r="AN572" s="2"/>
      <c r="AO572" s="2"/>
      <c r="AP572" s="2"/>
      <c r="AQ572" s="2"/>
      <c r="AR572" s="2"/>
      <c r="AS572" s="2"/>
      <c r="AT572" s="2"/>
      <c r="AU572" s="2"/>
      <c r="AV572" s="2"/>
      <c r="AW572" s="2"/>
      <c r="AX572" s="2"/>
      <c r="AY572" s="2"/>
      <c r="AZ572" s="2"/>
      <c r="BA572" s="2"/>
      <c r="BB572" s="2"/>
      <c r="BC572" s="2"/>
      <c r="BD572" s="2"/>
    </row>
    <row r="573" spans="1:56" ht="14.25" customHeight="1">
      <c r="A573" s="8"/>
      <c r="B573" s="508"/>
      <c r="C573" s="156" t="s">
        <v>166</v>
      </c>
      <c r="D573" s="147"/>
      <c r="E573" s="147"/>
      <c r="F573" s="147"/>
      <c r="G573" s="147"/>
      <c r="H573" s="147"/>
      <c r="I573" s="147"/>
      <c r="J573" s="147"/>
      <c r="K573" s="147"/>
      <c r="L573" s="147"/>
      <c r="M573" s="147"/>
      <c r="N573" s="147"/>
      <c r="O573" s="147"/>
      <c r="P573" s="147"/>
      <c r="Q573" s="147"/>
      <c r="R573" s="147"/>
      <c r="S573" s="147"/>
      <c r="T573" s="148" t="str">
        <f t="shared" si="287"/>
        <v>0</v>
      </c>
      <c r="U573" s="148" t="str">
        <f t="shared" si="288"/>
        <v>0</v>
      </c>
      <c r="V573" s="148" t="str">
        <f t="shared" si="289"/>
        <v>0</v>
      </c>
      <c r="W573" s="148" t="str">
        <f t="shared" si="290"/>
        <v>0</v>
      </c>
      <c r="X573" s="508"/>
      <c r="Y573" s="152">
        <f t="shared" si="291"/>
        <v>0</v>
      </c>
      <c r="Z573" s="150" t="s">
        <v>169</v>
      </c>
      <c r="AA573" s="153" t="s">
        <v>207</v>
      </c>
      <c r="AB573" s="26"/>
      <c r="AC573" s="159" t="s">
        <v>162</v>
      </c>
      <c r="AD573" s="159" t="s">
        <v>162</v>
      </c>
      <c r="AE573" s="159" t="s">
        <v>162</v>
      </c>
      <c r="AF573" s="159" t="s">
        <v>162</v>
      </c>
      <c r="AG573" s="31">
        <f t="shared" si="292"/>
        <v>0</v>
      </c>
      <c r="AH573" s="153" t="s">
        <v>162</v>
      </c>
      <c r="AI573" s="2"/>
      <c r="AJ573" s="2"/>
      <c r="AK573" s="2"/>
      <c r="AL573" s="2"/>
      <c r="AM573" s="2"/>
      <c r="AN573" s="2"/>
      <c r="AO573" s="2"/>
      <c r="AP573" s="2"/>
      <c r="AQ573" s="2"/>
      <c r="AR573" s="2"/>
      <c r="AS573" s="2"/>
      <c r="AT573" s="2"/>
      <c r="AU573" s="2"/>
      <c r="AV573" s="2"/>
      <c r="AW573" s="2"/>
      <c r="AX573" s="2"/>
      <c r="AY573" s="2"/>
      <c r="AZ573" s="2"/>
      <c r="BA573" s="2"/>
      <c r="BB573" s="2"/>
      <c r="BC573" s="2"/>
      <c r="BD573" s="2"/>
    </row>
    <row r="574" spans="1:56" ht="14.25" customHeight="1">
      <c r="A574" s="8"/>
      <c r="B574" s="509" t="s">
        <v>128</v>
      </c>
      <c r="C574" s="156" t="s">
        <v>160</v>
      </c>
      <c r="D574" s="147"/>
      <c r="E574" s="147"/>
      <c r="F574" s="147"/>
      <c r="G574" s="147"/>
      <c r="H574" s="147"/>
      <c r="I574" s="147"/>
      <c r="J574" s="147"/>
      <c r="K574" s="147"/>
      <c r="L574" s="147"/>
      <c r="M574" s="147"/>
      <c r="N574" s="147"/>
      <c r="O574" s="147"/>
      <c r="P574" s="147"/>
      <c r="Q574" s="147"/>
      <c r="R574" s="147"/>
      <c r="S574" s="147"/>
      <c r="T574" s="148" t="str">
        <f t="shared" si="287"/>
        <v>0</v>
      </c>
      <c r="U574" s="148" t="str">
        <f t="shared" si="288"/>
        <v>0</v>
      </c>
      <c r="V574" s="148" t="str">
        <f t="shared" si="289"/>
        <v>0</v>
      </c>
      <c r="W574" s="148" t="str">
        <f t="shared" si="290"/>
        <v>0</v>
      </c>
      <c r="X574" s="513">
        <f>SUM(Y574:Y578)/5</f>
        <v>0</v>
      </c>
      <c r="Y574" s="152">
        <f t="shared" si="291"/>
        <v>0</v>
      </c>
      <c r="Z574" s="150" t="s">
        <v>219</v>
      </c>
      <c r="AA574" s="2"/>
      <c r="AB574" s="2"/>
      <c r="AC574" s="160" t="s">
        <v>162</v>
      </c>
      <c r="AD574" s="160" t="s">
        <v>162</v>
      </c>
      <c r="AE574" s="160" t="s">
        <v>162</v>
      </c>
      <c r="AF574" s="160" t="s">
        <v>162</v>
      </c>
      <c r="AG574" s="153" t="str">
        <f t="shared" si="292"/>
        <v>SCI-MKS</v>
      </c>
      <c r="AH574" s="153" t="s">
        <v>162</v>
      </c>
      <c r="AI574" s="2"/>
      <c r="AJ574" s="2"/>
      <c r="AK574" s="2"/>
      <c r="AL574" s="2"/>
      <c r="AM574" s="2"/>
      <c r="AN574" s="2"/>
      <c r="AO574" s="2"/>
      <c r="AP574" s="2"/>
      <c r="AQ574" s="2"/>
      <c r="AR574" s="2"/>
      <c r="AS574" s="2"/>
      <c r="AT574" s="2"/>
      <c r="AU574" s="2"/>
      <c r="AV574" s="2"/>
      <c r="AW574" s="2"/>
      <c r="AX574" s="2"/>
      <c r="AY574" s="2"/>
      <c r="AZ574" s="2"/>
      <c r="BA574" s="2"/>
      <c r="BB574" s="2"/>
      <c r="BC574" s="2"/>
      <c r="BD574" s="2"/>
    </row>
    <row r="575" spans="1:56" ht="14.25" customHeight="1">
      <c r="A575" s="8"/>
      <c r="B575" s="510"/>
      <c r="C575" s="156" t="s">
        <v>163</v>
      </c>
      <c r="D575" s="147"/>
      <c r="E575" s="147"/>
      <c r="F575" s="147"/>
      <c r="G575" s="147"/>
      <c r="H575" s="147"/>
      <c r="I575" s="147"/>
      <c r="J575" s="147"/>
      <c r="K575" s="147"/>
      <c r="L575" s="147"/>
      <c r="M575" s="147"/>
      <c r="N575" s="147"/>
      <c r="O575" s="147"/>
      <c r="P575" s="147"/>
      <c r="Q575" s="147"/>
      <c r="R575" s="147"/>
      <c r="S575" s="147"/>
      <c r="T575" s="148" t="str">
        <f t="shared" si="287"/>
        <v>0</v>
      </c>
      <c r="U575" s="148" t="str">
        <f t="shared" si="288"/>
        <v>0</v>
      </c>
      <c r="V575" s="148" t="str">
        <f t="shared" si="289"/>
        <v>0</v>
      </c>
      <c r="W575" s="148" t="str">
        <f t="shared" si="290"/>
        <v>0</v>
      </c>
      <c r="X575" s="507"/>
      <c r="Y575" s="152">
        <f t="shared" si="291"/>
        <v>0</v>
      </c>
      <c r="Z575" s="150" t="s">
        <v>169</v>
      </c>
      <c r="AA575" s="2"/>
      <c r="AB575" s="2"/>
      <c r="AC575" s="153" t="s">
        <v>162</v>
      </c>
      <c r="AD575" s="153" t="s">
        <v>162</v>
      </c>
      <c r="AE575" s="153" t="s">
        <v>162</v>
      </c>
      <c r="AF575" s="153" t="s">
        <v>162</v>
      </c>
      <c r="AG575" s="2">
        <f t="shared" si="292"/>
        <v>0</v>
      </c>
      <c r="AH575" s="153" t="s">
        <v>162</v>
      </c>
      <c r="AI575" s="2"/>
      <c r="AJ575" s="2"/>
      <c r="AK575" s="2"/>
      <c r="AL575" s="2"/>
      <c r="AM575" s="2"/>
      <c r="AN575" s="2"/>
      <c r="AO575" s="2"/>
      <c r="AP575" s="2"/>
      <c r="AQ575" s="2"/>
      <c r="AR575" s="2"/>
      <c r="AS575" s="2"/>
      <c r="AT575" s="2"/>
      <c r="AU575" s="2"/>
      <c r="AV575" s="2"/>
      <c r="AW575" s="2"/>
      <c r="AX575" s="2"/>
      <c r="AY575" s="2"/>
      <c r="AZ575" s="2"/>
      <c r="BA575" s="2"/>
      <c r="BB575" s="2"/>
      <c r="BC575" s="2"/>
      <c r="BD575" s="2"/>
    </row>
    <row r="576" spans="1:56" ht="14.25" customHeight="1">
      <c r="A576" s="8"/>
      <c r="B576" s="507"/>
      <c r="C576" s="156" t="s">
        <v>164</v>
      </c>
      <c r="D576" s="147"/>
      <c r="E576" s="147"/>
      <c r="F576" s="147"/>
      <c r="G576" s="147"/>
      <c r="H576" s="147"/>
      <c r="I576" s="147"/>
      <c r="J576" s="147"/>
      <c r="K576" s="147"/>
      <c r="L576" s="147"/>
      <c r="M576" s="147"/>
      <c r="N576" s="147"/>
      <c r="O576" s="147"/>
      <c r="P576" s="147"/>
      <c r="Q576" s="147"/>
      <c r="R576" s="147"/>
      <c r="S576" s="147"/>
      <c r="T576" s="148" t="str">
        <f t="shared" si="287"/>
        <v>0</v>
      </c>
      <c r="U576" s="148" t="str">
        <f t="shared" si="288"/>
        <v>0</v>
      </c>
      <c r="V576" s="148" t="str">
        <f t="shared" si="289"/>
        <v>0</v>
      </c>
      <c r="W576" s="148" t="str">
        <f t="shared" si="290"/>
        <v>0</v>
      </c>
      <c r="X576" s="507"/>
      <c r="Y576" s="152">
        <f t="shared" si="291"/>
        <v>0</v>
      </c>
      <c r="Z576" s="150" t="s">
        <v>169</v>
      </c>
      <c r="AA576" s="2"/>
      <c r="AB576" s="2"/>
      <c r="AC576" s="153" t="s">
        <v>162</v>
      </c>
      <c r="AD576" s="153" t="s">
        <v>162</v>
      </c>
      <c r="AE576" s="153" t="s">
        <v>162</v>
      </c>
      <c r="AF576" s="153" t="s">
        <v>162</v>
      </c>
      <c r="AG576" s="2">
        <f t="shared" si="292"/>
        <v>0</v>
      </c>
      <c r="AH576" s="153" t="s">
        <v>162</v>
      </c>
      <c r="AI576" s="2"/>
      <c r="AJ576" s="2"/>
      <c r="AK576" s="2"/>
      <c r="AL576" s="2"/>
      <c r="AM576" s="2"/>
      <c r="AN576" s="2"/>
      <c r="AO576" s="2"/>
      <c r="AP576" s="2"/>
      <c r="AQ576" s="2"/>
      <c r="AR576" s="2"/>
      <c r="AS576" s="2"/>
      <c r="AT576" s="2"/>
      <c r="AU576" s="2"/>
      <c r="AV576" s="2"/>
      <c r="AW576" s="2"/>
      <c r="AX576" s="2"/>
      <c r="AY576" s="2"/>
      <c r="AZ576" s="2"/>
      <c r="BA576" s="2"/>
      <c r="BB576" s="2"/>
      <c r="BC576" s="2"/>
      <c r="BD576" s="2"/>
    </row>
    <row r="577" spans="1:56" ht="14.25" customHeight="1">
      <c r="A577" s="8"/>
      <c r="B577" s="507"/>
      <c r="C577" s="156" t="s">
        <v>165</v>
      </c>
      <c r="D577" s="147"/>
      <c r="E577" s="147"/>
      <c r="F577" s="147"/>
      <c r="G577" s="147"/>
      <c r="H577" s="147"/>
      <c r="I577" s="147"/>
      <c r="J577" s="147"/>
      <c r="K577" s="147"/>
      <c r="L577" s="147"/>
      <c r="M577" s="147"/>
      <c r="N577" s="147"/>
      <c r="O577" s="147"/>
      <c r="P577" s="147"/>
      <c r="Q577" s="147"/>
      <c r="R577" s="147"/>
      <c r="S577" s="147"/>
      <c r="T577" s="148" t="str">
        <f t="shared" si="287"/>
        <v>0</v>
      </c>
      <c r="U577" s="148" t="str">
        <f t="shared" si="288"/>
        <v>0</v>
      </c>
      <c r="V577" s="148" t="str">
        <f t="shared" si="289"/>
        <v>0</v>
      </c>
      <c r="W577" s="148" t="str">
        <f t="shared" si="290"/>
        <v>0</v>
      </c>
      <c r="X577" s="507"/>
      <c r="Y577" s="152">
        <f t="shared" si="291"/>
        <v>0</v>
      </c>
      <c r="Z577" s="150" t="s">
        <v>169</v>
      </c>
      <c r="AA577" s="2"/>
      <c r="AB577" s="2"/>
      <c r="AC577" s="153" t="s">
        <v>162</v>
      </c>
      <c r="AD577" s="153" t="s">
        <v>162</v>
      </c>
      <c r="AE577" s="153" t="s">
        <v>162</v>
      </c>
      <c r="AF577" s="153" t="s">
        <v>162</v>
      </c>
      <c r="AG577" s="2">
        <f t="shared" si="292"/>
        <v>0</v>
      </c>
      <c r="AH577" s="153" t="s">
        <v>162</v>
      </c>
      <c r="AI577" s="2"/>
      <c r="AJ577" s="2"/>
      <c r="AK577" s="2"/>
      <c r="AL577" s="2"/>
      <c r="AM577" s="2"/>
      <c r="AN577" s="2"/>
      <c r="AO577" s="2"/>
      <c r="AP577" s="2"/>
      <c r="AQ577" s="2"/>
      <c r="AR577" s="2"/>
      <c r="AS577" s="2"/>
      <c r="AT577" s="2"/>
      <c r="AU577" s="2"/>
      <c r="AV577" s="2"/>
      <c r="AW577" s="2"/>
      <c r="AX577" s="2"/>
      <c r="AY577" s="2"/>
      <c r="AZ577" s="2"/>
      <c r="BA577" s="2"/>
      <c r="BB577" s="2"/>
      <c r="BC577" s="2"/>
      <c r="BD577" s="2"/>
    </row>
    <row r="578" spans="1:56" ht="14.25" customHeight="1">
      <c r="A578" s="8"/>
      <c r="B578" s="508"/>
      <c r="C578" s="156" t="s">
        <v>166</v>
      </c>
      <c r="D578" s="147"/>
      <c r="E578" s="147"/>
      <c r="F578" s="147"/>
      <c r="G578" s="147"/>
      <c r="H578" s="147"/>
      <c r="I578" s="147"/>
      <c r="J578" s="147"/>
      <c r="K578" s="147"/>
      <c r="L578" s="147"/>
      <c r="M578" s="147"/>
      <c r="N578" s="147"/>
      <c r="O578" s="147"/>
      <c r="P578" s="147"/>
      <c r="Q578" s="147"/>
      <c r="R578" s="147"/>
      <c r="S578" s="147"/>
      <c r="T578" s="148" t="str">
        <f t="shared" si="287"/>
        <v>0</v>
      </c>
      <c r="U578" s="148" t="str">
        <f t="shared" si="288"/>
        <v>0</v>
      </c>
      <c r="V578" s="148" t="str">
        <f t="shared" si="289"/>
        <v>0</v>
      </c>
      <c r="W578" s="148" t="str">
        <f t="shared" si="290"/>
        <v>0</v>
      </c>
      <c r="X578" s="508"/>
      <c r="Y578" s="152">
        <f t="shared" si="291"/>
        <v>0</v>
      </c>
      <c r="Z578" s="150" t="s">
        <v>169</v>
      </c>
      <c r="AA578" s="2"/>
      <c r="AB578" s="2"/>
      <c r="AC578" s="161" t="s">
        <v>162</v>
      </c>
      <c r="AD578" s="161" t="s">
        <v>162</v>
      </c>
      <c r="AE578" s="161" t="s">
        <v>162</v>
      </c>
      <c r="AF578" s="161" t="s">
        <v>162</v>
      </c>
      <c r="AG578" s="2">
        <f t="shared" si="292"/>
        <v>0</v>
      </c>
      <c r="AH578" s="153" t="s">
        <v>162</v>
      </c>
      <c r="AI578" s="2"/>
      <c r="AJ578" s="2"/>
      <c r="AK578" s="2"/>
      <c r="AL578" s="2"/>
      <c r="AM578" s="2"/>
      <c r="AN578" s="2"/>
      <c r="AO578" s="2"/>
      <c r="AP578" s="2"/>
      <c r="AQ578" s="2"/>
      <c r="AR578" s="2"/>
      <c r="AS578" s="2"/>
      <c r="AT578" s="2"/>
      <c r="AU578" s="2"/>
      <c r="AV578" s="2"/>
      <c r="AW578" s="2"/>
      <c r="AX578" s="2"/>
      <c r="AY578" s="2"/>
      <c r="AZ578" s="2"/>
      <c r="BA578" s="2"/>
      <c r="BB578" s="2"/>
      <c r="BC578" s="2"/>
      <c r="BD578" s="2"/>
    </row>
    <row r="579" spans="1:56" ht="14.25" customHeight="1">
      <c r="A579" s="8"/>
      <c r="B579" s="506" t="s">
        <v>129</v>
      </c>
      <c r="C579" s="156" t="s">
        <v>160</v>
      </c>
      <c r="D579" s="147"/>
      <c r="E579" s="147"/>
      <c r="F579" s="147"/>
      <c r="G579" s="147"/>
      <c r="H579" s="147"/>
      <c r="I579" s="147"/>
      <c r="J579" s="147"/>
      <c r="K579" s="147"/>
      <c r="L579" s="147"/>
      <c r="M579" s="147"/>
      <c r="N579" s="147"/>
      <c r="O579" s="147"/>
      <c r="P579" s="147"/>
      <c r="Q579" s="147"/>
      <c r="R579" s="147"/>
      <c r="S579" s="147"/>
      <c r="T579" s="148" t="str">
        <f t="shared" si="287"/>
        <v>0</v>
      </c>
      <c r="U579" s="148" t="str">
        <f t="shared" si="288"/>
        <v>0</v>
      </c>
      <c r="V579" s="148" t="str">
        <f t="shared" si="289"/>
        <v>0</v>
      </c>
      <c r="W579" s="148" t="str">
        <f t="shared" si="290"/>
        <v>0</v>
      </c>
      <c r="X579" s="513">
        <f>SUM(Y579:Y583)/5</f>
        <v>0</v>
      </c>
      <c r="Y579" s="152">
        <f t="shared" si="291"/>
        <v>0</v>
      </c>
      <c r="Z579" s="150" t="s">
        <v>220</v>
      </c>
      <c r="AA579" s="2"/>
      <c r="AB579" s="26"/>
      <c r="AC579" s="159" t="s">
        <v>162</v>
      </c>
      <c r="AD579" s="159" t="s">
        <v>162</v>
      </c>
      <c r="AE579" s="159" t="s">
        <v>162</v>
      </c>
      <c r="AF579" s="159" t="s">
        <v>162</v>
      </c>
      <c r="AG579" s="158" t="str">
        <f t="shared" si="292"/>
        <v>SCI+SCI-MKS</v>
      </c>
      <c r="AH579" s="153" t="s">
        <v>162</v>
      </c>
      <c r="AI579" s="2"/>
      <c r="AJ579" s="2"/>
      <c r="AK579" s="2"/>
      <c r="AL579" s="2"/>
      <c r="AM579" s="2"/>
      <c r="AN579" s="2"/>
      <c r="AO579" s="2"/>
      <c r="AP579" s="2"/>
      <c r="AQ579" s="2"/>
      <c r="AR579" s="2"/>
      <c r="AS579" s="2"/>
      <c r="AT579" s="2"/>
      <c r="AU579" s="2"/>
      <c r="AV579" s="2"/>
      <c r="AW579" s="2"/>
      <c r="AX579" s="2"/>
      <c r="AY579" s="2"/>
      <c r="AZ579" s="2"/>
      <c r="BA579" s="2"/>
      <c r="BB579" s="2"/>
      <c r="BC579" s="2"/>
      <c r="BD579" s="2"/>
    </row>
    <row r="580" spans="1:56" ht="14.25" customHeight="1">
      <c r="A580" s="8"/>
      <c r="B580" s="507"/>
      <c r="C580" s="156" t="s">
        <v>163</v>
      </c>
      <c r="D580" s="147"/>
      <c r="E580" s="147"/>
      <c r="F580" s="147"/>
      <c r="G580" s="147"/>
      <c r="H580" s="147"/>
      <c r="I580" s="147"/>
      <c r="J580" s="147"/>
      <c r="K580" s="147"/>
      <c r="L580" s="147"/>
      <c r="M580" s="147"/>
      <c r="N580" s="147"/>
      <c r="O580" s="147"/>
      <c r="P580" s="147"/>
      <c r="Q580" s="147"/>
      <c r="R580" s="147"/>
      <c r="S580" s="147"/>
      <c r="T580" s="148" t="str">
        <f t="shared" si="287"/>
        <v>0</v>
      </c>
      <c r="U580" s="148" t="str">
        <f t="shared" si="288"/>
        <v>0</v>
      </c>
      <c r="V580" s="148" t="str">
        <f t="shared" si="289"/>
        <v>0</v>
      </c>
      <c r="W580" s="148" t="str">
        <f t="shared" si="290"/>
        <v>0</v>
      </c>
      <c r="X580" s="507"/>
      <c r="Y580" s="152">
        <f t="shared" si="291"/>
        <v>0</v>
      </c>
      <c r="Z580" s="150" t="s">
        <v>169</v>
      </c>
      <c r="AA580" s="2"/>
      <c r="AB580" s="26"/>
      <c r="AC580" s="159" t="s">
        <v>162</v>
      </c>
      <c r="AD580" s="159" t="s">
        <v>162</v>
      </c>
      <c r="AE580" s="159" t="s">
        <v>162</v>
      </c>
      <c r="AF580" s="159" t="s">
        <v>162</v>
      </c>
      <c r="AG580" s="31">
        <f t="shared" si="292"/>
        <v>0</v>
      </c>
      <c r="AH580" s="153" t="s">
        <v>162</v>
      </c>
      <c r="AI580" s="2"/>
      <c r="AJ580" s="2"/>
      <c r="AK580" s="2"/>
      <c r="AL580" s="2"/>
      <c r="AM580" s="2"/>
      <c r="AN580" s="2"/>
      <c r="AO580" s="2"/>
      <c r="AP580" s="2"/>
      <c r="AQ580" s="2"/>
      <c r="AR580" s="2"/>
      <c r="AS580" s="2"/>
      <c r="AT580" s="2"/>
      <c r="AU580" s="2"/>
      <c r="AV580" s="2"/>
      <c r="AW580" s="2"/>
      <c r="AX580" s="2"/>
      <c r="AY580" s="2"/>
      <c r="AZ580" s="2"/>
      <c r="BA580" s="2"/>
      <c r="BB580" s="2"/>
      <c r="BC580" s="2"/>
      <c r="BD580" s="2"/>
    </row>
    <row r="581" spans="1:56" ht="14.25" customHeight="1">
      <c r="A581" s="8"/>
      <c r="B581" s="507"/>
      <c r="C581" s="156" t="s">
        <v>164</v>
      </c>
      <c r="D581" s="147"/>
      <c r="E581" s="147"/>
      <c r="F581" s="147"/>
      <c r="G581" s="147"/>
      <c r="H581" s="147"/>
      <c r="I581" s="147"/>
      <c r="J581" s="147"/>
      <c r="K581" s="147"/>
      <c r="L581" s="147"/>
      <c r="M581" s="147"/>
      <c r="N581" s="147"/>
      <c r="O581" s="147"/>
      <c r="P581" s="147"/>
      <c r="Q581" s="147"/>
      <c r="R581" s="147"/>
      <c r="S581" s="147"/>
      <c r="T581" s="148" t="str">
        <f t="shared" si="287"/>
        <v>0</v>
      </c>
      <c r="U581" s="148" t="str">
        <f t="shared" si="288"/>
        <v>0</v>
      </c>
      <c r="V581" s="148" t="str">
        <f t="shared" si="289"/>
        <v>0</v>
      </c>
      <c r="W581" s="148" t="str">
        <f t="shared" si="290"/>
        <v>0</v>
      </c>
      <c r="X581" s="507"/>
      <c r="Y581" s="152">
        <f t="shared" si="291"/>
        <v>0</v>
      </c>
      <c r="Z581" s="150" t="s">
        <v>169</v>
      </c>
      <c r="AA581" s="2"/>
      <c r="AB581" s="26"/>
      <c r="AC581" s="159" t="s">
        <v>162</v>
      </c>
      <c r="AD581" s="159" t="s">
        <v>162</v>
      </c>
      <c r="AE581" s="159" t="s">
        <v>162</v>
      </c>
      <c r="AF581" s="159" t="s">
        <v>162</v>
      </c>
      <c r="AG581" s="31">
        <f t="shared" si="292"/>
        <v>0</v>
      </c>
      <c r="AH581" s="153" t="s">
        <v>162</v>
      </c>
      <c r="AI581" s="2"/>
      <c r="AJ581" s="2"/>
      <c r="AK581" s="2"/>
      <c r="AL581" s="2"/>
      <c r="AM581" s="2"/>
      <c r="AN581" s="2"/>
      <c r="AO581" s="2"/>
      <c r="AP581" s="2"/>
      <c r="AQ581" s="2"/>
      <c r="AR581" s="2"/>
      <c r="AS581" s="2"/>
      <c r="AT581" s="2"/>
      <c r="AU581" s="2"/>
      <c r="AV581" s="2"/>
      <c r="AW581" s="2"/>
      <c r="AX581" s="2"/>
      <c r="AY581" s="2"/>
      <c r="AZ581" s="2"/>
      <c r="BA581" s="2"/>
      <c r="BB581" s="2"/>
      <c r="BC581" s="2"/>
      <c r="BD581" s="2"/>
    </row>
    <row r="582" spans="1:56" ht="14.25" customHeight="1">
      <c r="A582" s="8"/>
      <c r="B582" s="507"/>
      <c r="C582" s="156" t="s">
        <v>165</v>
      </c>
      <c r="D582" s="147"/>
      <c r="E582" s="147"/>
      <c r="F582" s="147"/>
      <c r="G582" s="147"/>
      <c r="H582" s="147"/>
      <c r="I582" s="147"/>
      <c r="J582" s="147"/>
      <c r="K582" s="147"/>
      <c r="L582" s="147"/>
      <c r="M582" s="147"/>
      <c r="N582" s="147"/>
      <c r="O582" s="147"/>
      <c r="P582" s="147"/>
      <c r="Q582" s="147"/>
      <c r="R582" s="147"/>
      <c r="S582" s="147"/>
      <c r="T582" s="148" t="str">
        <f t="shared" si="287"/>
        <v>0</v>
      </c>
      <c r="U582" s="148" t="str">
        <f t="shared" si="288"/>
        <v>0</v>
      </c>
      <c r="V582" s="148" t="str">
        <f t="shared" si="289"/>
        <v>0</v>
      </c>
      <c r="W582" s="148" t="str">
        <f t="shared" si="290"/>
        <v>0</v>
      </c>
      <c r="X582" s="507"/>
      <c r="Y582" s="152">
        <f t="shared" si="291"/>
        <v>0</v>
      </c>
      <c r="Z582" s="150" t="s">
        <v>169</v>
      </c>
      <c r="AA582" s="2"/>
      <c r="AB582" s="26"/>
      <c r="AC582" s="159" t="s">
        <v>162</v>
      </c>
      <c r="AD582" s="159" t="s">
        <v>162</v>
      </c>
      <c r="AE582" s="159" t="s">
        <v>162</v>
      </c>
      <c r="AF582" s="159" t="s">
        <v>162</v>
      </c>
      <c r="AG582" s="31">
        <f t="shared" si="292"/>
        <v>0</v>
      </c>
      <c r="AH582" s="153" t="s">
        <v>162</v>
      </c>
      <c r="AI582" s="2"/>
      <c r="AJ582" s="2"/>
      <c r="AK582" s="2"/>
      <c r="AL582" s="2"/>
      <c r="AM582" s="2"/>
      <c r="AN582" s="2"/>
      <c r="AO582" s="2"/>
      <c r="AP582" s="2"/>
      <c r="AQ582" s="2"/>
      <c r="AR582" s="2"/>
      <c r="AS582" s="2"/>
      <c r="AT582" s="2"/>
      <c r="AU582" s="2"/>
      <c r="AV582" s="2"/>
      <c r="AW582" s="2"/>
      <c r="AX582" s="2"/>
      <c r="AY582" s="2"/>
      <c r="AZ582" s="2"/>
      <c r="BA582" s="2"/>
      <c r="BB582" s="2"/>
      <c r="BC582" s="2"/>
      <c r="BD582" s="2"/>
    </row>
    <row r="583" spans="1:56" ht="14.25" customHeight="1">
      <c r="A583" s="8"/>
      <c r="B583" s="508"/>
      <c r="C583" s="156" t="s">
        <v>166</v>
      </c>
      <c r="D583" s="147"/>
      <c r="E583" s="147"/>
      <c r="F583" s="147"/>
      <c r="G583" s="147"/>
      <c r="H583" s="147"/>
      <c r="I583" s="147"/>
      <c r="J583" s="147"/>
      <c r="K583" s="147"/>
      <c r="L583" s="147"/>
      <c r="M583" s="147"/>
      <c r="N583" s="147"/>
      <c r="O583" s="147"/>
      <c r="P583" s="147"/>
      <c r="Q583" s="147"/>
      <c r="R583" s="147"/>
      <c r="S583" s="147"/>
      <c r="T583" s="148" t="str">
        <f t="shared" si="287"/>
        <v>0</v>
      </c>
      <c r="U583" s="148" t="str">
        <f t="shared" si="288"/>
        <v>0</v>
      </c>
      <c r="V583" s="148" t="str">
        <f t="shared" si="289"/>
        <v>0</v>
      </c>
      <c r="W583" s="148" t="str">
        <f t="shared" si="290"/>
        <v>0</v>
      </c>
      <c r="X583" s="508"/>
      <c r="Y583" s="152">
        <f t="shared" si="291"/>
        <v>0</v>
      </c>
      <c r="Z583" s="150" t="s">
        <v>169</v>
      </c>
      <c r="AA583" s="2"/>
      <c r="AB583" s="26"/>
      <c r="AC583" s="159" t="s">
        <v>162</v>
      </c>
      <c r="AD583" s="159" t="s">
        <v>162</v>
      </c>
      <c r="AE583" s="159" t="s">
        <v>162</v>
      </c>
      <c r="AF583" s="159" t="s">
        <v>162</v>
      </c>
      <c r="AG583" s="31">
        <f t="shared" si="292"/>
        <v>0</v>
      </c>
      <c r="AH583" s="153" t="s">
        <v>162</v>
      </c>
      <c r="AI583" s="2"/>
      <c r="AJ583" s="2"/>
      <c r="AK583" s="2"/>
      <c r="AL583" s="2"/>
      <c r="AM583" s="2"/>
      <c r="AN583" s="2"/>
      <c r="AO583" s="2"/>
      <c r="AP583" s="2"/>
      <c r="AQ583" s="2"/>
      <c r="AR583" s="2"/>
      <c r="AS583" s="2"/>
      <c r="AT583" s="2"/>
      <c r="AU583" s="2"/>
      <c r="AV583" s="2"/>
      <c r="AW583" s="2"/>
      <c r="AX583" s="2"/>
      <c r="AY583" s="2"/>
      <c r="AZ583" s="2"/>
      <c r="BA583" s="2"/>
      <c r="BB583" s="2"/>
      <c r="BC583" s="2"/>
      <c r="BD583" s="2"/>
    </row>
    <row r="584" spans="1:56" ht="14.25" customHeight="1">
      <c r="A584" s="8"/>
      <c r="B584" s="506" t="s">
        <v>130</v>
      </c>
      <c r="C584" s="156" t="s">
        <v>160</v>
      </c>
      <c r="D584" s="147"/>
      <c r="E584" s="147"/>
      <c r="F584" s="147"/>
      <c r="G584" s="147"/>
      <c r="H584" s="147"/>
      <c r="I584" s="147"/>
      <c r="J584" s="147"/>
      <c r="K584" s="147"/>
      <c r="L584" s="147"/>
      <c r="M584" s="147"/>
      <c r="N584" s="147"/>
      <c r="O584" s="147"/>
      <c r="P584" s="147"/>
      <c r="Q584" s="147"/>
      <c r="R584" s="147"/>
      <c r="S584" s="147"/>
      <c r="T584" s="148" t="str">
        <f t="shared" si="287"/>
        <v>0</v>
      </c>
      <c r="U584" s="148" t="str">
        <f t="shared" si="288"/>
        <v>0</v>
      </c>
      <c r="V584" s="148" t="str">
        <f t="shared" si="289"/>
        <v>0</v>
      </c>
      <c r="W584" s="148" t="str">
        <f t="shared" si="290"/>
        <v>0</v>
      </c>
      <c r="X584" s="513">
        <f>SUM(Y584:Y588)/5</f>
        <v>0</v>
      </c>
      <c r="Y584" s="152">
        <f t="shared" si="291"/>
        <v>0</v>
      </c>
      <c r="Z584" s="150" t="s">
        <v>221</v>
      </c>
      <c r="AA584" s="2"/>
      <c r="AB584" s="2"/>
      <c r="AC584" s="160" t="s">
        <v>162</v>
      </c>
      <c r="AD584" s="160" t="s">
        <v>162</v>
      </c>
      <c r="AE584" s="160" t="s">
        <v>162</v>
      </c>
      <c r="AF584" s="160" t="s">
        <v>162</v>
      </c>
      <c r="AG584" s="153" t="str">
        <f t="shared" si="292"/>
        <v>SIFT-UC</v>
      </c>
      <c r="AH584" s="153" t="s">
        <v>162</v>
      </c>
      <c r="AI584" s="2"/>
      <c r="AJ584" s="2"/>
      <c r="AK584" s="2"/>
      <c r="AL584" s="2"/>
      <c r="AM584" s="2"/>
      <c r="AN584" s="2"/>
      <c r="AO584" s="2"/>
      <c r="AP584" s="2"/>
      <c r="AQ584" s="2"/>
      <c r="AR584" s="2"/>
      <c r="AS584" s="2"/>
      <c r="AT584" s="2"/>
      <c r="AU584" s="2"/>
      <c r="AV584" s="2"/>
      <c r="AW584" s="2"/>
      <c r="AX584" s="2"/>
      <c r="AY584" s="2"/>
      <c r="AZ584" s="2"/>
      <c r="BA584" s="2"/>
      <c r="BB584" s="2"/>
      <c r="BC584" s="2"/>
      <c r="BD584" s="2"/>
    </row>
    <row r="585" spans="1:56" ht="14.25" customHeight="1">
      <c r="A585" s="8"/>
      <c r="B585" s="507"/>
      <c r="C585" s="156" t="s">
        <v>163</v>
      </c>
      <c r="D585" s="147"/>
      <c r="E585" s="147"/>
      <c r="F585" s="147"/>
      <c r="G585" s="147"/>
      <c r="H585" s="147"/>
      <c r="I585" s="147"/>
      <c r="J585" s="147"/>
      <c r="K585" s="147"/>
      <c r="L585" s="147"/>
      <c r="M585" s="147"/>
      <c r="N585" s="147"/>
      <c r="O585" s="147"/>
      <c r="P585" s="147"/>
      <c r="Q585" s="147"/>
      <c r="R585" s="147"/>
      <c r="S585" s="147"/>
      <c r="T585" s="148" t="str">
        <f t="shared" si="287"/>
        <v>0</v>
      </c>
      <c r="U585" s="148" t="str">
        <f t="shared" si="288"/>
        <v>0</v>
      </c>
      <c r="V585" s="148" t="str">
        <f t="shared" si="289"/>
        <v>0</v>
      </c>
      <c r="W585" s="148" t="str">
        <f t="shared" si="290"/>
        <v>0</v>
      </c>
      <c r="X585" s="507"/>
      <c r="Y585" s="152">
        <f t="shared" si="291"/>
        <v>0</v>
      </c>
      <c r="Z585" s="150" t="s">
        <v>169</v>
      </c>
      <c r="AA585" s="2"/>
      <c r="AB585" s="2"/>
      <c r="AC585" s="153" t="s">
        <v>162</v>
      </c>
      <c r="AD585" s="153" t="s">
        <v>162</v>
      </c>
      <c r="AE585" s="153" t="s">
        <v>162</v>
      </c>
      <c r="AF585" s="153" t="s">
        <v>162</v>
      </c>
      <c r="AG585" s="2">
        <f t="shared" si="292"/>
        <v>0</v>
      </c>
      <c r="AH585" s="153" t="s">
        <v>162</v>
      </c>
      <c r="AI585" s="2"/>
      <c r="AJ585" s="2"/>
      <c r="AK585" s="2"/>
      <c r="AL585" s="2"/>
      <c r="AM585" s="2"/>
      <c r="AN585" s="2"/>
      <c r="AO585" s="2"/>
      <c r="AP585" s="2"/>
      <c r="AQ585" s="2"/>
      <c r="AR585" s="2"/>
      <c r="AS585" s="2"/>
      <c r="AT585" s="2"/>
      <c r="AU585" s="2"/>
      <c r="AV585" s="2"/>
      <c r="AW585" s="2"/>
      <c r="AX585" s="2"/>
      <c r="AY585" s="2"/>
      <c r="AZ585" s="2"/>
      <c r="BA585" s="2"/>
      <c r="BB585" s="2"/>
      <c r="BC585" s="2"/>
      <c r="BD585" s="2"/>
    </row>
    <row r="586" spans="1:56" ht="14.25" customHeight="1">
      <c r="A586" s="8"/>
      <c r="B586" s="507"/>
      <c r="C586" s="156" t="s">
        <v>164</v>
      </c>
      <c r="D586" s="147"/>
      <c r="E586" s="147"/>
      <c r="F586" s="147"/>
      <c r="G586" s="147"/>
      <c r="H586" s="147"/>
      <c r="I586" s="147"/>
      <c r="J586" s="147"/>
      <c r="K586" s="147"/>
      <c r="L586" s="147"/>
      <c r="M586" s="147"/>
      <c r="N586" s="147"/>
      <c r="O586" s="147"/>
      <c r="P586" s="147"/>
      <c r="Q586" s="147"/>
      <c r="R586" s="147"/>
      <c r="S586" s="147"/>
      <c r="T586" s="148" t="str">
        <f t="shared" si="287"/>
        <v>0</v>
      </c>
      <c r="U586" s="148" t="str">
        <f t="shared" si="288"/>
        <v>0</v>
      </c>
      <c r="V586" s="148" t="str">
        <f t="shared" si="289"/>
        <v>0</v>
      </c>
      <c r="W586" s="148" t="str">
        <f t="shared" si="290"/>
        <v>0</v>
      </c>
      <c r="X586" s="507"/>
      <c r="Y586" s="152">
        <f t="shared" si="291"/>
        <v>0</v>
      </c>
      <c r="Z586" s="150" t="s">
        <v>169</v>
      </c>
      <c r="AA586" s="2"/>
      <c r="AB586" s="2"/>
      <c r="AC586" s="153" t="s">
        <v>162</v>
      </c>
      <c r="AD586" s="153" t="s">
        <v>162</v>
      </c>
      <c r="AE586" s="153" t="s">
        <v>162</v>
      </c>
      <c r="AF586" s="153" t="s">
        <v>162</v>
      </c>
      <c r="AG586" s="2">
        <f t="shared" si="292"/>
        <v>0</v>
      </c>
      <c r="AH586" s="153" t="s">
        <v>162</v>
      </c>
      <c r="AI586" s="2"/>
      <c r="AJ586" s="2"/>
      <c r="AK586" s="2"/>
      <c r="AL586" s="2"/>
      <c r="AM586" s="2"/>
      <c r="AN586" s="2"/>
      <c r="AO586" s="2"/>
      <c r="AP586" s="2"/>
      <c r="AQ586" s="2"/>
      <c r="AR586" s="2"/>
      <c r="AS586" s="2"/>
      <c r="AT586" s="2"/>
      <c r="AU586" s="2"/>
      <c r="AV586" s="2"/>
      <c r="AW586" s="2"/>
      <c r="AX586" s="2"/>
      <c r="AY586" s="2"/>
      <c r="AZ586" s="2"/>
      <c r="BA586" s="2"/>
      <c r="BB586" s="2"/>
      <c r="BC586" s="2"/>
      <c r="BD586" s="2"/>
    </row>
    <row r="587" spans="1:56" ht="14.25" customHeight="1">
      <c r="A587" s="8"/>
      <c r="B587" s="507"/>
      <c r="C587" s="156" t="s">
        <v>165</v>
      </c>
      <c r="D587" s="147"/>
      <c r="E587" s="147"/>
      <c r="F587" s="147"/>
      <c r="G587" s="147"/>
      <c r="H587" s="147"/>
      <c r="I587" s="147"/>
      <c r="J587" s="147"/>
      <c r="K587" s="147"/>
      <c r="L587" s="147"/>
      <c r="M587" s="147"/>
      <c r="N587" s="147"/>
      <c r="O587" s="147"/>
      <c r="P587" s="147"/>
      <c r="Q587" s="147"/>
      <c r="R587" s="147"/>
      <c r="S587" s="147"/>
      <c r="T587" s="148" t="str">
        <f t="shared" si="287"/>
        <v>0</v>
      </c>
      <c r="U587" s="148" t="str">
        <f t="shared" si="288"/>
        <v>0</v>
      </c>
      <c r="V587" s="148" t="str">
        <f t="shared" si="289"/>
        <v>0</v>
      </c>
      <c r="W587" s="148" t="str">
        <f t="shared" si="290"/>
        <v>0</v>
      </c>
      <c r="X587" s="507"/>
      <c r="Y587" s="152">
        <f t="shared" si="291"/>
        <v>0</v>
      </c>
      <c r="Z587" s="150" t="s">
        <v>169</v>
      </c>
      <c r="AA587" s="2"/>
      <c r="AB587" s="2"/>
      <c r="AC587" s="153" t="s">
        <v>162</v>
      </c>
      <c r="AD587" s="153" t="s">
        <v>162</v>
      </c>
      <c r="AE587" s="153" t="s">
        <v>162</v>
      </c>
      <c r="AF587" s="153" t="s">
        <v>162</v>
      </c>
      <c r="AG587" s="2">
        <f t="shared" si="292"/>
        <v>0</v>
      </c>
      <c r="AH587" s="153" t="s">
        <v>162</v>
      </c>
      <c r="AI587" s="2"/>
      <c r="AJ587" s="2"/>
      <c r="AK587" s="2"/>
      <c r="AL587" s="2"/>
      <c r="AM587" s="2"/>
      <c r="AN587" s="2"/>
      <c r="AO587" s="2"/>
      <c r="AP587" s="2"/>
      <c r="AQ587" s="2"/>
      <c r="AR587" s="2"/>
      <c r="AS587" s="2"/>
      <c r="AT587" s="2"/>
      <c r="AU587" s="2"/>
      <c r="AV587" s="2"/>
      <c r="AW587" s="2"/>
      <c r="AX587" s="2"/>
      <c r="AY587" s="2"/>
      <c r="AZ587" s="2"/>
      <c r="BA587" s="2"/>
      <c r="BB587" s="2"/>
      <c r="BC587" s="2"/>
      <c r="BD587" s="2"/>
    </row>
    <row r="588" spans="1:56" ht="14.25" customHeight="1">
      <c r="A588" s="8"/>
      <c r="B588" s="508"/>
      <c r="C588" s="156" t="s">
        <v>166</v>
      </c>
      <c r="D588" s="147"/>
      <c r="E588" s="147"/>
      <c r="F588" s="147"/>
      <c r="G588" s="147"/>
      <c r="H588" s="147"/>
      <c r="I588" s="147"/>
      <c r="J588" s="147"/>
      <c r="K588" s="147"/>
      <c r="L588" s="147"/>
      <c r="M588" s="147"/>
      <c r="N588" s="147"/>
      <c r="O588" s="147"/>
      <c r="P588" s="147"/>
      <c r="Q588" s="147"/>
      <c r="R588" s="147"/>
      <c r="S588" s="147"/>
      <c r="T588" s="148" t="str">
        <f t="shared" si="287"/>
        <v>0</v>
      </c>
      <c r="U588" s="148" t="str">
        <f t="shared" si="288"/>
        <v>0</v>
      </c>
      <c r="V588" s="148" t="str">
        <f t="shared" si="289"/>
        <v>0</v>
      </c>
      <c r="W588" s="148" t="str">
        <f t="shared" si="290"/>
        <v>0</v>
      </c>
      <c r="X588" s="508"/>
      <c r="Y588" s="152">
        <f t="shared" si="291"/>
        <v>0</v>
      </c>
      <c r="Z588" s="150" t="s">
        <v>169</v>
      </c>
      <c r="AA588" s="2"/>
      <c r="AB588" s="2"/>
      <c r="AC588" s="161" t="s">
        <v>162</v>
      </c>
      <c r="AD588" s="161" t="s">
        <v>162</v>
      </c>
      <c r="AE588" s="161" t="s">
        <v>162</v>
      </c>
      <c r="AF588" s="161" t="s">
        <v>162</v>
      </c>
      <c r="AG588" s="2">
        <f t="shared" si="292"/>
        <v>0</v>
      </c>
      <c r="AH588" s="153" t="s">
        <v>162</v>
      </c>
      <c r="AI588" s="2"/>
      <c r="AJ588" s="2"/>
      <c r="AK588" s="2"/>
      <c r="AL588" s="2"/>
      <c r="AM588" s="2"/>
      <c r="AN588" s="2"/>
      <c r="AO588" s="2"/>
      <c r="AP588" s="2"/>
      <c r="AQ588" s="2"/>
      <c r="AR588" s="2"/>
      <c r="AS588" s="2"/>
      <c r="AT588" s="2"/>
      <c r="AU588" s="2"/>
      <c r="AV588" s="2"/>
      <c r="AW588" s="2"/>
      <c r="AX588" s="2"/>
      <c r="AY588" s="2"/>
      <c r="AZ588" s="2"/>
      <c r="BA588" s="2"/>
      <c r="BB588" s="2"/>
      <c r="BC588" s="2"/>
      <c r="BD588" s="2"/>
    </row>
    <row r="589" spans="1:56" ht="14.25" customHeight="1">
      <c r="A589" s="8"/>
      <c r="B589" s="506" t="s">
        <v>131</v>
      </c>
      <c r="C589" s="156" t="s">
        <v>160</v>
      </c>
      <c r="D589" s="147"/>
      <c r="E589" s="147"/>
      <c r="F589" s="147"/>
      <c r="G589" s="147"/>
      <c r="H589" s="147"/>
      <c r="I589" s="147"/>
      <c r="J589" s="147"/>
      <c r="K589" s="147"/>
      <c r="L589" s="147"/>
      <c r="M589" s="147"/>
      <c r="N589" s="147"/>
      <c r="O589" s="147"/>
      <c r="P589" s="147"/>
      <c r="Q589" s="147"/>
      <c r="R589" s="147"/>
      <c r="S589" s="147"/>
      <c r="T589" s="148" t="str">
        <f t="shared" si="287"/>
        <v>0</v>
      </c>
      <c r="U589" s="148" t="str">
        <f t="shared" si="288"/>
        <v>0</v>
      </c>
      <c r="V589" s="148" t="str">
        <f t="shared" si="289"/>
        <v>0</v>
      </c>
      <c r="W589" s="148" t="str">
        <f t="shared" si="290"/>
        <v>0</v>
      </c>
      <c r="X589" s="513">
        <f>SUM(Y589:Y593)/5</f>
        <v>0</v>
      </c>
      <c r="Y589" s="152">
        <f t="shared" si="291"/>
        <v>0</v>
      </c>
      <c r="Z589" s="150" t="s">
        <v>222</v>
      </c>
      <c r="AA589" s="2"/>
      <c r="AB589" s="26"/>
      <c r="AC589" s="159" t="s">
        <v>162</v>
      </c>
      <c r="AD589" s="159" t="s">
        <v>162</v>
      </c>
      <c r="AE589" s="159" t="s">
        <v>162</v>
      </c>
      <c r="AF589" s="159" t="s">
        <v>162</v>
      </c>
      <c r="AG589" s="158" t="str">
        <f t="shared" si="292"/>
        <v>SIFT-UCO</v>
      </c>
      <c r="AH589" s="153" t="s">
        <v>162</v>
      </c>
      <c r="AI589" s="2"/>
      <c r="AJ589" s="2"/>
      <c r="AK589" s="2"/>
      <c r="AL589" s="2"/>
      <c r="AM589" s="2"/>
      <c r="AN589" s="2"/>
      <c r="AO589" s="2"/>
      <c r="AP589" s="2"/>
      <c r="AQ589" s="2"/>
      <c r="AR589" s="2"/>
      <c r="AS589" s="2"/>
      <c r="AT589" s="2"/>
      <c r="AU589" s="2"/>
      <c r="AV589" s="2"/>
      <c r="AW589" s="2"/>
      <c r="AX589" s="2"/>
      <c r="AY589" s="2"/>
      <c r="AZ589" s="2"/>
      <c r="BA589" s="2"/>
      <c r="BB589" s="2"/>
      <c r="BC589" s="2"/>
      <c r="BD589" s="2"/>
    </row>
    <row r="590" spans="1:56" ht="14.25" customHeight="1">
      <c r="A590" s="8"/>
      <c r="B590" s="507"/>
      <c r="C590" s="156" t="s">
        <v>163</v>
      </c>
      <c r="D590" s="147"/>
      <c r="E590" s="147"/>
      <c r="F590" s="147"/>
      <c r="G590" s="147"/>
      <c r="H590" s="147"/>
      <c r="I590" s="147"/>
      <c r="J590" s="147"/>
      <c r="K590" s="147"/>
      <c r="L590" s="147"/>
      <c r="M590" s="147"/>
      <c r="N590" s="147"/>
      <c r="O590" s="147"/>
      <c r="P590" s="147"/>
      <c r="Q590" s="147"/>
      <c r="R590" s="147"/>
      <c r="S590" s="147"/>
      <c r="T590" s="148" t="str">
        <f t="shared" si="287"/>
        <v>0</v>
      </c>
      <c r="U590" s="148" t="str">
        <f t="shared" si="288"/>
        <v>0</v>
      </c>
      <c r="V590" s="148" t="str">
        <f t="shared" si="289"/>
        <v>0</v>
      </c>
      <c r="W590" s="148" t="str">
        <f t="shared" si="290"/>
        <v>0</v>
      </c>
      <c r="X590" s="507"/>
      <c r="Y590" s="152">
        <f t="shared" si="291"/>
        <v>0</v>
      </c>
      <c r="Z590" s="150" t="s">
        <v>169</v>
      </c>
      <c r="AA590" s="2"/>
      <c r="AB590" s="26"/>
      <c r="AC590" s="159" t="s">
        <v>162</v>
      </c>
      <c r="AD590" s="159" t="s">
        <v>162</v>
      </c>
      <c r="AE590" s="159" t="s">
        <v>162</v>
      </c>
      <c r="AF590" s="159" t="s">
        <v>162</v>
      </c>
      <c r="AG590" s="31">
        <f t="shared" si="292"/>
        <v>0</v>
      </c>
      <c r="AH590" s="153" t="s">
        <v>162</v>
      </c>
      <c r="AI590" s="2"/>
      <c r="AJ590" s="2"/>
      <c r="AK590" s="2"/>
      <c r="AL590" s="2"/>
      <c r="AM590" s="2"/>
      <c r="AN590" s="2"/>
      <c r="AO590" s="2"/>
      <c r="AP590" s="2"/>
      <c r="AQ590" s="2"/>
      <c r="AR590" s="2"/>
      <c r="AS590" s="2"/>
      <c r="AT590" s="2"/>
      <c r="AU590" s="2"/>
      <c r="AV590" s="2"/>
      <c r="AW590" s="2"/>
      <c r="AX590" s="2"/>
      <c r="AY590" s="2"/>
      <c r="AZ590" s="2"/>
      <c r="BA590" s="2"/>
      <c r="BB590" s="2"/>
      <c r="BC590" s="2"/>
      <c r="BD590" s="2"/>
    </row>
    <row r="591" spans="1:56" ht="14.25" customHeight="1">
      <c r="A591" s="8"/>
      <c r="B591" s="507"/>
      <c r="C591" s="156" t="s">
        <v>164</v>
      </c>
      <c r="D591" s="147"/>
      <c r="E591" s="147"/>
      <c r="F591" s="147"/>
      <c r="G591" s="147"/>
      <c r="H591" s="147"/>
      <c r="I591" s="147"/>
      <c r="J591" s="147"/>
      <c r="K591" s="147"/>
      <c r="L591" s="147"/>
      <c r="M591" s="147"/>
      <c r="N591" s="147"/>
      <c r="O591" s="147"/>
      <c r="P591" s="147"/>
      <c r="Q591" s="147"/>
      <c r="R591" s="147"/>
      <c r="S591" s="147"/>
      <c r="T591" s="148" t="str">
        <f t="shared" si="287"/>
        <v>0</v>
      </c>
      <c r="U591" s="148" t="str">
        <f t="shared" si="288"/>
        <v>0</v>
      </c>
      <c r="V591" s="148" t="str">
        <f t="shared" si="289"/>
        <v>0</v>
      </c>
      <c r="W591" s="148" t="str">
        <f t="shared" si="290"/>
        <v>0</v>
      </c>
      <c r="X591" s="507"/>
      <c r="Y591" s="152">
        <f t="shared" si="291"/>
        <v>0</v>
      </c>
      <c r="Z591" s="150" t="s">
        <v>169</v>
      </c>
      <c r="AA591" s="2"/>
      <c r="AB591" s="26"/>
      <c r="AC591" s="159" t="s">
        <v>162</v>
      </c>
      <c r="AD591" s="159" t="s">
        <v>162</v>
      </c>
      <c r="AE591" s="159" t="s">
        <v>162</v>
      </c>
      <c r="AF591" s="159" t="s">
        <v>162</v>
      </c>
      <c r="AG591" s="31">
        <f t="shared" si="292"/>
        <v>0</v>
      </c>
      <c r="AH591" s="153" t="s">
        <v>162</v>
      </c>
      <c r="AI591" s="2"/>
      <c r="AJ591" s="2"/>
      <c r="AK591" s="2"/>
      <c r="AL591" s="2"/>
      <c r="AM591" s="2"/>
      <c r="AN591" s="2"/>
      <c r="AO591" s="2"/>
      <c r="AP591" s="2"/>
      <c r="AQ591" s="2"/>
      <c r="AR591" s="2"/>
      <c r="AS591" s="2"/>
      <c r="AT591" s="2"/>
      <c r="AU591" s="2"/>
      <c r="AV591" s="2"/>
      <c r="AW591" s="2"/>
      <c r="AX591" s="2"/>
      <c r="AY591" s="2"/>
      <c r="AZ591" s="2"/>
      <c r="BA591" s="2"/>
      <c r="BB591" s="2"/>
      <c r="BC591" s="2"/>
      <c r="BD591" s="2"/>
    </row>
    <row r="592" spans="1:56" ht="14.25" customHeight="1">
      <c r="A592" s="8"/>
      <c r="B592" s="507"/>
      <c r="C592" s="156" t="s">
        <v>165</v>
      </c>
      <c r="D592" s="147"/>
      <c r="E592" s="147"/>
      <c r="F592" s="147"/>
      <c r="G592" s="147"/>
      <c r="H592" s="147"/>
      <c r="I592" s="147"/>
      <c r="J592" s="147"/>
      <c r="K592" s="147"/>
      <c r="L592" s="147"/>
      <c r="M592" s="147"/>
      <c r="N592" s="147"/>
      <c r="O592" s="147"/>
      <c r="P592" s="147"/>
      <c r="Q592" s="147"/>
      <c r="R592" s="147"/>
      <c r="S592" s="147"/>
      <c r="T592" s="148" t="str">
        <f t="shared" si="287"/>
        <v>0</v>
      </c>
      <c r="U592" s="148" t="str">
        <f t="shared" si="288"/>
        <v>0</v>
      </c>
      <c r="V592" s="148" t="str">
        <f t="shared" si="289"/>
        <v>0</v>
      </c>
      <c r="W592" s="148" t="str">
        <f t="shared" si="290"/>
        <v>0</v>
      </c>
      <c r="X592" s="507"/>
      <c r="Y592" s="152">
        <f t="shared" si="291"/>
        <v>0</v>
      </c>
      <c r="Z592" s="150" t="s">
        <v>169</v>
      </c>
      <c r="AA592" s="2"/>
      <c r="AB592" s="26"/>
      <c r="AC592" s="159" t="s">
        <v>162</v>
      </c>
      <c r="AD592" s="159" t="s">
        <v>162</v>
      </c>
      <c r="AE592" s="159" t="s">
        <v>162</v>
      </c>
      <c r="AF592" s="159" t="s">
        <v>162</v>
      </c>
      <c r="AG592" s="31">
        <f t="shared" si="292"/>
        <v>0</v>
      </c>
      <c r="AH592" s="153" t="s">
        <v>162</v>
      </c>
      <c r="AI592" s="2"/>
      <c r="AJ592" s="2"/>
      <c r="AK592" s="2"/>
      <c r="AL592" s="2"/>
      <c r="AM592" s="2"/>
      <c r="AN592" s="2"/>
      <c r="AO592" s="2"/>
      <c r="AP592" s="2"/>
      <c r="AQ592" s="2"/>
      <c r="AR592" s="2"/>
      <c r="AS592" s="2"/>
      <c r="AT592" s="2"/>
      <c r="AU592" s="2"/>
      <c r="AV592" s="2"/>
      <c r="AW592" s="2"/>
      <c r="AX592" s="2"/>
      <c r="AY592" s="2"/>
      <c r="AZ592" s="2"/>
      <c r="BA592" s="2"/>
      <c r="BB592" s="2"/>
      <c r="BC592" s="2"/>
      <c r="BD592" s="2"/>
    </row>
    <row r="593" spans="1:56" ht="14.25" customHeight="1">
      <c r="A593" s="8"/>
      <c r="B593" s="508"/>
      <c r="C593" s="156" t="s">
        <v>166</v>
      </c>
      <c r="D593" s="147"/>
      <c r="E593" s="147"/>
      <c r="F593" s="147"/>
      <c r="G593" s="147"/>
      <c r="H593" s="147"/>
      <c r="I593" s="147"/>
      <c r="J593" s="147"/>
      <c r="K593" s="147"/>
      <c r="L593" s="147"/>
      <c r="M593" s="147"/>
      <c r="N593" s="147"/>
      <c r="O593" s="147"/>
      <c r="P593" s="147"/>
      <c r="Q593" s="147"/>
      <c r="R593" s="147"/>
      <c r="S593" s="147"/>
      <c r="T593" s="148" t="str">
        <f t="shared" ref="T593:T603" si="293">IFERROR(AVERAGE(D593,H593,L593,P593),"0")</f>
        <v>0</v>
      </c>
      <c r="U593" s="148" t="str">
        <f t="shared" ref="U593:U603" si="294">IFERROR(AVERAGE(E593,I593,M593,Q593),"0")</f>
        <v>0</v>
      </c>
      <c r="V593" s="148" t="str">
        <f t="shared" ref="V593:V603" si="295">IFERROR(AVERAGE(F593,J593,N593,R593),"0")</f>
        <v>0</v>
      </c>
      <c r="W593" s="148" t="str">
        <f t="shared" ref="W593:W603" si="296">IFERROR(AVERAGE(G593,K593,O593,S593),"0")</f>
        <v>0</v>
      </c>
      <c r="X593" s="508"/>
      <c r="Y593" s="152">
        <f t="shared" ref="Y593:Y603" si="297">((4*T593)+(3*U593)+(2*V593)+W593)/4</f>
        <v>0</v>
      </c>
      <c r="Z593" s="150" t="s">
        <v>169</v>
      </c>
      <c r="AA593" s="2"/>
      <c r="AB593" s="26"/>
      <c r="AC593" s="159" t="s">
        <v>162</v>
      </c>
      <c r="AD593" s="159" t="s">
        <v>162</v>
      </c>
      <c r="AE593" s="159" t="s">
        <v>162</v>
      </c>
      <c r="AF593" s="159" t="s">
        <v>162</v>
      </c>
      <c r="AG593" s="31">
        <f t="shared" ref="AG593:AG603" si="298">B593</f>
        <v>0</v>
      </c>
      <c r="AH593" s="153" t="s">
        <v>162</v>
      </c>
      <c r="AI593" s="2"/>
      <c r="AJ593" s="2"/>
      <c r="AK593" s="2"/>
      <c r="AL593" s="2"/>
      <c r="AM593" s="2"/>
      <c r="AN593" s="2"/>
      <c r="AO593" s="2"/>
      <c r="AP593" s="2"/>
      <c r="AQ593" s="2"/>
      <c r="AR593" s="2"/>
      <c r="AS593" s="2"/>
      <c r="AT593" s="2"/>
      <c r="AU593" s="2"/>
      <c r="AV593" s="2"/>
      <c r="AW593" s="2"/>
      <c r="AX593" s="2"/>
      <c r="AY593" s="2"/>
      <c r="AZ593" s="2"/>
      <c r="BA593" s="2"/>
      <c r="BB593" s="2"/>
      <c r="BC593" s="2"/>
      <c r="BD593" s="2"/>
    </row>
    <row r="594" spans="1:56" ht="14.25" customHeight="1">
      <c r="A594" s="8"/>
      <c r="B594" s="509" t="s">
        <v>132</v>
      </c>
      <c r="C594" s="156" t="s">
        <v>160</v>
      </c>
      <c r="D594" s="147"/>
      <c r="E594" s="147"/>
      <c r="F594" s="147"/>
      <c r="G594" s="147"/>
      <c r="H594" s="147"/>
      <c r="I594" s="147"/>
      <c r="J594" s="147"/>
      <c r="K594" s="147"/>
      <c r="L594" s="147"/>
      <c r="M594" s="147"/>
      <c r="N594" s="147"/>
      <c r="O594" s="147"/>
      <c r="P594" s="147"/>
      <c r="Q594" s="147"/>
      <c r="R594" s="147"/>
      <c r="S594" s="147"/>
      <c r="T594" s="148" t="str">
        <f t="shared" si="293"/>
        <v>0</v>
      </c>
      <c r="U594" s="148" t="str">
        <f t="shared" si="294"/>
        <v>0</v>
      </c>
      <c r="V594" s="148" t="str">
        <f t="shared" si="295"/>
        <v>0</v>
      </c>
      <c r="W594" s="148" t="str">
        <f t="shared" si="296"/>
        <v>0</v>
      </c>
      <c r="X594" s="513">
        <f>SUM(Y594:Y598)/5</f>
        <v>0</v>
      </c>
      <c r="Y594" s="152">
        <f t="shared" si="297"/>
        <v>0</v>
      </c>
      <c r="Z594" s="150" t="s">
        <v>223</v>
      </c>
      <c r="AA594" s="2"/>
      <c r="AB594" s="2"/>
      <c r="AC594" s="160" t="s">
        <v>162</v>
      </c>
      <c r="AD594" s="160" t="s">
        <v>162</v>
      </c>
      <c r="AE594" s="160" t="s">
        <v>162</v>
      </c>
      <c r="AF594" s="160" t="s">
        <v>162</v>
      </c>
      <c r="AG594" s="153" t="str">
        <f t="shared" si="298"/>
        <v>SIFT-MKS</v>
      </c>
      <c r="AH594" s="153" t="s">
        <v>162</v>
      </c>
      <c r="AI594" s="2"/>
      <c r="AJ594" s="2"/>
      <c r="AK594" s="2"/>
      <c r="AL594" s="2"/>
      <c r="AM594" s="2"/>
      <c r="AN594" s="2"/>
      <c r="AO594" s="2"/>
      <c r="AP594" s="2"/>
      <c r="AQ594" s="2"/>
      <c r="AR594" s="2"/>
      <c r="AS594" s="2"/>
      <c r="AT594" s="2"/>
      <c r="AU594" s="2"/>
      <c r="AV594" s="2"/>
      <c r="AW594" s="2"/>
      <c r="AX594" s="2"/>
      <c r="AY594" s="2"/>
      <c r="AZ594" s="2"/>
      <c r="BA594" s="2"/>
      <c r="BB594" s="2"/>
      <c r="BC594" s="2"/>
      <c r="BD594" s="2"/>
    </row>
    <row r="595" spans="1:56" ht="14.25" customHeight="1">
      <c r="A595" s="8"/>
      <c r="B595" s="510"/>
      <c r="C595" s="156" t="s">
        <v>163</v>
      </c>
      <c r="D595" s="147"/>
      <c r="E595" s="147"/>
      <c r="F595" s="147"/>
      <c r="G595" s="147"/>
      <c r="H595" s="147"/>
      <c r="I595" s="147"/>
      <c r="J595" s="147"/>
      <c r="K595" s="147"/>
      <c r="L595" s="147"/>
      <c r="M595" s="147"/>
      <c r="N595" s="147"/>
      <c r="O595" s="147"/>
      <c r="P595" s="147"/>
      <c r="Q595" s="147"/>
      <c r="R595" s="147"/>
      <c r="S595" s="147"/>
      <c r="T595" s="148" t="str">
        <f t="shared" si="293"/>
        <v>0</v>
      </c>
      <c r="U595" s="148" t="str">
        <f t="shared" si="294"/>
        <v>0</v>
      </c>
      <c r="V595" s="148" t="str">
        <f t="shared" si="295"/>
        <v>0</v>
      </c>
      <c r="W595" s="148" t="str">
        <f t="shared" si="296"/>
        <v>0</v>
      </c>
      <c r="X595" s="507"/>
      <c r="Y595" s="152">
        <f t="shared" si="297"/>
        <v>0</v>
      </c>
      <c r="Z595" s="150" t="s">
        <v>169</v>
      </c>
      <c r="AA595" s="2"/>
      <c r="AB595" s="2"/>
      <c r="AC595" s="153" t="s">
        <v>162</v>
      </c>
      <c r="AD595" s="153" t="s">
        <v>162</v>
      </c>
      <c r="AE595" s="153" t="s">
        <v>162</v>
      </c>
      <c r="AF595" s="153" t="s">
        <v>162</v>
      </c>
      <c r="AG595" s="2">
        <f t="shared" si="298"/>
        <v>0</v>
      </c>
      <c r="AH595" s="153" t="s">
        <v>162</v>
      </c>
      <c r="AI595" s="2"/>
      <c r="AJ595" s="2"/>
      <c r="AK595" s="2"/>
      <c r="AL595" s="2"/>
      <c r="AM595" s="2"/>
      <c r="AN595" s="2"/>
      <c r="AO595" s="2"/>
      <c r="AP595" s="2"/>
      <c r="AQ595" s="2"/>
      <c r="AR595" s="2"/>
      <c r="AS595" s="2"/>
      <c r="AT595" s="2"/>
      <c r="AU595" s="2"/>
      <c r="AV595" s="2"/>
      <c r="AW595" s="2"/>
      <c r="AX595" s="2"/>
      <c r="AY595" s="2"/>
      <c r="AZ595" s="2"/>
      <c r="BA595" s="2"/>
      <c r="BB595" s="2"/>
      <c r="BC595" s="2"/>
      <c r="BD595" s="2"/>
    </row>
    <row r="596" spans="1:56" ht="14.25" customHeight="1">
      <c r="A596" s="8"/>
      <c r="B596" s="507"/>
      <c r="C596" s="156" t="s">
        <v>164</v>
      </c>
      <c r="D596" s="147"/>
      <c r="E596" s="147"/>
      <c r="F596" s="147"/>
      <c r="G596" s="147"/>
      <c r="H596" s="147"/>
      <c r="I596" s="147"/>
      <c r="J596" s="147"/>
      <c r="K596" s="147"/>
      <c r="L596" s="147"/>
      <c r="M596" s="147"/>
      <c r="N596" s="147"/>
      <c r="O596" s="147"/>
      <c r="P596" s="147"/>
      <c r="Q596" s="147"/>
      <c r="R596" s="147"/>
      <c r="S596" s="147"/>
      <c r="T596" s="148" t="str">
        <f t="shared" si="293"/>
        <v>0</v>
      </c>
      <c r="U596" s="148" t="str">
        <f t="shared" si="294"/>
        <v>0</v>
      </c>
      <c r="V596" s="148" t="str">
        <f t="shared" si="295"/>
        <v>0</v>
      </c>
      <c r="W596" s="148" t="str">
        <f t="shared" si="296"/>
        <v>0</v>
      </c>
      <c r="X596" s="507"/>
      <c r="Y596" s="152">
        <f t="shared" si="297"/>
        <v>0</v>
      </c>
      <c r="Z596" s="150" t="s">
        <v>169</v>
      </c>
      <c r="AA596" s="2"/>
      <c r="AB596" s="2"/>
      <c r="AC596" s="153" t="s">
        <v>162</v>
      </c>
      <c r="AD596" s="153" t="s">
        <v>162</v>
      </c>
      <c r="AE596" s="153" t="s">
        <v>162</v>
      </c>
      <c r="AF596" s="153" t="s">
        <v>162</v>
      </c>
      <c r="AG596" s="2">
        <f t="shared" si="298"/>
        <v>0</v>
      </c>
      <c r="AH596" s="153" t="s">
        <v>162</v>
      </c>
      <c r="AI596" s="2"/>
      <c r="AJ596" s="2"/>
      <c r="AK596" s="2"/>
      <c r="AL596" s="2"/>
      <c r="AM596" s="2"/>
      <c r="AN596" s="2"/>
      <c r="AO596" s="2"/>
      <c r="AP596" s="2"/>
      <c r="AQ596" s="2"/>
      <c r="AR596" s="2"/>
      <c r="AS596" s="2"/>
      <c r="AT596" s="2"/>
      <c r="AU596" s="2"/>
      <c r="AV596" s="2"/>
      <c r="AW596" s="2"/>
      <c r="AX596" s="2"/>
      <c r="AY596" s="2"/>
      <c r="AZ596" s="2"/>
      <c r="BA596" s="2"/>
      <c r="BB596" s="2"/>
      <c r="BC596" s="2"/>
      <c r="BD596" s="2"/>
    </row>
    <row r="597" spans="1:56" ht="14.25" customHeight="1">
      <c r="A597" s="8"/>
      <c r="B597" s="507"/>
      <c r="C597" s="156" t="s">
        <v>165</v>
      </c>
      <c r="D597" s="147"/>
      <c r="E597" s="147"/>
      <c r="F597" s="147"/>
      <c r="G597" s="147"/>
      <c r="H597" s="147"/>
      <c r="I597" s="147"/>
      <c r="J597" s="147"/>
      <c r="K597" s="147"/>
      <c r="L597" s="147"/>
      <c r="M597" s="147"/>
      <c r="N597" s="147"/>
      <c r="O597" s="147"/>
      <c r="P597" s="147"/>
      <c r="Q597" s="147"/>
      <c r="R597" s="147"/>
      <c r="S597" s="147"/>
      <c r="T597" s="148" t="str">
        <f t="shared" si="293"/>
        <v>0</v>
      </c>
      <c r="U597" s="148" t="str">
        <f t="shared" si="294"/>
        <v>0</v>
      </c>
      <c r="V597" s="148" t="str">
        <f t="shared" si="295"/>
        <v>0</v>
      </c>
      <c r="W597" s="148" t="str">
        <f t="shared" si="296"/>
        <v>0</v>
      </c>
      <c r="X597" s="507"/>
      <c r="Y597" s="152">
        <f t="shared" si="297"/>
        <v>0</v>
      </c>
      <c r="Z597" s="150" t="s">
        <v>169</v>
      </c>
      <c r="AA597" s="2"/>
      <c r="AB597" s="2"/>
      <c r="AC597" s="153" t="s">
        <v>162</v>
      </c>
      <c r="AD597" s="153" t="s">
        <v>162</v>
      </c>
      <c r="AE597" s="153" t="s">
        <v>162</v>
      </c>
      <c r="AF597" s="153" t="s">
        <v>162</v>
      </c>
      <c r="AG597" s="2">
        <f t="shared" si="298"/>
        <v>0</v>
      </c>
      <c r="AH597" s="153" t="s">
        <v>162</v>
      </c>
      <c r="AI597" s="2"/>
      <c r="AJ597" s="2"/>
      <c r="AK597" s="2"/>
      <c r="AL597" s="2"/>
      <c r="AM597" s="2"/>
      <c r="AN597" s="2"/>
      <c r="AO597" s="2"/>
      <c r="AP597" s="2"/>
      <c r="AQ597" s="2"/>
      <c r="AR597" s="2"/>
      <c r="AS597" s="2"/>
      <c r="AT597" s="2"/>
      <c r="AU597" s="2"/>
      <c r="AV597" s="2"/>
      <c r="AW597" s="2"/>
      <c r="AX597" s="2"/>
      <c r="AY597" s="2"/>
      <c r="AZ597" s="2"/>
      <c r="BA597" s="2"/>
      <c r="BB597" s="2"/>
      <c r="BC597" s="2"/>
      <c r="BD597" s="2"/>
    </row>
    <row r="598" spans="1:56" ht="14.25" customHeight="1">
      <c r="A598" s="8"/>
      <c r="B598" s="508"/>
      <c r="C598" s="156" t="s">
        <v>166</v>
      </c>
      <c r="D598" s="147"/>
      <c r="E598" s="147"/>
      <c r="F598" s="147"/>
      <c r="G598" s="147"/>
      <c r="H598" s="147"/>
      <c r="I598" s="147"/>
      <c r="J598" s="147"/>
      <c r="K598" s="147"/>
      <c r="L598" s="147"/>
      <c r="M598" s="147"/>
      <c r="N598" s="147"/>
      <c r="O598" s="147"/>
      <c r="P598" s="147"/>
      <c r="Q598" s="147"/>
      <c r="R598" s="147"/>
      <c r="S598" s="147"/>
      <c r="T598" s="148" t="str">
        <f t="shared" si="293"/>
        <v>0</v>
      </c>
      <c r="U598" s="148" t="str">
        <f t="shared" si="294"/>
        <v>0</v>
      </c>
      <c r="V598" s="148" t="str">
        <f t="shared" si="295"/>
        <v>0</v>
      </c>
      <c r="W598" s="148" t="str">
        <f t="shared" si="296"/>
        <v>0</v>
      </c>
      <c r="X598" s="508"/>
      <c r="Y598" s="152">
        <f t="shared" si="297"/>
        <v>0</v>
      </c>
      <c r="Z598" s="150" t="s">
        <v>169</v>
      </c>
      <c r="AA598" s="2"/>
      <c r="AB598" s="2"/>
      <c r="AC598" s="161" t="s">
        <v>162</v>
      </c>
      <c r="AD598" s="161" t="s">
        <v>162</v>
      </c>
      <c r="AE598" s="161" t="s">
        <v>162</v>
      </c>
      <c r="AF598" s="161" t="s">
        <v>162</v>
      </c>
      <c r="AG598" s="2">
        <f t="shared" si="298"/>
        <v>0</v>
      </c>
      <c r="AH598" s="153" t="s">
        <v>162</v>
      </c>
      <c r="AI598" s="2"/>
      <c r="AJ598" s="2"/>
      <c r="AK598" s="2"/>
      <c r="AL598" s="2"/>
      <c r="AM598" s="2"/>
      <c r="AN598" s="2"/>
      <c r="AO598" s="2"/>
      <c r="AP598" s="2"/>
      <c r="AQ598" s="2"/>
      <c r="AR598" s="2"/>
      <c r="AS598" s="2"/>
      <c r="AT598" s="2"/>
      <c r="AU598" s="2"/>
      <c r="AV598" s="2"/>
      <c r="AW598" s="2"/>
      <c r="AX598" s="2"/>
      <c r="AY598" s="2"/>
      <c r="AZ598" s="2"/>
      <c r="BA598" s="2"/>
      <c r="BB598" s="2"/>
      <c r="BC598" s="2"/>
      <c r="BD598" s="2"/>
    </row>
    <row r="599" spans="1:56" ht="14.25" customHeight="1">
      <c r="A599" s="8"/>
      <c r="B599" s="506" t="s">
        <v>133</v>
      </c>
      <c r="C599" s="156" t="s">
        <v>160</v>
      </c>
      <c r="D599" s="147"/>
      <c r="E599" s="147"/>
      <c r="F599" s="147"/>
      <c r="G599" s="147"/>
      <c r="H599" s="147"/>
      <c r="I599" s="147"/>
      <c r="J599" s="147"/>
      <c r="K599" s="147"/>
      <c r="L599" s="147"/>
      <c r="M599" s="147"/>
      <c r="N599" s="147"/>
      <c r="O599" s="147"/>
      <c r="P599" s="147"/>
      <c r="Q599" s="147"/>
      <c r="R599" s="147"/>
      <c r="S599" s="147"/>
      <c r="T599" s="148" t="str">
        <f t="shared" si="293"/>
        <v>0</v>
      </c>
      <c r="U599" s="148" t="str">
        <f t="shared" si="294"/>
        <v>0</v>
      </c>
      <c r="V599" s="148" t="str">
        <f t="shared" si="295"/>
        <v>0</v>
      </c>
      <c r="W599" s="148" t="str">
        <f t="shared" si="296"/>
        <v>0</v>
      </c>
      <c r="X599" s="513">
        <f>SUM(Y599:Y603)/5</f>
        <v>0</v>
      </c>
      <c r="Y599" s="152">
        <f t="shared" si="297"/>
        <v>0</v>
      </c>
      <c r="Z599" s="150" t="s">
        <v>224</v>
      </c>
      <c r="AA599" s="2"/>
      <c r="AB599" s="26"/>
      <c r="AC599" s="159" t="s">
        <v>162</v>
      </c>
      <c r="AD599" s="159" t="s">
        <v>162</v>
      </c>
      <c r="AE599" s="159" t="s">
        <v>162</v>
      </c>
      <c r="AF599" s="159" t="s">
        <v>162</v>
      </c>
      <c r="AG599" s="158" t="str">
        <f t="shared" si="298"/>
        <v>SIFT+SIFT-MKS</v>
      </c>
      <c r="AH599" s="153" t="s">
        <v>162</v>
      </c>
      <c r="AI599" s="2"/>
      <c r="AJ599" s="2"/>
      <c r="AK599" s="2"/>
      <c r="AL599" s="2"/>
      <c r="AM599" s="2"/>
      <c r="AN599" s="2"/>
      <c r="AO599" s="2"/>
      <c r="AP599" s="2"/>
      <c r="AQ599" s="2"/>
      <c r="AR599" s="2"/>
      <c r="AS599" s="2"/>
      <c r="AT599" s="2"/>
      <c r="AU599" s="2"/>
      <c r="AV599" s="2"/>
      <c r="AW599" s="2"/>
      <c r="AX599" s="2"/>
      <c r="AY599" s="2"/>
      <c r="AZ599" s="2"/>
      <c r="BA599" s="2"/>
      <c r="BB599" s="2"/>
      <c r="BC599" s="2"/>
      <c r="BD599" s="2"/>
    </row>
    <row r="600" spans="1:56" ht="14.25" customHeight="1">
      <c r="A600" s="8"/>
      <c r="B600" s="507"/>
      <c r="C600" s="156" t="s">
        <v>163</v>
      </c>
      <c r="D600" s="147"/>
      <c r="E600" s="147"/>
      <c r="F600" s="147"/>
      <c r="G600" s="147"/>
      <c r="H600" s="147"/>
      <c r="I600" s="147"/>
      <c r="J600" s="147"/>
      <c r="K600" s="147"/>
      <c r="L600" s="147"/>
      <c r="M600" s="147"/>
      <c r="N600" s="147"/>
      <c r="O600" s="147"/>
      <c r="P600" s="147"/>
      <c r="Q600" s="147"/>
      <c r="R600" s="147"/>
      <c r="S600" s="147"/>
      <c r="T600" s="148" t="str">
        <f t="shared" si="293"/>
        <v>0</v>
      </c>
      <c r="U600" s="148" t="str">
        <f t="shared" si="294"/>
        <v>0</v>
      </c>
      <c r="V600" s="148" t="str">
        <f t="shared" si="295"/>
        <v>0</v>
      </c>
      <c r="W600" s="148" t="str">
        <f t="shared" si="296"/>
        <v>0</v>
      </c>
      <c r="X600" s="507"/>
      <c r="Y600" s="152">
        <f t="shared" si="297"/>
        <v>0</v>
      </c>
      <c r="Z600" s="150" t="s">
        <v>169</v>
      </c>
      <c r="AA600" s="2"/>
      <c r="AB600" s="26"/>
      <c r="AC600" s="159" t="s">
        <v>162</v>
      </c>
      <c r="AD600" s="159" t="s">
        <v>162</v>
      </c>
      <c r="AE600" s="159" t="s">
        <v>162</v>
      </c>
      <c r="AF600" s="159" t="s">
        <v>162</v>
      </c>
      <c r="AG600" s="31">
        <f t="shared" si="298"/>
        <v>0</v>
      </c>
      <c r="AH600" s="153" t="s">
        <v>162</v>
      </c>
      <c r="AI600" s="2"/>
      <c r="AJ600" s="2"/>
      <c r="AK600" s="2"/>
      <c r="AL600" s="2"/>
      <c r="AM600" s="2"/>
      <c r="AN600" s="2"/>
      <c r="AO600" s="2"/>
      <c r="AP600" s="2"/>
      <c r="AQ600" s="2"/>
      <c r="AR600" s="2"/>
      <c r="AS600" s="2"/>
      <c r="AT600" s="2"/>
      <c r="AU600" s="2"/>
      <c r="AV600" s="2"/>
      <c r="AW600" s="2"/>
      <c r="AX600" s="2"/>
      <c r="AY600" s="2"/>
      <c r="AZ600" s="2"/>
      <c r="BA600" s="2"/>
      <c r="BB600" s="2"/>
      <c r="BC600" s="2"/>
      <c r="BD600" s="2"/>
    </row>
    <row r="601" spans="1:56" ht="14.25" customHeight="1">
      <c r="A601" s="8"/>
      <c r="B601" s="507"/>
      <c r="C601" s="156" t="s">
        <v>164</v>
      </c>
      <c r="D601" s="147"/>
      <c r="E601" s="147"/>
      <c r="F601" s="147"/>
      <c r="G601" s="147"/>
      <c r="H601" s="147"/>
      <c r="I601" s="147"/>
      <c r="J601" s="147"/>
      <c r="K601" s="147"/>
      <c r="L601" s="147"/>
      <c r="M601" s="147"/>
      <c r="N601" s="147"/>
      <c r="O601" s="147"/>
      <c r="P601" s="147"/>
      <c r="Q601" s="147"/>
      <c r="R601" s="147"/>
      <c r="S601" s="147"/>
      <c r="T601" s="148" t="str">
        <f t="shared" si="293"/>
        <v>0</v>
      </c>
      <c r="U601" s="148" t="str">
        <f t="shared" si="294"/>
        <v>0</v>
      </c>
      <c r="V601" s="148" t="str">
        <f t="shared" si="295"/>
        <v>0</v>
      </c>
      <c r="W601" s="148" t="str">
        <f t="shared" si="296"/>
        <v>0</v>
      </c>
      <c r="X601" s="507"/>
      <c r="Y601" s="152">
        <f t="shared" si="297"/>
        <v>0</v>
      </c>
      <c r="Z601" s="150" t="s">
        <v>169</v>
      </c>
      <c r="AA601" s="2"/>
      <c r="AB601" s="26"/>
      <c r="AC601" s="159" t="s">
        <v>162</v>
      </c>
      <c r="AD601" s="159" t="s">
        <v>162</v>
      </c>
      <c r="AE601" s="159" t="s">
        <v>162</v>
      </c>
      <c r="AF601" s="159" t="s">
        <v>162</v>
      </c>
      <c r="AG601" s="31">
        <f t="shared" si="298"/>
        <v>0</v>
      </c>
      <c r="AH601" s="153" t="s">
        <v>162</v>
      </c>
      <c r="AI601" s="2"/>
      <c r="AJ601" s="2"/>
      <c r="AK601" s="2"/>
      <c r="AL601" s="2"/>
      <c r="AM601" s="2"/>
      <c r="AN601" s="2"/>
      <c r="AO601" s="2"/>
      <c r="AP601" s="2"/>
      <c r="AQ601" s="2"/>
      <c r="AR601" s="2"/>
      <c r="AS601" s="2"/>
      <c r="AT601" s="2"/>
      <c r="AU601" s="2"/>
      <c r="AV601" s="2"/>
      <c r="AW601" s="2"/>
      <c r="AX601" s="2"/>
      <c r="AY601" s="2"/>
      <c r="AZ601" s="2"/>
      <c r="BA601" s="2"/>
      <c r="BB601" s="2"/>
      <c r="BC601" s="2"/>
      <c r="BD601" s="2"/>
    </row>
    <row r="602" spans="1:56" ht="14.25" customHeight="1">
      <c r="A602" s="8"/>
      <c r="B602" s="507"/>
      <c r="C602" s="156" t="s">
        <v>165</v>
      </c>
      <c r="D602" s="147"/>
      <c r="E602" s="147"/>
      <c r="F602" s="147"/>
      <c r="G602" s="147"/>
      <c r="H602" s="147"/>
      <c r="I602" s="147"/>
      <c r="J602" s="147"/>
      <c r="K602" s="147"/>
      <c r="L602" s="147"/>
      <c r="M602" s="147"/>
      <c r="N602" s="147"/>
      <c r="O602" s="147"/>
      <c r="P602" s="147"/>
      <c r="Q602" s="147"/>
      <c r="R602" s="147"/>
      <c r="S602" s="147"/>
      <c r="T602" s="148" t="str">
        <f t="shared" si="293"/>
        <v>0</v>
      </c>
      <c r="U602" s="148" t="str">
        <f t="shared" si="294"/>
        <v>0</v>
      </c>
      <c r="V602" s="148" t="str">
        <f t="shared" si="295"/>
        <v>0</v>
      </c>
      <c r="W602" s="148" t="str">
        <f t="shared" si="296"/>
        <v>0</v>
      </c>
      <c r="X602" s="507"/>
      <c r="Y602" s="152">
        <f t="shared" si="297"/>
        <v>0</v>
      </c>
      <c r="Z602" s="150" t="s">
        <v>169</v>
      </c>
      <c r="AA602" s="2"/>
      <c r="AB602" s="26"/>
      <c r="AC602" s="159" t="s">
        <v>162</v>
      </c>
      <c r="AD602" s="159" t="s">
        <v>162</v>
      </c>
      <c r="AE602" s="159" t="s">
        <v>162</v>
      </c>
      <c r="AF602" s="159" t="s">
        <v>162</v>
      </c>
      <c r="AG602" s="31">
        <f t="shared" si="298"/>
        <v>0</v>
      </c>
      <c r="AH602" s="153" t="s">
        <v>162</v>
      </c>
      <c r="AI602" s="2"/>
      <c r="AJ602" s="2"/>
      <c r="AK602" s="2"/>
      <c r="AL602" s="2"/>
      <c r="AM602" s="2"/>
      <c r="AN602" s="2"/>
      <c r="AO602" s="2"/>
      <c r="AP602" s="2"/>
      <c r="AQ602" s="2"/>
      <c r="AR602" s="2"/>
      <c r="AS602" s="2"/>
      <c r="AT602" s="2"/>
      <c r="AU602" s="2"/>
      <c r="AV602" s="2"/>
      <c r="AW602" s="2"/>
      <c r="AX602" s="2"/>
      <c r="AY602" s="2"/>
      <c r="AZ602" s="2"/>
      <c r="BA602" s="2"/>
      <c r="BB602" s="2"/>
      <c r="BC602" s="2"/>
      <c r="BD602" s="2"/>
    </row>
    <row r="603" spans="1:56" ht="14.25" customHeight="1">
      <c r="A603" s="8"/>
      <c r="B603" s="508"/>
      <c r="C603" s="156" t="s">
        <v>166</v>
      </c>
      <c r="D603" s="147"/>
      <c r="E603" s="147"/>
      <c r="F603" s="147"/>
      <c r="G603" s="147"/>
      <c r="H603" s="147"/>
      <c r="I603" s="147"/>
      <c r="J603" s="147"/>
      <c r="K603" s="147"/>
      <c r="L603" s="147"/>
      <c r="M603" s="147"/>
      <c r="N603" s="147"/>
      <c r="O603" s="147"/>
      <c r="P603" s="147"/>
      <c r="Q603" s="147"/>
      <c r="R603" s="147"/>
      <c r="S603" s="147"/>
      <c r="T603" s="148" t="str">
        <f t="shared" si="293"/>
        <v>0</v>
      </c>
      <c r="U603" s="148" t="str">
        <f t="shared" si="294"/>
        <v>0</v>
      </c>
      <c r="V603" s="148" t="str">
        <f t="shared" si="295"/>
        <v>0</v>
      </c>
      <c r="W603" s="148" t="str">
        <f t="shared" si="296"/>
        <v>0</v>
      </c>
      <c r="X603" s="508"/>
      <c r="Y603" s="152">
        <f t="shared" si="297"/>
        <v>0</v>
      </c>
      <c r="Z603" s="150" t="s">
        <v>169</v>
      </c>
      <c r="AA603" s="2"/>
      <c r="AB603" s="26"/>
      <c r="AC603" s="159" t="s">
        <v>162</v>
      </c>
      <c r="AD603" s="159" t="s">
        <v>162</v>
      </c>
      <c r="AE603" s="159" t="s">
        <v>162</v>
      </c>
      <c r="AF603" s="159" t="s">
        <v>162</v>
      </c>
      <c r="AG603" s="31">
        <f t="shared" si="298"/>
        <v>0</v>
      </c>
      <c r="AH603" s="153" t="s">
        <v>162</v>
      </c>
      <c r="AI603" s="2"/>
      <c r="AJ603" s="2"/>
      <c r="AK603" s="2"/>
      <c r="AL603" s="2"/>
      <c r="AM603" s="2"/>
      <c r="AN603" s="2"/>
      <c r="AO603" s="2"/>
      <c r="AP603" s="2"/>
      <c r="AQ603" s="2"/>
      <c r="AR603" s="2"/>
      <c r="AS603" s="2"/>
      <c r="AT603" s="2"/>
      <c r="AU603" s="2"/>
      <c r="AV603" s="2"/>
      <c r="AW603" s="2"/>
      <c r="AX603" s="2"/>
      <c r="AY603" s="2"/>
      <c r="AZ603" s="2"/>
      <c r="BA603" s="2"/>
      <c r="BB603" s="2"/>
      <c r="BC603" s="2"/>
      <c r="BD603" s="2"/>
    </row>
    <row r="604" spans="1:56" ht="14.25" customHeight="1">
      <c r="A604" s="2"/>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
      <c r="AA604" s="2"/>
      <c r="AB604" s="2"/>
      <c r="AC604" s="63"/>
      <c r="AD604" s="63"/>
      <c r="AE604" s="63"/>
      <c r="AF604" s="63"/>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row>
    <row r="605" spans="1:5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row>
    <row r="606" spans="1:56" ht="14.25" customHeight="1">
      <c r="A606" s="6" t="s">
        <v>225</v>
      </c>
      <c r="B606" s="7"/>
      <c r="C606" s="7"/>
      <c r="D606" s="7"/>
      <c r="E606" s="7"/>
      <c r="F606" s="7"/>
      <c r="G606" s="7"/>
      <c r="H606" s="7"/>
      <c r="I606" s="7"/>
      <c r="J606" s="7"/>
      <c r="K606" s="7"/>
      <c r="L606" s="7"/>
      <c r="M606" s="7"/>
      <c r="N606" s="7"/>
      <c r="O606" s="7"/>
      <c r="P606" s="7"/>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row>
    <row r="607" spans="1:56" ht="14.25" customHeight="1">
      <c r="A607" s="8"/>
      <c r="B607" s="511" t="s">
        <v>37</v>
      </c>
      <c r="C607" s="502" t="s">
        <v>226</v>
      </c>
      <c r="D607" s="503"/>
      <c r="E607" s="504"/>
      <c r="F607" s="504"/>
      <c r="G607" s="504"/>
      <c r="H607" s="504"/>
      <c r="I607" s="536"/>
      <c r="J607" s="537" t="s">
        <v>227</v>
      </c>
      <c r="K607" s="503"/>
      <c r="L607" s="504"/>
      <c r="M607" s="504"/>
      <c r="N607" s="504"/>
      <c r="O607" s="504"/>
      <c r="P607" s="504"/>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row>
    <row r="608" spans="1:56" ht="14.25" customHeight="1">
      <c r="A608" s="8"/>
      <c r="B608" s="521"/>
      <c r="C608" s="32" t="s">
        <v>228</v>
      </c>
      <c r="D608" s="32" t="s">
        <v>229</v>
      </c>
      <c r="E608" s="32" t="s">
        <v>230</v>
      </c>
      <c r="F608" s="32" t="s">
        <v>231</v>
      </c>
      <c r="G608" s="32" t="s">
        <v>232</v>
      </c>
      <c r="H608" s="32" t="s">
        <v>233</v>
      </c>
      <c r="I608" s="32" t="s">
        <v>234</v>
      </c>
      <c r="J608" s="32" t="s">
        <v>228</v>
      </c>
      <c r="K608" s="32" t="s">
        <v>229</v>
      </c>
      <c r="L608" s="32" t="s">
        <v>230</v>
      </c>
      <c r="M608" s="32" t="s">
        <v>231</v>
      </c>
      <c r="N608" s="32" t="s">
        <v>232</v>
      </c>
      <c r="O608" s="32" t="s">
        <v>233</v>
      </c>
      <c r="P608" s="32" t="s">
        <v>234</v>
      </c>
      <c r="Q608" s="10"/>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row>
    <row r="609" spans="1:56" ht="14.25" customHeight="1">
      <c r="A609" s="8"/>
      <c r="B609" s="12" t="s">
        <v>43</v>
      </c>
      <c r="C609" s="162"/>
      <c r="D609" s="162"/>
      <c r="E609" s="162"/>
      <c r="F609" s="163"/>
      <c r="G609" s="163"/>
      <c r="H609" s="163"/>
      <c r="I609" s="163"/>
      <c r="J609" s="162"/>
      <c r="K609" s="162"/>
      <c r="L609" s="162"/>
      <c r="M609" s="163"/>
      <c r="N609" s="163"/>
      <c r="O609" s="163"/>
      <c r="P609" s="163">
        <f t="shared" ref="P609:P640" si="299">L609</f>
        <v>0</v>
      </c>
      <c r="Q609" s="10"/>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row>
    <row r="610" spans="1:56" ht="14.25" customHeight="1">
      <c r="A610" s="8"/>
      <c r="B610" s="38" t="s">
        <v>44</v>
      </c>
      <c r="C610" s="162"/>
      <c r="D610" s="162"/>
      <c r="E610" s="162"/>
      <c r="F610" s="163"/>
      <c r="G610" s="163"/>
      <c r="H610" s="163"/>
      <c r="I610" s="163"/>
      <c r="J610" s="162"/>
      <c r="K610" s="162"/>
      <c r="L610" s="162"/>
      <c r="M610" s="163"/>
      <c r="N610" s="163"/>
      <c r="O610" s="163"/>
      <c r="P610" s="163">
        <f t="shared" si="299"/>
        <v>0</v>
      </c>
      <c r="Q610" s="10"/>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row>
    <row r="611" spans="1:56" ht="14.25" customHeight="1">
      <c r="A611" s="8"/>
      <c r="B611" s="38" t="s">
        <v>45</v>
      </c>
      <c r="C611" s="162"/>
      <c r="D611" s="162"/>
      <c r="E611" s="162"/>
      <c r="F611" s="163"/>
      <c r="G611" s="163"/>
      <c r="H611" s="163"/>
      <c r="I611" s="163"/>
      <c r="J611" s="162"/>
      <c r="K611" s="162"/>
      <c r="L611" s="162"/>
      <c r="M611" s="163"/>
      <c r="N611" s="163"/>
      <c r="O611" s="163"/>
      <c r="P611" s="163">
        <f t="shared" si="299"/>
        <v>0</v>
      </c>
      <c r="Q611" s="10"/>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row>
    <row r="612" spans="1:56" ht="14.25" customHeight="1">
      <c r="A612" s="8"/>
      <c r="B612" s="43" t="s">
        <v>46</v>
      </c>
      <c r="C612" s="162"/>
      <c r="D612" s="162"/>
      <c r="E612" s="162"/>
      <c r="F612" s="163"/>
      <c r="G612" s="163"/>
      <c r="H612" s="163"/>
      <c r="I612" s="163"/>
      <c r="J612" s="162"/>
      <c r="K612" s="162"/>
      <c r="L612" s="162"/>
      <c r="M612" s="163"/>
      <c r="N612" s="163"/>
      <c r="O612" s="163"/>
      <c r="P612" s="163">
        <f t="shared" si="299"/>
        <v>0</v>
      </c>
      <c r="Q612" s="10"/>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row>
    <row r="613" spans="1:56" ht="14.25" customHeight="1">
      <c r="A613" s="8"/>
      <c r="B613" s="45" t="s">
        <v>47</v>
      </c>
      <c r="C613" s="162"/>
      <c r="D613" s="162"/>
      <c r="E613" s="162"/>
      <c r="F613" s="163"/>
      <c r="G613" s="163"/>
      <c r="H613" s="163"/>
      <c r="I613" s="163"/>
      <c r="J613" s="162"/>
      <c r="K613" s="162"/>
      <c r="L613" s="162"/>
      <c r="M613" s="163"/>
      <c r="N613" s="163"/>
      <c r="O613" s="163"/>
      <c r="P613" s="163">
        <f t="shared" si="299"/>
        <v>0</v>
      </c>
      <c r="Q613" s="10"/>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row>
    <row r="614" spans="1:56" ht="14.25" customHeight="1">
      <c r="A614" s="8"/>
      <c r="B614" s="12" t="s">
        <v>48</v>
      </c>
      <c r="C614" s="162"/>
      <c r="D614" s="162"/>
      <c r="E614" s="162"/>
      <c r="F614" s="163"/>
      <c r="G614" s="163"/>
      <c r="H614" s="163"/>
      <c r="I614" s="163"/>
      <c r="J614" s="162"/>
      <c r="K614" s="162"/>
      <c r="L614" s="162"/>
      <c r="M614" s="163"/>
      <c r="N614" s="163"/>
      <c r="O614" s="163"/>
      <c r="P614" s="163">
        <f t="shared" si="299"/>
        <v>0</v>
      </c>
      <c r="Q614" s="10"/>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row>
    <row r="615" spans="1:56" ht="14.25" customHeight="1">
      <c r="A615" s="8"/>
      <c r="B615" s="12" t="s">
        <v>49</v>
      </c>
      <c r="C615" s="162"/>
      <c r="D615" s="162"/>
      <c r="E615" s="162"/>
      <c r="F615" s="163"/>
      <c r="G615" s="163"/>
      <c r="H615" s="163"/>
      <c r="I615" s="163"/>
      <c r="J615" s="162"/>
      <c r="K615" s="162"/>
      <c r="L615" s="162"/>
      <c r="M615" s="163"/>
      <c r="N615" s="163"/>
      <c r="O615" s="163"/>
      <c r="P615" s="163">
        <f t="shared" si="299"/>
        <v>0</v>
      </c>
      <c r="Q615" s="10"/>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row>
    <row r="616" spans="1:56" ht="14.25" customHeight="1">
      <c r="A616" s="8"/>
      <c r="B616" s="12" t="s">
        <v>50</v>
      </c>
      <c r="C616" s="162"/>
      <c r="D616" s="162"/>
      <c r="E616" s="162"/>
      <c r="F616" s="163"/>
      <c r="G616" s="163"/>
      <c r="H616" s="163"/>
      <c r="I616" s="163"/>
      <c r="J616" s="162"/>
      <c r="K616" s="162"/>
      <c r="L616" s="162"/>
      <c r="M616" s="163"/>
      <c r="N616" s="163"/>
      <c r="O616" s="163"/>
      <c r="P616" s="163">
        <f t="shared" si="299"/>
        <v>0</v>
      </c>
      <c r="Q616" s="10"/>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row>
    <row r="617" spans="1:56" ht="14.25" customHeight="1">
      <c r="A617" s="8"/>
      <c r="B617" s="12" t="s">
        <v>51</v>
      </c>
      <c r="C617" s="162"/>
      <c r="D617" s="162"/>
      <c r="E617" s="162"/>
      <c r="F617" s="163"/>
      <c r="G617" s="163"/>
      <c r="H617" s="163"/>
      <c r="I617" s="163"/>
      <c r="J617" s="162"/>
      <c r="K617" s="162"/>
      <c r="L617" s="162"/>
      <c r="M617" s="163"/>
      <c r="N617" s="163"/>
      <c r="O617" s="163"/>
      <c r="P617" s="163">
        <f t="shared" si="299"/>
        <v>0</v>
      </c>
      <c r="Q617" s="10"/>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row>
    <row r="618" spans="1:56" ht="14.25" customHeight="1">
      <c r="A618" s="8"/>
      <c r="B618" s="12" t="s">
        <v>52</v>
      </c>
      <c r="C618" s="162"/>
      <c r="D618" s="162"/>
      <c r="E618" s="162"/>
      <c r="F618" s="163"/>
      <c r="G618" s="163"/>
      <c r="H618" s="163"/>
      <c r="I618" s="163"/>
      <c r="J618" s="162"/>
      <c r="K618" s="162"/>
      <c r="L618" s="162"/>
      <c r="M618" s="163"/>
      <c r="N618" s="163"/>
      <c r="O618" s="163"/>
      <c r="P618" s="163">
        <f t="shared" si="299"/>
        <v>0</v>
      </c>
      <c r="Q618" s="10"/>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row>
    <row r="619" spans="1:56" ht="14.25" customHeight="1">
      <c r="A619" s="8"/>
      <c r="B619" s="12" t="s">
        <v>53</v>
      </c>
      <c r="C619" s="162"/>
      <c r="D619" s="162"/>
      <c r="E619" s="162"/>
      <c r="F619" s="163"/>
      <c r="G619" s="163"/>
      <c r="H619" s="163"/>
      <c r="I619" s="163"/>
      <c r="J619" s="162"/>
      <c r="K619" s="162"/>
      <c r="L619" s="162"/>
      <c r="M619" s="163"/>
      <c r="N619" s="163"/>
      <c r="O619" s="163"/>
      <c r="P619" s="163">
        <f t="shared" si="299"/>
        <v>0</v>
      </c>
      <c r="Q619" s="10"/>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row>
    <row r="620" spans="1:56" ht="14.25" customHeight="1">
      <c r="A620" s="8"/>
      <c r="B620" s="12" t="s">
        <v>54</v>
      </c>
      <c r="C620" s="162"/>
      <c r="D620" s="162"/>
      <c r="E620" s="162"/>
      <c r="F620" s="163"/>
      <c r="G620" s="163"/>
      <c r="H620" s="163"/>
      <c r="I620" s="163"/>
      <c r="J620" s="162"/>
      <c r="K620" s="162"/>
      <c r="L620" s="162"/>
      <c r="M620" s="163"/>
      <c r="N620" s="163"/>
      <c r="O620" s="163"/>
      <c r="P620" s="163">
        <f t="shared" si="299"/>
        <v>0</v>
      </c>
      <c r="Q620" s="10"/>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row>
    <row r="621" spans="1:56" ht="14.25" customHeight="1">
      <c r="A621" s="8"/>
      <c r="B621" s="43" t="s">
        <v>55</v>
      </c>
      <c r="C621" s="162"/>
      <c r="D621" s="162"/>
      <c r="E621" s="162"/>
      <c r="F621" s="163"/>
      <c r="G621" s="163"/>
      <c r="H621" s="163"/>
      <c r="I621" s="163"/>
      <c r="J621" s="162"/>
      <c r="K621" s="162"/>
      <c r="L621" s="162"/>
      <c r="M621" s="163"/>
      <c r="N621" s="163"/>
      <c r="O621" s="163"/>
      <c r="P621" s="163">
        <f t="shared" si="299"/>
        <v>0</v>
      </c>
      <c r="Q621" s="10"/>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row>
    <row r="622" spans="1:56" ht="14.25" customHeight="1">
      <c r="A622" s="8"/>
      <c r="B622" s="43" t="s">
        <v>56</v>
      </c>
      <c r="C622" s="162"/>
      <c r="D622" s="162"/>
      <c r="E622" s="162"/>
      <c r="F622" s="163"/>
      <c r="G622" s="163"/>
      <c r="H622" s="163"/>
      <c r="I622" s="163"/>
      <c r="J622" s="162"/>
      <c r="K622" s="162"/>
      <c r="L622" s="162"/>
      <c r="M622" s="163"/>
      <c r="N622" s="163"/>
      <c r="O622" s="163"/>
      <c r="P622" s="163">
        <f t="shared" si="299"/>
        <v>0</v>
      </c>
      <c r="Q622" s="10"/>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row>
    <row r="623" spans="1:56" ht="14.25" customHeight="1">
      <c r="A623" s="8"/>
      <c r="B623" s="12" t="s">
        <v>57</v>
      </c>
      <c r="C623" s="162"/>
      <c r="D623" s="162"/>
      <c r="E623" s="162"/>
      <c r="F623" s="163"/>
      <c r="G623" s="163"/>
      <c r="H623" s="163"/>
      <c r="I623" s="163"/>
      <c r="J623" s="162"/>
      <c r="K623" s="162"/>
      <c r="L623" s="162"/>
      <c r="M623" s="163"/>
      <c r="N623" s="163"/>
      <c r="O623" s="163"/>
      <c r="P623" s="163">
        <f t="shared" si="299"/>
        <v>0</v>
      </c>
      <c r="Q623" s="10"/>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row>
    <row r="624" spans="1:56" ht="14.25" customHeight="1">
      <c r="A624" s="8"/>
      <c r="B624" s="12" t="s">
        <v>58</v>
      </c>
      <c r="C624" s="162"/>
      <c r="D624" s="162"/>
      <c r="E624" s="162"/>
      <c r="F624" s="163"/>
      <c r="G624" s="163"/>
      <c r="H624" s="163"/>
      <c r="I624" s="163"/>
      <c r="J624" s="162"/>
      <c r="K624" s="162"/>
      <c r="L624" s="162"/>
      <c r="M624" s="163"/>
      <c r="N624" s="163"/>
      <c r="O624" s="163"/>
      <c r="P624" s="163">
        <f t="shared" si="299"/>
        <v>0</v>
      </c>
      <c r="Q624" s="10"/>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row>
    <row r="625" spans="1:56" ht="14.25" customHeight="1">
      <c r="A625" s="8"/>
      <c r="B625" s="12" t="s">
        <v>59</v>
      </c>
      <c r="C625" s="162"/>
      <c r="D625" s="162"/>
      <c r="E625" s="162"/>
      <c r="F625" s="163"/>
      <c r="G625" s="163"/>
      <c r="H625" s="163"/>
      <c r="I625" s="163"/>
      <c r="J625" s="162"/>
      <c r="K625" s="162"/>
      <c r="L625" s="162"/>
      <c r="M625" s="163"/>
      <c r="N625" s="163"/>
      <c r="O625" s="163"/>
      <c r="P625" s="163">
        <f t="shared" si="299"/>
        <v>0</v>
      </c>
      <c r="Q625" s="10"/>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row>
    <row r="626" spans="1:56" ht="14.25" customHeight="1">
      <c r="A626" s="8"/>
      <c r="B626" s="12" t="s">
        <v>60</v>
      </c>
      <c r="C626" s="162"/>
      <c r="D626" s="162"/>
      <c r="E626" s="162"/>
      <c r="F626" s="163"/>
      <c r="G626" s="163"/>
      <c r="H626" s="163"/>
      <c r="I626" s="163"/>
      <c r="J626" s="162"/>
      <c r="K626" s="162"/>
      <c r="L626" s="162"/>
      <c r="M626" s="163"/>
      <c r="N626" s="163"/>
      <c r="O626" s="163"/>
      <c r="P626" s="163">
        <f t="shared" si="299"/>
        <v>0</v>
      </c>
      <c r="Q626" s="10"/>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row>
    <row r="627" spans="1:56" ht="14.25" customHeight="1">
      <c r="A627" s="8"/>
      <c r="B627" s="12" t="s">
        <v>61</v>
      </c>
      <c r="C627" s="162"/>
      <c r="D627" s="162"/>
      <c r="E627" s="162"/>
      <c r="F627" s="163"/>
      <c r="G627" s="163"/>
      <c r="H627" s="163"/>
      <c r="I627" s="163"/>
      <c r="J627" s="162"/>
      <c r="K627" s="162"/>
      <c r="L627" s="162"/>
      <c r="M627" s="163"/>
      <c r="N627" s="163"/>
      <c r="O627" s="163"/>
      <c r="P627" s="163">
        <f t="shared" si="299"/>
        <v>0</v>
      </c>
      <c r="Q627" s="10"/>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row>
    <row r="628" spans="1:56" ht="14.25" customHeight="1">
      <c r="A628" s="8"/>
      <c r="B628" s="12" t="s">
        <v>62</v>
      </c>
      <c r="C628" s="162"/>
      <c r="D628" s="162"/>
      <c r="E628" s="162"/>
      <c r="F628" s="163"/>
      <c r="G628" s="163"/>
      <c r="H628" s="163"/>
      <c r="I628" s="163"/>
      <c r="J628" s="162"/>
      <c r="K628" s="162"/>
      <c r="L628" s="162"/>
      <c r="M628" s="163"/>
      <c r="N628" s="163"/>
      <c r="O628" s="163"/>
      <c r="P628" s="163">
        <f t="shared" si="299"/>
        <v>0</v>
      </c>
      <c r="Q628" s="10"/>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row>
    <row r="629" spans="1:56" ht="14.25" customHeight="1">
      <c r="A629" s="8"/>
      <c r="B629" s="12" t="s">
        <v>63</v>
      </c>
      <c r="C629" s="162"/>
      <c r="D629" s="162"/>
      <c r="E629" s="162"/>
      <c r="F629" s="163"/>
      <c r="G629" s="163"/>
      <c r="H629" s="163"/>
      <c r="I629" s="163"/>
      <c r="J629" s="162"/>
      <c r="K629" s="162"/>
      <c r="L629" s="162"/>
      <c r="M629" s="163"/>
      <c r="N629" s="163"/>
      <c r="O629" s="163"/>
      <c r="P629" s="163">
        <f t="shared" si="299"/>
        <v>0</v>
      </c>
      <c r="Q629" s="10"/>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row>
    <row r="630" spans="1:56" ht="14.25" customHeight="1">
      <c r="A630" s="8"/>
      <c r="B630" s="12" t="s">
        <v>64</v>
      </c>
      <c r="C630" s="162"/>
      <c r="D630" s="162"/>
      <c r="E630" s="162"/>
      <c r="F630" s="163"/>
      <c r="G630" s="163"/>
      <c r="H630" s="163"/>
      <c r="I630" s="163"/>
      <c r="J630" s="162"/>
      <c r="K630" s="162"/>
      <c r="L630" s="162"/>
      <c r="M630" s="163"/>
      <c r="N630" s="163"/>
      <c r="O630" s="163"/>
      <c r="P630" s="163">
        <f t="shared" si="299"/>
        <v>0</v>
      </c>
      <c r="Q630" s="10"/>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row>
    <row r="631" spans="1:56" ht="14.25" customHeight="1">
      <c r="A631" s="8"/>
      <c r="B631" s="12" t="s">
        <v>65</v>
      </c>
      <c r="C631" s="162"/>
      <c r="D631" s="162"/>
      <c r="E631" s="162"/>
      <c r="F631" s="163"/>
      <c r="G631" s="163"/>
      <c r="H631" s="163"/>
      <c r="I631" s="163"/>
      <c r="J631" s="162"/>
      <c r="K631" s="162"/>
      <c r="L631" s="162"/>
      <c r="M631" s="163"/>
      <c r="N631" s="163"/>
      <c r="O631" s="163"/>
      <c r="P631" s="163">
        <f t="shared" si="299"/>
        <v>0</v>
      </c>
      <c r="Q631" s="10"/>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row>
    <row r="632" spans="1:56" ht="14.25" customHeight="1">
      <c r="A632" s="8"/>
      <c r="B632" s="12" t="s">
        <v>66</v>
      </c>
      <c r="C632" s="162"/>
      <c r="D632" s="162"/>
      <c r="E632" s="162"/>
      <c r="F632" s="163"/>
      <c r="G632" s="163"/>
      <c r="H632" s="163"/>
      <c r="I632" s="163"/>
      <c r="J632" s="162"/>
      <c r="K632" s="162"/>
      <c r="L632" s="162"/>
      <c r="M632" s="163"/>
      <c r="N632" s="163"/>
      <c r="O632" s="163"/>
      <c r="P632" s="163">
        <f t="shared" si="299"/>
        <v>0</v>
      </c>
      <c r="Q632" s="10"/>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row>
    <row r="633" spans="1:56" ht="14.25" customHeight="1">
      <c r="A633" s="8"/>
      <c r="B633" s="12" t="s">
        <v>67</v>
      </c>
      <c r="C633" s="162"/>
      <c r="D633" s="162"/>
      <c r="E633" s="162"/>
      <c r="F633" s="163"/>
      <c r="G633" s="163"/>
      <c r="H633" s="163"/>
      <c r="I633" s="163"/>
      <c r="J633" s="162"/>
      <c r="K633" s="162"/>
      <c r="L633" s="162"/>
      <c r="M633" s="163"/>
      <c r="N633" s="163"/>
      <c r="O633" s="163"/>
      <c r="P633" s="163">
        <f t="shared" si="299"/>
        <v>0</v>
      </c>
      <c r="Q633" s="10"/>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row>
    <row r="634" spans="1:56" ht="14.25" customHeight="1">
      <c r="A634" s="8"/>
      <c r="B634" s="12" t="s">
        <v>68</v>
      </c>
      <c r="C634" s="162"/>
      <c r="D634" s="162"/>
      <c r="E634" s="162"/>
      <c r="F634" s="163"/>
      <c r="G634" s="163"/>
      <c r="H634" s="163"/>
      <c r="I634" s="163"/>
      <c r="J634" s="162"/>
      <c r="K634" s="162"/>
      <c r="L634" s="162"/>
      <c r="M634" s="163"/>
      <c r="N634" s="163"/>
      <c r="O634" s="163"/>
      <c r="P634" s="163">
        <f t="shared" si="299"/>
        <v>0</v>
      </c>
      <c r="Q634" s="10"/>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row>
    <row r="635" spans="1:56" ht="14.25" customHeight="1">
      <c r="A635" s="8"/>
      <c r="B635" s="12" t="s">
        <v>69</v>
      </c>
      <c r="C635" s="162"/>
      <c r="D635" s="162"/>
      <c r="E635" s="162"/>
      <c r="F635" s="163"/>
      <c r="G635" s="163"/>
      <c r="H635" s="163"/>
      <c r="I635" s="163"/>
      <c r="J635" s="162"/>
      <c r="K635" s="162"/>
      <c r="L635" s="162"/>
      <c r="M635" s="163"/>
      <c r="N635" s="163"/>
      <c r="O635" s="163"/>
      <c r="P635" s="163">
        <f t="shared" si="299"/>
        <v>0</v>
      </c>
      <c r="Q635" s="10"/>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row>
    <row r="636" spans="1:56" ht="14.25" customHeight="1">
      <c r="A636" s="8"/>
      <c r="B636" s="12" t="s">
        <v>70</v>
      </c>
      <c r="C636" s="162"/>
      <c r="D636" s="162"/>
      <c r="E636" s="162"/>
      <c r="F636" s="163"/>
      <c r="G636" s="163"/>
      <c r="H636" s="163"/>
      <c r="I636" s="163"/>
      <c r="J636" s="162"/>
      <c r="K636" s="162"/>
      <c r="L636" s="162"/>
      <c r="M636" s="163"/>
      <c r="N636" s="163"/>
      <c r="O636" s="163"/>
      <c r="P636" s="163">
        <f t="shared" si="299"/>
        <v>0</v>
      </c>
      <c r="Q636" s="10"/>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row>
    <row r="637" spans="1:56" ht="14.25" customHeight="1">
      <c r="A637" s="8"/>
      <c r="B637" s="12" t="s">
        <v>71</v>
      </c>
      <c r="C637" s="162"/>
      <c r="D637" s="162"/>
      <c r="E637" s="162"/>
      <c r="F637" s="163"/>
      <c r="G637" s="163"/>
      <c r="H637" s="163"/>
      <c r="I637" s="163"/>
      <c r="J637" s="162"/>
      <c r="K637" s="162"/>
      <c r="L637" s="162"/>
      <c r="M637" s="163"/>
      <c r="N637" s="163"/>
      <c r="O637" s="163"/>
      <c r="P637" s="163">
        <f t="shared" si="299"/>
        <v>0</v>
      </c>
      <c r="Q637" s="10"/>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row>
    <row r="638" spans="1:56" ht="14.25" customHeight="1">
      <c r="A638" s="8"/>
      <c r="B638" s="12" t="s">
        <v>72</v>
      </c>
      <c r="C638" s="162"/>
      <c r="D638" s="162"/>
      <c r="E638" s="162"/>
      <c r="F638" s="163"/>
      <c r="G638" s="163"/>
      <c r="H638" s="163"/>
      <c r="I638" s="163"/>
      <c r="J638" s="162"/>
      <c r="K638" s="162"/>
      <c r="L638" s="162"/>
      <c r="M638" s="163"/>
      <c r="N638" s="163"/>
      <c r="O638" s="163"/>
      <c r="P638" s="163">
        <f t="shared" si="299"/>
        <v>0</v>
      </c>
      <c r="Q638" s="10"/>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row>
    <row r="639" spans="1:56" ht="14.25" customHeight="1">
      <c r="A639" s="8"/>
      <c r="B639" s="12" t="s">
        <v>73</v>
      </c>
      <c r="C639" s="162"/>
      <c r="D639" s="162"/>
      <c r="E639" s="162"/>
      <c r="F639" s="163"/>
      <c r="G639" s="163"/>
      <c r="H639" s="163"/>
      <c r="I639" s="163"/>
      <c r="J639" s="162"/>
      <c r="K639" s="162"/>
      <c r="L639" s="162"/>
      <c r="M639" s="163"/>
      <c r="N639" s="163"/>
      <c r="O639" s="163"/>
      <c r="P639" s="163">
        <f t="shared" si="299"/>
        <v>0</v>
      </c>
      <c r="Q639" s="10"/>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row>
    <row r="640" spans="1:56" ht="14.25" customHeight="1">
      <c r="A640" s="8"/>
      <c r="B640" s="12" t="s">
        <v>74</v>
      </c>
      <c r="C640" s="162"/>
      <c r="D640" s="162"/>
      <c r="E640" s="162"/>
      <c r="F640" s="163"/>
      <c r="G640" s="163"/>
      <c r="H640" s="163"/>
      <c r="I640" s="163"/>
      <c r="J640" s="162"/>
      <c r="K640" s="162"/>
      <c r="L640" s="162"/>
      <c r="M640" s="163"/>
      <c r="N640" s="163"/>
      <c r="O640" s="163"/>
      <c r="P640" s="163">
        <f t="shared" si="299"/>
        <v>0</v>
      </c>
      <c r="Q640" s="10"/>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row>
    <row r="641" spans="1:56" ht="14.25" customHeight="1">
      <c r="A641" s="8"/>
      <c r="B641" s="12" t="s">
        <v>75</v>
      </c>
      <c r="C641" s="162"/>
      <c r="D641" s="162"/>
      <c r="E641" s="162"/>
      <c r="F641" s="163"/>
      <c r="G641" s="163"/>
      <c r="H641" s="163"/>
      <c r="I641" s="163"/>
      <c r="J641" s="162"/>
      <c r="K641" s="162"/>
      <c r="L641" s="162"/>
      <c r="M641" s="163"/>
      <c r="N641" s="163"/>
      <c r="O641" s="163"/>
      <c r="P641" s="163">
        <f t="shared" ref="P641:P675" si="300">L641</f>
        <v>0</v>
      </c>
      <c r="Q641" s="10"/>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row>
    <row r="642" spans="1:56" ht="14.25" customHeight="1">
      <c r="A642" s="8"/>
      <c r="B642" s="12" t="s">
        <v>76</v>
      </c>
      <c r="C642" s="162"/>
      <c r="D642" s="162"/>
      <c r="E642" s="162"/>
      <c r="F642" s="163"/>
      <c r="G642" s="163"/>
      <c r="H642" s="163"/>
      <c r="I642" s="163"/>
      <c r="J642" s="162"/>
      <c r="K642" s="162"/>
      <c r="L642" s="162"/>
      <c r="M642" s="163"/>
      <c r="N642" s="163"/>
      <c r="O642" s="163"/>
      <c r="P642" s="163">
        <f t="shared" si="300"/>
        <v>0</v>
      </c>
      <c r="Q642" s="10"/>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row>
    <row r="643" spans="1:56" ht="14.25" customHeight="1">
      <c r="A643" s="8"/>
      <c r="B643" s="12" t="s">
        <v>77</v>
      </c>
      <c r="C643" s="162"/>
      <c r="D643" s="162"/>
      <c r="E643" s="162"/>
      <c r="F643" s="163"/>
      <c r="G643" s="163"/>
      <c r="H643" s="163"/>
      <c r="I643" s="163"/>
      <c r="J643" s="162"/>
      <c r="K643" s="162"/>
      <c r="L643" s="162"/>
      <c r="M643" s="163"/>
      <c r="N643" s="163"/>
      <c r="O643" s="163"/>
      <c r="P643" s="163">
        <f t="shared" si="300"/>
        <v>0</v>
      </c>
      <c r="Q643" s="10"/>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row>
    <row r="644" spans="1:56" ht="14.25" customHeight="1">
      <c r="A644" s="8"/>
      <c r="B644" s="12" t="s">
        <v>78</v>
      </c>
      <c r="C644" s="162"/>
      <c r="D644" s="162"/>
      <c r="E644" s="162"/>
      <c r="F644" s="163"/>
      <c r="G644" s="163"/>
      <c r="H644" s="163"/>
      <c r="I644" s="163"/>
      <c r="J644" s="162"/>
      <c r="K644" s="162"/>
      <c r="L644" s="162"/>
      <c r="M644" s="163"/>
      <c r="N644" s="163"/>
      <c r="O644" s="163"/>
      <c r="P644" s="163">
        <f t="shared" si="300"/>
        <v>0</v>
      </c>
      <c r="Q644" s="10"/>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row>
    <row r="645" spans="1:56" ht="14.25" customHeight="1">
      <c r="A645" s="8"/>
      <c r="B645" s="12" t="s">
        <v>79</v>
      </c>
      <c r="C645" s="162"/>
      <c r="D645" s="162"/>
      <c r="E645" s="162"/>
      <c r="F645" s="163"/>
      <c r="G645" s="163"/>
      <c r="H645" s="163"/>
      <c r="I645" s="163"/>
      <c r="J645" s="162"/>
      <c r="K645" s="162"/>
      <c r="L645" s="162"/>
      <c r="M645" s="163"/>
      <c r="N645" s="163"/>
      <c r="O645" s="163"/>
      <c r="P645" s="163">
        <f t="shared" si="300"/>
        <v>0</v>
      </c>
      <c r="Q645" s="10"/>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row>
    <row r="646" spans="1:56" ht="14.25" customHeight="1">
      <c r="A646" s="8"/>
      <c r="B646" s="12" t="s">
        <v>80</v>
      </c>
      <c r="C646" s="162"/>
      <c r="D646" s="162"/>
      <c r="E646" s="162"/>
      <c r="F646" s="163"/>
      <c r="G646" s="163"/>
      <c r="H646" s="163"/>
      <c r="I646" s="163"/>
      <c r="J646" s="162"/>
      <c r="K646" s="162"/>
      <c r="L646" s="162"/>
      <c r="M646" s="163"/>
      <c r="N646" s="163"/>
      <c r="O646" s="163"/>
      <c r="P646" s="163">
        <f t="shared" si="300"/>
        <v>0</v>
      </c>
      <c r="Q646" s="10"/>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row>
    <row r="647" spans="1:56" ht="14.25" customHeight="1">
      <c r="A647" s="8"/>
      <c r="B647" s="12" t="s">
        <v>81</v>
      </c>
      <c r="C647" s="162"/>
      <c r="D647" s="162"/>
      <c r="E647" s="162"/>
      <c r="F647" s="163"/>
      <c r="G647" s="163"/>
      <c r="H647" s="163"/>
      <c r="I647" s="163"/>
      <c r="J647" s="162"/>
      <c r="K647" s="162"/>
      <c r="L647" s="162"/>
      <c r="M647" s="163"/>
      <c r="N647" s="163"/>
      <c r="O647" s="163"/>
      <c r="P647" s="163">
        <f t="shared" si="300"/>
        <v>0</v>
      </c>
      <c r="Q647" s="10"/>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row>
    <row r="648" spans="1:56" ht="14.25" customHeight="1">
      <c r="A648" s="8"/>
      <c r="B648" s="12" t="s">
        <v>82</v>
      </c>
      <c r="C648" s="162"/>
      <c r="D648" s="162"/>
      <c r="E648" s="162"/>
      <c r="F648" s="163"/>
      <c r="G648" s="163"/>
      <c r="H648" s="163"/>
      <c r="I648" s="163"/>
      <c r="J648" s="162"/>
      <c r="K648" s="162"/>
      <c r="L648" s="162"/>
      <c r="M648" s="163"/>
      <c r="N648" s="163"/>
      <c r="O648" s="163"/>
      <c r="P648" s="163">
        <f t="shared" si="300"/>
        <v>0</v>
      </c>
      <c r="Q648" s="10"/>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row>
    <row r="649" spans="1:56" ht="14.25" customHeight="1">
      <c r="A649" s="8"/>
      <c r="B649" s="12" t="s">
        <v>83</v>
      </c>
      <c r="C649" s="162"/>
      <c r="D649" s="162"/>
      <c r="E649" s="162"/>
      <c r="F649" s="163"/>
      <c r="G649" s="163"/>
      <c r="H649" s="163"/>
      <c r="I649" s="163"/>
      <c r="J649" s="162"/>
      <c r="K649" s="162"/>
      <c r="L649" s="162"/>
      <c r="M649" s="163"/>
      <c r="N649" s="163"/>
      <c r="O649" s="163"/>
      <c r="P649" s="163">
        <f t="shared" si="300"/>
        <v>0</v>
      </c>
      <c r="Q649" s="10"/>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row>
    <row r="650" spans="1:56" ht="14.25" customHeight="1">
      <c r="A650" s="8"/>
      <c r="B650" s="12" t="s">
        <v>84</v>
      </c>
      <c r="C650" s="162"/>
      <c r="D650" s="162"/>
      <c r="E650" s="162"/>
      <c r="F650" s="163"/>
      <c r="G650" s="163"/>
      <c r="H650" s="163"/>
      <c r="I650" s="163"/>
      <c r="J650" s="162"/>
      <c r="K650" s="162"/>
      <c r="L650" s="162"/>
      <c r="M650" s="163"/>
      <c r="N650" s="163"/>
      <c r="O650" s="163"/>
      <c r="P650" s="163">
        <f t="shared" si="300"/>
        <v>0</v>
      </c>
      <c r="Q650" s="10"/>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row>
    <row r="651" spans="1:56" ht="14.25" customHeight="1">
      <c r="A651" s="8"/>
      <c r="B651" s="12" t="s">
        <v>85</v>
      </c>
      <c r="C651" s="162"/>
      <c r="D651" s="162"/>
      <c r="E651" s="162"/>
      <c r="F651" s="163"/>
      <c r="G651" s="163"/>
      <c r="H651" s="163"/>
      <c r="I651" s="163"/>
      <c r="J651" s="162"/>
      <c r="K651" s="162"/>
      <c r="L651" s="162"/>
      <c r="M651" s="163"/>
      <c r="N651" s="163"/>
      <c r="O651" s="163"/>
      <c r="P651" s="163">
        <f t="shared" si="300"/>
        <v>0</v>
      </c>
      <c r="Q651" s="10"/>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row>
    <row r="652" spans="1:56" ht="14.25" customHeight="1">
      <c r="A652" s="8"/>
      <c r="B652" s="12" t="s">
        <v>86</v>
      </c>
      <c r="C652" s="162"/>
      <c r="D652" s="162"/>
      <c r="E652" s="162"/>
      <c r="F652" s="163"/>
      <c r="G652" s="163"/>
      <c r="H652" s="163"/>
      <c r="I652" s="163"/>
      <c r="J652" s="162"/>
      <c r="K652" s="162"/>
      <c r="L652" s="162"/>
      <c r="M652" s="163"/>
      <c r="N652" s="163"/>
      <c r="O652" s="163"/>
      <c r="P652" s="163">
        <f t="shared" si="300"/>
        <v>0</v>
      </c>
      <c r="Q652" s="10"/>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row>
    <row r="653" spans="1:56" ht="14.25" customHeight="1">
      <c r="A653" s="8"/>
      <c r="B653" s="12" t="s">
        <v>87</v>
      </c>
      <c r="C653" s="162"/>
      <c r="D653" s="162"/>
      <c r="E653" s="162"/>
      <c r="F653" s="163"/>
      <c r="G653" s="163"/>
      <c r="H653" s="163"/>
      <c r="I653" s="163"/>
      <c r="J653" s="162"/>
      <c r="K653" s="162"/>
      <c r="L653" s="162"/>
      <c r="M653" s="163"/>
      <c r="N653" s="163"/>
      <c r="O653" s="163"/>
      <c r="P653" s="163">
        <f t="shared" si="300"/>
        <v>0</v>
      </c>
      <c r="Q653" s="10"/>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row>
    <row r="654" spans="1:56" ht="14.25" customHeight="1">
      <c r="A654" s="8"/>
      <c r="B654" s="12" t="s">
        <v>88</v>
      </c>
      <c r="C654" s="162"/>
      <c r="D654" s="162"/>
      <c r="E654" s="162"/>
      <c r="F654" s="163"/>
      <c r="G654" s="163"/>
      <c r="H654" s="163"/>
      <c r="I654" s="163"/>
      <c r="J654" s="162"/>
      <c r="K654" s="162"/>
      <c r="L654" s="162"/>
      <c r="M654" s="163"/>
      <c r="N654" s="163"/>
      <c r="O654" s="163"/>
      <c r="P654" s="163">
        <f t="shared" si="300"/>
        <v>0</v>
      </c>
      <c r="Q654" s="10"/>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row>
    <row r="655" spans="1:56" ht="14.25" customHeight="1">
      <c r="A655" s="8"/>
      <c r="B655" s="12" t="s">
        <v>89</v>
      </c>
      <c r="C655" s="162"/>
      <c r="D655" s="162"/>
      <c r="E655" s="162"/>
      <c r="F655" s="163"/>
      <c r="G655" s="163"/>
      <c r="H655" s="163"/>
      <c r="I655" s="163"/>
      <c r="J655" s="162"/>
      <c r="K655" s="162"/>
      <c r="L655" s="162"/>
      <c r="M655" s="163"/>
      <c r="N655" s="163"/>
      <c r="O655" s="163"/>
      <c r="P655" s="163">
        <f t="shared" si="300"/>
        <v>0</v>
      </c>
      <c r="Q655" s="10"/>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row>
    <row r="656" spans="1:56" ht="14.25" customHeight="1">
      <c r="A656" s="8"/>
      <c r="B656" s="12" t="s">
        <v>90</v>
      </c>
      <c r="C656" s="162"/>
      <c r="D656" s="162"/>
      <c r="E656" s="162"/>
      <c r="F656" s="163"/>
      <c r="G656" s="163"/>
      <c r="H656" s="163"/>
      <c r="I656" s="163"/>
      <c r="J656" s="162"/>
      <c r="K656" s="162"/>
      <c r="L656" s="162"/>
      <c r="M656" s="163"/>
      <c r="N656" s="163"/>
      <c r="O656" s="163"/>
      <c r="P656" s="163">
        <f t="shared" si="300"/>
        <v>0</v>
      </c>
      <c r="Q656" s="10"/>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row>
    <row r="657" spans="1:56" ht="14.25" customHeight="1">
      <c r="A657" s="8"/>
      <c r="B657" s="12" t="s">
        <v>91</v>
      </c>
      <c r="C657" s="162"/>
      <c r="D657" s="162"/>
      <c r="E657" s="162"/>
      <c r="F657" s="163"/>
      <c r="G657" s="163"/>
      <c r="H657" s="163"/>
      <c r="I657" s="163"/>
      <c r="J657" s="162"/>
      <c r="K657" s="162"/>
      <c r="L657" s="162"/>
      <c r="M657" s="163"/>
      <c r="N657" s="163"/>
      <c r="O657" s="163"/>
      <c r="P657" s="163">
        <f t="shared" si="300"/>
        <v>0</v>
      </c>
      <c r="Q657" s="10"/>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row>
    <row r="658" spans="1:56" ht="14.25" customHeight="1">
      <c r="A658" s="8"/>
      <c r="B658" s="12" t="s">
        <v>93</v>
      </c>
      <c r="C658" s="162"/>
      <c r="D658" s="162"/>
      <c r="E658" s="162"/>
      <c r="F658" s="163"/>
      <c r="G658" s="163"/>
      <c r="H658" s="163"/>
      <c r="I658" s="163"/>
      <c r="J658" s="162"/>
      <c r="K658" s="162"/>
      <c r="L658" s="162"/>
      <c r="M658" s="163"/>
      <c r="N658" s="163"/>
      <c r="O658" s="163"/>
      <c r="P658" s="163">
        <f t="shared" si="300"/>
        <v>0</v>
      </c>
      <c r="Q658" s="10"/>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row>
    <row r="659" spans="1:56" ht="14.25" customHeight="1">
      <c r="A659" s="8"/>
      <c r="B659" s="12" t="s">
        <v>94</v>
      </c>
      <c r="C659" s="162"/>
      <c r="D659" s="162"/>
      <c r="E659" s="162"/>
      <c r="F659" s="163"/>
      <c r="G659" s="163"/>
      <c r="H659" s="163"/>
      <c r="I659" s="163"/>
      <c r="J659" s="162"/>
      <c r="K659" s="162"/>
      <c r="L659" s="162"/>
      <c r="M659" s="163"/>
      <c r="N659" s="163"/>
      <c r="O659" s="163"/>
      <c r="P659" s="163">
        <f t="shared" si="300"/>
        <v>0</v>
      </c>
      <c r="Q659" s="10"/>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row>
    <row r="660" spans="1:56" ht="14.25" customHeight="1">
      <c r="A660" s="8"/>
      <c r="B660" s="12" t="s">
        <v>95</v>
      </c>
      <c r="C660" s="162"/>
      <c r="D660" s="162"/>
      <c r="E660" s="162"/>
      <c r="F660" s="163"/>
      <c r="G660" s="163"/>
      <c r="H660" s="163"/>
      <c r="I660" s="163"/>
      <c r="J660" s="162"/>
      <c r="K660" s="162"/>
      <c r="L660" s="162"/>
      <c r="M660" s="163"/>
      <c r="N660" s="163"/>
      <c r="O660" s="163"/>
      <c r="P660" s="163">
        <f t="shared" si="300"/>
        <v>0</v>
      </c>
      <c r="Q660" s="10"/>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row>
    <row r="661" spans="1:56" ht="14.25" customHeight="1">
      <c r="A661" s="8"/>
      <c r="B661" s="12" t="s">
        <v>96</v>
      </c>
      <c r="C661" s="162"/>
      <c r="D661" s="162"/>
      <c r="E661" s="162"/>
      <c r="F661" s="163"/>
      <c r="G661" s="163"/>
      <c r="H661" s="163"/>
      <c r="I661" s="163"/>
      <c r="J661" s="162"/>
      <c r="K661" s="162"/>
      <c r="L661" s="162"/>
      <c r="M661" s="163"/>
      <c r="N661" s="163"/>
      <c r="O661" s="163"/>
      <c r="P661" s="163">
        <f t="shared" si="300"/>
        <v>0</v>
      </c>
      <c r="Q661" s="10"/>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row>
    <row r="662" spans="1:56" ht="14.25" customHeight="1">
      <c r="A662" s="8"/>
      <c r="B662" s="43" t="s">
        <v>97</v>
      </c>
      <c r="C662" s="162"/>
      <c r="D662" s="162"/>
      <c r="E662" s="162"/>
      <c r="F662" s="163"/>
      <c r="G662" s="163"/>
      <c r="H662" s="163"/>
      <c r="I662" s="163"/>
      <c r="J662" s="162"/>
      <c r="K662" s="162"/>
      <c r="L662" s="162"/>
      <c r="M662" s="163"/>
      <c r="N662" s="163"/>
      <c r="O662" s="163"/>
      <c r="P662" s="163">
        <f t="shared" si="300"/>
        <v>0</v>
      </c>
      <c r="Q662" s="10"/>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row>
    <row r="663" spans="1:56" ht="14.25" customHeight="1">
      <c r="A663" s="8"/>
      <c r="B663" s="43" t="s">
        <v>98</v>
      </c>
      <c r="C663" s="162"/>
      <c r="D663" s="162"/>
      <c r="E663" s="162"/>
      <c r="F663" s="163"/>
      <c r="G663" s="163"/>
      <c r="H663" s="163"/>
      <c r="I663" s="163"/>
      <c r="J663" s="162"/>
      <c r="K663" s="162"/>
      <c r="L663" s="162"/>
      <c r="M663" s="163"/>
      <c r="N663" s="163"/>
      <c r="O663" s="163"/>
      <c r="P663" s="163">
        <f t="shared" si="300"/>
        <v>0</v>
      </c>
      <c r="Q663" s="10"/>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row>
    <row r="664" spans="1:56" ht="14.25" customHeight="1">
      <c r="A664" s="8"/>
      <c r="B664" s="43" t="s">
        <v>99</v>
      </c>
      <c r="C664" s="162"/>
      <c r="D664" s="162"/>
      <c r="E664" s="162"/>
      <c r="F664" s="163"/>
      <c r="G664" s="163"/>
      <c r="H664" s="163"/>
      <c r="I664" s="163"/>
      <c r="J664" s="162"/>
      <c r="K664" s="162"/>
      <c r="L664" s="162"/>
      <c r="M664" s="163"/>
      <c r="N664" s="163"/>
      <c r="O664" s="163"/>
      <c r="P664" s="163">
        <f t="shared" si="300"/>
        <v>0</v>
      </c>
      <c r="Q664" s="10"/>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row>
    <row r="665" spans="1:56" ht="14.25" customHeight="1">
      <c r="A665" s="8"/>
      <c r="B665" s="45" t="s">
        <v>100</v>
      </c>
      <c r="C665" s="162"/>
      <c r="D665" s="162"/>
      <c r="E665" s="162"/>
      <c r="F665" s="163"/>
      <c r="G665" s="163"/>
      <c r="H665" s="163"/>
      <c r="I665" s="163"/>
      <c r="J665" s="162"/>
      <c r="K665" s="162"/>
      <c r="L665" s="162"/>
      <c r="M665" s="163"/>
      <c r="N665" s="163"/>
      <c r="O665" s="163"/>
      <c r="P665" s="163">
        <f t="shared" si="300"/>
        <v>0</v>
      </c>
      <c r="Q665" s="10"/>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row>
    <row r="666" spans="1:56" ht="14.25" customHeight="1">
      <c r="A666" s="8"/>
      <c r="B666" s="45" t="s">
        <v>101</v>
      </c>
      <c r="C666" s="162"/>
      <c r="D666" s="162"/>
      <c r="E666" s="162"/>
      <c r="F666" s="163"/>
      <c r="G666" s="163"/>
      <c r="H666" s="163"/>
      <c r="I666" s="163"/>
      <c r="J666" s="162"/>
      <c r="K666" s="162"/>
      <c r="L666" s="162"/>
      <c r="M666" s="163"/>
      <c r="N666" s="163"/>
      <c r="O666" s="163"/>
      <c r="P666" s="163">
        <f t="shared" si="300"/>
        <v>0</v>
      </c>
      <c r="Q666" s="10"/>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row>
    <row r="667" spans="1:56" ht="14.25" customHeight="1">
      <c r="A667" s="8"/>
      <c r="B667" s="12" t="s">
        <v>119</v>
      </c>
      <c r="C667" s="162"/>
      <c r="D667" s="162"/>
      <c r="E667" s="162"/>
      <c r="F667" s="163"/>
      <c r="G667" s="163"/>
      <c r="H667" s="163"/>
      <c r="I667" s="163"/>
      <c r="J667" s="162"/>
      <c r="K667" s="162"/>
      <c r="L667" s="162"/>
      <c r="M667" s="163"/>
      <c r="N667" s="163"/>
      <c r="O667" s="163"/>
      <c r="P667" s="163">
        <f t="shared" si="300"/>
        <v>0</v>
      </c>
      <c r="Q667" s="10"/>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row>
    <row r="668" spans="1:56" ht="14.25" customHeight="1">
      <c r="A668" s="8"/>
      <c r="B668" s="12" t="s">
        <v>120</v>
      </c>
      <c r="C668" s="162"/>
      <c r="D668" s="162"/>
      <c r="E668" s="162"/>
      <c r="F668" s="163"/>
      <c r="G668" s="163"/>
      <c r="H668" s="163"/>
      <c r="I668" s="163"/>
      <c r="J668" s="162"/>
      <c r="K668" s="162"/>
      <c r="L668" s="162"/>
      <c r="M668" s="163"/>
      <c r="N668" s="163"/>
      <c r="O668" s="163"/>
      <c r="P668" s="163">
        <f t="shared" si="300"/>
        <v>0</v>
      </c>
      <c r="Q668" s="10"/>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row>
    <row r="669" spans="1:56" ht="14.25" customHeight="1">
      <c r="A669" s="8"/>
      <c r="B669" s="12" t="s">
        <v>121</v>
      </c>
      <c r="C669" s="162"/>
      <c r="D669" s="162"/>
      <c r="E669" s="162"/>
      <c r="F669" s="163"/>
      <c r="G669" s="163"/>
      <c r="H669" s="163"/>
      <c r="I669" s="163"/>
      <c r="J669" s="162"/>
      <c r="K669" s="162"/>
      <c r="L669" s="162"/>
      <c r="M669" s="163"/>
      <c r="N669" s="163"/>
      <c r="O669" s="163"/>
      <c r="P669" s="163">
        <f t="shared" si="300"/>
        <v>0</v>
      </c>
      <c r="Q669" s="10"/>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row>
    <row r="670" spans="1:56" ht="14.25" customHeight="1">
      <c r="A670" s="8"/>
      <c r="B670" s="12" t="s">
        <v>122</v>
      </c>
      <c r="C670" s="162"/>
      <c r="D670" s="162"/>
      <c r="E670" s="162"/>
      <c r="F670" s="163"/>
      <c r="G670" s="163"/>
      <c r="H670" s="163"/>
      <c r="I670" s="163"/>
      <c r="J670" s="162"/>
      <c r="K670" s="162"/>
      <c r="L670" s="162"/>
      <c r="M670" s="163"/>
      <c r="N670" s="163"/>
      <c r="O670" s="163"/>
      <c r="P670" s="163">
        <f t="shared" si="300"/>
        <v>0</v>
      </c>
      <c r="Q670" s="10"/>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row>
    <row r="671" spans="1:56" ht="14.25" customHeight="1">
      <c r="A671" s="8"/>
      <c r="B671" s="12" t="s">
        <v>123</v>
      </c>
      <c r="C671" s="162"/>
      <c r="D671" s="162"/>
      <c r="E671" s="162"/>
      <c r="F671" s="163"/>
      <c r="G671" s="163"/>
      <c r="H671" s="163"/>
      <c r="I671" s="163"/>
      <c r="J671" s="162"/>
      <c r="K671" s="162"/>
      <c r="L671" s="162"/>
      <c r="M671" s="163"/>
      <c r="N671" s="163"/>
      <c r="O671" s="163"/>
      <c r="P671" s="163">
        <f t="shared" si="300"/>
        <v>0</v>
      </c>
      <c r="Q671" s="10"/>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row>
    <row r="672" spans="1:56" ht="14.25" customHeight="1">
      <c r="A672" s="8"/>
      <c r="B672" s="12" t="s">
        <v>124</v>
      </c>
      <c r="C672" s="162"/>
      <c r="D672" s="162"/>
      <c r="E672" s="162"/>
      <c r="F672" s="163"/>
      <c r="G672" s="163"/>
      <c r="H672" s="163"/>
      <c r="I672" s="163"/>
      <c r="J672" s="162"/>
      <c r="K672" s="162"/>
      <c r="L672" s="162"/>
      <c r="M672" s="163"/>
      <c r="N672" s="163"/>
      <c r="O672" s="163"/>
      <c r="P672" s="163">
        <f t="shared" si="300"/>
        <v>0</v>
      </c>
      <c r="Q672" s="10"/>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row>
    <row r="673" spans="1:56" ht="14.25" customHeight="1">
      <c r="A673" s="8"/>
      <c r="B673" s="12" t="s">
        <v>125</v>
      </c>
      <c r="C673" s="162"/>
      <c r="D673" s="162"/>
      <c r="E673" s="162"/>
      <c r="F673" s="163"/>
      <c r="G673" s="163"/>
      <c r="H673" s="163"/>
      <c r="I673" s="163"/>
      <c r="J673" s="162"/>
      <c r="K673" s="162"/>
      <c r="L673" s="162"/>
      <c r="M673" s="163"/>
      <c r="N673" s="163"/>
      <c r="O673" s="163"/>
      <c r="P673" s="163">
        <f t="shared" si="300"/>
        <v>0</v>
      </c>
      <c r="Q673" s="10"/>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row>
    <row r="674" spans="1:56" ht="14.25" customHeight="1">
      <c r="A674" s="8"/>
      <c r="B674" s="12" t="s">
        <v>126</v>
      </c>
      <c r="C674" s="162"/>
      <c r="D674" s="162"/>
      <c r="E674" s="162"/>
      <c r="F674" s="163"/>
      <c r="G674" s="163"/>
      <c r="H674" s="163"/>
      <c r="I674" s="163"/>
      <c r="J674" s="162"/>
      <c r="K674" s="162"/>
      <c r="L674" s="162"/>
      <c r="M674" s="163"/>
      <c r="N674" s="163"/>
      <c r="O674" s="163"/>
      <c r="P674" s="163">
        <f t="shared" si="300"/>
        <v>0</v>
      </c>
      <c r="Q674" s="10"/>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row>
    <row r="675" spans="1:56" ht="14.25" customHeight="1">
      <c r="A675" s="8"/>
      <c r="B675" s="12" t="s">
        <v>127</v>
      </c>
      <c r="C675" s="162"/>
      <c r="D675" s="162"/>
      <c r="E675" s="162"/>
      <c r="F675" s="163"/>
      <c r="G675" s="163"/>
      <c r="H675" s="163"/>
      <c r="I675" s="163"/>
      <c r="J675" s="162"/>
      <c r="K675" s="162"/>
      <c r="L675" s="162"/>
      <c r="M675" s="163"/>
      <c r="N675" s="163"/>
      <c r="O675" s="163"/>
      <c r="P675" s="163">
        <f t="shared" si="300"/>
        <v>0</v>
      </c>
      <c r="Q675" s="10"/>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row>
    <row r="676" spans="1:56" ht="14.25" customHeight="1">
      <c r="A676" s="8"/>
      <c r="B676" s="45" t="s">
        <v>128</v>
      </c>
      <c r="C676" s="162"/>
      <c r="D676" s="162"/>
      <c r="E676" s="162"/>
      <c r="F676" s="163"/>
      <c r="G676" s="163"/>
      <c r="H676" s="163"/>
      <c r="I676" s="163"/>
      <c r="J676" s="162"/>
      <c r="K676" s="162"/>
      <c r="L676" s="162"/>
      <c r="M676" s="163"/>
      <c r="N676" s="163"/>
      <c r="O676" s="163"/>
      <c r="P676" s="163"/>
      <c r="Q676" s="10"/>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row>
    <row r="677" spans="1:56" ht="14.25" customHeight="1">
      <c r="A677" s="8"/>
      <c r="B677" s="12" t="s">
        <v>129</v>
      </c>
      <c r="C677" s="162"/>
      <c r="D677" s="162"/>
      <c r="E677" s="162"/>
      <c r="F677" s="163"/>
      <c r="G677" s="163"/>
      <c r="H677" s="163"/>
      <c r="I677" s="163"/>
      <c r="J677" s="162"/>
      <c r="K677" s="162"/>
      <c r="L677" s="162"/>
      <c r="M677" s="163"/>
      <c r="N677" s="163"/>
      <c r="O677" s="163"/>
      <c r="P677" s="163"/>
      <c r="Q677" s="10"/>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row>
    <row r="678" spans="1:56" ht="14.25" customHeight="1">
      <c r="A678" s="8"/>
      <c r="B678" s="12" t="s">
        <v>130</v>
      </c>
      <c r="C678" s="162"/>
      <c r="D678" s="162"/>
      <c r="E678" s="162"/>
      <c r="F678" s="163"/>
      <c r="G678" s="163"/>
      <c r="H678" s="163"/>
      <c r="I678" s="163"/>
      <c r="J678" s="162"/>
      <c r="K678" s="162"/>
      <c r="L678" s="162"/>
      <c r="M678" s="163"/>
      <c r="N678" s="163"/>
      <c r="O678" s="163"/>
      <c r="P678" s="163">
        <f>L678</f>
        <v>0</v>
      </c>
      <c r="Q678" s="10"/>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row>
    <row r="679" spans="1:56" ht="14.25" customHeight="1">
      <c r="A679" s="8"/>
      <c r="B679" s="12" t="s">
        <v>131</v>
      </c>
      <c r="C679" s="162"/>
      <c r="D679" s="162"/>
      <c r="E679" s="162"/>
      <c r="F679" s="163"/>
      <c r="G679" s="163"/>
      <c r="H679" s="163"/>
      <c r="I679" s="163"/>
      <c r="J679" s="162"/>
      <c r="K679" s="162"/>
      <c r="L679" s="162"/>
      <c r="M679" s="163"/>
      <c r="N679" s="163"/>
      <c r="O679" s="163"/>
      <c r="P679" s="163">
        <f>L679</f>
        <v>0</v>
      </c>
      <c r="Q679" s="10"/>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row>
    <row r="680" spans="1:56" ht="14.25" customHeight="1">
      <c r="A680" s="8"/>
      <c r="B680" s="45" t="s">
        <v>132</v>
      </c>
      <c r="C680" s="162"/>
      <c r="D680" s="162"/>
      <c r="E680" s="162"/>
      <c r="F680" s="163"/>
      <c r="G680" s="163"/>
      <c r="H680" s="163"/>
      <c r="I680" s="163"/>
      <c r="J680" s="162"/>
      <c r="K680" s="162"/>
      <c r="L680" s="162"/>
      <c r="M680" s="163"/>
      <c r="N680" s="163"/>
      <c r="O680" s="163"/>
      <c r="P680" s="163"/>
      <c r="Q680" s="10"/>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row>
    <row r="681" spans="1:56" ht="14.25" customHeight="1">
      <c r="A681" s="8"/>
      <c r="B681" s="12" t="s">
        <v>133</v>
      </c>
      <c r="C681" s="162"/>
      <c r="D681" s="162"/>
      <c r="E681" s="162"/>
      <c r="F681" s="163"/>
      <c r="G681" s="163"/>
      <c r="H681" s="163"/>
      <c r="I681" s="163"/>
      <c r="J681" s="162"/>
      <c r="K681" s="162"/>
      <c r="L681" s="162"/>
      <c r="M681" s="163"/>
      <c r="N681" s="163"/>
      <c r="O681" s="163"/>
      <c r="P681" s="163"/>
      <c r="Q681" s="10"/>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row>
    <row r="682" spans="1:56" ht="14.25" customHeight="1">
      <c r="A682" s="2"/>
      <c r="B682" s="23"/>
      <c r="C682" s="23"/>
      <c r="D682" s="23"/>
      <c r="E682" s="23"/>
      <c r="F682" s="23"/>
      <c r="G682" s="23"/>
      <c r="H682" s="23"/>
      <c r="I682" s="23"/>
      <c r="J682" s="23"/>
      <c r="K682" s="23"/>
      <c r="L682" s="23"/>
      <c r="M682" s="23"/>
      <c r="N682" s="23"/>
      <c r="O682" s="23"/>
      <c r="P682" s="23"/>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row>
    <row r="683" spans="1:5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row>
    <row r="684" spans="1:56" ht="14.25" customHeight="1">
      <c r="A684" s="6" t="s">
        <v>235</v>
      </c>
      <c r="B684" s="25"/>
      <c r="C684" s="25"/>
      <c r="D684" s="25"/>
      <c r="E684" s="25"/>
      <c r="F684" s="25"/>
      <c r="G684" s="25"/>
      <c r="H684" s="25"/>
      <c r="I684" s="25"/>
      <c r="J684" s="25"/>
      <c r="K684" s="25"/>
      <c r="L684" s="25"/>
      <c r="M684" s="25"/>
      <c r="N684" s="25"/>
      <c r="O684" s="25"/>
      <c r="P684" s="25"/>
      <c r="Q684" s="25"/>
      <c r="R684" s="25"/>
      <c r="S684" s="25"/>
      <c r="T684" s="25"/>
      <c r="U684" s="25"/>
      <c r="V684" s="25"/>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row>
    <row r="685" spans="1:56" ht="14.25" customHeight="1">
      <c r="A685" s="26"/>
      <c r="B685" s="27" t="s">
        <v>36</v>
      </c>
      <c r="C685" s="28"/>
      <c r="D685" s="28"/>
      <c r="E685" s="28"/>
      <c r="F685" s="28"/>
      <c r="G685" s="28"/>
      <c r="H685" s="28"/>
      <c r="I685" s="28"/>
      <c r="J685" s="28"/>
      <c r="K685" s="28"/>
      <c r="L685" s="28"/>
      <c r="M685" s="29" t="s">
        <v>17</v>
      </c>
      <c r="N685" s="30"/>
      <c r="O685" s="30"/>
      <c r="P685" s="30"/>
      <c r="Q685" s="30"/>
      <c r="R685" s="30"/>
      <c r="S685" s="30"/>
      <c r="T685" s="30"/>
      <c r="U685" s="30"/>
      <c r="V685" s="30"/>
      <c r="W685" s="31"/>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row>
    <row r="686" spans="1:56" ht="14.25" customHeight="1">
      <c r="A686" s="8"/>
      <c r="B686" s="511" t="s">
        <v>37</v>
      </c>
      <c r="C686" s="511" t="s">
        <v>38</v>
      </c>
      <c r="D686" s="511" t="s">
        <v>18</v>
      </c>
      <c r="E686" s="32" t="s">
        <v>20</v>
      </c>
      <c r="F686" s="502" t="s">
        <v>21</v>
      </c>
      <c r="G686" s="503"/>
      <c r="H686" s="505"/>
      <c r="I686" s="502" t="s">
        <v>25</v>
      </c>
      <c r="J686" s="503"/>
      <c r="K686" s="505"/>
      <c r="L686" s="511" t="s">
        <v>39</v>
      </c>
      <c r="M686" s="511" t="s">
        <v>38</v>
      </c>
      <c r="N686" s="511" t="s">
        <v>18</v>
      </c>
      <c r="O686" s="32" t="s">
        <v>20</v>
      </c>
      <c r="P686" s="502" t="s">
        <v>21</v>
      </c>
      <c r="Q686" s="503"/>
      <c r="R686" s="505"/>
      <c r="S686" s="502" t="s">
        <v>25</v>
      </c>
      <c r="T686" s="503"/>
      <c r="U686" s="505"/>
      <c r="V686" s="511" t="s">
        <v>39</v>
      </c>
      <c r="W686" s="10"/>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row>
    <row r="687" spans="1:56" ht="14.25" customHeight="1">
      <c r="A687" s="8"/>
      <c r="B687" s="521"/>
      <c r="C687" s="521"/>
      <c r="D687" s="521"/>
      <c r="E687" s="32" t="s">
        <v>11</v>
      </c>
      <c r="F687" s="34">
        <v>44927</v>
      </c>
      <c r="G687" s="34">
        <v>44958</v>
      </c>
      <c r="H687" s="32" t="s">
        <v>11</v>
      </c>
      <c r="I687" s="34">
        <v>44927</v>
      </c>
      <c r="J687" s="34">
        <v>44958</v>
      </c>
      <c r="K687" s="32" t="s">
        <v>11</v>
      </c>
      <c r="L687" s="521"/>
      <c r="M687" s="521"/>
      <c r="N687" s="521"/>
      <c r="O687" s="32" t="s">
        <v>11</v>
      </c>
      <c r="P687" s="34">
        <v>44927</v>
      </c>
      <c r="Q687" s="34">
        <v>44958</v>
      </c>
      <c r="R687" s="32" t="s">
        <v>11</v>
      </c>
      <c r="S687" s="34">
        <v>44927</v>
      </c>
      <c r="T687" s="34">
        <v>44958</v>
      </c>
      <c r="U687" s="32" t="s">
        <v>11</v>
      </c>
      <c r="V687" s="521"/>
      <c r="W687" s="10"/>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row>
    <row r="688" spans="1:56" ht="14.25" customHeight="1">
      <c r="A688" s="8"/>
      <c r="B688" s="12" t="s">
        <v>67</v>
      </c>
      <c r="C688" s="101">
        <f t="shared" ref="C688:C693" si="301">E727</f>
        <v>0</v>
      </c>
      <c r="D688" s="101">
        <f t="shared" ref="D688:D693" si="302">H727</f>
        <v>0</v>
      </c>
      <c r="E688" s="101">
        <f t="shared" ref="E688:E693" si="303">K727</f>
        <v>0</v>
      </c>
      <c r="F688" s="36"/>
      <c r="G688" s="36"/>
      <c r="H688" s="36"/>
      <c r="I688" s="101">
        <f t="shared" ref="I688:I693" si="304">W727</f>
        <v>0</v>
      </c>
      <c r="J688" s="101"/>
      <c r="K688" s="101"/>
      <c r="L688" s="101"/>
      <c r="M688" s="15"/>
      <c r="N688" s="15"/>
      <c r="O688" s="15"/>
      <c r="P688" s="15"/>
      <c r="Q688" s="15"/>
      <c r="R688" s="15"/>
      <c r="S688" s="15"/>
      <c r="T688" s="15"/>
      <c r="U688" s="15"/>
      <c r="V688" s="15"/>
      <c r="W688" s="10"/>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row>
    <row r="689" spans="1:56" ht="14.25" customHeight="1">
      <c r="A689" s="8"/>
      <c r="B689" s="12" t="s">
        <v>69</v>
      </c>
      <c r="C689" s="101">
        <f t="shared" si="301"/>
        <v>0</v>
      </c>
      <c r="D689" s="101">
        <f t="shared" si="302"/>
        <v>0</v>
      </c>
      <c r="E689" s="101">
        <f t="shared" si="303"/>
        <v>0</v>
      </c>
      <c r="F689" s="36"/>
      <c r="G689" s="36"/>
      <c r="H689" s="36"/>
      <c r="I689" s="101">
        <f t="shared" si="304"/>
        <v>0</v>
      </c>
      <c r="J689" s="101"/>
      <c r="K689" s="101"/>
      <c r="L689" s="101"/>
      <c r="M689" s="15"/>
      <c r="N689" s="15"/>
      <c r="O689" s="15"/>
      <c r="P689" s="15"/>
      <c r="Q689" s="15"/>
      <c r="R689" s="15"/>
      <c r="S689" s="15"/>
      <c r="T689" s="15"/>
      <c r="U689" s="15"/>
      <c r="V689" s="15"/>
      <c r="W689" s="10"/>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row>
    <row r="690" spans="1:56" ht="14.25" customHeight="1">
      <c r="A690" s="8"/>
      <c r="B690" s="12" t="s">
        <v>70</v>
      </c>
      <c r="C690" s="101">
        <f t="shared" si="301"/>
        <v>0</v>
      </c>
      <c r="D690" s="101">
        <f t="shared" si="302"/>
        <v>0</v>
      </c>
      <c r="E690" s="101">
        <f t="shared" si="303"/>
        <v>0</v>
      </c>
      <c r="F690" s="36"/>
      <c r="G690" s="36"/>
      <c r="H690" s="36"/>
      <c r="I690" s="101">
        <f t="shared" si="304"/>
        <v>0</v>
      </c>
      <c r="J690" s="101"/>
      <c r="K690" s="101"/>
      <c r="L690" s="101"/>
      <c r="M690" s="15"/>
      <c r="N690" s="15"/>
      <c r="O690" s="15"/>
      <c r="P690" s="15"/>
      <c r="Q690" s="15"/>
      <c r="R690" s="15"/>
      <c r="S690" s="15"/>
      <c r="T690" s="15"/>
      <c r="U690" s="15"/>
      <c r="V690" s="15"/>
      <c r="W690" s="10"/>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row>
    <row r="691" spans="1:56" ht="14.25" customHeight="1">
      <c r="A691" s="8"/>
      <c r="B691" s="12" t="s">
        <v>71</v>
      </c>
      <c r="C691" s="101">
        <f t="shared" si="301"/>
        <v>0</v>
      </c>
      <c r="D691" s="101">
        <f t="shared" si="302"/>
        <v>0</v>
      </c>
      <c r="E691" s="101">
        <f t="shared" si="303"/>
        <v>0</v>
      </c>
      <c r="F691" s="36"/>
      <c r="G691" s="36"/>
      <c r="H691" s="36"/>
      <c r="I691" s="101">
        <f t="shared" si="304"/>
        <v>0</v>
      </c>
      <c r="J691" s="101"/>
      <c r="K691" s="101"/>
      <c r="L691" s="101"/>
      <c r="M691" s="15"/>
      <c r="N691" s="15"/>
      <c r="O691" s="15"/>
      <c r="P691" s="15"/>
      <c r="Q691" s="15"/>
      <c r="R691" s="15"/>
      <c r="S691" s="15"/>
      <c r="T691" s="15"/>
      <c r="U691" s="15"/>
      <c r="V691" s="15"/>
      <c r="W691" s="10"/>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row>
    <row r="692" spans="1:56" ht="14.25" customHeight="1">
      <c r="A692" s="8"/>
      <c r="B692" s="12" t="s">
        <v>72</v>
      </c>
      <c r="C692" s="101">
        <f t="shared" si="301"/>
        <v>0</v>
      </c>
      <c r="D692" s="101">
        <f t="shared" si="302"/>
        <v>0</v>
      </c>
      <c r="E692" s="101">
        <f t="shared" si="303"/>
        <v>0</v>
      </c>
      <c r="F692" s="36"/>
      <c r="G692" s="36"/>
      <c r="H692" s="36"/>
      <c r="I692" s="101">
        <f t="shared" si="304"/>
        <v>0</v>
      </c>
      <c r="J692" s="101"/>
      <c r="K692" s="101"/>
      <c r="L692" s="101"/>
      <c r="M692" s="15"/>
      <c r="N692" s="15"/>
      <c r="O692" s="15"/>
      <c r="P692" s="15"/>
      <c r="Q692" s="15"/>
      <c r="R692" s="15"/>
      <c r="S692" s="15"/>
      <c r="T692" s="15"/>
      <c r="U692" s="15"/>
      <c r="V692" s="15"/>
      <c r="W692" s="10"/>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row>
    <row r="693" spans="1:56" ht="14.25" customHeight="1">
      <c r="A693" s="8"/>
      <c r="B693" s="12" t="s">
        <v>73</v>
      </c>
      <c r="C693" s="101">
        <f t="shared" si="301"/>
        <v>0</v>
      </c>
      <c r="D693" s="101">
        <f t="shared" si="302"/>
        <v>0</v>
      </c>
      <c r="E693" s="101">
        <f t="shared" si="303"/>
        <v>0</v>
      </c>
      <c r="F693" s="36"/>
      <c r="G693" s="36"/>
      <c r="H693" s="36"/>
      <c r="I693" s="101">
        <f t="shared" si="304"/>
        <v>0</v>
      </c>
      <c r="J693" s="101"/>
      <c r="K693" s="101"/>
      <c r="L693" s="101"/>
      <c r="M693" s="15"/>
      <c r="N693" s="15"/>
      <c r="O693" s="15"/>
      <c r="P693" s="15"/>
      <c r="Q693" s="15"/>
      <c r="R693" s="15"/>
      <c r="S693" s="15"/>
      <c r="T693" s="15"/>
      <c r="U693" s="15"/>
      <c r="V693" s="15"/>
      <c r="W693" s="10"/>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row>
    <row r="694" spans="1:56" ht="14.25" customHeight="1">
      <c r="A694" s="8"/>
      <c r="B694" s="12" t="s">
        <v>74</v>
      </c>
      <c r="C694" s="101"/>
      <c r="D694" s="101"/>
      <c r="E694" s="101"/>
      <c r="F694" s="101"/>
      <c r="G694" s="101"/>
      <c r="H694" s="101"/>
      <c r="I694" s="101"/>
      <c r="J694" s="101"/>
      <c r="K694" s="101"/>
      <c r="L694" s="101"/>
      <c r="M694" s="15"/>
      <c r="N694" s="15"/>
      <c r="O694" s="15"/>
      <c r="P694" s="15"/>
      <c r="Q694" s="15"/>
      <c r="R694" s="15"/>
      <c r="S694" s="15"/>
      <c r="T694" s="15"/>
      <c r="U694" s="15"/>
      <c r="V694" s="15"/>
      <c r="W694" s="10"/>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row>
    <row r="695" spans="1:56" ht="14.25" customHeight="1">
      <c r="A695" s="8"/>
      <c r="B695" s="12" t="s">
        <v>75</v>
      </c>
      <c r="C695" s="101"/>
      <c r="D695" s="101"/>
      <c r="E695" s="101"/>
      <c r="F695" s="101"/>
      <c r="G695" s="101"/>
      <c r="H695" s="101"/>
      <c r="I695" s="101"/>
      <c r="J695" s="101"/>
      <c r="K695" s="101"/>
      <c r="L695" s="101"/>
      <c r="M695" s="15"/>
      <c r="N695" s="15"/>
      <c r="O695" s="15"/>
      <c r="P695" s="15"/>
      <c r="Q695" s="15"/>
      <c r="R695" s="15"/>
      <c r="S695" s="15"/>
      <c r="T695" s="15"/>
      <c r="U695" s="15"/>
      <c r="V695" s="15"/>
      <c r="W695" s="10"/>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row>
    <row r="696" spans="1:56" ht="14.25" customHeight="1">
      <c r="A696" s="8"/>
      <c r="B696" s="12" t="s">
        <v>76</v>
      </c>
      <c r="C696" s="101"/>
      <c r="D696" s="101"/>
      <c r="E696" s="101"/>
      <c r="F696" s="101"/>
      <c r="G696" s="101"/>
      <c r="H696" s="101"/>
      <c r="I696" s="101"/>
      <c r="J696" s="101"/>
      <c r="K696" s="101"/>
      <c r="L696" s="101"/>
      <c r="M696" s="15"/>
      <c r="N696" s="15"/>
      <c r="O696" s="15"/>
      <c r="P696" s="15"/>
      <c r="Q696" s="15"/>
      <c r="R696" s="15"/>
      <c r="S696" s="15"/>
      <c r="T696" s="15"/>
      <c r="U696" s="15"/>
      <c r="V696" s="15"/>
      <c r="W696" s="10"/>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row>
    <row r="697" spans="1:56" ht="14.25" customHeight="1">
      <c r="A697" s="8"/>
      <c r="B697" s="12" t="s">
        <v>77</v>
      </c>
      <c r="C697" s="101"/>
      <c r="D697" s="101"/>
      <c r="E697" s="101"/>
      <c r="F697" s="101"/>
      <c r="G697" s="101"/>
      <c r="H697" s="101"/>
      <c r="I697" s="101"/>
      <c r="J697" s="101"/>
      <c r="K697" s="101"/>
      <c r="L697" s="101"/>
      <c r="M697" s="15"/>
      <c r="N697" s="15"/>
      <c r="O697" s="15"/>
      <c r="P697" s="15"/>
      <c r="Q697" s="15"/>
      <c r="R697" s="15"/>
      <c r="S697" s="15"/>
      <c r="T697" s="15"/>
      <c r="U697" s="15"/>
      <c r="V697" s="15"/>
      <c r="W697" s="10"/>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row>
    <row r="698" spans="1:56" ht="14.25" customHeight="1">
      <c r="A698" s="8"/>
      <c r="B698" s="12" t="s">
        <v>78</v>
      </c>
      <c r="C698" s="101"/>
      <c r="D698" s="101"/>
      <c r="E698" s="101"/>
      <c r="F698" s="101"/>
      <c r="G698" s="101"/>
      <c r="H698" s="101"/>
      <c r="I698" s="101"/>
      <c r="J698" s="101"/>
      <c r="K698" s="101"/>
      <c r="L698" s="101"/>
      <c r="M698" s="15"/>
      <c r="N698" s="15"/>
      <c r="O698" s="15"/>
      <c r="P698" s="15"/>
      <c r="Q698" s="15"/>
      <c r="R698" s="15"/>
      <c r="S698" s="15"/>
      <c r="T698" s="15"/>
      <c r="U698" s="15"/>
      <c r="V698" s="15"/>
      <c r="W698" s="10"/>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row>
    <row r="699" spans="1:56" ht="14.25" customHeight="1">
      <c r="A699" s="8"/>
      <c r="B699" s="12" t="s">
        <v>79</v>
      </c>
      <c r="C699" s="101"/>
      <c r="D699" s="101"/>
      <c r="E699" s="101"/>
      <c r="F699" s="101"/>
      <c r="G699" s="101"/>
      <c r="H699" s="101"/>
      <c r="I699" s="101"/>
      <c r="J699" s="101"/>
      <c r="K699" s="101"/>
      <c r="L699" s="101"/>
      <c r="M699" s="15"/>
      <c r="N699" s="15"/>
      <c r="O699" s="15"/>
      <c r="P699" s="15"/>
      <c r="Q699" s="15"/>
      <c r="R699" s="15"/>
      <c r="S699" s="15"/>
      <c r="T699" s="15"/>
      <c r="U699" s="15"/>
      <c r="V699" s="15"/>
      <c r="W699" s="10"/>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row>
    <row r="700" spans="1:56" ht="14.25" customHeight="1">
      <c r="A700" s="8"/>
      <c r="B700" s="12" t="s">
        <v>80</v>
      </c>
      <c r="C700" s="101"/>
      <c r="D700" s="101"/>
      <c r="E700" s="101"/>
      <c r="F700" s="101"/>
      <c r="G700" s="101"/>
      <c r="H700" s="101"/>
      <c r="I700" s="101"/>
      <c r="J700" s="101"/>
      <c r="K700" s="101"/>
      <c r="L700" s="101"/>
      <c r="M700" s="15"/>
      <c r="N700" s="15"/>
      <c r="O700" s="15"/>
      <c r="P700" s="15"/>
      <c r="Q700" s="15"/>
      <c r="R700" s="15"/>
      <c r="S700" s="15"/>
      <c r="T700" s="15"/>
      <c r="U700" s="15"/>
      <c r="V700" s="15"/>
      <c r="W700" s="10"/>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row>
    <row r="701" spans="1:56" ht="14.25" customHeight="1">
      <c r="A701" s="8"/>
      <c r="B701" s="12" t="s">
        <v>81</v>
      </c>
      <c r="C701" s="101"/>
      <c r="D701" s="101"/>
      <c r="E701" s="101"/>
      <c r="F701" s="101"/>
      <c r="G701" s="101"/>
      <c r="H701" s="101"/>
      <c r="I701" s="101"/>
      <c r="J701" s="101"/>
      <c r="K701" s="101"/>
      <c r="L701" s="101"/>
      <c r="M701" s="15"/>
      <c r="N701" s="15"/>
      <c r="O701" s="15"/>
      <c r="P701" s="15"/>
      <c r="Q701" s="15"/>
      <c r="R701" s="15"/>
      <c r="S701" s="15"/>
      <c r="T701" s="15"/>
      <c r="U701" s="15"/>
      <c r="V701" s="15"/>
      <c r="W701" s="10"/>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row>
    <row r="702" spans="1:56" ht="14.25" customHeight="1">
      <c r="A702" s="8"/>
      <c r="B702" s="12" t="s">
        <v>82</v>
      </c>
      <c r="C702" s="101"/>
      <c r="D702" s="101"/>
      <c r="E702" s="101"/>
      <c r="F702" s="101"/>
      <c r="G702" s="101"/>
      <c r="H702" s="101"/>
      <c r="I702" s="101"/>
      <c r="J702" s="101"/>
      <c r="K702" s="101"/>
      <c r="L702" s="101"/>
      <c r="M702" s="15"/>
      <c r="N702" s="15"/>
      <c r="O702" s="15"/>
      <c r="P702" s="15"/>
      <c r="Q702" s="15"/>
      <c r="R702" s="15"/>
      <c r="S702" s="15"/>
      <c r="T702" s="15"/>
      <c r="U702" s="15"/>
      <c r="V702" s="15"/>
      <c r="W702" s="10"/>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row>
    <row r="703" spans="1:56" ht="14.25" customHeight="1">
      <c r="A703" s="8"/>
      <c r="B703" s="12" t="s">
        <v>83</v>
      </c>
      <c r="C703" s="101"/>
      <c r="D703" s="101"/>
      <c r="E703" s="101"/>
      <c r="F703" s="101"/>
      <c r="G703" s="101"/>
      <c r="H703" s="101"/>
      <c r="I703" s="101"/>
      <c r="J703" s="101"/>
      <c r="K703" s="101"/>
      <c r="L703" s="101"/>
      <c r="M703" s="15"/>
      <c r="N703" s="15"/>
      <c r="O703" s="15"/>
      <c r="P703" s="15"/>
      <c r="Q703" s="15"/>
      <c r="R703" s="15"/>
      <c r="S703" s="15"/>
      <c r="T703" s="15"/>
      <c r="U703" s="15"/>
      <c r="V703" s="15"/>
      <c r="W703" s="10"/>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row>
    <row r="704" spans="1:56" ht="14.25" customHeight="1">
      <c r="A704" s="8"/>
      <c r="B704" s="12" t="s">
        <v>84</v>
      </c>
      <c r="C704" s="101"/>
      <c r="D704" s="101"/>
      <c r="E704" s="101"/>
      <c r="F704" s="101"/>
      <c r="G704" s="101"/>
      <c r="H704" s="101"/>
      <c r="I704" s="101"/>
      <c r="J704" s="101"/>
      <c r="K704" s="101"/>
      <c r="L704" s="101"/>
      <c r="M704" s="15"/>
      <c r="N704" s="15"/>
      <c r="O704" s="15"/>
      <c r="P704" s="15"/>
      <c r="Q704" s="15"/>
      <c r="R704" s="15"/>
      <c r="S704" s="15"/>
      <c r="T704" s="15"/>
      <c r="U704" s="15"/>
      <c r="V704" s="15"/>
      <c r="W704" s="10"/>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row>
    <row r="705" spans="1:56" ht="14.25" customHeight="1">
      <c r="A705" s="8"/>
      <c r="B705" s="12" t="s">
        <v>85</v>
      </c>
      <c r="C705" s="101"/>
      <c r="D705" s="101"/>
      <c r="E705" s="101"/>
      <c r="F705" s="101"/>
      <c r="G705" s="101"/>
      <c r="H705" s="101"/>
      <c r="I705" s="101"/>
      <c r="J705" s="101"/>
      <c r="K705" s="101"/>
      <c r="L705" s="101"/>
      <c r="M705" s="15"/>
      <c r="N705" s="15"/>
      <c r="O705" s="15"/>
      <c r="P705" s="15"/>
      <c r="Q705" s="15"/>
      <c r="R705" s="15"/>
      <c r="S705" s="15"/>
      <c r="T705" s="15"/>
      <c r="U705" s="15"/>
      <c r="V705" s="15"/>
      <c r="W705" s="10"/>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row>
    <row r="706" spans="1:56" ht="14.25" customHeight="1">
      <c r="A706" s="8"/>
      <c r="B706" s="12" t="s">
        <v>86</v>
      </c>
      <c r="C706" s="101"/>
      <c r="D706" s="101"/>
      <c r="E706" s="101"/>
      <c r="F706" s="101"/>
      <c r="G706" s="101"/>
      <c r="H706" s="101"/>
      <c r="I706" s="101"/>
      <c r="J706" s="101"/>
      <c r="K706" s="101"/>
      <c r="L706" s="101"/>
      <c r="M706" s="15"/>
      <c r="N706" s="15"/>
      <c r="O706" s="15"/>
      <c r="P706" s="15"/>
      <c r="Q706" s="15"/>
      <c r="R706" s="15"/>
      <c r="S706" s="15"/>
      <c r="T706" s="15"/>
      <c r="U706" s="15"/>
      <c r="V706" s="15"/>
      <c r="W706" s="10"/>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row>
    <row r="707" spans="1:56" ht="14.25" customHeight="1">
      <c r="A707" s="8"/>
      <c r="B707" s="12" t="s">
        <v>87</v>
      </c>
      <c r="C707" s="101"/>
      <c r="D707" s="101"/>
      <c r="E707" s="101"/>
      <c r="F707" s="101"/>
      <c r="G707" s="101"/>
      <c r="H707" s="101"/>
      <c r="I707" s="101"/>
      <c r="J707" s="101"/>
      <c r="K707" s="101"/>
      <c r="L707" s="101"/>
      <c r="M707" s="15"/>
      <c r="N707" s="15"/>
      <c r="O707" s="15"/>
      <c r="P707" s="15"/>
      <c r="Q707" s="15"/>
      <c r="R707" s="15"/>
      <c r="S707" s="15"/>
      <c r="T707" s="15"/>
      <c r="U707" s="15"/>
      <c r="V707" s="15"/>
      <c r="W707" s="10"/>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row>
    <row r="708" spans="1:56" ht="14.25" customHeight="1">
      <c r="A708" s="8"/>
      <c r="B708" s="12" t="s">
        <v>88</v>
      </c>
      <c r="C708" s="101"/>
      <c r="D708" s="101"/>
      <c r="E708" s="101"/>
      <c r="F708" s="101"/>
      <c r="G708" s="101"/>
      <c r="H708" s="101"/>
      <c r="I708" s="101"/>
      <c r="J708" s="101"/>
      <c r="K708" s="101"/>
      <c r="L708" s="101"/>
      <c r="M708" s="15"/>
      <c r="N708" s="15"/>
      <c r="O708" s="15"/>
      <c r="P708" s="15"/>
      <c r="Q708" s="15"/>
      <c r="R708" s="15"/>
      <c r="S708" s="15"/>
      <c r="T708" s="15"/>
      <c r="U708" s="15"/>
      <c r="V708" s="15"/>
      <c r="W708" s="10"/>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row>
    <row r="709" spans="1:56" ht="14.25" customHeight="1">
      <c r="A709" s="8"/>
      <c r="B709" s="12" t="s">
        <v>89</v>
      </c>
      <c r="C709" s="101"/>
      <c r="D709" s="101"/>
      <c r="E709" s="101"/>
      <c r="F709" s="101"/>
      <c r="G709" s="101"/>
      <c r="H709" s="101"/>
      <c r="I709" s="101"/>
      <c r="J709" s="101"/>
      <c r="K709" s="101"/>
      <c r="L709" s="101"/>
      <c r="M709" s="15"/>
      <c r="N709" s="15"/>
      <c r="O709" s="15"/>
      <c r="P709" s="15"/>
      <c r="Q709" s="15"/>
      <c r="R709" s="15"/>
      <c r="S709" s="15"/>
      <c r="T709" s="15"/>
      <c r="U709" s="15"/>
      <c r="V709" s="15"/>
      <c r="W709" s="10"/>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row>
    <row r="710" spans="1:56" ht="14.25" customHeight="1">
      <c r="A710" s="8"/>
      <c r="B710" s="12" t="s">
        <v>90</v>
      </c>
      <c r="C710" s="101"/>
      <c r="D710" s="101"/>
      <c r="E710" s="101"/>
      <c r="F710" s="101"/>
      <c r="G710" s="101"/>
      <c r="H710" s="101"/>
      <c r="I710" s="101"/>
      <c r="J710" s="101"/>
      <c r="K710" s="101"/>
      <c r="L710" s="101"/>
      <c r="M710" s="15"/>
      <c r="N710" s="15"/>
      <c r="O710" s="15"/>
      <c r="P710" s="15"/>
      <c r="Q710" s="15"/>
      <c r="R710" s="15"/>
      <c r="S710" s="15"/>
      <c r="T710" s="15"/>
      <c r="U710" s="15"/>
      <c r="V710" s="15"/>
      <c r="W710" s="10"/>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row>
    <row r="711" spans="1:56" ht="14.25" customHeight="1">
      <c r="A711" s="8"/>
      <c r="B711" s="12" t="s">
        <v>91</v>
      </c>
      <c r="C711" s="101"/>
      <c r="D711" s="101"/>
      <c r="E711" s="101"/>
      <c r="F711" s="101"/>
      <c r="G711" s="101"/>
      <c r="H711" s="101"/>
      <c r="I711" s="101"/>
      <c r="J711" s="101"/>
      <c r="K711" s="101"/>
      <c r="L711" s="101"/>
      <c r="M711" s="15"/>
      <c r="N711" s="15"/>
      <c r="O711" s="15"/>
      <c r="P711" s="15"/>
      <c r="Q711" s="15"/>
      <c r="R711" s="15"/>
      <c r="S711" s="15"/>
      <c r="T711" s="15"/>
      <c r="U711" s="15"/>
      <c r="V711" s="15"/>
      <c r="W711" s="10"/>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row>
    <row r="712" spans="1:56" ht="14.25" customHeight="1">
      <c r="A712" s="8"/>
      <c r="B712" s="12" t="s">
        <v>93</v>
      </c>
      <c r="C712" s="101"/>
      <c r="D712" s="101"/>
      <c r="E712" s="101"/>
      <c r="F712" s="101"/>
      <c r="G712" s="101"/>
      <c r="H712" s="101"/>
      <c r="I712" s="101"/>
      <c r="J712" s="101"/>
      <c r="K712" s="101"/>
      <c r="L712" s="101"/>
      <c r="M712" s="15"/>
      <c r="N712" s="15"/>
      <c r="O712" s="15"/>
      <c r="P712" s="15"/>
      <c r="Q712" s="15"/>
      <c r="R712" s="15"/>
      <c r="S712" s="15"/>
      <c r="T712" s="15"/>
      <c r="U712" s="15"/>
      <c r="V712" s="15"/>
      <c r="W712" s="10"/>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row>
    <row r="713" spans="1:56" ht="14.25" customHeight="1">
      <c r="A713" s="8"/>
      <c r="B713" s="12" t="s">
        <v>94</v>
      </c>
      <c r="C713" s="101"/>
      <c r="D713" s="101"/>
      <c r="E713" s="101"/>
      <c r="F713" s="101"/>
      <c r="G713" s="101"/>
      <c r="H713" s="101"/>
      <c r="I713" s="101"/>
      <c r="J713" s="101"/>
      <c r="K713" s="101"/>
      <c r="L713" s="101"/>
      <c r="M713" s="15"/>
      <c r="N713" s="15"/>
      <c r="O713" s="15"/>
      <c r="P713" s="15"/>
      <c r="Q713" s="15"/>
      <c r="R713" s="15"/>
      <c r="S713" s="15"/>
      <c r="T713" s="15"/>
      <c r="U713" s="15"/>
      <c r="V713" s="15"/>
      <c r="W713" s="10"/>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row>
    <row r="714" spans="1:56" ht="14.25" customHeight="1">
      <c r="A714" s="8"/>
      <c r="B714" s="12" t="s">
        <v>95</v>
      </c>
      <c r="C714" s="101"/>
      <c r="D714" s="101"/>
      <c r="E714" s="101"/>
      <c r="F714" s="101"/>
      <c r="G714" s="101"/>
      <c r="H714" s="101"/>
      <c r="I714" s="101"/>
      <c r="J714" s="101"/>
      <c r="K714" s="101"/>
      <c r="L714" s="101"/>
      <c r="M714" s="15"/>
      <c r="N714" s="15"/>
      <c r="O714" s="15"/>
      <c r="P714" s="15"/>
      <c r="Q714" s="15"/>
      <c r="R714" s="15"/>
      <c r="S714" s="15"/>
      <c r="T714" s="15"/>
      <c r="U714" s="15"/>
      <c r="V714" s="15"/>
      <c r="W714" s="10"/>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row>
    <row r="715" spans="1:56" ht="14.25" customHeight="1">
      <c r="A715" s="8"/>
      <c r="B715" s="12" t="s">
        <v>96</v>
      </c>
      <c r="C715" s="101"/>
      <c r="D715" s="101"/>
      <c r="E715" s="101"/>
      <c r="F715" s="101"/>
      <c r="G715" s="101"/>
      <c r="H715" s="101"/>
      <c r="I715" s="101"/>
      <c r="J715" s="101"/>
      <c r="K715" s="101"/>
      <c r="L715" s="101"/>
      <c r="M715" s="15"/>
      <c r="N715" s="15"/>
      <c r="O715" s="15"/>
      <c r="P715" s="15"/>
      <c r="Q715" s="15"/>
      <c r="R715" s="15"/>
      <c r="S715" s="15"/>
      <c r="T715" s="15"/>
      <c r="U715" s="15"/>
      <c r="V715" s="15"/>
      <c r="W715" s="10"/>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row>
    <row r="716" spans="1:56" ht="14.25" customHeight="1">
      <c r="A716" s="8"/>
      <c r="B716" s="43" t="s">
        <v>97</v>
      </c>
      <c r="C716" s="101"/>
      <c r="D716" s="101"/>
      <c r="E716" s="101"/>
      <c r="F716" s="101"/>
      <c r="G716" s="101"/>
      <c r="H716" s="101"/>
      <c r="I716" s="101"/>
      <c r="J716" s="101"/>
      <c r="K716" s="101"/>
      <c r="L716" s="101"/>
      <c r="M716" s="15"/>
      <c r="N716" s="15"/>
      <c r="O716" s="15"/>
      <c r="P716" s="15"/>
      <c r="Q716" s="15"/>
      <c r="R716" s="15"/>
      <c r="S716" s="15"/>
      <c r="T716" s="15"/>
      <c r="U716" s="15"/>
      <c r="V716" s="15"/>
      <c r="W716" s="10"/>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row>
    <row r="717" spans="1:56" ht="14.25" customHeight="1">
      <c r="A717" s="8"/>
      <c r="B717" s="43" t="s">
        <v>98</v>
      </c>
      <c r="C717" s="101"/>
      <c r="D717" s="101"/>
      <c r="E717" s="101"/>
      <c r="F717" s="101"/>
      <c r="G717" s="101"/>
      <c r="H717" s="101"/>
      <c r="I717" s="101"/>
      <c r="J717" s="101"/>
      <c r="K717" s="101"/>
      <c r="L717" s="101"/>
      <c r="M717" s="15"/>
      <c r="N717" s="15"/>
      <c r="O717" s="15"/>
      <c r="P717" s="15"/>
      <c r="Q717" s="15"/>
      <c r="R717" s="15"/>
      <c r="S717" s="15"/>
      <c r="T717" s="15"/>
      <c r="U717" s="15"/>
      <c r="V717" s="15"/>
      <c r="W717" s="10"/>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row>
    <row r="718" spans="1:56" ht="14.25" customHeight="1">
      <c r="A718" s="8"/>
      <c r="B718" s="43" t="s">
        <v>99</v>
      </c>
      <c r="C718" s="101"/>
      <c r="D718" s="101"/>
      <c r="E718" s="101"/>
      <c r="F718" s="101"/>
      <c r="G718" s="101"/>
      <c r="H718" s="101"/>
      <c r="I718" s="101"/>
      <c r="J718" s="101"/>
      <c r="K718" s="101"/>
      <c r="L718" s="101"/>
      <c r="M718" s="15"/>
      <c r="N718" s="15"/>
      <c r="O718" s="15"/>
      <c r="P718" s="15"/>
      <c r="Q718" s="15"/>
      <c r="R718" s="15"/>
      <c r="S718" s="15"/>
      <c r="T718" s="15"/>
      <c r="U718" s="15"/>
      <c r="V718" s="15"/>
      <c r="W718" s="10"/>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row>
    <row r="719" spans="1:56" ht="14.25" customHeight="1">
      <c r="A719" s="8"/>
      <c r="B719" s="45" t="s">
        <v>100</v>
      </c>
      <c r="C719" s="101"/>
      <c r="D719" s="101"/>
      <c r="E719" s="101"/>
      <c r="F719" s="101"/>
      <c r="G719" s="101"/>
      <c r="H719" s="101"/>
      <c r="I719" s="101"/>
      <c r="J719" s="101"/>
      <c r="K719" s="101"/>
      <c r="L719" s="101"/>
      <c r="M719" s="15"/>
      <c r="N719" s="15"/>
      <c r="O719" s="15"/>
      <c r="P719" s="15"/>
      <c r="Q719" s="15"/>
      <c r="R719" s="15"/>
      <c r="S719" s="15"/>
      <c r="T719" s="15"/>
      <c r="U719" s="15"/>
      <c r="V719" s="15"/>
      <c r="W719" s="10"/>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row>
    <row r="720" spans="1:56" ht="14.25" customHeight="1">
      <c r="A720" s="8"/>
      <c r="B720" s="45" t="s">
        <v>101</v>
      </c>
      <c r="C720" s="101"/>
      <c r="D720" s="101"/>
      <c r="E720" s="101"/>
      <c r="F720" s="101"/>
      <c r="G720" s="101"/>
      <c r="H720" s="101"/>
      <c r="I720" s="101"/>
      <c r="J720" s="101"/>
      <c r="K720" s="101"/>
      <c r="L720" s="101"/>
      <c r="M720" s="15"/>
      <c r="N720" s="15"/>
      <c r="O720" s="15"/>
      <c r="P720" s="15"/>
      <c r="Q720" s="15"/>
      <c r="R720" s="15"/>
      <c r="S720" s="15"/>
      <c r="T720" s="15"/>
      <c r="U720" s="15"/>
      <c r="V720" s="15"/>
      <c r="W720" s="10"/>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row>
    <row r="721" spans="1:56" ht="14.25" customHeight="1">
      <c r="A721" s="2"/>
      <c r="B721" s="23"/>
      <c r="C721" s="46"/>
      <c r="D721" s="46"/>
      <c r="E721" s="46"/>
      <c r="F721" s="46"/>
      <c r="G721" s="46"/>
      <c r="H721" s="46"/>
      <c r="I721" s="46"/>
      <c r="J721" s="46"/>
      <c r="K721" s="46"/>
      <c r="L721" s="47"/>
      <c r="M721" s="46"/>
      <c r="N721" s="46"/>
      <c r="O721" s="46"/>
      <c r="P721" s="46"/>
      <c r="Q721" s="46"/>
      <c r="R721" s="46"/>
      <c r="S721" s="46"/>
      <c r="T721" s="46"/>
      <c r="U721" s="23"/>
      <c r="V721" s="23"/>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row>
    <row r="722" spans="1:56" ht="14.25" customHeight="1">
      <c r="A722" s="2"/>
      <c r="B722" s="2"/>
      <c r="C722" s="24"/>
      <c r="D722" s="24"/>
      <c r="E722" s="24"/>
      <c r="F722" s="24"/>
      <c r="G722" s="24"/>
      <c r="H722" s="24"/>
      <c r="I722" s="24"/>
      <c r="J722" s="24"/>
      <c r="K722" s="24"/>
      <c r="L722" s="124"/>
      <c r="M722" s="24"/>
      <c r="N722" s="24"/>
      <c r="O722" s="24"/>
      <c r="P722" s="24"/>
      <c r="Q722" s="24"/>
      <c r="R722" s="24"/>
      <c r="S722" s="24"/>
      <c r="T722" s="24"/>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row>
    <row r="723" spans="1:56" ht="14.25" customHeight="1">
      <c r="A723" s="2"/>
      <c r="B723" s="25"/>
      <c r="C723" s="25"/>
      <c r="D723" s="48"/>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c r="AK723" s="25"/>
      <c r="AL723" s="25"/>
      <c r="AM723" s="25"/>
      <c r="AN723" s="25"/>
      <c r="AO723" s="25"/>
      <c r="AP723" s="25"/>
      <c r="AQ723" s="25"/>
      <c r="AR723" s="25"/>
      <c r="AS723" s="25"/>
      <c r="AT723" s="25"/>
      <c r="AU723" s="25"/>
      <c r="AV723" s="25"/>
      <c r="AW723" s="25"/>
      <c r="AX723" s="25"/>
      <c r="AY723" s="2"/>
      <c r="AZ723" s="2"/>
      <c r="BA723" s="2"/>
      <c r="BB723" s="2"/>
      <c r="BC723" s="2"/>
      <c r="BD723" s="2"/>
    </row>
    <row r="724" spans="1:56" ht="14.25" customHeight="1">
      <c r="A724" s="26"/>
      <c r="B724" s="58"/>
      <c r="C724" s="59" t="s">
        <v>102</v>
      </c>
      <c r="D724" s="60"/>
      <c r="E724" s="60"/>
      <c r="F724" s="61" t="s">
        <v>103</v>
      </c>
      <c r="G724" s="58"/>
      <c r="H724" s="58"/>
      <c r="I724" s="59" t="s">
        <v>104</v>
      </c>
      <c r="J724" s="60"/>
      <c r="K724" s="60"/>
      <c r="L724" s="61" t="s">
        <v>105</v>
      </c>
      <c r="M724" s="58"/>
      <c r="N724" s="58"/>
      <c r="O724" s="58"/>
      <c r="P724" s="58"/>
      <c r="Q724" s="58"/>
      <c r="R724" s="58"/>
      <c r="S724" s="58"/>
      <c r="T724" s="58"/>
      <c r="U724" s="59" t="s">
        <v>106</v>
      </c>
      <c r="V724" s="60"/>
      <c r="W724" s="60"/>
      <c r="X724" s="60"/>
      <c r="Y724" s="60"/>
      <c r="Z724" s="60"/>
      <c r="AA724" s="60"/>
      <c r="AB724" s="60"/>
      <c r="AC724" s="60"/>
      <c r="AD724" s="29" t="s">
        <v>107</v>
      </c>
      <c r="AE724" s="30"/>
      <c r="AF724" s="30"/>
      <c r="AG724" s="27" t="s">
        <v>108</v>
      </c>
      <c r="AH724" s="28"/>
      <c r="AI724" s="28"/>
      <c r="AJ724" s="29" t="s">
        <v>109</v>
      </c>
      <c r="AK724" s="30"/>
      <c r="AL724" s="30"/>
      <c r="AM724" s="27" t="s">
        <v>110</v>
      </c>
      <c r="AN724" s="28"/>
      <c r="AO724" s="28"/>
      <c r="AP724" s="29" t="s">
        <v>111</v>
      </c>
      <c r="AQ724" s="30"/>
      <c r="AR724" s="30"/>
      <c r="AS724" s="30"/>
      <c r="AT724" s="30"/>
      <c r="AU724" s="30"/>
      <c r="AV724" s="30"/>
      <c r="AW724" s="30"/>
      <c r="AX724" s="30"/>
      <c r="AY724" s="31"/>
      <c r="AZ724" s="2"/>
      <c r="BA724" s="2"/>
      <c r="BB724" s="2"/>
      <c r="BC724" s="2"/>
      <c r="BD724" s="2"/>
    </row>
    <row r="725" spans="1:56" ht="15" customHeight="1">
      <c r="A725" s="8"/>
      <c r="B725" s="511" t="s">
        <v>112</v>
      </c>
      <c r="C725" s="502" t="s">
        <v>11</v>
      </c>
      <c r="D725" s="503"/>
      <c r="E725" s="505"/>
      <c r="F725" s="502" t="s">
        <v>11</v>
      </c>
      <c r="G725" s="503"/>
      <c r="H725" s="505"/>
      <c r="I725" s="502" t="s">
        <v>11</v>
      </c>
      <c r="J725" s="503"/>
      <c r="K725" s="505"/>
      <c r="L725" s="520">
        <v>44927</v>
      </c>
      <c r="M725" s="503"/>
      <c r="N725" s="505"/>
      <c r="O725" s="520">
        <v>44958</v>
      </c>
      <c r="P725" s="503"/>
      <c r="Q725" s="505"/>
      <c r="R725" s="502" t="s">
        <v>11</v>
      </c>
      <c r="S725" s="503"/>
      <c r="T725" s="505"/>
      <c r="U725" s="520">
        <v>44927</v>
      </c>
      <c r="V725" s="503"/>
      <c r="W725" s="505"/>
      <c r="X725" s="520">
        <v>44958</v>
      </c>
      <c r="Y725" s="503"/>
      <c r="Z725" s="505"/>
      <c r="AA725" s="502" t="s">
        <v>11</v>
      </c>
      <c r="AB725" s="503"/>
      <c r="AC725" s="505"/>
      <c r="AD725" s="502" t="s">
        <v>11</v>
      </c>
      <c r="AE725" s="503"/>
      <c r="AF725" s="505"/>
      <c r="AG725" s="502" t="s">
        <v>11</v>
      </c>
      <c r="AH725" s="503"/>
      <c r="AI725" s="505"/>
      <c r="AJ725" s="502" t="s">
        <v>11</v>
      </c>
      <c r="AK725" s="503"/>
      <c r="AL725" s="505"/>
      <c r="AM725" s="527">
        <v>44927</v>
      </c>
      <c r="AN725" s="522">
        <v>44958</v>
      </c>
      <c r="AO725" s="524" t="s">
        <v>11</v>
      </c>
      <c r="AP725" s="526">
        <v>44927</v>
      </c>
      <c r="AQ725" s="503"/>
      <c r="AR725" s="505"/>
      <c r="AS725" s="520">
        <v>44958</v>
      </c>
      <c r="AT725" s="503"/>
      <c r="AU725" s="505"/>
      <c r="AV725" s="502" t="s">
        <v>11</v>
      </c>
      <c r="AW725" s="503"/>
      <c r="AX725" s="505"/>
      <c r="AY725" s="10"/>
      <c r="AZ725" s="2"/>
      <c r="BA725" s="2"/>
      <c r="BB725" s="2"/>
      <c r="BC725" s="2"/>
      <c r="BD725" s="2"/>
    </row>
    <row r="726" spans="1:56" ht="30" customHeight="1">
      <c r="A726" s="8"/>
      <c r="B726" s="521"/>
      <c r="C726" s="32" t="s">
        <v>113</v>
      </c>
      <c r="D726" s="32" t="s">
        <v>114</v>
      </c>
      <c r="E726" s="32" t="s">
        <v>14</v>
      </c>
      <c r="F726" s="32" t="s">
        <v>113</v>
      </c>
      <c r="G726" s="32" t="s">
        <v>114</v>
      </c>
      <c r="H726" s="32" t="s">
        <v>14</v>
      </c>
      <c r="I726" s="32" t="s">
        <v>113</v>
      </c>
      <c r="J726" s="32" t="s">
        <v>114</v>
      </c>
      <c r="K726" s="32" t="s">
        <v>14</v>
      </c>
      <c r="L726" s="32" t="s">
        <v>113</v>
      </c>
      <c r="M726" s="32" t="s">
        <v>114</v>
      </c>
      <c r="N726" s="32" t="s">
        <v>14</v>
      </c>
      <c r="O726" s="32" t="s">
        <v>113</v>
      </c>
      <c r="P726" s="32" t="s">
        <v>114</v>
      </c>
      <c r="Q726" s="32" t="s">
        <v>14</v>
      </c>
      <c r="R726" s="32" t="s">
        <v>113</v>
      </c>
      <c r="S726" s="32" t="s">
        <v>114</v>
      </c>
      <c r="T726" s="32" t="s">
        <v>14</v>
      </c>
      <c r="U726" s="32" t="s">
        <v>113</v>
      </c>
      <c r="V726" s="32" t="s">
        <v>114</v>
      </c>
      <c r="W726" s="32" t="s">
        <v>14</v>
      </c>
      <c r="X726" s="32" t="s">
        <v>113</v>
      </c>
      <c r="Y726" s="32" t="s">
        <v>114</v>
      </c>
      <c r="Z726" s="32" t="s">
        <v>14</v>
      </c>
      <c r="AA726" s="32" t="s">
        <v>113</v>
      </c>
      <c r="AB726" s="32" t="s">
        <v>114</v>
      </c>
      <c r="AC726" s="32" t="s">
        <v>14</v>
      </c>
      <c r="AD726" s="32" t="s">
        <v>115</v>
      </c>
      <c r="AE726" s="32" t="s">
        <v>116</v>
      </c>
      <c r="AF726" s="32" t="s">
        <v>17</v>
      </c>
      <c r="AG726" s="32" t="s">
        <v>117</v>
      </c>
      <c r="AH726" s="32" t="s">
        <v>118</v>
      </c>
      <c r="AI726" s="32" t="s">
        <v>17</v>
      </c>
      <c r="AJ726" s="32" t="s">
        <v>117</v>
      </c>
      <c r="AK726" s="32" t="s">
        <v>118</v>
      </c>
      <c r="AL726" s="32" t="s">
        <v>17</v>
      </c>
      <c r="AM726" s="521"/>
      <c r="AN726" s="523"/>
      <c r="AO726" s="525"/>
      <c r="AP726" s="103" t="s">
        <v>117</v>
      </c>
      <c r="AQ726" s="32" t="s">
        <v>118</v>
      </c>
      <c r="AR726" s="32" t="s">
        <v>17</v>
      </c>
      <c r="AS726" s="32" t="s">
        <v>117</v>
      </c>
      <c r="AT726" s="32" t="s">
        <v>118</v>
      </c>
      <c r="AU726" s="32" t="s">
        <v>17</v>
      </c>
      <c r="AV726" s="32" t="s">
        <v>117</v>
      </c>
      <c r="AW726" s="32" t="s">
        <v>118</v>
      </c>
      <c r="AX726" s="32" t="s">
        <v>17</v>
      </c>
      <c r="AY726" s="10"/>
      <c r="AZ726" s="2"/>
      <c r="BA726" s="2"/>
      <c r="BB726" s="2"/>
      <c r="BC726" s="2"/>
      <c r="BD726" s="2"/>
    </row>
    <row r="727" spans="1:56" ht="14.25" customHeight="1">
      <c r="A727" s="8"/>
      <c r="B727" s="12" t="s">
        <v>67</v>
      </c>
      <c r="C727" s="79"/>
      <c r="D727" s="79"/>
      <c r="E727" s="91"/>
      <c r="F727" s="118"/>
      <c r="G727" s="118"/>
      <c r="H727" s="90"/>
      <c r="I727" s="86"/>
      <c r="J727" s="86"/>
      <c r="K727" s="91"/>
      <c r="L727" s="118"/>
      <c r="M727" s="118"/>
      <c r="N727" s="90"/>
      <c r="O727" s="118"/>
      <c r="P727" s="118"/>
      <c r="Q727" s="90"/>
      <c r="R727" s="118"/>
      <c r="S727" s="118"/>
      <c r="T727" s="90"/>
      <c r="U727" s="86"/>
      <c r="V727" s="86"/>
      <c r="W727" s="91"/>
      <c r="X727" s="86"/>
      <c r="Y727" s="86"/>
      <c r="Z727" s="91"/>
      <c r="AA727" s="86"/>
      <c r="AB727" s="86"/>
      <c r="AC727" s="91"/>
      <c r="AD727" s="68"/>
      <c r="AE727" s="68"/>
      <c r="AF727" s="15"/>
      <c r="AG727" s="140"/>
      <c r="AH727" s="140"/>
      <c r="AI727" s="101"/>
      <c r="AJ727" s="14"/>
      <c r="AK727" s="14"/>
      <c r="AL727" s="15"/>
      <c r="AM727" s="101"/>
      <c r="AN727" s="101"/>
      <c r="AO727" s="101"/>
      <c r="AP727" s="68"/>
      <c r="AQ727" s="68"/>
      <c r="AR727" s="15"/>
      <c r="AS727" s="68"/>
      <c r="AT727" s="68"/>
      <c r="AU727" s="15"/>
      <c r="AV727" s="68"/>
      <c r="AW727" s="68"/>
      <c r="AX727" s="15"/>
      <c r="AY727" s="10"/>
      <c r="AZ727" s="2"/>
      <c r="BA727" s="2"/>
      <c r="BB727" s="2"/>
      <c r="BC727" s="2"/>
      <c r="BD727" s="2"/>
    </row>
    <row r="728" spans="1:56" ht="14.25" customHeight="1">
      <c r="A728" s="8"/>
      <c r="B728" s="12" t="s">
        <v>69</v>
      </c>
      <c r="C728" s="79"/>
      <c r="D728" s="79"/>
      <c r="E728" s="91"/>
      <c r="F728" s="164"/>
      <c r="G728" s="164"/>
      <c r="H728" s="90"/>
      <c r="I728" s="79"/>
      <c r="J728" s="79"/>
      <c r="K728" s="91"/>
      <c r="L728" s="118"/>
      <c r="M728" s="118"/>
      <c r="N728" s="90"/>
      <c r="O728" s="118"/>
      <c r="P728" s="118"/>
      <c r="Q728" s="90"/>
      <c r="R728" s="118"/>
      <c r="S728" s="118"/>
      <c r="T728" s="90"/>
      <c r="U728" s="86"/>
      <c r="V728" s="86"/>
      <c r="W728" s="91"/>
      <c r="X728" s="79"/>
      <c r="Y728" s="79"/>
      <c r="Z728" s="91"/>
      <c r="AA728" s="86"/>
      <c r="AB728" s="86"/>
      <c r="AC728" s="91"/>
      <c r="AD728" s="68"/>
      <c r="AE728" s="68"/>
      <c r="AF728" s="15"/>
      <c r="AG728" s="140"/>
      <c r="AH728" s="140"/>
      <c r="AI728" s="101"/>
      <c r="AJ728" s="14"/>
      <c r="AK728" s="14"/>
      <c r="AL728" s="15"/>
      <c r="AM728" s="101"/>
      <c r="AN728" s="101"/>
      <c r="AO728" s="101"/>
      <c r="AP728" s="14"/>
      <c r="AQ728" s="14"/>
      <c r="AR728" s="15"/>
      <c r="AS728" s="14"/>
      <c r="AT728" s="14"/>
      <c r="AU728" s="15"/>
      <c r="AV728" s="68"/>
      <c r="AW728" s="68"/>
      <c r="AX728" s="15"/>
      <c r="AY728" s="10"/>
      <c r="AZ728" s="2"/>
      <c r="BA728" s="2"/>
      <c r="BB728" s="2"/>
      <c r="BC728" s="2"/>
      <c r="BD728" s="2"/>
    </row>
    <row r="729" spans="1:56" ht="14.25" customHeight="1">
      <c r="A729" s="8"/>
      <c r="B729" s="12" t="s">
        <v>70</v>
      </c>
      <c r="C729" s="79"/>
      <c r="D729" s="79"/>
      <c r="E729" s="91"/>
      <c r="F729" s="164"/>
      <c r="G729" s="164"/>
      <c r="H729" s="90"/>
      <c r="I729" s="79"/>
      <c r="J729" s="79"/>
      <c r="K729" s="91"/>
      <c r="L729" s="118"/>
      <c r="M729" s="118"/>
      <c r="N729" s="90"/>
      <c r="O729" s="118"/>
      <c r="P729" s="118"/>
      <c r="Q729" s="90"/>
      <c r="R729" s="118"/>
      <c r="S729" s="118"/>
      <c r="T729" s="90"/>
      <c r="U729" s="79"/>
      <c r="V729" s="79"/>
      <c r="W729" s="91"/>
      <c r="X729" s="79"/>
      <c r="Y729" s="79"/>
      <c r="Z729" s="91"/>
      <c r="AA729" s="86"/>
      <c r="AB729" s="86"/>
      <c r="AC729" s="91"/>
      <c r="AD729" s="68"/>
      <c r="AE729" s="68"/>
      <c r="AF729" s="15"/>
      <c r="AG729" s="140"/>
      <c r="AH729" s="140"/>
      <c r="AI729" s="101"/>
      <c r="AJ729" s="14"/>
      <c r="AK729" s="14"/>
      <c r="AL729" s="15"/>
      <c r="AM729" s="101"/>
      <c r="AN729" s="101"/>
      <c r="AO729" s="101"/>
      <c r="AP729" s="14"/>
      <c r="AQ729" s="14"/>
      <c r="AR729" s="15"/>
      <c r="AS729" s="14"/>
      <c r="AT729" s="14"/>
      <c r="AU729" s="15"/>
      <c r="AV729" s="68"/>
      <c r="AW729" s="68"/>
      <c r="AX729" s="15"/>
      <c r="AY729" s="10"/>
      <c r="AZ729" s="2"/>
      <c r="BA729" s="2"/>
      <c r="BB729" s="2"/>
      <c r="BC729" s="2"/>
      <c r="BD729" s="2"/>
    </row>
    <row r="730" spans="1:56" ht="14.25" customHeight="1">
      <c r="A730" s="8"/>
      <c r="B730" s="12" t="s">
        <v>71</v>
      </c>
      <c r="C730" s="79"/>
      <c r="D730" s="79"/>
      <c r="E730" s="91"/>
      <c r="F730" s="164"/>
      <c r="G730" s="164"/>
      <c r="H730" s="90"/>
      <c r="I730" s="79"/>
      <c r="J730" s="79"/>
      <c r="K730" s="91"/>
      <c r="L730" s="118"/>
      <c r="M730" s="118"/>
      <c r="N730" s="90"/>
      <c r="O730" s="118"/>
      <c r="P730" s="118"/>
      <c r="Q730" s="90"/>
      <c r="R730" s="118"/>
      <c r="S730" s="118"/>
      <c r="T730" s="90"/>
      <c r="U730" s="86"/>
      <c r="V730" s="86"/>
      <c r="W730" s="91"/>
      <c r="X730" s="86"/>
      <c r="Y730" s="86"/>
      <c r="Z730" s="91"/>
      <c r="AA730" s="86"/>
      <c r="AB730" s="86"/>
      <c r="AC730" s="91"/>
      <c r="AD730" s="68"/>
      <c r="AE730" s="68"/>
      <c r="AF730" s="15"/>
      <c r="AG730" s="140"/>
      <c r="AH730" s="140"/>
      <c r="AI730" s="101"/>
      <c r="AJ730" s="14"/>
      <c r="AK730" s="14"/>
      <c r="AL730" s="15"/>
      <c r="AM730" s="101"/>
      <c r="AN730" s="101"/>
      <c r="AO730" s="101"/>
      <c r="AP730" s="68"/>
      <c r="AQ730" s="68"/>
      <c r="AR730" s="15"/>
      <c r="AS730" s="14"/>
      <c r="AT730" s="14"/>
      <c r="AU730" s="15"/>
      <c r="AV730" s="68"/>
      <c r="AW730" s="68"/>
      <c r="AX730" s="15"/>
      <c r="AY730" s="10"/>
      <c r="AZ730" s="2"/>
      <c r="BA730" s="2"/>
      <c r="BB730" s="2"/>
      <c r="BC730" s="2"/>
      <c r="BD730" s="2"/>
    </row>
    <row r="731" spans="1:56" ht="14.25" customHeight="1">
      <c r="A731" s="8"/>
      <c r="B731" s="12" t="s">
        <v>72</v>
      </c>
      <c r="C731" s="79"/>
      <c r="D731" s="79"/>
      <c r="E731" s="91"/>
      <c r="F731" s="164"/>
      <c r="G731" s="164"/>
      <c r="H731" s="90"/>
      <c r="I731" s="79"/>
      <c r="J731" s="79"/>
      <c r="K731" s="91"/>
      <c r="L731" s="118"/>
      <c r="M731" s="118"/>
      <c r="N731" s="90"/>
      <c r="O731" s="118"/>
      <c r="P731" s="118"/>
      <c r="Q731" s="90"/>
      <c r="R731" s="118"/>
      <c r="S731" s="118"/>
      <c r="T731" s="90"/>
      <c r="U731" s="86"/>
      <c r="V731" s="86"/>
      <c r="W731" s="91"/>
      <c r="X731" s="86"/>
      <c r="Y731" s="86"/>
      <c r="Z731" s="91"/>
      <c r="AA731" s="86"/>
      <c r="AB731" s="86"/>
      <c r="AC731" s="91"/>
      <c r="AD731" s="68"/>
      <c r="AE731" s="68"/>
      <c r="AF731" s="15"/>
      <c r="AG731" s="140"/>
      <c r="AH731" s="140"/>
      <c r="AI731" s="101"/>
      <c r="AJ731" s="14"/>
      <c r="AK731" s="14"/>
      <c r="AL731" s="15"/>
      <c r="AM731" s="101"/>
      <c r="AN731" s="101"/>
      <c r="AO731" s="101"/>
      <c r="AP731" s="68"/>
      <c r="AQ731" s="68"/>
      <c r="AR731" s="15"/>
      <c r="AS731" s="14"/>
      <c r="AT731" s="14"/>
      <c r="AU731" s="15"/>
      <c r="AV731" s="68"/>
      <c r="AW731" s="68"/>
      <c r="AX731" s="15"/>
      <c r="AY731" s="10"/>
      <c r="AZ731" s="2"/>
      <c r="BA731" s="2"/>
      <c r="BB731" s="2"/>
      <c r="BC731" s="2"/>
      <c r="BD731" s="2"/>
    </row>
    <row r="732" spans="1:56" ht="14.25" customHeight="1">
      <c r="A732" s="8"/>
      <c r="B732" s="12" t="s">
        <v>73</v>
      </c>
      <c r="C732" s="86"/>
      <c r="D732" s="86"/>
      <c r="E732" s="91"/>
      <c r="F732" s="164"/>
      <c r="G732" s="164"/>
      <c r="H732" s="90"/>
      <c r="I732" s="79"/>
      <c r="J732" s="79"/>
      <c r="K732" s="91"/>
      <c r="L732" s="118"/>
      <c r="M732" s="118"/>
      <c r="N732" s="90"/>
      <c r="O732" s="118"/>
      <c r="P732" s="118"/>
      <c r="Q732" s="90"/>
      <c r="R732" s="118"/>
      <c r="S732" s="118"/>
      <c r="T732" s="90"/>
      <c r="U732" s="79"/>
      <c r="V732" s="79"/>
      <c r="W732" s="91"/>
      <c r="X732" s="79"/>
      <c r="Y732" s="79"/>
      <c r="Z732" s="91"/>
      <c r="AA732" s="86"/>
      <c r="AB732" s="86"/>
      <c r="AC732" s="91"/>
      <c r="AD732" s="68"/>
      <c r="AE732" s="68"/>
      <c r="AF732" s="15"/>
      <c r="AG732" s="140"/>
      <c r="AH732" s="140"/>
      <c r="AI732" s="101"/>
      <c r="AJ732" s="14"/>
      <c r="AK732" s="14"/>
      <c r="AL732" s="15"/>
      <c r="AM732" s="101"/>
      <c r="AN732" s="101"/>
      <c r="AO732" s="101"/>
      <c r="AP732" s="14"/>
      <c r="AQ732" s="14"/>
      <c r="AR732" s="15"/>
      <c r="AS732" s="14"/>
      <c r="AT732" s="14"/>
      <c r="AU732" s="15"/>
      <c r="AV732" s="68"/>
      <c r="AW732" s="68"/>
      <c r="AX732" s="15"/>
      <c r="AY732" s="10"/>
      <c r="AZ732" s="2"/>
      <c r="BA732" s="2"/>
      <c r="BB732" s="2"/>
      <c r="BC732" s="2"/>
      <c r="BD732" s="2"/>
    </row>
    <row r="733" spans="1:56" ht="14.25" customHeight="1">
      <c r="A733" s="8"/>
      <c r="B733" s="12" t="s">
        <v>74</v>
      </c>
      <c r="C733" s="79"/>
      <c r="D733" s="79"/>
      <c r="E733" s="91"/>
      <c r="F733" s="164"/>
      <c r="G733" s="164"/>
      <c r="H733" s="90"/>
      <c r="I733" s="79"/>
      <c r="J733" s="79"/>
      <c r="K733" s="91"/>
      <c r="L733" s="118"/>
      <c r="M733" s="118"/>
      <c r="N733" s="90"/>
      <c r="O733" s="118"/>
      <c r="P733" s="118"/>
      <c r="Q733" s="90"/>
      <c r="R733" s="118"/>
      <c r="S733" s="118"/>
      <c r="T733" s="90"/>
      <c r="U733" s="86"/>
      <c r="V733" s="86"/>
      <c r="W733" s="91"/>
      <c r="X733" s="86"/>
      <c r="Y733" s="86"/>
      <c r="Z733" s="91"/>
      <c r="AA733" s="86"/>
      <c r="AB733" s="86"/>
      <c r="AC733" s="91"/>
      <c r="AD733" s="68"/>
      <c r="AE733" s="68"/>
      <c r="AF733" s="15"/>
      <c r="AG733" s="140"/>
      <c r="AH733" s="140"/>
      <c r="AI733" s="101"/>
      <c r="AJ733" s="14"/>
      <c r="AK733" s="14"/>
      <c r="AL733" s="15"/>
      <c r="AM733" s="101"/>
      <c r="AN733" s="101"/>
      <c r="AO733" s="101"/>
      <c r="AP733" s="68"/>
      <c r="AQ733" s="68"/>
      <c r="AR733" s="15"/>
      <c r="AS733" s="14"/>
      <c r="AT733" s="14"/>
      <c r="AU733" s="15"/>
      <c r="AV733" s="68"/>
      <c r="AW733" s="68"/>
      <c r="AX733" s="15"/>
      <c r="AY733" s="10"/>
      <c r="AZ733" s="2"/>
      <c r="BA733" s="2"/>
      <c r="BB733" s="2"/>
      <c r="BC733" s="2"/>
      <c r="BD733" s="2"/>
    </row>
    <row r="734" spans="1:56" ht="14.25" customHeight="1">
      <c r="A734" s="8"/>
      <c r="B734" s="12" t="s">
        <v>75</v>
      </c>
      <c r="C734" s="79"/>
      <c r="D734" s="79"/>
      <c r="E734" s="91"/>
      <c r="F734" s="164"/>
      <c r="G734" s="164"/>
      <c r="H734" s="90"/>
      <c r="I734" s="79"/>
      <c r="J734" s="79"/>
      <c r="K734" s="91"/>
      <c r="L734" s="118"/>
      <c r="M734" s="118"/>
      <c r="N734" s="90"/>
      <c r="O734" s="118"/>
      <c r="P734" s="118"/>
      <c r="Q734" s="90"/>
      <c r="R734" s="118"/>
      <c r="S734" s="118"/>
      <c r="T734" s="90"/>
      <c r="U734" s="86"/>
      <c r="V734" s="86"/>
      <c r="W734" s="91"/>
      <c r="X734" s="86"/>
      <c r="Y734" s="86"/>
      <c r="Z734" s="91"/>
      <c r="AA734" s="86"/>
      <c r="AB734" s="86"/>
      <c r="AC734" s="91"/>
      <c r="AD734" s="68"/>
      <c r="AE734" s="68"/>
      <c r="AF734" s="15"/>
      <c r="AG734" s="140"/>
      <c r="AH734" s="140"/>
      <c r="AI734" s="101"/>
      <c r="AJ734" s="14"/>
      <c r="AK734" s="14"/>
      <c r="AL734" s="15"/>
      <c r="AM734" s="101"/>
      <c r="AN734" s="101"/>
      <c r="AO734" s="101"/>
      <c r="AP734" s="68"/>
      <c r="AQ734" s="68"/>
      <c r="AR734" s="15"/>
      <c r="AS734" s="14"/>
      <c r="AT734" s="14"/>
      <c r="AU734" s="15"/>
      <c r="AV734" s="68"/>
      <c r="AW734" s="68"/>
      <c r="AX734" s="15"/>
      <c r="AY734" s="10"/>
      <c r="AZ734" s="2"/>
      <c r="BA734" s="2"/>
      <c r="BB734" s="2"/>
      <c r="BC734" s="2"/>
      <c r="BD734" s="2"/>
    </row>
    <row r="735" spans="1:56" ht="14.25" customHeight="1">
      <c r="A735" s="8"/>
      <c r="B735" s="12" t="s">
        <v>76</v>
      </c>
      <c r="C735" s="79"/>
      <c r="D735" s="79"/>
      <c r="E735" s="91"/>
      <c r="F735" s="164"/>
      <c r="G735" s="164"/>
      <c r="H735" s="90"/>
      <c r="I735" s="79"/>
      <c r="J735" s="79"/>
      <c r="K735" s="91"/>
      <c r="L735" s="118"/>
      <c r="M735" s="118"/>
      <c r="N735" s="90"/>
      <c r="O735" s="118"/>
      <c r="P735" s="118"/>
      <c r="Q735" s="90"/>
      <c r="R735" s="118"/>
      <c r="S735" s="118"/>
      <c r="T735" s="90"/>
      <c r="U735" s="79"/>
      <c r="V735" s="79"/>
      <c r="W735" s="91"/>
      <c r="X735" s="79"/>
      <c r="Y735" s="79"/>
      <c r="Z735" s="91"/>
      <c r="AA735" s="86"/>
      <c r="AB735" s="86"/>
      <c r="AC735" s="91"/>
      <c r="AD735" s="68"/>
      <c r="AE735" s="68"/>
      <c r="AF735" s="15"/>
      <c r="AG735" s="140"/>
      <c r="AH735" s="140"/>
      <c r="AI735" s="101"/>
      <c r="AJ735" s="14"/>
      <c r="AK735" s="14"/>
      <c r="AL735" s="15"/>
      <c r="AM735" s="101"/>
      <c r="AN735" s="101"/>
      <c r="AO735" s="101"/>
      <c r="AP735" s="68"/>
      <c r="AQ735" s="68"/>
      <c r="AR735" s="15"/>
      <c r="AS735" s="14"/>
      <c r="AT735" s="14"/>
      <c r="AU735" s="15"/>
      <c r="AV735" s="68"/>
      <c r="AW735" s="68"/>
      <c r="AX735" s="15"/>
      <c r="AY735" s="10"/>
      <c r="AZ735" s="2"/>
      <c r="BA735" s="2"/>
      <c r="BB735" s="2"/>
      <c r="BC735" s="2"/>
      <c r="BD735" s="2"/>
    </row>
    <row r="736" spans="1:56" ht="14.25" customHeight="1">
      <c r="A736" s="8"/>
      <c r="B736" s="12" t="s">
        <v>77</v>
      </c>
      <c r="C736" s="79"/>
      <c r="D736" s="79"/>
      <c r="E736" s="91"/>
      <c r="F736" s="164"/>
      <c r="G736" s="164"/>
      <c r="H736" s="90"/>
      <c r="I736" s="79"/>
      <c r="J736" s="79"/>
      <c r="K736" s="91"/>
      <c r="L736" s="118"/>
      <c r="M736" s="118"/>
      <c r="N736" s="90"/>
      <c r="O736" s="118"/>
      <c r="P736" s="118"/>
      <c r="Q736" s="90"/>
      <c r="R736" s="118"/>
      <c r="S736" s="118"/>
      <c r="T736" s="90"/>
      <c r="U736" s="79"/>
      <c r="V736" s="79"/>
      <c r="W736" s="91"/>
      <c r="X736" s="79"/>
      <c r="Y736" s="79"/>
      <c r="Z736" s="91"/>
      <c r="AA736" s="86"/>
      <c r="AB736" s="86"/>
      <c r="AC736" s="91"/>
      <c r="AD736" s="68"/>
      <c r="AE736" s="68"/>
      <c r="AF736" s="15"/>
      <c r="AG736" s="140"/>
      <c r="AH736" s="140"/>
      <c r="AI736" s="101"/>
      <c r="AJ736" s="14"/>
      <c r="AK736" s="14"/>
      <c r="AL736" s="15"/>
      <c r="AM736" s="101"/>
      <c r="AN736" s="101"/>
      <c r="AO736" s="101"/>
      <c r="AP736" s="14"/>
      <c r="AQ736" s="14"/>
      <c r="AR736" s="15"/>
      <c r="AS736" s="14"/>
      <c r="AT736" s="14"/>
      <c r="AU736" s="15"/>
      <c r="AV736" s="68"/>
      <c r="AW736" s="68"/>
      <c r="AX736" s="15"/>
      <c r="AY736" s="10"/>
      <c r="AZ736" s="2"/>
      <c r="BA736" s="2"/>
      <c r="BB736" s="2"/>
      <c r="BC736" s="2"/>
      <c r="BD736" s="2"/>
    </row>
    <row r="737" spans="1:56" ht="14.25" customHeight="1">
      <c r="A737" s="8"/>
      <c r="B737" s="12" t="s">
        <v>78</v>
      </c>
      <c r="C737" s="79"/>
      <c r="D737" s="79"/>
      <c r="E737" s="91"/>
      <c r="F737" s="164"/>
      <c r="G737" s="164"/>
      <c r="H737" s="90"/>
      <c r="I737" s="79"/>
      <c r="J737" s="79"/>
      <c r="K737" s="91"/>
      <c r="L737" s="118"/>
      <c r="M737" s="118"/>
      <c r="N737" s="90"/>
      <c r="O737" s="118"/>
      <c r="P737" s="118"/>
      <c r="Q737" s="90"/>
      <c r="R737" s="118"/>
      <c r="S737" s="118"/>
      <c r="T737" s="90"/>
      <c r="U737" s="79"/>
      <c r="V737" s="79"/>
      <c r="W737" s="91"/>
      <c r="X737" s="79"/>
      <c r="Y737" s="79"/>
      <c r="Z737" s="91"/>
      <c r="AA737" s="86"/>
      <c r="AB737" s="86"/>
      <c r="AC737" s="91"/>
      <c r="AD737" s="68"/>
      <c r="AE737" s="68"/>
      <c r="AF737" s="15"/>
      <c r="AG737" s="140"/>
      <c r="AH737" s="140"/>
      <c r="AI737" s="101"/>
      <c r="AJ737" s="14"/>
      <c r="AK737" s="14"/>
      <c r="AL737" s="15"/>
      <c r="AM737" s="101"/>
      <c r="AN737" s="101"/>
      <c r="AO737" s="101"/>
      <c r="AP737" s="14"/>
      <c r="AQ737" s="14"/>
      <c r="AR737" s="15"/>
      <c r="AS737" s="14"/>
      <c r="AT737" s="14"/>
      <c r="AU737" s="15"/>
      <c r="AV737" s="68"/>
      <c r="AW737" s="68"/>
      <c r="AX737" s="15"/>
      <c r="AY737" s="10"/>
      <c r="AZ737" s="2"/>
      <c r="BA737" s="2"/>
      <c r="BB737" s="2"/>
      <c r="BC737" s="2"/>
      <c r="BD737" s="2"/>
    </row>
    <row r="738" spans="1:56" ht="14.25" customHeight="1">
      <c r="A738" s="8"/>
      <c r="B738" s="12" t="s">
        <v>79</v>
      </c>
      <c r="C738" s="79"/>
      <c r="D738" s="79"/>
      <c r="E738" s="91"/>
      <c r="F738" s="164"/>
      <c r="G738" s="164"/>
      <c r="H738" s="90"/>
      <c r="I738" s="79"/>
      <c r="J738" s="79"/>
      <c r="K738" s="91"/>
      <c r="L738" s="118"/>
      <c r="M738" s="118"/>
      <c r="N738" s="90"/>
      <c r="O738" s="118"/>
      <c r="P738" s="118"/>
      <c r="Q738" s="90"/>
      <c r="R738" s="118"/>
      <c r="S738" s="118"/>
      <c r="T738" s="90"/>
      <c r="U738" s="79"/>
      <c r="V738" s="79"/>
      <c r="W738" s="91"/>
      <c r="X738" s="79"/>
      <c r="Y738" s="79"/>
      <c r="Z738" s="91"/>
      <c r="AA738" s="86"/>
      <c r="AB738" s="86"/>
      <c r="AC738" s="91"/>
      <c r="AD738" s="68"/>
      <c r="AE738" s="68"/>
      <c r="AF738" s="15"/>
      <c r="AG738" s="140"/>
      <c r="AH738" s="140"/>
      <c r="AI738" s="101"/>
      <c r="AJ738" s="14"/>
      <c r="AK738" s="14"/>
      <c r="AL738" s="15"/>
      <c r="AM738" s="101"/>
      <c r="AN738" s="101"/>
      <c r="AO738" s="101"/>
      <c r="AP738" s="14"/>
      <c r="AQ738" s="14"/>
      <c r="AR738" s="15"/>
      <c r="AS738" s="14"/>
      <c r="AT738" s="14"/>
      <c r="AU738" s="15"/>
      <c r="AV738" s="68"/>
      <c r="AW738" s="68"/>
      <c r="AX738" s="15"/>
      <c r="AY738" s="10"/>
      <c r="AZ738" s="2"/>
      <c r="BA738" s="2"/>
      <c r="BB738" s="2"/>
      <c r="BC738" s="2"/>
      <c r="BD738" s="2"/>
    </row>
    <row r="739" spans="1:56" ht="14.25" customHeight="1">
      <c r="A739" s="8"/>
      <c r="B739" s="12" t="s">
        <v>80</v>
      </c>
      <c r="C739" s="79"/>
      <c r="D739" s="79"/>
      <c r="E739" s="91"/>
      <c r="F739" s="164"/>
      <c r="G739" s="164"/>
      <c r="H739" s="90"/>
      <c r="I739" s="79"/>
      <c r="J739" s="79"/>
      <c r="K739" s="91"/>
      <c r="L739" s="118"/>
      <c r="M739" s="118"/>
      <c r="N739" s="90"/>
      <c r="O739" s="118"/>
      <c r="P739" s="118"/>
      <c r="Q739" s="90"/>
      <c r="R739" s="118"/>
      <c r="S739" s="118"/>
      <c r="T739" s="90"/>
      <c r="U739" s="79"/>
      <c r="V739" s="79"/>
      <c r="W739" s="91"/>
      <c r="X739" s="79"/>
      <c r="Y739" s="79"/>
      <c r="Z739" s="91"/>
      <c r="AA739" s="86"/>
      <c r="AB739" s="86"/>
      <c r="AC739" s="91"/>
      <c r="AD739" s="68"/>
      <c r="AE739" s="68"/>
      <c r="AF739" s="15"/>
      <c r="AG739" s="140"/>
      <c r="AH739" s="140"/>
      <c r="AI739" s="101"/>
      <c r="AJ739" s="14"/>
      <c r="AK739" s="14"/>
      <c r="AL739" s="15"/>
      <c r="AM739" s="101"/>
      <c r="AN739" s="101"/>
      <c r="AO739" s="101"/>
      <c r="AP739" s="14"/>
      <c r="AQ739" s="14"/>
      <c r="AR739" s="15"/>
      <c r="AS739" s="14"/>
      <c r="AT739" s="14"/>
      <c r="AU739" s="15"/>
      <c r="AV739" s="68"/>
      <c r="AW739" s="68"/>
      <c r="AX739" s="15"/>
      <c r="AY739" s="10"/>
      <c r="AZ739" s="2"/>
      <c r="BA739" s="2"/>
      <c r="BB739" s="2"/>
      <c r="BC739" s="2"/>
      <c r="BD739" s="2"/>
    </row>
    <row r="740" spans="1:56" ht="14.25" customHeight="1">
      <c r="A740" s="8"/>
      <c r="B740" s="12" t="s">
        <v>81</v>
      </c>
      <c r="C740" s="79"/>
      <c r="D740" s="79"/>
      <c r="E740" s="91"/>
      <c r="F740" s="164"/>
      <c r="G740" s="164"/>
      <c r="H740" s="90"/>
      <c r="I740" s="79"/>
      <c r="J740" s="79"/>
      <c r="K740" s="91"/>
      <c r="L740" s="118"/>
      <c r="M740" s="118"/>
      <c r="N740" s="90"/>
      <c r="O740" s="118"/>
      <c r="P740" s="118"/>
      <c r="Q740" s="90"/>
      <c r="R740" s="118"/>
      <c r="S740" s="118"/>
      <c r="T740" s="90"/>
      <c r="U740" s="86"/>
      <c r="V740" s="86"/>
      <c r="W740" s="91"/>
      <c r="X740" s="79"/>
      <c r="Y740" s="79"/>
      <c r="Z740" s="91"/>
      <c r="AA740" s="86"/>
      <c r="AB740" s="86"/>
      <c r="AC740" s="91"/>
      <c r="AD740" s="68"/>
      <c r="AE740" s="68"/>
      <c r="AF740" s="15"/>
      <c r="AG740" s="140"/>
      <c r="AH740" s="140"/>
      <c r="AI740" s="101"/>
      <c r="AJ740" s="14"/>
      <c r="AK740" s="14"/>
      <c r="AL740" s="15"/>
      <c r="AM740" s="101"/>
      <c r="AN740" s="101"/>
      <c r="AO740" s="101"/>
      <c r="AP740" s="68"/>
      <c r="AQ740" s="68"/>
      <c r="AR740" s="15"/>
      <c r="AS740" s="14"/>
      <c r="AT740" s="14"/>
      <c r="AU740" s="15"/>
      <c r="AV740" s="68"/>
      <c r="AW740" s="68"/>
      <c r="AX740" s="15"/>
      <c r="AY740" s="10"/>
      <c r="AZ740" s="2"/>
      <c r="BA740" s="2"/>
      <c r="BB740" s="2"/>
      <c r="BC740" s="2"/>
      <c r="BD740" s="2"/>
    </row>
    <row r="741" spans="1:56" ht="14.25" customHeight="1">
      <c r="A741" s="8"/>
      <c r="B741" s="12" t="s">
        <v>82</v>
      </c>
      <c r="C741" s="86"/>
      <c r="D741" s="86"/>
      <c r="E741" s="91"/>
      <c r="F741" s="164"/>
      <c r="G741" s="164"/>
      <c r="H741" s="90"/>
      <c r="I741" s="79"/>
      <c r="J741" s="79"/>
      <c r="K741" s="91"/>
      <c r="L741" s="118"/>
      <c r="M741" s="118"/>
      <c r="N741" s="90"/>
      <c r="O741" s="118"/>
      <c r="P741" s="118"/>
      <c r="Q741" s="90"/>
      <c r="R741" s="118"/>
      <c r="S741" s="118"/>
      <c r="T741" s="90"/>
      <c r="U741" s="86"/>
      <c r="V741" s="86"/>
      <c r="W741" s="91"/>
      <c r="X741" s="79"/>
      <c r="Y741" s="79"/>
      <c r="Z741" s="91"/>
      <c r="AA741" s="86"/>
      <c r="AB741" s="86"/>
      <c r="AC741" s="91"/>
      <c r="AD741" s="68"/>
      <c r="AE741" s="68"/>
      <c r="AF741" s="15"/>
      <c r="AG741" s="140"/>
      <c r="AH741" s="140"/>
      <c r="AI741" s="101"/>
      <c r="AJ741" s="14"/>
      <c r="AK741" s="14"/>
      <c r="AL741" s="15"/>
      <c r="AM741" s="101"/>
      <c r="AN741" s="101"/>
      <c r="AO741" s="101"/>
      <c r="AP741" s="68"/>
      <c r="AQ741" s="68"/>
      <c r="AR741" s="15"/>
      <c r="AS741" s="14"/>
      <c r="AT741" s="14"/>
      <c r="AU741" s="15"/>
      <c r="AV741" s="68"/>
      <c r="AW741" s="68"/>
      <c r="AX741" s="15"/>
      <c r="AY741" s="10"/>
      <c r="AZ741" s="2"/>
      <c r="BA741" s="2"/>
      <c r="BB741" s="2"/>
      <c r="BC741" s="2"/>
      <c r="BD741" s="2"/>
    </row>
    <row r="742" spans="1:56" ht="14.25" customHeight="1">
      <c r="A742" s="8"/>
      <c r="B742" s="12" t="s">
        <v>83</v>
      </c>
      <c r="C742" s="79"/>
      <c r="D742" s="79"/>
      <c r="E742" s="91"/>
      <c r="F742" s="164"/>
      <c r="G742" s="164"/>
      <c r="H742" s="90"/>
      <c r="I742" s="79"/>
      <c r="J742" s="79"/>
      <c r="K742" s="91"/>
      <c r="L742" s="118"/>
      <c r="M742" s="118"/>
      <c r="N742" s="90"/>
      <c r="O742" s="118"/>
      <c r="P742" s="118"/>
      <c r="Q742" s="90"/>
      <c r="R742" s="118"/>
      <c r="S742" s="118"/>
      <c r="T742" s="90"/>
      <c r="U742" s="86"/>
      <c r="V742" s="86"/>
      <c r="W742" s="91"/>
      <c r="X742" s="86"/>
      <c r="Y742" s="86"/>
      <c r="Z742" s="91"/>
      <c r="AA742" s="86"/>
      <c r="AB742" s="86"/>
      <c r="AC742" s="91"/>
      <c r="AD742" s="68"/>
      <c r="AE742" s="68"/>
      <c r="AF742" s="15"/>
      <c r="AG742" s="140"/>
      <c r="AH742" s="140"/>
      <c r="AI742" s="101"/>
      <c r="AJ742" s="14"/>
      <c r="AK742" s="14"/>
      <c r="AL742" s="15"/>
      <c r="AM742" s="101"/>
      <c r="AN742" s="101"/>
      <c r="AO742" s="101"/>
      <c r="AP742" s="68"/>
      <c r="AQ742" s="68"/>
      <c r="AR742" s="15"/>
      <c r="AS742" s="14"/>
      <c r="AT742" s="14"/>
      <c r="AU742" s="15"/>
      <c r="AV742" s="68"/>
      <c r="AW742" s="68"/>
      <c r="AX742" s="15"/>
      <c r="AY742" s="10"/>
      <c r="AZ742" s="2"/>
      <c r="BA742" s="2"/>
      <c r="BB742" s="2"/>
      <c r="BC742" s="2"/>
      <c r="BD742" s="2"/>
    </row>
    <row r="743" spans="1:56" ht="14.25" customHeight="1">
      <c r="A743" s="8"/>
      <c r="B743" s="12" t="s">
        <v>84</v>
      </c>
      <c r="C743" s="79"/>
      <c r="D743" s="79"/>
      <c r="E743" s="91"/>
      <c r="F743" s="164"/>
      <c r="G743" s="164"/>
      <c r="H743" s="90"/>
      <c r="I743" s="79"/>
      <c r="J743" s="79"/>
      <c r="K743" s="91"/>
      <c r="L743" s="118"/>
      <c r="M743" s="118"/>
      <c r="N743" s="90"/>
      <c r="O743" s="118"/>
      <c r="P743" s="118"/>
      <c r="Q743" s="90"/>
      <c r="R743" s="118"/>
      <c r="S743" s="118"/>
      <c r="T743" s="90"/>
      <c r="U743" s="86"/>
      <c r="V743" s="86"/>
      <c r="W743" s="91"/>
      <c r="X743" s="79"/>
      <c r="Y743" s="79"/>
      <c r="Z743" s="91"/>
      <c r="AA743" s="86"/>
      <c r="AB743" s="86"/>
      <c r="AC743" s="91"/>
      <c r="AD743" s="68"/>
      <c r="AE743" s="68"/>
      <c r="AF743" s="15"/>
      <c r="AG743" s="140"/>
      <c r="AH743" s="140"/>
      <c r="AI743" s="101"/>
      <c r="AJ743" s="14"/>
      <c r="AK743" s="14"/>
      <c r="AL743" s="15"/>
      <c r="AM743" s="101"/>
      <c r="AN743" s="101"/>
      <c r="AO743" s="101"/>
      <c r="AP743" s="68"/>
      <c r="AQ743" s="68"/>
      <c r="AR743" s="15"/>
      <c r="AS743" s="14"/>
      <c r="AT743" s="14"/>
      <c r="AU743" s="15"/>
      <c r="AV743" s="68"/>
      <c r="AW743" s="68"/>
      <c r="AX743" s="15"/>
      <c r="AY743" s="10"/>
      <c r="AZ743" s="2"/>
      <c r="BA743" s="2"/>
      <c r="BB743" s="2"/>
      <c r="BC743" s="2"/>
      <c r="BD743" s="2"/>
    </row>
    <row r="744" spans="1:56" ht="14.25" customHeight="1">
      <c r="A744" s="8"/>
      <c r="B744" s="12" t="s">
        <v>85</v>
      </c>
      <c r="C744" s="79"/>
      <c r="D744" s="79"/>
      <c r="E744" s="91"/>
      <c r="F744" s="164"/>
      <c r="G744" s="164"/>
      <c r="H744" s="90"/>
      <c r="I744" s="79"/>
      <c r="J744" s="79"/>
      <c r="K744" s="91"/>
      <c r="L744" s="118"/>
      <c r="M744" s="118"/>
      <c r="N744" s="90"/>
      <c r="O744" s="118"/>
      <c r="P744" s="118"/>
      <c r="Q744" s="90"/>
      <c r="R744" s="118"/>
      <c r="S744" s="118"/>
      <c r="T744" s="90"/>
      <c r="U744" s="86"/>
      <c r="V744" s="86"/>
      <c r="W744" s="91"/>
      <c r="X744" s="79"/>
      <c r="Y744" s="79"/>
      <c r="Z744" s="91"/>
      <c r="AA744" s="86"/>
      <c r="AB744" s="86"/>
      <c r="AC744" s="91"/>
      <c r="AD744" s="68"/>
      <c r="AE744" s="68"/>
      <c r="AF744" s="15"/>
      <c r="AG744" s="140"/>
      <c r="AH744" s="140"/>
      <c r="AI744" s="101"/>
      <c r="AJ744" s="14"/>
      <c r="AK744" s="14"/>
      <c r="AL744" s="15"/>
      <c r="AM744" s="101"/>
      <c r="AN744" s="101"/>
      <c r="AO744" s="101"/>
      <c r="AP744" s="14"/>
      <c r="AQ744" s="14"/>
      <c r="AR744" s="15"/>
      <c r="AS744" s="14"/>
      <c r="AT744" s="14"/>
      <c r="AU744" s="15"/>
      <c r="AV744" s="68"/>
      <c r="AW744" s="68"/>
      <c r="AX744" s="15"/>
      <c r="AY744" s="10"/>
      <c r="AZ744" s="2"/>
      <c r="BA744" s="2"/>
      <c r="BB744" s="2"/>
      <c r="BC744" s="2"/>
      <c r="BD744" s="2"/>
    </row>
    <row r="745" spans="1:56" ht="14.25" customHeight="1">
      <c r="A745" s="8"/>
      <c r="B745" s="12" t="s">
        <v>86</v>
      </c>
      <c r="C745" s="86"/>
      <c r="D745" s="86"/>
      <c r="E745" s="91"/>
      <c r="F745" s="164"/>
      <c r="G745" s="164"/>
      <c r="H745" s="90"/>
      <c r="I745" s="86"/>
      <c r="J745" s="86"/>
      <c r="K745" s="91"/>
      <c r="L745" s="118"/>
      <c r="M745" s="118"/>
      <c r="N745" s="90"/>
      <c r="O745" s="118"/>
      <c r="P745" s="118"/>
      <c r="Q745" s="90"/>
      <c r="R745" s="118"/>
      <c r="S745" s="118"/>
      <c r="T745" s="90"/>
      <c r="U745" s="86"/>
      <c r="V745" s="86"/>
      <c r="W745" s="91"/>
      <c r="X745" s="86"/>
      <c r="Y745" s="86"/>
      <c r="Z745" s="91"/>
      <c r="AA745" s="86"/>
      <c r="AB745" s="86"/>
      <c r="AC745" s="91"/>
      <c r="AD745" s="68"/>
      <c r="AE745" s="68"/>
      <c r="AF745" s="15"/>
      <c r="AG745" s="140"/>
      <c r="AH745" s="140"/>
      <c r="AI745" s="101"/>
      <c r="AJ745" s="14"/>
      <c r="AK745" s="14"/>
      <c r="AL745" s="15"/>
      <c r="AM745" s="101"/>
      <c r="AN745" s="101"/>
      <c r="AO745" s="101"/>
      <c r="AP745" s="14"/>
      <c r="AQ745" s="14"/>
      <c r="AR745" s="15"/>
      <c r="AS745" s="14"/>
      <c r="AT745" s="14"/>
      <c r="AU745" s="15"/>
      <c r="AV745" s="68"/>
      <c r="AW745" s="68"/>
      <c r="AX745" s="15"/>
      <c r="AY745" s="10"/>
      <c r="AZ745" s="2"/>
      <c r="BA745" s="2"/>
      <c r="BB745" s="2"/>
      <c r="BC745" s="2"/>
      <c r="BD745" s="2"/>
    </row>
    <row r="746" spans="1:56" ht="14.25" customHeight="1">
      <c r="A746" s="8"/>
      <c r="B746" s="12" t="s">
        <v>87</v>
      </c>
      <c r="C746" s="79"/>
      <c r="D746" s="79"/>
      <c r="E746" s="91"/>
      <c r="F746" s="164"/>
      <c r="G746" s="164"/>
      <c r="H746" s="90"/>
      <c r="I746" s="79"/>
      <c r="J746" s="79"/>
      <c r="K746" s="91"/>
      <c r="L746" s="118"/>
      <c r="M746" s="118"/>
      <c r="N746" s="90"/>
      <c r="O746" s="118"/>
      <c r="P746" s="118"/>
      <c r="Q746" s="90"/>
      <c r="R746" s="118"/>
      <c r="S746" s="118"/>
      <c r="T746" s="90"/>
      <c r="U746" s="86"/>
      <c r="V746" s="86"/>
      <c r="W746" s="91"/>
      <c r="X746" s="79"/>
      <c r="Y746" s="79"/>
      <c r="Z746" s="91"/>
      <c r="AA746" s="86"/>
      <c r="AB746" s="86"/>
      <c r="AC746" s="91"/>
      <c r="AD746" s="68"/>
      <c r="AE746" s="68"/>
      <c r="AF746" s="15"/>
      <c r="AG746" s="140"/>
      <c r="AH746" s="140"/>
      <c r="AI746" s="101"/>
      <c r="AJ746" s="14"/>
      <c r="AK746" s="14"/>
      <c r="AL746" s="15"/>
      <c r="AM746" s="101"/>
      <c r="AN746" s="101"/>
      <c r="AO746" s="101"/>
      <c r="AP746" s="14"/>
      <c r="AQ746" s="14"/>
      <c r="AR746" s="15"/>
      <c r="AS746" s="14"/>
      <c r="AT746" s="14"/>
      <c r="AU746" s="15"/>
      <c r="AV746" s="68"/>
      <c r="AW746" s="68"/>
      <c r="AX746" s="15"/>
      <c r="AY746" s="10"/>
      <c r="AZ746" s="2"/>
      <c r="BA746" s="2"/>
      <c r="BB746" s="2"/>
      <c r="BC746" s="2"/>
      <c r="BD746" s="2"/>
    </row>
    <row r="747" spans="1:56" ht="14.25" customHeight="1">
      <c r="A747" s="8"/>
      <c r="B747" s="12" t="s">
        <v>88</v>
      </c>
      <c r="C747" s="79"/>
      <c r="D747" s="79"/>
      <c r="E747" s="91"/>
      <c r="F747" s="164"/>
      <c r="G747" s="164"/>
      <c r="H747" s="90"/>
      <c r="I747" s="79"/>
      <c r="J747" s="79"/>
      <c r="K747" s="91"/>
      <c r="L747" s="118"/>
      <c r="M747" s="118"/>
      <c r="N747" s="90"/>
      <c r="O747" s="118"/>
      <c r="P747" s="118"/>
      <c r="Q747" s="90"/>
      <c r="R747" s="118"/>
      <c r="S747" s="118"/>
      <c r="T747" s="90"/>
      <c r="U747" s="86"/>
      <c r="V747" s="86"/>
      <c r="W747" s="91"/>
      <c r="X747" s="79"/>
      <c r="Y747" s="79"/>
      <c r="Z747" s="91"/>
      <c r="AA747" s="86"/>
      <c r="AB747" s="86"/>
      <c r="AC747" s="91"/>
      <c r="AD747" s="68"/>
      <c r="AE747" s="68"/>
      <c r="AF747" s="15"/>
      <c r="AG747" s="140"/>
      <c r="AH747" s="140"/>
      <c r="AI747" s="101"/>
      <c r="AJ747" s="14"/>
      <c r="AK747" s="14"/>
      <c r="AL747" s="15"/>
      <c r="AM747" s="101"/>
      <c r="AN747" s="101"/>
      <c r="AO747" s="101"/>
      <c r="AP747" s="14"/>
      <c r="AQ747" s="14"/>
      <c r="AR747" s="15"/>
      <c r="AS747" s="14"/>
      <c r="AT747" s="14"/>
      <c r="AU747" s="15"/>
      <c r="AV747" s="68"/>
      <c r="AW747" s="68"/>
      <c r="AX747" s="15"/>
      <c r="AY747" s="10"/>
      <c r="AZ747" s="2"/>
      <c r="BA747" s="2"/>
      <c r="BB747" s="2"/>
      <c r="BC747" s="2"/>
      <c r="BD747" s="2"/>
    </row>
    <row r="748" spans="1:56" ht="14.25" customHeight="1">
      <c r="A748" s="8"/>
      <c r="B748" s="12" t="s">
        <v>89</v>
      </c>
      <c r="C748" s="86"/>
      <c r="D748" s="86"/>
      <c r="E748" s="91"/>
      <c r="F748" s="118"/>
      <c r="G748" s="118"/>
      <c r="H748" s="90"/>
      <c r="I748" s="86"/>
      <c r="J748" s="86"/>
      <c r="K748" s="91"/>
      <c r="L748" s="118"/>
      <c r="M748" s="118"/>
      <c r="N748" s="90"/>
      <c r="O748" s="118"/>
      <c r="P748" s="118"/>
      <c r="Q748" s="90"/>
      <c r="R748" s="118"/>
      <c r="S748" s="118"/>
      <c r="T748" s="90"/>
      <c r="U748" s="86"/>
      <c r="V748" s="86"/>
      <c r="W748" s="91"/>
      <c r="X748" s="86"/>
      <c r="Y748" s="86"/>
      <c r="Z748" s="91"/>
      <c r="AA748" s="86"/>
      <c r="AB748" s="86"/>
      <c r="AC748" s="91"/>
      <c r="AD748" s="68"/>
      <c r="AE748" s="68"/>
      <c r="AF748" s="15"/>
      <c r="AG748" s="140"/>
      <c r="AH748" s="140"/>
      <c r="AI748" s="101"/>
      <c r="AJ748" s="68"/>
      <c r="AK748" s="68"/>
      <c r="AL748" s="15"/>
      <c r="AM748" s="101"/>
      <c r="AN748" s="101"/>
      <c r="AO748" s="101"/>
      <c r="AP748" s="68"/>
      <c r="AQ748" s="68"/>
      <c r="AR748" s="15"/>
      <c r="AS748" s="68"/>
      <c r="AT748" s="68"/>
      <c r="AU748" s="15"/>
      <c r="AV748" s="68"/>
      <c r="AW748" s="68"/>
      <c r="AX748" s="15"/>
      <c r="AY748" s="10"/>
      <c r="AZ748" s="2"/>
      <c r="BA748" s="2"/>
      <c r="BB748" s="2"/>
      <c r="BC748" s="2"/>
      <c r="BD748" s="2"/>
    </row>
    <row r="749" spans="1:56" ht="14.25" customHeight="1">
      <c r="A749" s="8"/>
      <c r="B749" s="12" t="s">
        <v>90</v>
      </c>
      <c r="C749" s="86"/>
      <c r="D749" s="86"/>
      <c r="E749" s="91"/>
      <c r="F749" s="118"/>
      <c r="G749" s="118"/>
      <c r="H749" s="90"/>
      <c r="I749" s="86"/>
      <c r="J749" s="86"/>
      <c r="K749" s="91"/>
      <c r="L749" s="118"/>
      <c r="M749" s="118"/>
      <c r="N749" s="90"/>
      <c r="O749" s="118"/>
      <c r="P749" s="118"/>
      <c r="Q749" s="90"/>
      <c r="R749" s="118"/>
      <c r="S749" s="118"/>
      <c r="T749" s="90"/>
      <c r="U749" s="86"/>
      <c r="V749" s="86"/>
      <c r="W749" s="91"/>
      <c r="X749" s="86"/>
      <c r="Y749" s="86"/>
      <c r="Z749" s="91"/>
      <c r="AA749" s="86"/>
      <c r="AB749" s="86"/>
      <c r="AC749" s="91"/>
      <c r="AD749" s="68"/>
      <c r="AE749" s="68"/>
      <c r="AF749" s="15"/>
      <c r="AG749" s="140"/>
      <c r="AH749" s="140"/>
      <c r="AI749" s="101"/>
      <c r="AJ749" s="68"/>
      <c r="AK749" s="68"/>
      <c r="AL749" s="15"/>
      <c r="AM749" s="101"/>
      <c r="AN749" s="101"/>
      <c r="AO749" s="101"/>
      <c r="AP749" s="68"/>
      <c r="AQ749" s="68"/>
      <c r="AR749" s="15"/>
      <c r="AS749" s="68"/>
      <c r="AT749" s="68"/>
      <c r="AU749" s="15"/>
      <c r="AV749" s="68"/>
      <c r="AW749" s="68"/>
      <c r="AX749" s="15"/>
      <c r="AY749" s="10"/>
      <c r="AZ749" s="2"/>
      <c r="BA749" s="2"/>
      <c r="BB749" s="2"/>
      <c r="BC749" s="2"/>
      <c r="BD749" s="2"/>
    </row>
    <row r="750" spans="1:56" ht="14.25" customHeight="1">
      <c r="A750" s="8"/>
      <c r="B750" s="12" t="s">
        <v>91</v>
      </c>
      <c r="C750" s="86"/>
      <c r="D750" s="86"/>
      <c r="E750" s="91"/>
      <c r="F750" s="118"/>
      <c r="G750" s="118"/>
      <c r="H750" s="90"/>
      <c r="I750" s="86"/>
      <c r="J750" s="86"/>
      <c r="K750" s="91"/>
      <c r="L750" s="118"/>
      <c r="M750" s="118"/>
      <c r="N750" s="90"/>
      <c r="O750" s="118"/>
      <c r="P750" s="118"/>
      <c r="Q750" s="90"/>
      <c r="R750" s="118"/>
      <c r="S750" s="118"/>
      <c r="T750" s="90"/>
      <c r="U750" s="86"/>
      <c r="V750" s="86"/>
      <c r="W750" s="91"/>
      <c r="X750" s="86"/>
      <c r="Y750" s="86"/>
      <c r="Z750" s="91"/>
      <c r="AA750" s="86"/>
      <c r="AB750" s="86"/>
      <c r="AC750" s="91"/>
      <c r="AD750" s="68"/>
      <c r="AE750" s="68"/>
      <c r="AF750" s="15"/>
      <c r="AG750" s="140"/>
      <c r="AH750" s="140"/>
      <c r="AI750" s="101"/>
      <c r="AJ750" s="68"/>
      <c r="AK750" s="68"/>
      <c r="AL750" s="15"/>
      <c r="AM750" s="101"/>
      <c r="AN750" s="101"/>
      <c r="AO750" s="101"/>
      <c r="AP750" s="68"/>
      <c r="AQ750" s="68"/>
      <c r="AR750" s="15"/>
      <c r="AS750" s="68"/>
      <c r="AT750" s="68"/>
      <c r="AU750" s="15"/>
      <c r="AV750" s="68"/>
      <c r="AW750" s="68"/>
      <c r="AX750" s="15"/>
      <c r="AY750" s="10"/>
      <c r="AZ750" s="2"/>
      <c r="BA750" s="2"/>
      <c r="BB750" s="2"/>
      <c r="BC750" s="2"/>
      <c r="BD750" s="2"/>
    </row>
    <row r="751" spans="1:56" ht="14.25" customHeight="1">
      <c r="A751" s="8"/>
      <c r="B751" s="12" t="s">
        <v>93</v>
      </c>
      <c r="C751" s="79"/>
      <c r="D751" s="79"/>
      <c r="E751" s="91"/>
      <c r="F751" s="118"/>
      <c r="G751" s="118"/>
      <c r="H751" s="90"/>
      <c r="I751" s="79"/>
      <c r="J751" s="79"/>
      <c r="K751" s="91"/>
      <c r="L751" s="118"/>
      <c r="M751" s="118"/>
      <c r="N751" s="90"/>
      <c r="O751" s="118"/>
      <c r="P751" s="118"/>
      <c r="Q751" s="90"/>
      <c r="R751" s="118"/>
      <c r="S751" s="118"/>
      <c r="T751" s="90"/>
      <c r="U751" s="86"/>
      <c r="V751" s="86"/>
      <c r="W751" s="91"/>
      <c r="X751" s="86"/>
      <c r="Y751" s="86"/>
      <c r="Z751" s="91"/>
      <c r="AA751" s="86"/>
      <c r="AB751" s="86"/>
      <c r="AC751" s="91"/>
      <c r="AD751" s="68"/>
      <c r="AE751" s="68"/>
      <c r="AF751" s="15"/>
      <c r="AG751" s="140"/>
      <c r="AH751" s="140"/>
      <c r="AI751" s="101"/>
      <c r="AJ751" s="68"/>
      <c r="AK751" s="68"/>
      <c r="AL751" s="15"/>
      <c r="AM751" s="101"/>
      <c r="AN751" s="101"/>
      <c r="AO751" s="101"/>
      <c r="AP751" s="68"/>
      <c r="AQ751" s="68"/>
      <c r="AR751" s="15"/>
      <c r="AS751" s="68"/>
      <c r="AT751" s="68"/>
      <c r="AU751" s="15"/>
      <c r="AV751" s="68"/>
      <c r="AW751" s="68"/>
      <c r="AX751" s="15"/>
      <c r="AY751" s="10"/>
      <c r="AZ751" s="2"/>
      <c r="BA751" s="2"/>
      <c r="BB751" s="2"/>
      <c r="BC751" s="2"/>
      <c r="BD751" s="2"/>
    </row>
    <row r="752" spans="1:56" ht="14.25" customHeight="1">
      <c r="A752" s="8"/>
      <c r="B752" s="12" t="s">
        <v>94</v>
      </c>
      <c r="C752" s="86"/>
      <c r="D752" s="86"/>
      <c r="E752" s="91"/>
      <c r="F752" s="118"/>
      <c r="G752" s="118"/>
      <c r="H752" s="90"/>
      <c r="I752" s="86"/>
      <c r="J752" s="86"/>
      <c r="K752" s="91"/>
      <c r="L752" s="118"/>
      <c r="M752" s="118"/>
      <c r="N752" s="90"/>
      <c r="O752" s="118"/>
      <c r="P752" s="118"/>
      <c r="Q752" s="90"/>
      <c r="R752" s="118"/>
      <c r="S752" s="118"/>
      <c r="T752" s="90"/>
      <c r="U752" s="86"/>
      <c r="V752" s="86"/>
      <c r="W752" s="91"/>
      <c r="X752" s="86"/>
      <c r="Y752" s="86"/>
      <c r="Z752" s="91"/>
      <c r="AA752" s="86"/>
      <c r="AB752" s="86"/>
      <c r="AC752" s="91"/>
      <c r="AD752" s="68"/>
      <c r="AE752" s="68"/>
      <c r="AF752" s="15"/>
      <c r="AG752" s="140"/>
      <c r="AH752" s="140"/>
      <c r="AI752" s="101"/>
      <c r="AJ752" s="68"/>
      <c r="AK752" s="68"/>
      <c r="AL752" s="15"/>
      <c r="AM752" s="101"/>
      <c r="AN752" s="101"/>
      <c r="AO752" s="101"/>
      <c r="AP752" s="68"/>
      <c r="AQ752" s="68"/>
      <c r="AR752" s="15"/>
      <c r="AS752" s="14"/>
      <c r="AT752" s="14"/>
      <c r="AU752" s="15"/>
      <c r="AV752" s="68"/>
      <c r="AW752" s="68"/>
      <c r="AX752" s="15"/>
      <c r="AY752" s="10"/>
      <c r="AZ752" s="2"/>
      <c r="BA752" s="2"/>
      <c r="BB752" s="2"/>
      <c r="BC752" s="2"/>
      <c r="BD752" s="2"/>
    </row>
    <row r="753" spans="1:56" ht="14.25" customHeight="1">
      <c r="A753" s="8"/>
      <c r="B753" s="12" t="s">
        <v>95</v>
      </c>
      <c r="C753" s="86"/>
      <c r="D753" s="86"/>
      <c r="E753" s="91"/>
      <c r="F753" s="118"/>
      <c r="G753" s="118"/>
      <c r="H753" s="90"/>
      <c r="I753" s="86"/>
      <c r="J753" s="86"/>
      <c r="K753" s="91"/>
      <c r="L753" s="118"/>
      <c r="M753" s="118"/>
      <c r="N753" s="90"/>
      <c r="O753" s="118"/>
      <c r="P753" s="118"/>
      <c r="Q753" s="90"/>
      <c r="R753" s="118"/>
      <c r="S753" s="118"/>
      <c r="T753" s="90"/>
      <c r="U753" s="86"/>
      <c r="V753" s="86"/>
      <c r="W753" s="91"/>
      <c r="X753" s="86"/>
      <c r="Y753" s="86"/>
      <c r="Z753" s="91"/>
      <c r="AA753" s="86"/>
      <c r="AB753" s="86"/>
      <c r="AC753" s="91"/>
      <c r="AD753" s="68"/>
      <c r="AE753" s="68"/>
      <c r="AF753" s="15"/>
      <c r="AG753" s="140"/>
      <c r="AH753" s="140"/>
      <c r="AI753" s="101"/>
      <c r="AJ753" s="68"/>
      <c r="AK753" s="68"/>
      <c r="AL753" s="15"/>
      <c r="AM753" s="101"/>
      <c r="AN753" s="101"/>
      <c r="AO753" s="101"/>
      <c r="AP753" s="68"/>
      <c r="AQ753" s="68"/>
      <c r="AR753" s="15"/>
      <c r="AS753" s="14"/>
      <c r="AT753" s="14"/>
      <c r="AU753" s="15"/>
      <c r="AV753" s="68"/>
      <c r="AW753" s="68"/>
      <c r="AX753" s="15"/>
      <c r="AY753" s="10"/>
      <c r="AZ753" s="2"/>
      <c r="BA753" s="2"/>
      <c r="BB753" s="2"/>
      <c r="BC753" s="2"/>
      <c r="BD753" s="2"/>
    </row>
    <row r="754" spans="1:56" ht="14.25" customHeight="1">
      <c r="A754" s="8"/>
      <c r="B754" s="12" t="s">
        <v>96</v>
      </c>
      <c r="C754" s="86"/>
      <c r="D754" s="86"/>
      <c r="E754" s="91"/>
      <c r="F754" s="118"/>
      <c r="G754" s="118"/>
      <c r="H754" s="90"/>
      <c r="I754" s="86"/>
      <c r="J754" s="86"/>
      <c r="K754" s="91"/>
      <c r="L754" s="118"/>
      <c r="M754" s="118"/>
      <c r="N754" s="90"/>
      <c r="O754" s="118"/>
      <c r="P754" s="118"/>
      <c r="Q754" s="90"/>
      <c r="R754" s="118"/>
      <c r="S754" s="118"/>
      <c r="T754" s="90"/>
      <c r="U754" s="86"/>
      <c r="V754" s="86"/>
      <c r="W754" s="91"/>
      <c r="X754" s="86"/>
      <c r="Y754" s="86"/>
      <c r="Z754" s="91"/>
      <c r="AA754" s="86"/>
      <c r="AB754" s="86"/>
      <c r="AC754" s="91"/>
      <c r="AD754" s="68"/>
      <c r="AE754" s="68"/>
      <c r="AF754" s="15"/>
      <c r="AG754" s="140"/>
      <c r="AH754" s="140"/>
      <c r="AI754" s="101"/>
      <c r="AJ754" s="68"/>
      <c r="AK754" s="68"/>
      <c r="AL754" s="15"/>
      <c r="AM754" s="101"/>
      <c r="AN754" s="101"/>
      <c r="AO754" s="101"/>
      <c r="AP754" s="68"/>
      <c r="AQ754" s="68"/>
      <c r="AR754" s="15"/>
      <c r="AS754" s="14"/>
      <c r="AT754" s="14"/>
      <c r="AU754" s="15"/>
      <c r="AV754" s="68"/>
      <c r="AW754" s="68"/>
      <c r="AX754" s="15"/>
      <c r="AY754" s="10"/>
      <c r="AZ754" s="2"/>
      <c r="BA754" s="2"/>
      <c r="BB754" s="2"/>
      <c r="BC754" s="2"/>
      <c r="BD754" s="2"/>
    </row>
    <row r="755" spans="1:56" ht="14.25" customHeight="1">
      <c r="A755" s="8"/>
      <c r="B755" s="43" t="s">
        <v>97</v>
      </c>
      <c r="C755" s="79"/>
      <c r="D755" s="79"/>
      <c r="E755" s="91"/>
      <c r="F755" s="164"/>
      <c r="G755" s="164"/>
      <c r="H755" s="90"/>
      <c r="I755" s="79"/>
      <c r="J755" s="79"/>
      <c r="K755" s="91"/>
      <c r="L755" s="118"/>
      <c r="M755" s="118"/>
      <c r="N755" s="90"/>
      <c r="O755" s="118"/>
      <c r="P755" s="118"/>
      <c r="Q755" s="90"/>
      <c r="R755" s="118"/>
      <c r="S755" s="118"/>
      <c r="T755" s="90"/>
      <c r="U755" s="86"/>
      <c r="V755" s="86"/>
      <c r="W755" s="91"/>
      <c r="X755" s="86"/>
      <c r="Y755" s="86"/>
      <c r="Z755" s="91"/>
      <c r="AA755" s="86"/>
      <c r="AB755" s="86"/>
      <c r="AC755" s="91"/>
      <c r="AD755" s="68"/>
      <c r="AE755" s="68"/>
      <c r="AF755" s="15"/>
      <c r="AG755" s="140"/>
      <c r="AH755" s="140"/>
      <c r="AI755" s="101"/>
      <c r="AJ755" s="14"/>
      <c r="AK755" s="14"/>
      <c r="AL755" s="15"/>
      <c r="AM755" s="101"/>
      <c r="AN755" s="101"/>
      <c r="AO755" s="101"/>
      <c r="AP755" s="14"/>
      <c r="AQ755" s="14"/>
      <c r="AR755" s="15"/>
      <c r="AS755" s="14"/>
      <c r="AT755" s="14"/>
      <c r="AU755" s="15"/>
      <c r="AV755" s="68"/>
      <c r="AW755" s="68"/>
      <c r="AX755" s="15"/>
      <c r="AY755" s="10"/>
      <c r="AZ755" s="2"/>
      <c r="BA755" s="2"/>
      <c r="BB755" s="2"/>
      <c r="BC755" s="2"/>
      <c r="BD755" s="2"/>
    </row>
    <row r="756" spans="1:56" ht="14.25" customHeight="1">
      <c r="A756" s="8"/>
      <c r="B756" s="43" t="s">
        <v>98</v>
      </c>
      <c r="C756" s="79"/>
      <c r="D756" s="79"/>
      <c r="E756" s="91"/>
      <c r="F756" s="164"/>
      <c r="G756" s="164"/>
      <c r="H756" s="90"/>
      <c r="I756" s="79"/>
      <c r="J756" s="79"/>
      <c r="K756" s="91"/>
      <c r="L756" s="118"/>
      <c r="M756" s="118"/>
      <c r="N756" s="90"/>
      <c r="O756" s="118"/>
      <c r="P756" s="118"/>
      <c r="Q756" s="90"/>
      <c r="R756" s="118"/>
      <c r="S756" s="118"/>
      <c r="T756" s="90"/>
      <c r="U756" s="86"/>
      <c r="V756" s="86"/>
      <c r="W756" s="91"/>
      <c r="X756" s="86"/>
      <c r="Y756" s="86"/>
      <c r="Z756" s="91"/>
      <c r="AA756" s="86"/>
      <c r="AB756" s="86"/>
      <c r="AC756" s="91"/>
      <c r="AD756" s="68"/>
      <c r="AE756" s="68"/>
      <c r="AF756" s="15"/>
      <c r="AG756" s="140"/>
      <c r="AH756" s="140"/>
      <c r="AI756" s="101"/>
      <c r="AJ756" s="14"/>
      <c r="AK756" s="14"/>
      <c r="AL756" s="15"/>
      <c r="AM756" s="101"/>
      <c r="AN756" s="101"/>
      <c r="AO756" s="101"/>
      <c r="AP756" s="14"/>
      <c r="AQ756" s="14"/>
      <c r="AR756" s="15"/>
      <c r="AS756" s="14"/>
      <c r="AT756" s="14"/>
      <c r="AU756" s="15"/>
      <c r="AV756" s="68"/>
      <c r="AW756" s="68"/>
      <c r="AX756" s="15"/>
      <c r="AY756" s="10"/>
      <c r="AZ756" s="2"/>
      <c r="BA756" s="2"/>
      <c r="BB756" s="2"/>
      <c r="BC756" s="2"/>
      <c r="BD756" s="2"/>
    </row>
    <row r="757" spans="1:56" ht="14.25" customHeight="1">
      <c r="A757" s="8"/>
      <c r="B757" s="43" t="s">
        <v>99</v>
      </c>
      <c r="C757" s="79"/>
      <c r="D757" s="79"/>
      <c r="E757" s="91"/>
      <c r="F757" s="164"/>
      <c r="G757" s="164"/>
      <c r="H757" s="90"/>
      <c r="I757" s="79"/>
      <c r="J757" s="79"/>
      <c r="K757" s="91"/>
      <c r="L757" s="118"/>
      <c r="M757" s="118"/>
      <c r="N757" s="90"/>
      <c r="O757" s="118"/>
      <c r="P757" s="118"/>
      <c r="Q757" s="90"/>
      <c r="R757" s="118"/>
      <c r="S757" s="118"/>
      <c r="T757" s="90"/>
      <c r="U757" s="86"/>
      <c r="V757" s="86"/>
      <c r="W757" s="91"/>
      <c r="X757" s="86"/>
      <c r="Y757" s="86"/>
      <c r="Z757" s="91"/>
      <c r="AA757" s="86"/>
      <c r="AB757" s="86"/>
      <c r="AC757" s="91"/>
      <c r="AD757" s="68"/>
      <c r="AE757" s="68"/>
      <c r="AF757" s="15"/>
      <c r="AG757" s="140"/>
      <c r="AH757" s="140"/>
      <c r="AI757" s="101"/>
      <c r="AJ757" s="14"/>
      <c r="AK757" s="14"/>
      <c r="AL757" s="15"/>
      <c r="AM757" s="101"/>
      <c r="AN757" s="101"/>
      <c r="AO757" s="101"/>
      <c r="AP757" s="14"/>
      <c r="AQ757" s="14"/>
      <c r="AR757" s="15"/>
      <c r="AS757" s="14"/>
      <c r="AT757" s="14"/>
      <c r="AU757" s="15"/>
      <c r="AV757" s="68"/>
      <c r="AW757" s="68"/>
      <c r="AX757" s="15"/>
      <c r="AY757" s="10"/>
      <c r="AZ757" s="2"/>
      <c r="BA757" s="2"/>
      <c r="BB757" s="2"/>
      <c r="BC757" s="2"/>
      <c r="BD757" s="2"/>
    </row>
    <row r="758" spans="1:56" ht="14.25" customHeight="1">
      <c r="A758" s="8"/>
      <c r="B758" s="45" t="s">
        <v>100</v>
      </c>
      <c r="C758" s="79"/>
      <c r="D758" s="79"/>
      <c r="E758" s="91"/>
      <c r="F758" s="164"/>
      <c r="G758" s="164"/>
      <c r="H758" s="90"/>
      <c r="I758" s="79"/>
      <c r="J758" s="79"/>
      <c r="K758" s="91"/>
      <c r="L758" s="118"/>
      <c r="M758" s="118"/>
      <c r="N758" s="90"/>
      <c r="O758" s="118"/>
      <c r="P758" s="118"/>
      <c r="Q758" s="90"/>
      <c r="R758" s="118"/>
      <c r="S758" s="118"/>
      <c r="T758" s="90"/>
      <c r="U758" s="86"/>
      <c r="V758" s="86"/>
      <c r="W758" s="91"/>
      <c r="X758" s="86"/>
      <c r="Y758" s="86"/>
      <c r="Z758" s="91"/>
      <c r="AA758" s="86"/>
      <c r="AB758" s="86"/>
      <c r="AC758" s="91"/>
      <c r="AD758" s="68"/>
      <c r="AE758" s="68"/>
      <c r="AF758" s="15"/>
      <c r="AG758" s="140"/>
      <c r="AH758" s="140"/>
      <c r="AI758" s="101"/>
      <c r="AJ758" s="14"/>
      <c r="AK758" s="14"/>
      <c r="AL758" s="15"/>
      <c r="AM758" s="101"/>
      <c r="AN758" s="101"/>
      <c r="AO758" s="101"/>
      <c r="AP758" s="14"/>
      <c r="AQ758" s="14"/>
      <c r="AR758" s="15"/>
      <c r="AS758" s="14"/>
      <c r="AT758" s="14"/>
      <c r="AU758" s="15"/>
      <c r="AV758" s="68"/>
      <c r="AW758" s="68"/>
      <c r="AX758" s="15"/>
      <c r="AY758" s="10"/>
      <c r="AZ758" s="2"/>
      <c r="BA758" s="2"/>
      <c r="BB758" s="2"/>
      <c r="BC758" s="2"/>
      <c r="BD758" s="2"/>
    </row>
    <row r="759" spans="1:56" ht="14.25" customHeight="1">
      <c r="A759" s="8"/>
      <c r="B759" s="45" t="s">
        <v>101</v>
      </c>
      <c r="C759" s="79"/>
      <c r="D759" s="79"/>
      <c r="E759" s="91"/>
      <c r="F759" s="164"/>
      <c r="G759" s="164"/>
      <c r="H759" s="90"/>
      <c r="I759" s="79"/>
      <c r="J759" s="79"/>
      <c r="K759" s="91"/>
      <c r="L759" s="118"/>
      <c r="M759" s="118"/>
      <c r="N759" s="90"/>
      <c r="O759" s="118"/>
      <c r="P759" s="118"/>
      <c r="Q759" s="90"/>
      <c r="R759" s="118"/>
      <c r="S759" s="118"/>
      <c r="T759" s="90"/>
      <c r="U759" s="86"/>
      <c r="V759" s="86"/>
      <c r="W759" s="91"/>
      <c r="X759" s="86"/>
      <c r="Y759" s="86"/>
      <c r="Z759" s="91"/>
      <c r="AA759" s="86"/>
      <c r="AB759" s="86"/>
      <c r="AC759" s="91"/>
      <c r="AD759" s="68"/>
      <c r="AE759" s="68"/>
      <c r="AF759" s="15"/>
      <c r="AG759" s="140"/>
      <c r="AH759" s="140"/>
      <c r="AI759" s="101"/>
      <c r="AJ759" s="14"/>
      <c r="AK759" s="14"/>
      <c r="AL759" s="15"/>
      <c r="AM759" s="101"/>
      <c r="AN759" s="101"/>
      <c r="AO759" s="101"/>
      <c r="AP759" s="14"/>
      <c r="AQ759" s="14"/>
      <c r="AR759" s="15"/>
      <c r="AS759" s="14"/>
      <c r="AT759" s="14"/>
      <c r="AU759" s="15"/>
      <c r="AV759" s="68"/>
      <c r="AW759" s="68"/>
      <c r="AX759" s="15"/>
      <c r="AY759" s="10"/>
      <c r="AZ759" s="2"/>
      <c r="BA759" s="2"/>
      <c r="BB759" s="2"/>
      <c r="BC759" s="2"/>
      <c r="BD759" s="2"/>
    </row>
    <row r="760" spans="1:56" ht="14.25" customHeight="1">
      <c r="A760" s="2"/>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c r="AE760" s="23"/>
      <c r="AF760" s="23"/>
      <c r="AG760" s="23"/>
      <c r="AH760" s="23"/>
      <c r="AI760" s="23"/>
      <c r="AJ760" s="23"/>
      <c r="AK760" s="23"/>
      <c r="AL760" s="23"/>
      <c r="AM760" s="23"/>
      <c r="AN760" s="23"/>
      <c r="AO760" s="23"/>
      <c r="AP760" s="23"/>
      <c r="AQ760" s="23"/>
      <c r="AR760" s="23"/>
      <c r="AS760" s="23"/>
      <c r="AT760" s="23"/>
      <c r="AU760" s="23"/>
      <c r="AV760" s="23"/>
      <c r="AW760" s="23"/>
      <c r="AX760" s="23"/>
      <c r="AY760" s="2"/>
      <c r="AZ760" s="2"/>
      <c r="BA760" s="2"/>
      <c r="BB760" s="2"/>
      <c r="BC760" s="2"/>
      <c r="BD760" s="2"/>
    </row>
    <row r="761" spans="1:56" ht="14.25" customHeight="1">
      <c r="A761" s="2"/>
      <c r="B761" s="2"/>
      <c r="C761" s="2"/>
      <c r="D761" s="2"/>
      <c r="E761" s="2"/>
      <c r="F761" s="24"/>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row>
    <row r="762" spans="1:56" ht="14.25" customHeight="1">
      <c r="A762" s="2"/>
      <c r="B762" s="25"/>
      <c r="C762" s="25"/>
      <c r="D762" s="25"/>
      <c r="E762" s="25"/>
      <c r="F762" s="25"/>
      <c r="G762" s="25"/>
      <c r="H762" s="25"/>
      <c r="I762" s="25"/>
      <c r="J762" s="25"/>
      <c r="K762" s="25"/>
      <c r="L762" s="25"/>
      <c r="M762" s="25"/>
      <c r="N762" s="25"/>
      <c r="O762" s="25"/>
      <c r="P762" s="25"/>
      <c r="Q762" s="25"/>
      <c r="R762" s="25"/>
      <c r="S762" s="25"/>
      <c r="T762" s="25"/>
      <c r="U762" s="25"/>
      <c r="V762" s="25"/>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row>
    <row r="763" spans="1:56" ht="14.25" customHeight="1">
      <c r="A763" s="26"/>
      <c r="B763" s="27" t="s">
        <v>36</v>
      </c>
      <c r="C763" s="28"/>
      <c r="D763" s="28"/>
      <c r="E763" s="28"/>
      <c r="F763" s="28"/>
      <c r="G763" s="28"/>
      <c r="H763" s="28"/>
      <c r="I763" s="28"/>
      <c r="J763" s="28"/>
      <c r="K763" s="28"/>
      <c r="L763" s="28"/>
      <c r="M763" s="29" t="s">
        <v>17</v>
      </c>
      <c r="N763" s="30"/>
      <c r="O763" s="30"/>
      <c r="P763" s="30"/>
      <c r="Q763" s="30"/>
      <c r="R763" s="30"/>
      <c r="S763" s="30"/>
      <c r="T763" s="30"/>
      <c r="U763" s="30"/>
      <c r="V763" s="30"/>
      <c r="W763" s="31"/>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row>
    <row r="764" spans="1:56" ht="15" customHeight="1">
      <c r="A764" s="8"/>
      <c r="B764" s="511" t="s">
        <v>112</v>
      </c>
      <c r="C764" s="511" t="s">
        <v>38</v>
      </c>
      <c r="D764" s="511" t="s">
        <v>18</v>
      </c>
      <c r="E764" s="32" t="s">
        <v>20</v>
      </c>
      <c r="F764" s="502" t="s">
        <v>21</v>
      </c>
      <c r="G764" s="503"/>
      <c r="H764" s="505"/>
      <c r="I764" s="502" t="s">
        <v>25</v>
      </c>
      <c r="J764" s="503"/>
      <c r="K764" s="505"/>
      <c r="L764" s="511" t="s">
        <v>39</v>
      </c>
      <c r="M764" s="511" t="s">
        <v>38</v>
      </c>
      <c r="N764" s="511" t="s">
        <v>18</v>
      </c>
      <c r="O764" s="32" t="s">
        <v>20</v>
      </c>
      <c r="P764" s="502" t="s">
        <v>21</v>
      </c>
      <c r="Q764" s="503"/>
      <c r="R764" s="505"/>
      <c r="S764" s="502" t="s">
        <v>25</v>
      </c>
      <c r="T764" s="503"/>
      <c r="U764" s="505"/>
      <c r="V764" s="511" t="s">
        <v>39</v>
      </c>
      <c r="W764" s="10"/>
      <c r="X764" s="2"/>
      <c r="Y764" s="2"/>
      <c r="Z764" s="24"/>
      <c r="AA764" s="24"/>
      <c r="AB764" s="24"/>
      <c r="AC764" s="24"/>
      <c r="AD764" s="24"/>
      <c r="AE764" s="24"/>
      <c r="AF764" s="24"/>
      <c r="AG764" s="24"/>
      <c r="AH764" s="24"/>
      <c r="AI764" s="24"/>
      <c r="AJ764" s="24"/>
      <c r="AK764" s="24"/>
      <c r="AL764" s="24"/>
      <c r="AM764" s="24"/>
      <c r="AN764" s="24"/>
      <c r="AO764" s="24"/>
      <c r="AP764" s="24"/>
      <c r="AQ764" s="2"/>
      <c r="AR764" s="2"/>
      <c r="AS764" s="2"/>
      <c r="AT764" s="2"/>
      <c r="AU764" s="2"/>
      <c r="AV764" s="2"/>
      <c r="AW764" s="2"/>
      <c r="AX764" s="2"/>
      <c r="AY764" s="2"/>
      <c r="AZ764" s="2"/>
      <c r="BA764" s="2"/>
      <c r="BB764" s="2"/>
      <c r="BC764" s="2"/>
      <c r="BD764" s="2"/>
    </row>
    <row r="765" spans="1:56" ht="30" customHeight="1">
      <c r="A765" s="8"/>
      <c r="B765" s="521"/>
      <c r="C765" s="521"/>
      <c r="D765" s="521"/>
      <c r="E765" s="32" t="s">
        <v>11</v>
      </c>
      <c r="F765" s="34">
        <v>44927</v>
      </c>
      <c r="G765" s="34">
        <v>44958</v>
      </c>
      <c r="H765" s="32" t="s">
        <v>11</v>
      </c>
      <c r="I765" s="34">
        <v>44927</v>
      </c>
      <c r="J765" s="34">
        <v>44958</v>
      </c>
      <c r="K765" s="32" t="s">
        <v>11</v>
      </c>
      <c r="L765" s="521"/>
      <c r="M765" s="521"/>
      <c r="N765" s="521"/>
      <c r="O765" s="32" t="s">
        <v>11</v>
      </c>
      <c r="P765" s="34">
        <v>44927</v>
      </c>
      <c r="Q765" s="34">
        <v>44958</v>
      </c>
      <c r="R765" s="32" t="s">
        <v>11</v>
      </c>
      <c r="S765" s="34">
        <v>44927</v>
      </c>
      <c r="T765" s="34">
        <v>44958</v>
      </c>
      <c r="U765" s="32" t="s">
        <v>11</v>
      </c>
      <c r="V765" s="521"/>
      <c r="W765" s="10"/>
      <c r="X765" s="2"/>
      <c r="Y765" s="2"/>
      <c r="Z765" s="24"/>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row>
    <row r="766" spans="1:56" ht="14.25" customHeight="1">
      <c r="A766" s="8"/>
      <c r="B766" s="12" t="s">
        <v>67</v>
      </c>
      <c r="C766" s="101"/>
      <c r="D766" s="101"/>
      <c r="E766" s="101"/>
      <c r="F766" s="101"/>
      <c r="G766" s="101"/>
      <c r="H766" s="101"/>
      <c r="I766" s="101"/>
      <c r="J766" s="101"/>
      <c r="K766" s="101"/>
      <c r="L766" s="101"/>
      <c r="M766" s="15"/>
      <c r="N766" s="15"/>
      <c r="O766" s="15"/>
      <c r="P766" s="15"/>
      <c r="Q766" s="15"/>
      <c r="R766" s="15"/>
      <c r="S766" s="15"/>
      <c r="T766" s="15"/>
      <c r="U766" s="15"/>
      <c r="V766" s="15"/>
      <c r="W766" s="10"/>
      <c r="X766" s="24"/>
      <c r="Y766" s="24"/>
      <c r="Z766" s="24"/>
      <c r="AA766" s="24"/>
      <c r="AB766" s="24"/>
      <c r="AC766" s="24"/>
      <c r="AD766" s="24"/>
      <c r="AE766" s="24"/>
      <c r="AF766" s="24"/>
      <c r="AG766" s="2"/>
      <c r="AH766" s="2"/>
      <c r="AI766" s="2"/>
      <c r="AJ766" s="165">
        <v>2229</v>
      </c>
      <c r="AK766" s="165">
        <v>2835</v>
      </c>
      <c r="AL766" s="20">
        <f>IFERROR(AJ766/AK766,"-")</f>
        <v>0.78624338624338619</v>
      </c>
      <c r="AM766" s="2"/>
      <c r="AN766" s="2"/>
      <c r="AO766" s="2"/>
      <c r="AP766" s="2"/>
      <c r="AQ766" s="2"/>
      <c r="AR766" s="2"/>
      <c r="AS766" s="2"/>
      <c r="AT766" s="2"/>
      <c r="AU766" s="2"/>
      <c r="AV766" s="2"/>
      <c r="AW766" s="2"/>
      <c r="AX766" s="2"/>
      <c r="AY766" s="2"/>
      <c r="AZ766" s="2"/>
      <c r="BA766" s="2"/>
      <c r="BB766" s="2"/>
      <c r="BC766" s="2"/>
      <c r="BD766" s="2"/>
    </row>
    <row r="767" spans="1:56" ht="14.25" customHeight="1">
      <c r="A767" s="8"/>
      <c r="B767" s="12" t="s">
        <v>119</v>
      </c>
      <c r="C767" s="101"/>
      <c r="D767" s="101"/>
      <c r="E767" s="101"/>
      <c r="F767" s="101"/>
      <c r="G767" s="101"/>
      <c r="H767" s="101"/>
      <c r="I767" s="101"/>
      <c r="J767" s="101"/>
      <c r="K767" s="101"/>
      <c r="L767" s="101"/>
      <c r="M767" s="15"/>
      <c r="N767" s="15"/>
      <c r="O767" s="15"/>
      <c r="P767" s="15"/>
      <c r="Q767" s="15"/>
      <c r="R767" s="15"/>
      <c r="S767" s="15"/>
      <c r="T767" s="15"/>
      <c r="U767" s="15"/>
      <c r="V767" s="15"/>
      <c r="W767" s="10"/>
      <c r="X767" s="24"/>
      <c r="Y767" s="2"/>
      <c r="Z767" s="24"/>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row>
    <row r="768" spans="1:56" ht="14.25" customHeight="1">
      <c r="A768" s="8"/>
      <c r="B768" s="12" t="s">
        <v>120</v>
      </c>
      <c r="C768" s="101"/>
      <c r="D768" s="101"/>
      <c r="E768" s="101"/>
      <c r="F768" s="101"/>
      <c r="G768" s="101"/>
      <c r="H768" s="101"/>
      <c r="I768" s="101"/>
      <c r="J768" s="101"/>
      <c r="K768" s="101"/>
      <c r="L768" s="101"/>
      <c r="M768" s="15"/>
      <c r="N768" s="15"/>
      <c r="O768" s="15"/>
      <c r="P768" s="15"/>
      <c r="Q768" s="15"/>
      <c r="R768" s="15"/>
      <c r="S768" s="15"/>
      <c r="T768" s="15"/>
      <c r="U768" s="15"/>
      <c r="V768" s="15"/>
      <c r="W768" s="10"/>
      <c r="X768" s="24"/>
      <c r="Y768" s="2"/>
      <c r="Z768" s="24"/>
      <c r="AA768" s="2"/>
      <c r="AB768" s="2"/>
      <c r="AC768" s="2"/>
      <c r="AD768" s="2"/>
      <c r="AE768" s="2"/>
      <c r="AF768" s="2"/>
      <c r="AG768" s="2"/>
      <c r="AH768" s="2"/>
      <c r="AI768" s="2"/>
      <c r="AJ768" s="165">
        <v>347</v>
      </c>
      <c r="AK768" s="165">
        <v>505</v>
      </c>
      <c r="AL768" s="20">
        <f>IFERROR(AJ768/AK768,"-")</f>
        <v>0.68712871287128718</v>
      </c>
      <c r="AM768" s="2"/>
      <c r="AN768" s="2"/>
      <c r="AO768" s="2"/>
      <c r="AP768" s="2"/>
      <c r="AQ768" s="2"/>
      <c r="AR768" s="2"/>
      <c r="AS768" s="2"/>
      <c r="AT768" s="2"/>
      <c r="AU768" s="2"/>
      <c r="AV768" s="2"/>
      <c r="AW768" s="2"/>
      <c r="AX768" s="2"/>
      <c r="AY768" s="2"/>
      <c r="AZ768" s="2"/>
      <c r="BA768" s="2"/>
      <c r="BB768" s="2"/>
      <c r="BC768" s="2"/>
      <c r="BD768" s="2"/>
    </row>
    <row r="769" spans="1:56" ht="14.25" customHeight="1">
      <c r="A769" s="8"/>
      <c r="B769" s="12" t="s">
        <v>121</v>
      </c>
      <c r="C769" s="101"/>
      <c r="D769" s="101"/>
      <c r="E769" s="101"/>
      <c r="F769" s="101"/>
      <c r="G769" s="101"/>
      <c r="H769" s="101"/>
      <c r="I769" s="101"/>
      <c r="J769" s="101"/>
      <c r="K769" s="101"/>
      <c r="L769" s="101"/>
      <c r="M769" s="15"/>
      <c r="N769" s="15"/>
      <c r="O769" s="15"/>
      <c r="P769" s="15"/>
      <c r="Q769" s="15"/>
      <c r="R769" s="15"/>
      <c r="S769" s="15"/>
      <c r="T769" s="15"/>
      <c r="U769" s="15"/>
      <c r="V769" s="15"/>
      <c r="W769" s="10"/>
      <c r="X769" s="24"/>
      <c r="Y769" s="2"/>
      <c r="Z769" s="24"/>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row>
    <row r="770" spans="1:56" ht="14.25" customHeight="1">
      <c r="A770" s="8"/>
      <c r="B770" s="12" t="s">
        <v>122</v>
      </c>
      <c r="C770" s="101"/>
      <c r="D770" s="101"/>
      <c r="E770" s="101"/>
      <c r="F770" s="101"/>
      <c r="G770" s="101"/>
      <c r="H770" s="101"/>
      <c r="I770" s="101"/>
      <c r="J770" s="101"/>
      <c r="K770" s="101"/>
      <c r="L770" s="101"/>
      <c r="M770" s="15"/>
      <c r="N770" s="15"/>
      <c r="O770" s="15"/>
      <c r="P770" s="15"/>
      <c r="Q770" s="15"/>
      <c r="R770" s="15"/>
      <c r="S770" s="15"/>
      <c r="T770" s="15"/>
      <c r="U770" s="15"/>
      <c r="V770" s="15"/>
      <c r="W770" s="10"/>
      <c r="X770" s="24"/>
      <c r="Y770" s="2"/>
      <c r="Z770" s="24"/>
      <c r="AA770" s="2"/>
      <c r="AB770" s="2"/>
      <c r="AC770" s="2"/>
      <c r="AD770" s="2"/>
      <c r="AE770" s="2"/>
      <c r="AF770" s="2"/>
      <c r="AG770" s="2"/>
      <c r="AH770" s="2"/>
      <c r="AI770" s="2"/>
      <c r="AJ770" s="165">
        <v>322</v>
      </c>
      <c r="AK770" s="165">
        <v>412</v>
      </c>
      <c r="AL770" s="20">
        <f>IFERROR(AJ770/AK770,"-")</f>
        <v>0.78155339805825241</v>
      </c>
      <c r="AM770" s="165">
        <v>4264</v>
      </c>
      <c r="AN770" s="2"/>
      <c r="AO770" s="24"/>
      <c r="AP770" s="2"/>
      <c r="AQ770" s="2"/>
      <c r="AR770" s="2"/>
      <c r="AS770" s="2"/>
      <c r="AT770" s="2"/>
      <c r="AU770" s="2"/>
      <c r="AV770" s="2"/>
      <c r="AW770" s="2"/>
      <c r="AX770" s="2"/>
      <c r="AY770" s="2"/>
      <c r="AZ770" s="2"/>
      <c r="BA770" s="2"/>
      <c r="BB770" s="2"/>
      <c r="BC770" s="2"/>
      <c r="BD770" s="2"/>
    </row>
    <row r="771" spans="1:56" ht="14.25" customHeight="1">
      <c r="A771" s="8"/>
      <c r="B771" s="12" t="s">
        <v>123</v>
      </c>
      <c r="C771" s="101"/>
      <c r="D771" s="101"/>
      <c r="E771" s="101"/>
      <c r="F771" s="101"/>
      <c r="G771" s="101"/>
      <c r="H771" s="101"/>
      <c r="I771" s="101"/>
      <c r="J771" s="101"/>
      <c r="K771" s="101"/>
      <c r="L771" s="101"/>
      <c r="M771" s="15"/>
      <c r="N771" s="15"/>
      <c r="O771" s="15"/>
      <c r="P771" s="15"/>
      <c r="Q771" s="15"/>
      <c r="R771" s="15"/>
      <c r="S771" s="15"/>
      <c r="T771" s="15"/>
      <c r="U771" s="15"/>
      <c r="V771" s="15"/>
      <c r="W771" s="10"/>
      <c r="X771" s="24"/>
      <c r="Y771" s="2"/>
      <c r="Z771" s="24"/>
      <c r="AA771" s="2"/>
      <c r="AB771" s="2"/>
      <c r="AC771" s="2"/>
      <c r="AD771" s="2"/>
      <c r="AE771" s="2"/>
      <c r="AF771" s="2"/>
      <c r="AG771" s="2"/>
      <c r="AH771" s="2"/>
      <c r="AI771" s="2"/>
      <c r="AJ771" s="165">
        <v>226</v>
      </c>
      <c r="AK771" s="165">
        <v>278</v>
      </c>
      <c r="AL771" s="20">
        <f>IFERROR(AJ771/AK771,"-")</f>
        <v>0.81294964028776984</v>
      </c>
      <c r="AM771" s="2"/>
      <c r="AN771" s="2"/>
      <c r="AO771" s="2"/>
      <c r="AP771" s="2"/>
      <c r="AQ771" s="2"/>
      <c r="AR771" s="2"/>
      <c r="AS771" s="2"/>
      <c r="AT771" s="2"/>
      <c r="AU771" s="2"/>
      <c r="AV771" s="2"/>
      <c r="AW771" s="2"/>
      <c r="AX771" s="2"/>
      <c r="AY771" s="2"/>
      <c r="AZ771" s="2"/>
      <c r="BA771" s="2"/>
      <c r="BB771" s="2"/>
      <c r="BC771" s="2"/>
      <c r="BD771" s="2"/>
    </row>
    <row r="772" spans="1:56" ht="14.25" customHeight="1">
      <c r="A772" s="8"/>
      <c r="B772" s="12" t="s">
        <v>124</v>
      </c>
      <c r="C772" s="101"/>
      <c r="D772" s="101"/>
      <c r="E772" s="101"/>
      <c r="F772" s="101"/>
      <c r="G772" s="101"/>
      <c r="H772" s="101"/>
      <c r="I772" s="101"/>
      <c r="J772" s="101"/>
      <c r="K772" s="101"/>
      <c r="L772" s="101"/>
      <c r="M772" s="15"/>
      <c r="N772" s="15"/>
      <c r="O772" s="15"/>
      <c r="P772" s="15"/>
      <c r="Q772" s="15"/>
      <c r="R772" s="15"/>
      <c r="S772" s="15"/>
      <c r="T772" s="15"/>
      <c r="U772" s="15"/>
      <c r="V772" s="15"/>
      <c r="W772" s="10"/>
      <c r="X772" s="24"/>
      <c r="Y772" s="2"/>
      <c r="Z772" s="24"/>
      <c r="AA772" s="2"/>
      <c r="AB772" s="2"/>
      <c r="AC772" s="2"/>
      <c r="AD772" s="2"/>
      <c r="AE772" s="2"/>
      <c r="AF772" s="2"/>
      <c r="AG772" s="2"/>
      <c r="AH772" s="2"/>
      <c r="AI772" s="2"/>
      <c r="AJ772" s="165">
        <v>543</v>
      </c>
      <c r="AK772" s="165">
        <v>779</v>
      </c>
      <c r="AL772" s="20">
        <f>IFERROR(AJ772/AK772,"-")</f>
        <v>0.69704749679075739</v>
      </c>
      <c r="AM772" s="2"/>
      <c r="AN772" s="2"/>
      <c r="AO772" s="2"/>
      <c r="AP772" s="2"/>
      <c r="AQ772" s="2"/>
      <c r="AR772" s="2"/>
      <c r="AS772" s="2"/>
      <c r="AT772" s="2"/>
      <c r="AU772" s="2"/>
      <c r="AV772" s="2"/>
      <c r="AW772" s="2"/>
      <c r="AX772" s="2"/>
      <c r="AY772" s="2"/>
      <c r="AZ772" s="2"/>
      <c r="BA772" s="2"/>
      <c r="BB772" s="2"/>
      <c r="BC772" s="2"/>
      <c r="BD772" s="2"/>
    </row>
    <row r="773" spans="1:56" ht="14.25" customHeight="1">
      <c r="A773" s="8"/>
      <c r="B773" s="12" t="s">
        <v>125</v>
      </c>
      <c r="C773" s="101"/>
      <c r="D773" s="101"/>
      <c r="E773" s="101"/>
      <c r="F773" s="101"/>
      <c r="G773" s="101"/>
      <c r="H773" s="101"/>
      <c r="I773" s="101"/>
      <c r="J773" s="101"/>
      <c r="K773" s="101"/>
      <c r="L773" s="101"/>
      <c r="M773" s="15"/>
      <c r="N773" s="15"/>
      <c r="O773" s="15"/>
      <c r="P773" s="15"/>
      <c r="Q773" s="15"/>
      <c r="R773" s="15"/>
      <c r="S773" s="15"/>
      <c r="T773" s="15"/>
      <c r="U773" s="15"/>
      <c r="V773" s="15"/>
      <c r="W773" s="10"/>
      <c r="X773" s="24"/>
      <c r="Y773" s="2"/>
      <c r="Z773" s="24"/>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row>
    <row r="774" spans="1:56" ht="14.25" customHeight="1">
      <c r="A774" s="8"/>
      <c r="B774" s="12" t="s">
        <v>126</v>
      </c>
      <c r="C774" s="101"/>
      <c r="D774" s="101"/>
      <c r="E774" s="101"/>
      <c r="F774" s="101"/>
      <c r="G774" s="101"/>
      <c r="H774" s="101"/>
      <c r="I774" s="101"/>
      <c r="J774" s="101"/>
      <c r="K774" s="101"/>
      <c r="L774" s="101"/>
      <c r="M774" s="15"/>
      <c r="N774" s="15"/>
      <c r="O774" s="15"/>
      <c r="P774" s="15"/>
      <c r="Q774" s="15"/>
      <c r="R774" s="15"/>
      <c r="S774" s="15"/>
      <c r="T774" s="15"/>
      <c r="U774" s="15"/>
      <c r="V774" s="15"/>
      <c r="W774" s="10"/>
      <c r="X774" s="24"/>
      <c r="Y774" s="2"/>
      <c r="Z774" s="24"/>
      <c r="AA774" s="2"/>
      <c r="AB774" s="2"/>
      <c r="AC774" s="2"/>
      <c r="AD774" s="2"/>
      <c r="AE774" s="2"/>
      <c r="AF774" s="2"/>
      <c r="AG774" s="2"/>
      <c r="AH774" s="2"/>
      <c r="AI774" s="2"/>
      <c r="AJ774" s="165">
        <v>687</v>
      </c>
      <c r="AK774" s="165">
        <v>994</v>
      </c>
      <c r="AL774" s="20">
        <f>IFERROR(AJ774/AK774,"-")</f>
        <v>0.69114688128772639</v>
      </c>
      <c r="AM774" s="2"/>
      <c r="AN774" s="2"/>
      <c r="AO774" s="2"/>
      <c r="AP774" s="2"/>
      <c r="AQ774" s="2"/>
      <c r="AR774" s="2"/>
      <c r="AS774" s="2"/>
      <c r="AT774" s="2"/>
      <c r="AU774" s="2"/>
      <c r="AV774" s="2"/>
      <c r="AW774" s="2"/>
      <c r="AX774" s="2"/>
      <c r="AY774" s="2"/>
      <c r="AZ774" s="2"/>
      <c r="BA774" s="2"/>
      <c r="BB774" s="2"/>
      <c r="BC774" s="2"/>
      <c r="BD774" s="2"/>
    </row>
    <row r="775" spans="1:56" ht="14.25" customHeight="1">
      <c r="A775" s="8"/>
      <c r="B775" s="12" t="s">
        <v>127</v>
      </c>
      <c r="C775" s="101"/>
      <c r="D775" s="101"/>
      <c r="E775" s="101"/>
      <c r="F775" s="101"/>
      <c r="G775" s="101"/>
      <c r="H775" s="101"/>
      <c r="I775" s="101"/>
      <c r="J775" s="101"/>
      <c r="K775" s="101"/>
      <c r="L775" s="101"/>
      <c r="M775" s="15"/>
      <c r="N775" s="15"/>
      <c r="O775" s="15"/>
      <c r="P775" s="15"/>
      <c r="Q775" s="15"/>
      <c r="R775" s="15"/>
      <c r="S775" s="15"/>
      <c r="T775" s="15"/>
      <c r="U775" s="15"/>
      <c r="V775" s="15"/>
      <c r="W775" s="10"/>
      <c r="X775" s="24"/>
      <c r="Y775" s="2"/>
      <c r="Z775" s="24"/>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row>
    <row r="776" spans="1:56" ht="14.25" customHeight="1">
      <c r="A776" s="8"/>
      <c r="B776" s="45" t="s">
        <v>128</v>
      </c>
      <c r="C776" s="101"/>
      <c r="D776" s="101"/>
      <c r="E776" s="101"/>
      <c r="F776" s="101"/>
      <c r="G776" s="101"/>
      <c r="H776" s="101"/>
      <c r="I776" s="101"/>
      <c r="J776" s="101"/>
      <c r="K776" s="101"/>
      <c r="L776" s="101"/>
      <c r="M776" s="15"/>
      <c r="N776" s="15"/>
      <c r="O776" s="15"/>
      <c r="P776" s="15"/>
      <c r="Q776" s="15"/>
      <c r="R776" s="15"/>
      <c r="S776" s="15"/>
      <c r="T776" s="15"/>
      <c r="U776" s="15"/>
      <c r="V776" s="15"/>
      <c r="W776" s="10"/>
      <c r="X776" s="24"/>
      <c r="Y776" s="2"/>
      <c r="Z776" s="24"/>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row>
    <row r="777" spans="1:56" ht="14.25" customHeight="1">
      <c r="A777" s="8"/>
      <c r="B777" s="12" t="s">
        <v>129</v>
      </c>
      <c r="C777" s="101"/>
      <c r="D777" s="101"/>
      <c r="E777" s="101"/>
      <c r="F777" s="101"/>
      <c r="G777" s="101"/>
      <c r="H777" s="101"/>
      <c r="I777" s="101"/>
      <c r="J777" s="101"/>
      <c r="K777" s="101"/>
      <c r="L777" s="101"/>
      <c r="M777" s="15"/>
      <c r="N777" s="15"/>
      <c r="O777" s="15"/>
      <c r="P777" s="15"/>
      <c r="Q777" s="15"/>
      <c r="R777" s="15"/>
      <c r="S777" s="15"/>
      <c r="T777" s="15"/>
      <c r="U777" s="15"/>
      <c r="V777" s="15"/>
      <c r="W777" s="10"/>
      <c r="X777" s="24"/>
      <c r="Y777" s="2"/>
      <c r="Z777" s="24"/>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row>
    <row r="778" spans="1:56" ht="14.25" customHeight="1">
      <c r="A778" s="8"/>
      <c r="B778" s="12" t="s">
        <v>130</v>
      </c>
      <c r="C778" s="101"/>
      <c r="D778" s="101"/>
      <c r="E778" s="101"/>
      <c r="F778" s="101"/>
      <c r="G778" s="101"/>
      <c r="H778" s="101"/>
      <c r="I778" s="101"/>
      <c r="J778" s="101"/>
      <c r="K778" s="101"/>
      <c r="L778" s="101"/>
      <c r="M778" s="15"/>
      <c r="N778" s="15"/>
      <c r="O778" s="15"/>
      <c r="P778" s="15"/>
      <c r="Q778" s="15"/>
      <c r="R778" s="15"/>
      <c r="S778" s="15"/>
      <c r="T778" s="15"/>
      <c r="U778" s="15"/>
      <c r="V778" s="15"/>
      <c r="W778" s="10"/>
      <c r="X778" s="24"/>
      <c r="Y778" s="2"/>
      <c r="Z778" s="24"/>
      <c r="AA778" s="2"/>
      <c r="AB778" s="2"/>
      <c r="AC778" s="2"/>
      <c r="AD778" s="2"/>
      <c r="AE778" s="2"/>
      <c r="AF778" s="2"/>
      <c r="AG778" s="2"/>
      <c r="AH778" s="2"/>
      <c r="AI778" s="2"/>
      <c r="AJ778" s="165">
        <v>326</v>
      </c>
      <c r="AK778" s="165">
        <v>452</v>
      </c>
      <c r="AL778" s="20">
        <f>IFERROR(AJ778/AK778,"-")</f>
        <v>0.72123893805309736</v>
      </c>
      <c r="AM778" s="2"/>
      <c r="AN778" s="2"/>
      <c r="AO778" s="2"/>
      <c r="AP778" s="2"/>
      <c r="AQ778" s="2"/>
      <c r="AR778" s="2"/>
      <c r="AS778" s="2"/>
      <c r="AT778" s="2"/>
      <c r="AU778" s="2"/>
      <c r="AV778" s="2"/>
      <c r="AW778" s="2"/>
      <c r="AX778" s="2"/>
      <c r="AY778" s="2"/>
      <c r="AZ778" s="2"/>
      <c r="BA778" s="2"/>
      <c r="BB778" s="2"/>
      <c r="BC778" s="2"/>
      <c r="BD778" s="2"/>
    </row>
    <row r="779" spans="1:56" ht="14.25" customHeight="1">
      <c r="A779" s="8"/>
      <c r="B779" s="12" t="s">
        <v>131</v>
      </c>
      <c r="C779" s="101"/>
      <c r="D779" s="101"/>
      <c r="E779" s="101"/>
      <c r="F779" s="101"/>
      <c r="G779" s="101"/>
      <c r="H779" s="101"/>
      <c r="I779" s="101"/>
      <c r="J779" s="101"/>
      <c r="K779" s="101"/>
      <c r="L779" s="101"/>
      <c r="M779" s="15"/>
      <c r="N779" s="15"/>
      <c r="O779" s="15"/>
      <c r="P779" s="15"/>
      <c r="Q779" s="15"/>
      <c r="R779" s="15"/>
      <c r="S779" s="15"/>
      <c r="T779" s="15"/>
      <c r="U779" s="15"/>
      <c r="V779" s="15"/>
      <c r="W779" s="10"/>
      <c r="X779" s="24"/>
      <c r="Y779" s="2"/>
      <c r="Z779" s="24"/>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row>
    <row r="780" spans="1:56" ht="14.25" customHeight="1">
      <c r="A780" s="8"/>
      <c r="B780" s="45" t="s">
        <v>132</v>
      </c>
      <c r="C780" s="101"/>
      <c r="D780" s="101"/>
      <c r="E780" s="101"/>
      <c r="F780" s="101"/>
      <c r="G780" s="101"/>
      <c r="H780" s="101"/>
      <c r="I780" s="101"/>
      <c r="J780" s="101"/>
      <c r="K780" s="101"/>
      <c r="L780" s="101"/>
      <c r="M780" s="15"/>
      <c r="N780" s="15"/>
      <c r="O780" s="15"/>
      <c r="P780" s="15"/>
      <c r="Q780" s="15"/>
      <c r="R780" s="15"/>
      <c r="S780" s="15"/>
      <c r="T780" s="15"/>
      <c r="U780" s="15"/>
      <c r="V780" s="15"/>
      <c r="W780" s="10"/>
      <c r="X780" s="24"/>
      <c r="Y780" s="2"/>
      <c r="Z780" s="24"/>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row>
    <row r="781" spans="1:56" ht="14.25" customHeight="1">
      <c r="A781" s="8"/>
      <c r="B781" s="12" t="s">
        <v>133</v>
      </c>
      <c r="C781" s="101"/>
      <c r="D781" s="101"/>
      <c r="E781" s="101"/>
      <c r="F781" s="101"/>
      <c r="G781" s="101"/>
      <c r="H781" s="101"/>
      <c r="I781" s="101"/>
      <c r="J781" s="101"/>
      <c r="K781" s="101"/>
      <c r="L781" s="101"/>
      <c r="M781" s="15"/>
      <c r="N781" s="15"/>
      <c r="O781" s="15"/>
      <c r="P781" s="15"/>
      <c r="Q781" s="15"/>
      <c r="R781" s="15"/>
      <c r="S781" s="15"/>
      <c r="T781" s="15"/>
      <c r="U781" s="15"/>
      <c r="V781" s="15"/>
      <c r="W781" s="10"/>
      <c r="X781" s="24"/>
      <c r="Y781" s="2"/>
      <c r="Z781" s="24"/>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row>
    <row r="782" spans="1:56" ht="14.25" customHeight="1">
      <c r="A782" s="2"/>
      <c r="B782" s="23"/>
      <c r="C782" s="23"/>
      <c r="D782" s="23"/>
      <c r="E782" s="23"/>
      <c r="F782" s="23"/>
      <c r="G782" s="23"/>
      <c r="H782" s="23"/>
      <c r="I782" s="23"/>
      <c r="J782" s="23"/>
      <c r="K782" s="23"/>
      <c r="L782" s="23"/>
      <c r="M782" s="23"/>
      <c r="N782" s="23"/>
      <c r="O782" s="23"/>
      <c r="P782" s="23"/>
      <c r="Q782" s="23"/>
      <c r="R782" s="23"/>
      <c r="S782" s="23"/>
      <c r="T782" s="23"/>
      <c r="U782" s="23"/>
      <c r="V782" s="23"/>
      <c r="W782" s="2"/>
      <c r="X782" s="24"/>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row>
    <row r="783" spans="1:56" ht="14.25" customHeight="1">
      <c r="A783" s="2"/>
      <c r="B783" s="25"/>
      <c r="C783" s="25"/>
      <c r="D783" s="25"/>
      <c r="E783" s="25"/>
      <c r="F783" s="25"/>
      <c r="G783" s="25"/>
      <c r="H783" s="25"/>
      <c r="I783" s="25"/>
      <c r="J783" s="25"/>
      <c r="K783" s="25"/>
      <c r="L783" s="25"/>
      <c r="M783" s="25"/>
      <c r="N783" s="25"/>
      <c r="O783" s="25"/>
      <c r="P783" s="25"/>
      <c r="Q783" s="25"/>
      <c r="R783" s="25"/>
      <c r="S783" s="25"/>
      <c r="T783" s="25"/>
      <c r="U783" s="25"/>
      <c r="V783" s="25"/>
      <c r="W783" s="25"/>
      <c r="X783" s="48"/>
      <c r="Y783" s="25"/>
      <c r="Z783" s="25"/>
      <c r="AA783" s="25"/>
      <c r="AB783" s="25"/>
      <c r="AC783" s="25"/>
      <c r="AD783" s="25"/>
      <c r="AE783" s="25"/>
      <c r="AF783" s="25"/>
      <c r="AG783" s="25"/>
      <c r="AH783" s="25"/>
      <c r="AI783" s="25"/>
      <c r="AJ783" s="25"/>
      <c r="AK783" s="25"/>
      <c r="AL783" s="25"/>
      <c r="AM783" s="25"/>
      <c r="AN783" s="25"/>
      <c r="AO783" s="25"/>
      <c r="AP783" s="25"/>
      <c r="AQ783" s="25"/>
      <c r="AR783" s="25"/>
      <c r="AS783" s="25"/>
      <c r="AT783" s="25"/>
      <c r="AU783" s="25"/>
      <c r="AV783" s="25"/>
      <c r="AW783" s="25"/>
      <c r="AX783" s="25"/>
      <c r="AY783" s="2"/>
      <c r="AZ783" s="2"/>
      <c r="BA783" s="2"/>
      <c r="BB783" s="2"/>
      <c r="BC783" s="2"/>
      <c r="BD783" s="2"/>
    </row>
    <row r="784" spans="1:56" ht="14.25" customHeight="1">
      <c r="A784" s="26"/>
      <c r="B784" s="58"/>
      <c r="C784" s="59" t="s">
        <v>102</v>
      </c>
      <c r="D784" s="60"/>
      <c r="E784" s="60"/>
      <c r="F784" s="61" t="s">
        <v>103</v>
      </c>
      <c r="G784" s="58"/>
      <c r="H784" s="58"/>
      <c r="I784" s="59" t="s">
        <v>104</v>
      </c>
      <c r="J784" s="60"/>
      <c r="K784" s="60"/>
      <c r="L784" s="61" t="s">
        <v>105</v>
      </c>
      <c r="M784" s="58"/>
      <c r="N784" s="58"/>
      <c r="O784" s="58"/>
      <c r="P784" s="58"/>
      <c r="Q784" s="58"/>
      <c r="R784" s="58"/>
      <c r="S784" s="58"/>
      <c r="T784" s="58"/>
      <c r="U784" s="59" t="s">
        <v>106</v>
      </c>
      <c r="V784" s="60"/>
      <c r="W784" s="60"/>
      <c r="X784" s="60"/>
      <c r="Y784" s="60"/>
      <c r="Z784" s="60"/>
      <c r="AA784" s="60"/>
      <c r="AB784" s="60"/>
      <c r="AC784" s="60"/>
      <c r="AD784" s="29" t="s">
        <v>107</v>
      </c>
      <c r="AE784" s="30"/>
      <c r="AF784" s="30"/>
      <c r="AG784" s="27" t="s">
        <v>108</v>
      </c>
      <c r="AH784" s="28"/>
      <c r="AI784" s="28"/>
      <c r="AJ784" s="29" t="s">
        <v>109</v>
      </c>
      <c r="AK784" s="30"/>
      <c r="AL784" s="30"/>
      <c r="AM784" s="27" t="s">
        <v>110</v>
      </c>
      <c r="AN784" s="28"/>
      <c r="AO784" s="28"/>
      <c r="AP784" s="29" t="s">
        <v>111</v>
      </c>
      <c r="AQ784" s="30"/>
      <c r="AR784" s="30"/>
      <c r="AS784" s="30"/>
      <c r="AT784" s="30"/>
      <c r="AU784" s="30"/>
      <c r="AV784" s="30"/>
      <c r="AW784" s="30"/>
      <c r="AX784" s="30"/>
      <c r="AY784" s="31"/>
      <c r="AZ784" s="2"/>
      <c r="BA784" s="2"/>
      <c r="BB784" s="2"/>
      <c r="BC784" s="2"/>
      <c r="BD784" s="2"/>
    </row>
    <row r="785" spans="1:56" ht="15" customHeight="1">
      <c r="A785" s="8"/>
      <c r="B785" s="511" t="s">
        <v>112</v>
      </c>
      <c r="C785" s="502" t="s">
        <v>11</v>
      </c>
      <c r="D785" s="503"/>
      <c r="E785" s="505"/>
      <c r="F785" s="502" t="s">
        <v>11</v>
      </c>
      <c r="G785" s="503"/>
      <c r="H785" s="505"/>
      <c r="I785" s="502" t="s">
        <v>11</v>
      </c>
      <c r="J785" s="503"/>
      <c r="K785" s="505"/>
      <c r="L785" s="520">
        <v>44927</v>
      </c>
      <c r="M785" s="503"/>
      <c r="N785" s="505"/>
      <c r="O785" s="520">
        <v>44958</v>
      </c>
      <c r="P785" s="503"/>
      <c r="Q785" s="505"/>
      <c r="R785" s="502" t="s">
        <v>11</v>
      </c>
      <c r="S785" s="503"/>
      <c r="T785" s="505"/>
      <c r="U785" s="520">
        <v>44927</v>
      </c>
      <c r="V785" s="503"/>
      <c r="W785" s="505"/>
      <c r="X785" s="520">
        <v>44958</v>
      </c>
      <c r="Y785" s="503"/>
      <c r="Z785" s="505"/>
      <c r="AA785" s="502" t="s">
        <v>11</v>
      </c>
      <c r="AB785" s="503"/>
      <c r="AC785" s="505"/>
      <c r="AD785" s="502" t="s">
        <v>11</v>
      </c>
      <c r="AE785" s="503"/>
      <c r="AF785" s="505"/>
      <c r="AG785" s="502" t="s">
        <v>11</v>
      </c>
      <c r="AH785" s="503"/>
      <c r="AI785" s="505"/>
      <c r="AJ785" s="502" t="s">
        <v>11</v>
      </c>
      <c r="AK785" s="503"/>
      <c r="AL785" s="505"/>
      <c r="AM785" s="527">
        <v>44927</v>
      </c>
      <c r="AN785" s="522">
        <v>44958</v>
      </c>
      <c r="AO785" s="524" t="s">
        <v>11</v>
      </c>
      <c r="AP785" s="526">
        <v>44927</v>
      </c>
      <c r="AQ785" s="503"/>
      <c r="AR785" s="505"/>
      <c r="AS785" s="520">
        <v>44958</v>
      </c>
      <c r="AT785" s="503"/>
      <c r="AU785" s="505"/>
      <c r="AV785" s="502" t="s">
        <v>11</v>
      </c>
      <c r="AW785" s="503"/>
      <c r="AX785" s="505"/>
      <c r="AY785" s="10"/>
      <c r="AZ785" s="2"/>
      <c r="BA785" s="2"/>
      <c r="BB785" s="2"/>
      <c r="BC785" s="2"/>
      <c r="BD785" s="2"/>
    </row>
    <row r="786" spans="1:56" ht="30" customHeight="1">
      <c r="A786" s="8"/>
      <c r="B786" s="521"/>
      <c r="C786" s="32" t="s">
        <v>113</v>
      </c>
      <c r="D786" s="32" t="s">
        <v>114</v>
      </c>
      <c r="E786" s="32" t="s">
        <v>14</v>
      </c>
      <c r="F786" s="32" t="s">
        <v>113</v>
      </c>
      <c r="G786" s="32" t="s">
        <v>114</v>
      </c>
      <c r="H786" s="32" t="s">
        <v>14</v>
      </c>
      <c r="I786" s="32" t="s">
        <v>113</v>
      </c>
      <c r="J786" s="32" t="s">
        <v>114</v>
      </c>
      <c r="K786" s="32" t="s">
        <v>14</v>
      </c>
      <c r="L786" s="32" t="s">
        <v>113</v>
      </c>
      <c r="M786" s="32" t="s">
        <v>114</v>
      </c>
      <c r="N786" s="32" t="s">
        <v>14</v>
      </c>
      <c r="O786" s="32" t="s">
        <v>113</v>
      </c>
      <c r="P786" s="32" t="s">
        <v>114</v>
      </c>
      <c r="Q786" s="32" t="s">
        <v>14</v>
      </c>
      <c r="R786" s="32" t="s">
        <v>113</v>
      </c>
      <c r="S786" s="32" t="s">
        <v>114</v>
      </c>
      <c r="T786" s="32" t="s">
        <v>14</v>
      </c>
      <c r="U786" s="32" t="s">
        <v>113</v>
      </c>
      <c r="V786" s="32" t="s">
        <v>114</v>
      </c>
      <c r="W786" s="32" t="s">
        <v>14</v>
      </c>
      <c r="X786" s="32" t="s">
        <v>113</v>
      </c>
      <c r="Y786" s="32" t="s">
        <v>114</v>
      </c>
      <c r="Z786" s="32" t="s">
        <v>14</v>
      </c>
      <c r="AA786" s="32" t="s">
        <v>113</v>
      </c>
      <c r="AB786" s="32" t="s">
        <v>114</v>
      </c>
      <c r="AC786" s="32" t="s">
        <v>14</v>
      </c>
      <c r="AD786" s="32" t="s">
        <v>115</v>
      </c>
      <c r="AE786" s="32" t="s">
        <v>116</v>
      </c>
      <c r="AF786" s="32" t="s">
        <v>17</v>
      </c>
      <c r="AG786" s="32" t="s">
        <v>117</v>
      </c>
      <c r="AH786" s="32" t="s">
        <v>118</v>
      </c>
      <c r="AI786" s="32" t="s">
        <v>17</v>
      </c>
      <c r="AJ786" s="32" t="s">
        <v>117</v>
      </c>
      <c r="AK786" s="32" t="s">
        <v>118</v>
      </c>
      <c r="AL786" s="32" t="s">
        <v>17</v>
      </c>
      <c r="AM786" s="521"/>
      <c r="AN786" s="523"/>
      <c r="AO786" s="525"/>
      <c r="AP786" s="103" t="s">
        <v>117</v>
      </c>
      <c r="AQ786" s="32" t="s">
        <v>118</v>
      </c>
      <c r="AR786" s="32" t="s">
        <v>17</v>
      </c>
      <c r="AS786" s="32" t="s">
        <v>117</v>
      </c>
      <c r="AT786" s="32" t="s">
        <v>118</v>
      </c>
      <c r="AU786" s="32" t="s">
        <v>17</v>
      </c>
      <c r="AV786" s="32" t="s">
        <v>117</v>
      </c>
      <c r="AW786" s="32" t="s">
        <v>118</v>
      </c>
      <c r="AX786" s="32" t="s">
        <v>17</v>
      </c>
      <c r="AY786" s="10"/>
      <c r="AZ786" s="2"/>
      <c r="BA786" s="2"/>
      <c r="BB786" s="2"/>
      <c r="BC786" s="2"/>
      <c r="BD786" s="2"/>
    </row>
    <row r="787" spans="1:56" ht="14.25" customHeight="1">
      <c r="A787" s="8"/>
      <c r="B787" s="12" t="s">
        <v>67</v>
      </c>
      <c r="C787" s="85">
        <f>C727</f>
        <v>0</v>
      </c>
      <c r="D787" s="85">
        <f>D727</f>
        <v>0</v>
      </c>
      <c r="E787" s="80" t="str">
        <f t="shared" ref="E787:E796" si="305">IFERROR(C787/D787,"-")</f>
        <v>-</v>
      </c>
      <c r="F787" s="118">
        <f>F727</f>
        <v>0</v>
      </c>
      <c r="G787" s="118">
        <f>G727</f>
        <v>0</v>
      </c>
      <c r="H787" s="83" t="str">
        <f t="shared" ref="H787:H796" si="306">IFERROR(F787/G787,"-")</f>
        <v>-</v>
      </c>
      <c r="I787" s="86">
        <f>I727</f>
        <v>0</v>
      </c>
      <c r="J787" s="86">
        <f>J727</f>
        <v>0</v>
      </c>
      <c r="K787" s="80" t="str">
        <f t="shared" ref="K787:K796" si="307">IFERROR(I787/J787,"-")</f>
        <v>-</v>
      </c>
      <c r="L787" s="83" t="s">
        <v>19</v>
      </c>
      <c r="M787" s="83" t="s">
        <v>19</v>
      </c>
      <c r="N787" s="83" t="str">
        <f t="shared" ref="N787:N796" si="308">IFERROR(L787/M787,"-")</f>
        <v>-</v>
      </c>
      <c r="O787" s="83" t="s">
        <v>19</v>
      </c>
      <c r="P787" s="83" t="s">
        <v>19</v>
      </c>
      <c r="Q787" s="83" t="str">
        <f t="shared" ref="Q787:Q796" si="309">IFERROR(O787/P787,"-")</f>
        <v>-</v>
      </c>
      <c r="R787" s="83" t="s">
        <v>19</v>
      </c>
      <c r="S787" s="83" t="s">
        <v>19</v>
      </c>
      <c r="T787" s="83" t="str">
        <f t="shared" ref="T787:T796" si="310">IFERROR(R787/S787,"-")</f>
        <v>-</v>
      </c>
      <c r="U787" s="79"/>
      <c r="V787" s="79"/>
      <c r="W787" s="91"/>
      <c r="X787" s="79"/>
      <c r="Y787" s="79"/>
      <c r="Z787" s="91"/>
      <c r="AA787" s="79"/>
      <c r="AB787" s="79"/>
      <c r="AC787" s="91"/>
      <c r="AD787" s="68"/>
      <c r="AE787" s="68"/>
      <c r="AF787" s="15"/>
      <c r="AG787" s="140"/>
      <c r="AH787" s="140"/>
      <c r="AI787" s="101"/>
      <c r="AJ787" s="14"/>
      <c r="AK787" s="14"/>
      <c r="AL787" s="15"/>
      <c r="AM787" s="101"/>
      <c r="AN787" s="101"/>
      <c r="AO787" s="101"/>
      <c r="AP787" s="14"/>
      <c r="AQ787" s="14"/>
      <c r="AR787" s="15"/>
      <c r="AS787" s="14"/>
      <c r="AT787" s="14"/>
      <c r="AU787" s="15"/>
      <c r="AV787" s="68"/>
      <c r="AW787" s="68"/>
      <c r="AX787" s="15"/>
      <c r="AY787" s="10"/>
      <c r="AZ787" s="2"/>
      <c r="BA787" s="2"/>
      <c r="BB787" s="2"/>
      <c r="BC787" s="2"/>
      <c r="BD787" s="2"/>
    </row>
    <row r="788" spans="1:56" ht="14.25" customHeight="1">
      <c r="A788" s="8"/>
      <c r="B788" s="12" t="s">
        <v>119</v>
      </c>
      <c r="C788" s="106">
        <f>SUM(C795,C796)</f>
        <v>0</v>
      </c>
      <c r="D788" s="106">
        <f>SUM(D795,D796)</f>
        <v>0</v>
      </c>
      <c r="E788" s="80" t="str">
        <f t="shared" si="305"/>
        <v>-</v>
      </c>
      <c r="F788" s="107">
        <f>SUM(F795,F796)</f>
        <v>0</v>
      </c>
      <c r="G788" s="107">
        <f>SUM(G795,G796)</f>
        <v>0</v>
      </c>
      <c r="H788" s="83" t="str">
        <f t="shared" si="306"/>
        <v>-</v>
      </c>
      <c r="I788" s="108">
        <f>SUM(I795,I796)</f>
        <v>0</v>
      </c>
      <c r="J788" s="108">
        <f>SUM(J795,J796)</f>
        <v>0</v>
      </c>
      <c r="K788" s="80" t="str">
        <f t="shared" si="307"/>
        <v>-</v>
      </c>
      <c r="L788" s="83" t="s">
        <v>19</v>
      </c>
      <c r="M788" s="83" t="s">
        <v>19</v>
      </c>
      <c r="N788" s="83" t="str">
        <f t="shared" si="308"/>
        <v>-</v>
      </c>
      <c r="O788" s="83" t="s">
        <v>19</v>
      </c>
      <c r="P788" s="83" t="s">
        <v>19</v>
      </c>
      <c r="Q788" s="83" t="str">
        <f t="shared" si="309"/>
        <v>-</v>
      </c>
      <c r="R788" s="83" t="s">
        <v>19</v>
      </c>
      <c r="S788" s="83" t="s">
        <v>19</v>
      </c>
      <c r="T788" s="83" t="str">
        <f t="shared" si="310"/>
        <v>-</v>
      </c>
      <c r="U788" s="79"/>
      <c r="V788" s="79"/>
      <c r="W788" s="91"/>
      <c r="X788" s="79"/>
      <c r="Y788" s="79"/>
      <c r="Z788" s="91"/>
      <c r="AA788" s="79"/>
      <c r="AB788" s="79"/>
      <c r="AC788" s="91"/>
      <c r="AD788" s="68"/>
      <c r="AE788" s="68"/>
      <c r="AF788" s="15"/>
      <c r="AG788" s="166"/>
      <c r="AH788" s="166"/>
      <c r="AI788" s="101"/>
      <c r="AJ788" s="14"/>
      <c r="AK788" s="14"/>
      <c r="AL788" s="15"/>
      <c r="AM788" s="101"/>
      <c r="AN788" s="101"/>
      <c r="AO788" s="101"/>
      <c r="AP788" s="14"/>
      <c r="AQ788" s="14"/>
      <c r="AR788" s="15"/>
      <c r="AS788" s="14"/>
      <c r="AT788" s="14"/>
      <c r="AU788" s="15"/>
      <c r="AV788" s="68"/>
      <c r="AW788" s="68"/>
      <c r="AX788" s="15"/>
      <c r="AY788" s="10"/>
      <c r="AZ788" s="2"/>
      <c r="BA788" s="2"/>
      <c r="BB788" s="2"/>
      <c r="BC788" s="2"/>
      <c r="BD788" s="2"/>
    </row>
    <row r="789" spans="1:56" ht="14.25" customHeight="1">
      <c r="A789" s="8"/>
      <c r="B789" s="12" t="s">
        <v>120</v>
      </c>
      <c r="C789" s="111">
        <f>SUM(C732,C733,C739,C747)</f>
        <v>0</v>
      </c>
      <c r="D789" s="111">
        <f>SUM(D732,D733,D739,D747)</f>
        <v>0</v>
      </c>
      <c r="E789" s="80" t="str">
        <f t="shared" si="305"/>
        <v>-</v>
      </c>
      <c r="F789" s="107">
        <f>SUM(F732,F733,F739,F747)</f>
        <v>0</v>
      </c>
      <c r="G789" s="107">
        <f>SUM(G732,G733,G739,G747)</f>
        <v>0</v>
      </c>
      <c r="H789" s="83" t="str">
        <f t="shared" si="306"/>
        <v>-</v>
      </c>
      <c r="I789" s="108">
        <f>SUM(I732,I733,I739,I747)</f>
        <v>0</v>
      </c>
      <c r="J789" s="108">
        <f>SUM(J732,J733,J739,J747)</f>
        <v>0</v>
      </c>
      <c r="K789" s="80" t="str">
        <f t="shared" si="307"/>
        <v>-</v>
      </c>
      <c r="L789" s="83" t="s">
        <v>19</v>
      </c>
      <c r="M789" s="83" t="s">
        <v>19</v>
      </c>
      <c r="N789" s="83" t="str">
        <f t="shared" si="308"/>
        <v>-</v>
      </c>
      <c r="O789" s="83" t="s">
        <v>19</v>
      </c>
      <c r="P789" s="83" t="s">
        <v>19</v>
      </c>
      <c r="Q789" s="83" t="str">
        <f t="shared" si="309"/>
        <v>-</v>
      </c>
      <c r="R789" s="83" t="s">
        <v>19</v>
      </c>
      <c r="S789" s="83" t="s">
        <v>19</v>
      </c>
      <c r="T789" s="83" t="str">
        <f t="shared" si="310"/>
        <v>-</v>
      </c>
      <c r="U789" s="86"/>
      <c r="V789" s="86"/>
      <c r="W789" s="91"/>
      <c r="X789" s="86"/>
      <c r="Y789" s="86"/>
      <c r="Z789" s="91"/>
      <c r="AA789" s="86"/>
      <c r="AB789" s="86"/>
      <c r="AC789" s="91"/>
      <c r="AD789" s="68"/>
      <c r="AE789" s="68"/>
      <c r="AF789" s="15"/>
      <c r="AG789" s="140"/>
      <c r="AH789" s="140"/>
      <c r="AI789" s="101"/>
      <c r="AJ789" s="68"/>
      <c r="AK789" s="68"/>
      <c r="AL789" s="15"/>
      <c r="AM789" s="101"/>
      <c r="AN789" s="101"/>
      <c r="AO789" s="101"/>
      <c r="AP789" s="68"/>
      <c r="AQ789" s="68"/>
      <c r="AR789" s="15"/>
      <c r="AS789" s="68"/>
      <c r="AT789" s="68"/>
      <c r="AU789" s="15"/>
      <c r="AV789" s="68"/>
      <c r="AW789" s="68"/>
      <c r="AX789" s="15"/>
      <c r="AY789" s="10"/>
      <c r="AZ789" s="2"/>
      <c r="BA789" s="2"/>
      <c r="BB789" s="2"/>
      <c r="BC789" s="2"/>
      <c r="BD789" s="2"/>
    </row>
    <row r="790" spans="1:56" ht="14.25" customHeight="1">
      <c r="A790" s="8"/>
      <c r="B790" s="12" t="s">
        <v>121</v>
      </c>
      <c r="C790" s="111">
        <f>SUM(C799,C800)</f>
        <v>0</v>
      </c>
      <c r="D790" s="111">
        <f>SUM(D799,D800)</f>
        <v>0</v>
      </c>
      <c r="E790" s="80" t="str">
        <f t="shared" si="305"/>
        <v>-</v>
      </c>
      <c r="F790" s="107">
        <f>SUM(F799,F800)</f>
        <v>0</v>
      </c>
      <c r="G790" s="107">
        <f>SUM(G799,G800)</f>
        <v>0</v>
      </c>
      <c r="H790" s="83" t="str">
        <f t="shared" si="306"/>
        <v>-</v>
      </c>
      <c r="I790" s="108">
        <f>SUM(I799,I800)</f>
        <v>0</v>
      </c>
      <c r="J790" s="108">
        <f>SUM(J799,J800)</f>
        <v>0</v>
      </c>
      <c r="K790" s="80" t="str">
        <f t="shared" si="307"/>
        <v>-</v>
      </c>
      <c r="L790" s="83" t="s">
        <v>19</v>
      </c>
      <c r="M790" s="83" t="s">
        <v>19</v>
      </c>
      <c r="N790" s="83" t="str">
        <f t="shared" si="308"/>
        <v>-</v>
      </c>
      <c r="O790" s="83" t="s">
        <v>19</v>
      </c>
      <c r="P790" s="83" t="s">
        <v>19</v>
      </c>
      <c r="Q790" s="83" t="str">
        <f t="shared" si="309"/>
        <v>-</v>
      </c>
      <c r="R790" s="83" t="s">
        <v>19</v>
      </c>
      <c r="S790" s="83" t="s">
        <v>19</v>
      </c>
      <c r="T790" s="83" t="str">
        <f t="shared" si="310"/>
        <v>-</v>
      </c>
      <c r="U790" s="79"/>
      <c r="V790" s="79"/>
      <c r="W790" s="91"/>
      <c r="X790" s="79"/>
      <c r="Y790" s="79"/>
      <c r="Z790" s="91"/>
      <c r="AA790" s="79"/>
      <c r="AB790" s="79"/>
      <c r="AC790" s="91"/>
      <c r="AD790" s="68"/>
      <c r="AE790" s="68"/>
      <c r="AF790" s="15"/>
      <c r="AG790" s="166"/>
      <c r="AH790" s="166"/>
      <c r="AI790" s="101"/>
      <c r="AJ790" s="14"/>
      <c r="AK790" s="14"/>
      <c r="AL790" s="15"/>
      <c r="AM790" s="101"/>
      <c r="AN790" s="101"/>
      <c r="AO790" s="101"/>
      <c r="AP790" s="14"/>
      <c r="AQ790" s="14"/>
      <c r="AR790" s="15"/>
      <c r="AS790" s="14"/>
      <c r="AT790" s="14"/>
      <c r="AU790" s="15"/>
      <c r="AV790" s="68"/>
      <c r="AW790" s="68"/>
      <c r="AX790" s="15"/>
      <c r="AY790" s="10"/>
      <c r="AZ790" s="2"/>
      <c r="BA790" s="2"/>
      <c r="BB790" s="2"/>
      <c r="BC790" s="2"/>
      <c r="BD790" s="2"/>
    </row>
    <row r="791" spans="1:56" ht="14.25" customHeight="1">
      <c r="A791" s="8"/>
      <c r="B791" s="12" t="s">
        <v>122</v>
      </c>
      <c r="C791" s="111">
        <f>SUM(C730,C741)</f>
        <v>0</v>
      </c>
      <c r="D791" s="111">
        <f>SUM(D730,D741)</f>
        <v>0</v>
      </c>
      <c r="E791" s="80" t="str">
        <f t="shared" si="305"/>
        <v>-</v>
      </c>
      <c r="F791" s="107">
        <f>SUM(F730,F741)</f>
        <v>0</v>
      </c>
      <c r="G791" s="107">
        <f>SUM(G730,G741)</f>
        <v>0</v>
      </c>
      <c r="H791" s="83" t="str">
        <f t="shared" si="306"/>
        <v>-</v>
      </c>
      <c r="I791" s="108">
        <f>SUM(I730,I741)</f>
        <v>0</v>
      </c>
      <c r="J791" s="108">
        <f>SUM(J730,J741)</f>
        <v>0</v>
      </c>
      <c r="K791" s="80" t="str">
        <f t="shared" si="307"/>
        <v>-</v>
      </c>
      <c r="L791" s="83" t="s">
        <v>19</v>
      </c>
      <c r="M791" s="83" t="s">
        <v>19</v>
      </c>
      <c r="N791" s="83" t="str">
        <f t="shared" si="308"/>
        <v>-</v>
      </c>
      <c r="O791" s="83" t="s">
        <v>19</v>
      </c>
      <c r="P791" s="83" t="s">
        <v>19</v>
      </c>
      <c r="Q791" s="83" t="str">
        <f t="shared" si="309"/>
        <v>-</v>
      </c>
      <c r="R791" s="83" t="s">
        <v>19</v>
      </c>
      <c r="S791" s="83" t="s">
        <v>19</v>
      </c>
      <c r="T791" s="83" t="str">
        <f t="shared" si="310"/>
        <v>-</v>
      </c>
      <c r="U791" s="86"/>
      <c r="V791" s="86"/>
      <c r="W791" s="91"/>
      <c r="X791" s="86"/>
      <c r="Y791" s="86"/>
      <c r="Z791" s="91"/>
      <c r="AA791" s="86"/>
      <c r="AB791" s="86"/>
      <c r="AC791" s="91"/>
      <c r="AD791" s="68"/>
      <c r="AE791" s="68"/>
      <c r="AF791" s="15"/>
      <c r="AG791" s="140"/>
      <c r="AH791" s="140"/>
      <c r="AI791" s="101"/>
      <c r="AJ791" s="68"/>
      <c r="AK791" s="68"/>
      <c r="AL791" s="15"/>
      <c r="AM791" s="101"/>
      <c r="AN791" s="101"/>
      <c r="AO791" s="101"/>
      <c r="AP791" s="68"/>
      <c r="AQ791" s="68"/>
      <c r="AR791" s="15"/>
      <c r="AS791" s="68"/>
      <c r="AT791" s="68"/>
      <c r="AU791" s="15"/>
      <c r="AV791" s="68"/>
      <c r="AW791" s="68"/>
      <c r="AX791" s="15"/>
      <c r="AY791" s="10"/>
      <c r="AZ791" s="2"/>
      <c r="BA791" s="2"/>
      <c r="BB791" s="2"/>
      <c r="BC791" s="2"/>
      <c r="BD791" s="2"/>
    </row>
    <row r="792" spans="1:56" ht="14.25" customHeight="1">
      <c r="A792" s="8"/>
      <c r="B792" s="12" t="s">
        <v>123</v>
      </c>
      <c r="C792" s="106">
        <f>SUM(C742,C743)</f>
        <v>0</v>
      </c>
      <c r="D792" s="106">
        <f>SUM(D742,D743)</f>
        <v>0</v>
      </c>
      <c r="E792" s="80" t="str">
        <f t="shared" si="305"/>
        <v>-</v>
      </c>
      <c r="F792" s="107">
        <f>SUM(F742,F743)</f>
        <v>0</v>
      </c>
      <c r="G792" s="107">
        <f>SUM(G742,G743)</f>
        <v>0</v>
      </c>
      <c r="H792" s="83" t="str">
        <f t="shared" si="306"/>
        <v>-</v>
      </c>
      <c r="I792" s="108">
        <f>SUM(I742,I743)</f>
        <v>0</v>
      </c>
      <c r="J792" s="108">
        <f>SUM(J742,J743)</f>
        <v>0</v>
      </c>
      <c r="K792" s="80" t="str">
        <f t="shared" si="307"/>
        <v>-</v>
      </c>
      <c r="L792" s="83" t="s">
        <v>19</v>
      </c>
      <c r="M792" s="83" t="s">
        <v>19</v>
      </c>
      <c r="N792" s="83" t="str">
        <f t="shared" si="308"/>
        <v>-</v>
      </c>
      <c r="O792" s="83" t="s">
        <v>19</v>
      </c>
      <c r="P792" s="83" t="s">
        <v>19</v>
      </c>
      <c r="Q792" s="83" t="str">
        <f t="shared" si="309"/>
        <v>-</v>
      </c>
      <c r="R792" s="83" t="s">
        <v>19</v>
      </c>
      <c r="S792" s="83" t="s">
        <v>19</v>
      </c>
      <c r="T792" s="83" t="str">
        <f t="shared" si="310"/>
        <v>-</v>
      </c>
      <c r="U792" s="86"/>
      <c r="V792" s="86"/>
      <c r="W792" s="91"/>
      <c r="X792" s="86"/>
      <c r="Y792" s="86"/>
      <c r="Z792" s="91"/>
      <c r="AA792" s="86"/>
      <c r="AB792" s="86"/>
      <c r="AC792" s="91"/>
      <c r="AD792" s="68"/>
      <c r="AE792" s="68"/>
      <c r="AF792" s="15"/>
      <c r="AG792" s="140"/>
      <c r="AH792" s="140"/>
      <c r="AI792" s="101"/>
      <c r="AJ792" s="68"/>
      <c r="AK792" s="68"/>
      <c r="AL792" s="15"/>
      <c r="AM792" s="101"/>
      <c r="AN792" s="101"/>
      <c r="AO792" s="101"/>
      <c r="AP792" s="68"/>
      <c r="AQ792" s="68"/>
      <c r="AR792" s="15"/>
      <c r="AS792" s="68"/>
      <c r="AT792" s="68"/>
      <c r="AU792" s="15"/>
      <c r="AV792" s="68"/>
      <c r="AW792" s="68"/>
      <c r="AX792" s="15"/>
      <c r="AY792" s="10"/>
      <c r="AZ792" s="2"/>
      <c r="BA792" s="2"/>
      <c r="BB792" s="2"/>
      <c r="BC792" s="2"/>
      <c r="BD792" s="2"/>
    </row>
    <row r="793" spans="1:56" ht="14.25" customHeight="1">
      <c r="A793" s="8"/>
      <c r="B793" s="12" t="s">
        <v>124</v>
      </c>
      <c r="C793" s="106">
        <f>SUM(C746)</f>
        <v>0</v>
      </c>
      <c r="D793" s="106">
        <f>SUM(D746)</f>
        <v>0</v>
      </c>
      <c r="E793" s="80" t="str">
        <f t="shared" si="305"/>
        <v>-</v>
      </c>
      <c r="F793" s="114">
        <f>SUM(F746)</f>
        <v>0</v>
      </c>
      <c r="G793" s="114">
        <f>SUM(G746)</f>
        <v>0</v>
      </c>
      <c r="H793" s="83" t="str">
        <f t="shared" si="306"/>
        <v>-</v>
      </c>
      <c r="I793" s="115">
        <f>SUM(I746)</f>
        <v>0</v>
      </c>
      <c r="J793" s="115">
        <f>SUM(J746)</f>
        <v>0</v>
      </c>
      <c r="K793" s="80" t="str">
        <f t="shared" si="307"/>
        <v>-</v>
      </c>
      <c r="L793" s="83" t="s">
        <v>19</v>
      </c>
      <c r="M793" s="83" t="s">
        <v>19</v>
      </c>
      <c r="N793" s="83" t="str">
        <f t="shared" si="308"/>
        <v>-</v>
      </c>
      <c r="O793" s="83" t="s">
        <v>19</v>
      </c>
      <c r="P793" s="83" t="s">
        <v>19</v>
      </c>
      <c r="Q793" s="83" t="str">
        <f t="shared" si="309"/>
        <v>-</v>
      </c>
      <c r="R793" s="83" t="s">
        <v>19</v>
      </c>
      <c r="S793" s="83" t="s">
        <v>19</v>
      </c>
      <c r="T793" s="83" t="str">
        <f t="shared" si="310"/>
        <v>-</v>
      </c>
      <c r="U793" s="79"/>
      <c r="V793" s="79"/>
      <c r="W793" s="91"/>
      <c r="X793" s="79"/>
      <c r="Y793" s="79"/>
      <c r="Z793" s="91"/>
      <c r="AA793" s="79"/>
      <c r="AB793" s="79"/>
      <c r="AC793" s="91"/>
      <c r="AD793" s="68"/>
      <c r="AE793" s="68"/>
      <c r="AF793" s="15"/>
      <c r="AG793" s="166"/>
      <c r="AH793" s="166"/>
      <c r="AI793" s="101"/>
      <c r="AJ793" s="14"/>
      <c r="AK793" s="14"/>
      <c r="AL793" s="15"/>
      <c r="AM793" s="101"/>
      <c r="AN793" s="101"/>
      <c r="AO793" s="101"/>
      <c r="AP793" s="14"/>
      <c r="AQ793" s="14"/>
      <c r="AR793" s="15"/>
      <c r="AS793" s="14"/>
      <c r="AT793" s="14"/>
      <c r="AU793" s="15"/>
      <c r="AV793" s="68"/>
      <c r="AW793" s="68"/>
      <c r="AX793" s="15"/>
      <c r="AY793" s="10"/>
      <c r="AZ793" s="2"/>
      <c r="BA793" s="2"/>
      <c r="BB793" s="2"/>
      <c r="BC793" s="2"/>
      <c r="BD793" s="2"/>
    </row>
    <row r="794" spans="1:56" ht="14.25" customHeight="1">
      <c r="A794" s="8"/>
      <c r="B794" s="12" t="s">
        <v>125</v>
      </c>
      <c r="C794" s="106">
        <f>SUM(C729,C734,C735)</f>
        <v>0</v>
      </c>
      <c r="D794" s="106">
        <f>SUM(D729,D734,D735)</f>
        <v>0</v>
      </c>
      <c r="E794" s="80" t="str">
        <f t="shared" si="305"/>
        <v>-</v>
      </c>
      <c r="F794" s="114">
        <f>SUM(F729,F734,F735)</f>
        <v>0</v>
      </c>
      <c r="G794" s="114">
        <f>SUM(G729,G734,G735)</f>
        <v>0</v>
      </c>
      <c r="H794" s="83" t="str">
        <f t="shared" si="306"/>
        <v>-</v>
      </c>
      <c r="I794" s="115">
        <f>SUM(I729,I734,I735)</f>
        <v>0</v>
      </c>
      <c r="J794" s="115">
        <f>SUM(J729,J734,J735)</f>
        <v>0</v>
      </c>
      <c r="K794" s="80" t="str">
        <f t="shared" si="307"/>
        <v>-</v>
      </c>
      <c r="L794" s="83" t="s">
        <v>19</v>
      </c>
      <c r="M794" s="83" t="s">
        <v>19</v>
      </c>
      <c r="N794" s="83" t="str">
        <f t="shared" si="308"/>
        <v>-</v>
      </c>
      <c r="O794" s="83" t="s">
        <v>19</v>
      </c>
      <c r="P794" s="83" t="s">
        <v>19</v>
      </c>
      <c r="Q794" s="83" t="str">
        <f t="shared" si="309"/>
        <v>-</v>
      </c>
      <c r="R794" s="83" t="s">
        <v>19</v>
      </c>
      <c r="S794" s="83" t="s">
        <v>19</v>
      </c>
      <c r="T794" s="83" t="str">
        <f t="shared" si="310"/>
        <v>-</v>
      </c>
      <c r="U794" s="79"/>
      <c r="V794" s="79"/>
      <c r="W794" s="91"/>
      <c r="X794" s="79"/>
      <c r="Y794" s="79"/>
      <c r="Z794" s="91"/>
      <c r="AA794" s="79"/>
      <c r="AB794" s="79"/>
      <c r="AC794" s="91"/>
      <c r="AD794" s="68"/>
      <c r="AE794" s="68"/>
      <c r="AF794" s="15"/>
      <c r="AG794" s="166"/>
      <c r="AH794" s="166"/>
      <c r="AI794" s="101"/>
      <c r="AJ794" s="14"/>
      <c r="AK794" s="14"/>
      <c r="AL794" s="15"/>
      <c r="AM794" s="101"/>
      <c r="AN794" s="101"/>
      <c r="AO794" s="101"/>
      <c r="AP794" s="14"/>
      <c r="AQ794" s="14"/>
      <c r="AR794" s="15"/>
      <c r="AS794" s="14"/>
      <c r="AT794" s="14"/>
      <c r="AU794" s="15"/>
      <c r="AV794" s="68"/>
      <c r="AW794" s="68"/>
      <c r="AX794" s="15"/>
      <c r="AY794" s="10"/>
      <c r="AZ794" s="2"/>
      <c r="BA794" s="2"/>
      <c r="BB794" s="2"/>
      <c r="BC794" s="2"/>
      <c r="BD794" s="2"/>
    </row>
    <row r="795" spans="1:56" ht="14.25" customHeight="1">
      <c r="A795" s="8"/>
      <c r="B795" s="12" t="s">
        <v>126</v>
      </c>
      <c r="C795" s="106">
        <f>SUM(C728,C736,C737,C744,C731)</f>
        <v>0</v>
      </c>
      <c r="D795" s="106">
        <f>SUM(D728,D736,D737,D744,D731)</f>
        <v>0</v>
      </c>
      <c r="E795" s="80" t="str">
        <f t="shared" si="305"/>
        <v>-</v>
      </c>
      <c r="F795" s="107">
        <f>SUM(F728,F736,F737,F744,F731)</f>
        <v>0</v>
      </c>
      <c r="G795" s="107">
        <f>SUM(G728,G736,G737,G744,G731)</f>
        <v>0</v>
      </c>
      <c r="H795" s="83" t="str">
        <f t="shared" si="306"/>
        <v>-</v>
      </c>
      <c r="I795" s="108">
        <f>SUM(I728,I736,I737,I744,I731)</f>
        <v>0</v>
      </c>
      <c r="J795" s="108">
        <f>SUM(J728,J736,J737,J744,J731)</f>
        <v>0</v>
      </c>
      <c r="K795" s="80" t="str">
        <f t="shared" si="307"/>
        <v>-</v>
      </c>
      <c r="L795" s="83" t="s">
        <v>19</v>
      </c>
      <c r="M795" s="83" t="s">
        <v>19</v>
      </c>
      <c r="N795" s="83" t="str">
        <f t="shared" si="308"/>
        <v>-</v>
      </c>
      <c r="O795" s="83" t="s">
        <v>19</v>
      </c>
      <c r="P795" s="83" t="s">
        <v>19</v>
      </c>
      <c r="Q795" s="83" t="str">
        <f t="shared" si="309"/>
        <v>-</v>
      </c>
      <c r="R795" s="83" t="s">
        <v>19</v>
      </c>
      <c r="S795" s="83" t="s">
        <v>19</v>
      </c>
      <c r="T795" s="83" t="str">
        <f t="shared" si="310"/>
        <v>-</v>
      </c>
      <c r="U795" s="86"/>
      <c r="V795" s="86"/>
      <c r="W795" s="91"/>
      <c r="X795" s="86"/>
      <c r="Y795" s="86"/>
      <c r="Z795" s="91"/>
      <c r="AA795" s="86"/>
      <c r="AB795" s="86"/>
      <c r="AC795" s="91"/>
      <c r="AD795" s="68"/>
      <c r="AE795" s="68"/>
      <c r="AF795" s="15"/>
      <c r="AG795" s="140"/>
      <c r="AH795" s="140"/>
      <c r="AI795" s="101"/>
      <c r="AJ795" s="68"/>
      <c r="AK795" s="68"/>
      <c r="AL795" s="15"/>
      <c r="AM795" s="101"/>
      <c r="AN795" s="101"/>
      <c r="AO795" s="101"/>
      <c r="AP795" s="68"/>
      <c r="AQ795" s="68"/>
      <c r="AR795" s="15"/>
      <c r="AS795" s="68"/>
      <c r="AT795" s="68"/>
      <c r="AU795" s="15"/>
      <c r="AV795" s="68"/>
      <c r="AW795" s="68"/>
      <c r="AX795" s="15"/>
      <c r="AY795" s="10"/>
      <c r="AZ795" s="2"/>
      <c r="BA795" s="2"/>
      <c r="BB795" s="2"/>
      <c r="BC795" s="2"/>
      <c r="BD795" s="2"/>
    </row>
    <row r="796" spans="1:56" ht="14.25" customHeight="1">
      <c r="A796" s="8"/>
      <c r="B796" s="12" t="s">
        <v>127</v>
      </c>
      <c r="C796" s="106">
        <f>SUM(C755,C757)</f>
        <v>0</v>
      </c>
      <c r="D796" s="106">
        <f>SUM(D755,D757)</f>
        <v>0</v>
      </c>
      <c r="E796" s="80" t="str">
        <f t="shared" si="305"/>
        <v>-</v>
      </c>
      <c r="F796" s="114">
        <f>SUM(F755,F757)</f>
        <v>0</v>
      </c>
      <c r="G796" s="114">
        <f>SUM(G755,G757)</f>
        <v>0</v>
      </c>
      <c r="H796" s="83" t="str">
        <f t="shared" si="306"/>
        <v>-</v>
      </c>
      <c r="I796" s="115">
        <f>SUM(I755,I757)</f>
        <v>0</v>
      </c>
      <c r="J796" s="115">
        <f>SUM(J755,J757)</f>
        <v>0</v>
      </c>
      <c r="K796" s="80" t="str">
        <f t="shared" si="307"/>
        <v>-</v>
      </c>
      <c r="L796" s="66">
        <f>SUM(L755,L757)</f>
        <v>0</v>
      </c>
      <c r="M796" s="66">
        <f>SUM(M755,M757)</f>
        <v>0</v>
      </c>
      <c r="N796" s="83" t="str">
        <f t="shared" si="308"/>
        <v>-</v>
      </c>
      <c r="O796" s="66">
        <f>SUM(O755,O757)</f>
        <v>0</v>
      </c>
      <c r="P796" s="66">
        <f>SUM(P755,P757)</f>
        <v>0</v>
      </c>
      <c r="Q796" s="83" t="str">
        <f t="shared" si="309"/>
        <v>-</v>
      </c>
      <c r="R796" s="66">
        <f>SUM(R755,R757)</f>
        <v>0</v>
      </c>
      <c r="S796" s="66">
        <f>SUM(S755,S757)</f>
        <v>0</v>
      </c>
      <c r="T796" s="83" t="str">
        <f t="shared" si="310"/>
        <v>-</v>
      </c>
      <c r="U796" s="79"/>
      <c r="V796" s="79"/>
      <c r="W796" s="91"/>
      <c r="X796" s="79"/>
      <c r="Y796" s="79"/>
      <c r="Z796" s="91"/>
      <c r="AA796" s="86"/>
      <c r="AB796" s="86"/>
      <c r="AC796" s="91"/>
      <c r="AD796" s="68"/>
      <c r="AE796" s="68"/>
      <c r="AF796" s="15"/>
      <c r="AG796" s="166"/>
      <c r="AH796" s="166"/>
      <c r="AI796" s="101"/>
      <c r="AJ796" s="14"/>
      <c r="AK796" s="14"/>
      <c r="AL796" s="15"/>
      <c r="AM796" s="101"/>
      <c r="AN796" s="101"/>
      <c r="AO796" s="101"/>
      <c r="AP796" s="14"/>
      <c r="AQ796" s="14"/>
      <c r="AR796" s="15"/>
      <c r="AS796" s="14"/>
      <c r="AT796" s="14"/>
      <c r="AU796" s="15"/>
      <c r="AV796" s="68"/>
      <c r="AW796" s="68"/>
      <c r="AX796" s="15"/>
      <c r="AY796" s="10"/>
      <c r="AZ796" s="2"/>
      <c r="BA796" s="2"/>
      <c r="BB796" s="2"/>
      <c r="BC796" s="2"/>
      <c r="BD796" s="2"/>
    </row>
    <row r="797" spans="1:56" ht="14.25" customHeight="1">
      <c r="A797" s="8"/>
      <c r="B797" s="45" t="s">
        <v>128</v>
      </c>
      <c r="C797" s="79"/>
      <c r="D797" s="79"/>
      <c r="E797" s="91"/>
      <c r="F797" s="164"/>
      <c r="G797" s="164"/>
      <c r="H797" s="90"/>
      <c r="I797" s="79"/>
      <c r="J797" s="79"/>
      <c r="K797" s="91"/>
      <c r="L797" s="118"/>
      <c r="M797" s="118"/>
      <c r="N797" s="90"/>
      <c r="O797" s="118"/>
      <c r="P797" s="118"/>
      <c r="Q797" s="90"/>
      <c r="R797" s="118"/>
      <c r="S797" s="118"/>
      <c r="T797" s="90"/>
      <c r="U797" s="79"/>
      <c r="V797" s="79"/>
      <c r="W797" s="91"/>
      <c r="X797" s="79"/>
      <c r="Y797" s="79"/>
      <c r="Z797" s="91"/>
      <c r="AA797" s="86"/>
      <c r="AB797" s="86"/>
      <c r="AC797" s="91"/>
      <c r="AD797" s="68"/>
      <c r="AE797" s="68"/>
      <c r="AF797" s="15"/>
      <c r="AG797" s="166"/>
      <c r="AH797" s="166"/>
      <c r="AI797" s="101"/>
      <c r="AJ797" s="14"/>
      <c r="AK797" s="14"/>
      <c r="AL797" s="15"/>
      <c r="AM797" s="101"/>
      <c r="AN797" s="101"/>
      <c r="AO797" s="101"/>
      <c r="AP797" s="14"/>
      <c r="AQ797" s="14"/>
      <c r="AR797" s="15"/>
      <c r="AS797" s="14"/>
      <c r="AT797" s="14"/>
      <c r="AU797" s="15"/>
      <c r="AV797" s="68"/>
      <c r="AW797" s="68"/>
      <c r="AX797" s="15"/>
      <c r="AY797" s="10"/>
      <c r="AZ797" s="2"/>
      <c r="BA797" s="2"/>
      <c r="BB797" s="2"/>
      <c r="BC797" s="2"/>
      <c r="BD797" s="2"/>
    </row>
    <row r="798" spans="1:56" ht="14.25" customHeight="1">
      <c r="A798" s="8"/>
      <c r="B798" s="12" t="s">
        <v>129</v>
      </c>
      <c r="C798" s="79"/>
      <c r="D798" s="79"/>
      <c r="E798" s="91"/>
      <c r="F798" s="164"/>
      <c r="G798" s="164"/>
      <c r="H798" s="90"/>
      <c r="I798" s="79"/>
      <c r="J798" s="79"/>
      <c r="K798" s="91"/>
      <c r="L798" s="118"/>
      <c r="M798" s="118"/>
      <c r="N798" s="90"/>
      <c r="O798" s="118"/>
      <c r="P798" s="118"/>
      <c r="Q798" s="90"/>
      <c r="R798" s="118"/>
      <c r="S798" s="118"/>
      <c r="T798" s="90"/>
      <c r="U798" s="79"/>
      <c r="V798" s="79"/>
      <c r="W798" s="91"/>
      <c r="X798" s="79"/>
      <c r="Y798" s="79"/>
      <c r="Z798" s="91"/>
      <c r="AA798" s="86"/>
      <c r="AB798" s="86"/>
      <c r="AC798" s="91"/>
      <c r="AD798" s="68"/>
      <c r="AE798" s="68"/>
      <c r="AF798" s="15"/>
      <c r="AG798" s="166"/>
      <c r="AH798" s="166"/>
      <c r="AI798" s="101"/>
      <c r="AJ798" s="14"/>
      <c r="AK798" s="14"/>
      <c r="AL798" s="15"/>
      <c r="AM798" s="101"/>
      <c r="AN798" s="101"/>
      <c r="AO798" s="101"/>
      <c r="AP798" s="14"/>
      <c r="AQ798" s="14"/>
      <c r="AR798" s="15"/>
      <c r="AS798" s="14"/>
      <c r="AT798" s="14"/>
      <c r="AU798" s="15"/>
      <c r="AV798" s="68"/>
      <c r="AW798" s="68"/>
      <c r="AX798" s="15"/>
      <c r="AY798" s="10"/>
      <c r="AZ798" s="2"/>
      <c r="BA798" s="2"/>
      <c r="BB798" s="2"/>
      <c r="BC798" s="2"/>
      <c r="BD798" s="2"/>
    </row>
    <row r="799" spans="1:56" ht="14.25" customHeight="1">
      <c r="A799" s="8"/>
      <c r="B799" s="12" t="s">
        <v>130</v>
      </c>
      <c r="C799" s="111">
        <f>SUM(C738,C740,C745)</f>
        <v>0</v>
      </c>
      <c r="D799" s="111">
        <f>SUM(D738,D740,D745)</f>
        <v>0</v>
      </c>
      <c r="E799" s="80" t="str">
        <f>IFERROR(C799/D799,"-")</f>
        <v>-</v>
      </c>
      <c r="F799" s="107">
        <f>SUM(F738,F740,F745)</f>
        <v>0</v>
      </c>
      <c r="G799" s="107">
        <f>SUM(G738,G740,G745)</f>
        <v>0</v>
      </c>
      <c r="H799" s="83" t="str">
        <f>IFERROR(F799/G799,"-")</f>
        <v>-</v>
      </c>
      <c r="I799" s="108">
        <f>SUM(I738,I740,I745)</f>
        <v>0</v>
      </c>
      <c r="J799" s="108">
        <f>SUM(J738,J740,J745)</f>
        <v>0</v>
      </c>
      <c r="K799" s="80" t="str">
        <f>IFERROR(I799/J799,"-")</f>
        <v>-</v>
      </c>
      <c r="L799" s="83" t="s">
        <v>19</v>
      </c>
      <c r="M799" s="83" t="s">
        <v>19</v>
      </c>
      <c r="N799" s="83" t="str">
        <f>IFERROR(L799/M799,"-")</f>
        <v>-</v>
      </c>
      <c r="O799" s="83" t="s">
        <v>19</v>
      </c>
      <c r="P799" s="83" t="s">
        <v>19</v>
      </c>
      <c r="Q799" s="83" t="str">
        <f>IFERROR(O799/P799,"-")</f>
        <v>-</v>
      </c>
      <c r="R799" s="83" t="s">
        <v>19</v>
      </c>
      <c r="S799" s="83" t="s">
        <v>19</v>
      </c>
      <c r="T799" s="83" t="str">
        <f>IFERROR(R799/S799,"-")</f>
        <v>-</v>
      </c>
      <c r="U799" s="86"/>
      <c r="V799" s="86"/>
      <c r="W799" s="91"/>
      <c r="X799" s="86"/>
      <c r="Y799" s="86"/>
      <c r="Z799" s="91"/>
      <c r="AA799" s="86"/>
      <c r="AB799" s="86"/>
      <c r="AC799" s="91"/>
      <c r="AD799" s="68"/>
      <c r="AE799" s="68"/>
      <c r="AF799" s="15"/>
      <c r="AG799" s="140"/>
      <c r="AH799" s="140"/>
      <c r="AI799" s="101"/>
      <c r="AJ799" s="68"/>
      <c r="AK799" s="68"/>
      <c r="AL799" s="15"/>
      <c r="AM799" s="101"/>
      <c r="AN799" s="101"/>
      <c r="AO799" s="101"/>
      <c r="AP799" s="68"/>
      <c r="AQ799" s="68"/>
      <c r="AR799" s="15"/>
      <c r="AS799" s="68"/>
      <c r="AT799" s="68"/>
      <c r="AU799" s="15"/>
      <c r="AV799" s="68"/>
      <c r="AW799" s="68"/>
      <c r="AX799" s="15"/>
      <c r="AY799" s="10"/>
      <c r="AZ799" s="2"/>
      <c r="BA799" s="2"/>
      <c r="BB799" s="2"/>
      <c r="BC799" s="2"/>
      <c r="BD799" s="2"/>
    </row>
    <row r="800" spans="1:56" ht="14.25" customHeight="1">
      <c r="A800" s="8"/>
      <c r="B800" s="12" t="s">
        <v>131</v>
      </c>
      <c r="C800" s="85">
        <f>C756</f>
        <v>0</v>
      </c>
      <c r="D800" s="85">
        <f>D756</f>
        <v>0</v>
      </c>
      <c r="E800" s="80" t="str">
        <f>IFERROR(C800/D800,"-")</f>
        <v>-</v>
      </c>
      <c r="F800" s="114">
        <f>SUM(F756)</f>
        <v>0</v>
      </c>
      <c r="G800" s="114">
        <f>SUM(G756)</f>
        <v>0</v>
      </c>
      <c r="H800" s="83" t="str">
        <f>IFERROR(F800/G800,"-")</f>
        <v>-</v>
      </c>
      <c r="I800" s="115">
        <f>SUM(I756)</f>
        <v>0</v>
      </c>
      <c r="J800" s="115">
        <f>SUM(J756)</f>
        <v>0</v>
      </c>
      <c r="K800" s="80" t="str">
        <f>IFERROR(I800/J800,"-")</f>
        <v>-</v>
      </c>
      <c r="L800" s="66">
        <f>SUM(L756)</f>
        <v>0</v>
      </c>
      <c r="M800" s="66">
        <f>SUM(M756)</f>
        <v>0</v>
      </c>
      <c r="N800" s="83" t="str">
        <f>IFERROR(L800/M800,"-")</f>
        <v>-</v>
      </c>
      <c r="O800" s="66">
        <f>SUM(O756)</f>
        <v>0</v>
      </c>
      <c r="P800" s="66">
        <f>SUM(P756)</f>
        <v>0</v>
      </c>
      <c r="Q800" s="83" t="str">
        <f>IFERROR(O800/P800,"-")</f>
        <v>-</v>
      </c>
      <c r="R800" s="66">
        <f>SUM(R756)</f>
        <v>0</v>
      </c>
      <c r="S800" s="66">
        <f>SUM(S756)</f>
        <v>0</v>
      </c>
      <c r="T800" s="83" t="str">
        <f>IFERROR(R800/S800,"-")</f>
        <v>-</v>
      </c>
      <c r="U800" s="79"/>
      <c r="V800" s="79"/>
      <c r="W800" s="91"/>
      <c r="X800" s="79"/>
      <c r="Y800" s="79"/>
      <c r="Z800" s="91"/>
      <c r="AA800" s="86"/>
      <c r="AB800" s="86"/>
      <c r="AC800" s="91"/>
      <c r="AD800" s="68"/>
      <c r="AE800" s="68"/>
      <c r="AF800" s="15"/>
      <c r="AG800" s="166"/>
      <c r="AH800" s="166"/>
      <c r="AI800" s="101"/>
      <c r="AJ800" s="14"/>
      <c r="AK800" s="14"/>
      <c r="AL800" s="15"/>
      <c r="AM800" s="101"/>
      <c r="AN800" s="101"/>
      <c r="AO800" s="101"/>
      <c r="AP800" s="14"/>
      <c r="AQ800" s="14"/>
      <c r="AR800" s="15"/>
      <c r="AS800" s="14"/>
      <c r="AT800" s="14"/>
      <c r="AU800" s="15"/>
      <c r="AV800" s="68"/>
      <c r="AW800" s="68"/>
      <c r="AX800" s="15"/>
      <c r="AY800" s="10"/>
      <c r="AZ800" s="2"/>
      <c r="BA800" s="2"/>
      <c r="BB800" s="2"/>
      <c r="BC800" s="2"/>
      <c r="BD800" s="2"/>
    </row>
    <row r="801" spans="1:56" ht="14.25" customHeight="1">
      <c r="A801" s="8"/>
      <c r="B801" s="45" t="s">
        <v>132</v>
      </c>
      <c r="C801" s="85">
        <f>C757</f>
        <v>0</v>
      </c>
      <c r="D801" s="85">
        <f>D757</f>
        <v>0</v>
      </c>
      <c r="E801" s="80" t="str">
        <f>IFERROR(C801/D801,"-")</f>
        <v>-</v>
      </c>
      <c r="F801" s="114">
        <f>SUM(F757)</f>
        <v>0</v>
      </c>
      <c r="G801" s="114">
        <f>SUM(G757)</f>
        <v>0</v>
      </c>
      <c r="H801" s="83" t="str">
        <f>IFERROR(F801/G801,"-")</f>
        <v>-</v>
      </c>
      <c r="I801" s="115">
        <f>SUM(I757)</f>
        <v>0</v>
      </c>
      <c r="J801" s="115">
        <f>SUM(J757)</f>
        <v>0</v>
      </c>
      <c r="K801" s="80" t="str">
        <f>IFERROR(I801/J801,"-")</f>
        <v>-</v>
      </c>
      <c r="L801" s="66">
        <f>SUM(L757)</f>
        <v>0</v>
      </c>
      <c r="M801" s="66">
        <f>SUM(M757)</f>
        <v>0</v>
      </c>
      <c r="N801" s="83" t="str">
        <f>IFERROR(L801/M801,"-")</f>
        <v>-</v>
      </c>
      <c r="O801" s="66">
        <f>SUM(O757)</f>
        <v>0</v>
      </c>
      <c r="P801" s="66">
        <f>SUM(P757)</f>
        <v>0</v>
      </c>
      <c r="Q801" s="83" t="str">
        <f>IFERROR(O801/P801,"-")</f>
        <v>-</v>
      </c>
      <c r="R801" s="66">
        <f>SUM(R757)</f>
        <v>0</v>
      </c>
      <c r="S801" s="66">
        <f>SUM(S757)</f>
        <v>0</v>
      </c>
      <c r="T801" s="83" t="str">
        <f>IFERROR(R801/S801,"-")</f>
        <v>-</v>
      </c>
      <c r="U801" s="79"/>
      <c r="V801" s="79"/>
      <c r="W801" s="91"/>
      <c r="X801" s="79"/>
      <c r="Y801" s="79"/>
      <c r="Z801" s="91"/>
      <c r="AA801" s="86"/>
      <c r="AB801" s="86"/>
      <c r="AC801" s="91"/>
      <c r="AD801" s="68"/>
      <c r="AE801" s="68"/>
      <c r="AF801" s="15"/>
      <c r="AG801" s="166"/>
      <c r="AH801" s="166"/>
      <c r="AI801" s="101"/>
      <c r="AJ801" s="14"/>
      <c r="AK801" s="14"/>
      <c r="AL801" s="15"/>
      <c r="AM801" s="101"/>
      <c r="AN801" s="101"/>
      <c r="AO801" s="101"/>
      <c r="AP801" s="14"/>
      <c r="AQ801" s="14"/>
      <c r="AR801" s="15"/>
      <c r="AS801" s="14"/>
      <c r="AT801" s="14"/>
      <c r="AU801" s="15"/>
      <c r="AV801" s="68"/>
      <c r="AW801" s="68"/>
      <c r="AX801" s="15"/>
      <c r="AY801" s="10"/>
      <c r="AZ801" s="2"/>
      <c r="BA801" s="2"/>
      <c r="BB801" s="2"/>
      <c r="BC801" s="2"/>
      <c r="BD801" s="2"/>
    </row>
    <row r="802" spans="1:56" ht="14.25" customHeight="1">
      <c r="A802" s="8"/>
      <c r="B802" s="12" t="s">
        <v>133</v>
      </c>
      <c r="C802" s="79"/>
      <c r="D802" s="79"/>
      <c r="E802" s="91"/>
      <c r="F802" s="164"/>
      <c r="G802" s="164"/>
      <c r="H802" s="90"/>
      <c r="I802" s="79"/>
      <c r="J802" s="79"/>
      <c r="K802" s="91"/>
      <c r="L802" s="118"/>
      <c r="M802" s="118"/>
      <c r="N802" s="90"/>
      <c r="O802" s="118"/>
      <c r="P802" s="118"/>
      <c r="Q802" s="90"/>
      <c r="R802" s="118"/>
      <c r="S802" s="118"/>
      <c r="T802" s="90"/>
      <c r="U802" s="79"/>
      <c r="V802" s="79"/>
      <c r="W802" s="91"/>
      <c r="X802" s="79"/>
      <c r="Y802" s="79"/>
      <c r="Z802" s="91"/>
      <c r="AA802" s="86"/>
      <c r="AB802" s="86"/>
      <c r="AC802" s="91"/>
      <c r="AD802" s="68"/>
      <c r="AE802" s="68"/>
      <c r="AF802" s="15"/>
      <c r="AG802" s="166"/>
      <c r="AH802" s="166"/>
      <c r="AI802" s="101"/>
      <c r="AJ802" s="14"/>
      <c r="AK802" s="14"/>
      <c r="AL802" s="15"/>
      <c r="AM802" s="101"/>
      <c r="AN802" s="101"/>
      <c r="AO802" s="101"/>
      <c r="AP802" s="14"/>
      <c r="AQ802" s="14"/>
      <c r="AR802" s="15"/>
      <c r="AS802" s="14"/>
      <c r="AT802" s="14"/>
      <c r="AU802" s="15"/>
      <c r="AV802" s="68"/>
      <c r="AW802" s="68"/>
      <c r="AX802" s="15"/>
      <c r="AY802" s="10"/>
      <c r="AZ802" s="2"/>
      <c r="BA802" s="2"/>
      <c r="BB802" s="2"/>
      <c r="BC802" s="2"/>
      <c r="BD802" s="2"/>
    </row>
    <row r="803" spans="1:56" ht="14.25" customHeight="1">
      <c r="A803" s="2"/>
      <c r="B803" s="23"/>
      <c r="C803" s="23"/>
      <c r="D803" s="23"/>
      <c r="E803" s="46"/>
      <c r="F803" s="23"/>
      <c r="G803" s="23"/>
      <c r="H803" s="46"/>
      <c r="I803" s="23"/>
      <c r="J803" s="23"/>
      <c r="K803" s="46"/>
      <c r="L803" s="47"/>
      <c r="M803" s="47"/>
      <c r="N803" s="46"/>
      <c r="O803" s="47"/>
      <c r="P803" s="47"/>
      <c r="Q803" s="46"/>
      <c r="R803" s="47"/>
      <c r="S803" s="47"/>
      <c r="T803" s="46"/>
      <c r="U803" s="23"/>
      <c r="V803" s="23"/>
      <c r="W803" s="46"/>
      <c r="X803" s="23"/>
      <c r="Y803" s="23"/>
      <c r="Z803" s="46"/>
      <c r="AA803" s="23"/>
      <c r="AB803" s="23"/>
      <c r="AC803" s="46"/>
      <c r="AD803" s="47"/>
      <c r="AE803" s="47"/>
      <c r="AF803" s="46"/>
      <c r="AG803" s="47"/>
      <c r="AH803" s="47"/>
      <c r="AI803" s="46"/>
      <c r="AJ803" s="23"/>
      <c r="AK803" s="23"/>
      <c r="AL803" s="46"/>
      <c r="AM803" s="46"/>
      <c r="AN803" s="46"/>
      <c r="AO803" s="46"/>
      <c r="AP803" s="23"/>
      <c r="AQ803" s="23"/>
      <c r="AR803" s="46"/>
      <c r="AS803" s="23"/>
      <c r="AT803" s="23"/>
      <c r="AU803" s="46"/>
      <c r="AV803" s="47"/>
      <c r="AW803" s="47"/>
      <c r="AX803" s="46"/>
      <c r="AY803" s="2"/>
      <c r="AZ803" s="2"/>
      <c r="BA803" s="2"/>
      <c r="BB803" s="2"/>
      <c r="BC803" s="2"/>
      <c r="BD803" s="2"/>
    </row>
    <row r="804" spans="1:56" ht="14.25" customHeight="1">
      <c r="A804" s="2"/>
      <c r="B804" s="2"/>
      <c r="C804" s="2"/>
      <c r="D804" s="2"/>
      <c r="E804" s="24"/>
      <c r="F804" s="2"/>
      <c r="G804" s="2"/>
      <c r="H804" s="24"/>
      <c r="I804" s="2"/>
      <c r="J804" s="2"/>
      <c r="K804" s="24"/>
      <c r="L804" s="124"/>
      <c r="M804" s="124"/>
      <c r="N804" s="24"/>
      <c r="O804" s="124"/>
      <c r="P804" s="124"/>
      <c r="Q804" s="24"/>
      <c r="R804" s="124"/>
      <c r="S804" s="124"/>
      <c r="T804" s="24"/>
      <c r="U804" s="2"/>
      <c r="V804" s="2"/>
      <c r="W804" s="24"/>
      <c r="X804" s="2"/>
      <c r="Y804" s="2"/>
      <c r="Z804" s="24"/>
      <c r="AA804" s="2"/>
      <c r="AB804" s="2"/>
      <c r="AC804" s="24"/>
      <c r="AD804" s="2"/>
      <c r="AE804" s="124"/>
      <c r="AF804" s="24"/>
      <c r="AG804" s="124"/>
      <c r="AH804" s="124"/>
      <c r="AI804" s="24"/>
      <c r="AJ804" s="2"/>
      <c r="AK804" s="2"/>
      <c r="AL804" s="24"/>
      <c r="AM804" s="24"/>
      <c r="AN804" s="24"/>
      <c r="AO804" s="24"/>
      <c r="AP804" s="2"/>
      <c r="AQ804" s="2"/>
      <c r="AR804" s="24"/>
      <c r="AS804" s="2"/>
      <c r="AT804" s="2"/>
      <c r="AU804" s="24"/>
      <c r="AV804" s="124"/>
      <c r="AW804" s="124"/>
      <c r="AX804" s="24"/>
      <c r="AY804" s="2"/>
      <c r="AZ804" s="2"/>
      <c r="BA804" s="2"/>
      <c r="BB804" s="2"/>
      <c r="BC804" s="2"/>
      <c r="BD804" s="2"/>
    </row>
    <row r="805" spans="1:56" ht="14.25" customHeight="1">
      <c r="A805" s="6" t="s">
        <v>236</v>
      </c>
      <c r="B805" s="25"/>
      <c r="C805" s="25"/>
      <c r="D805" s="25"/>
      <c r="E805" s="25"/>
      <c r="F805" s="25"/>
      <c r="G805" s="25"/>
      <c r="H805" s="25"/>
      <c r="I805" s="25"/>
      <c r="J805" s="25"/>
      <c r="K805" s="25"/>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row>
    <row r="806" spans="1:56" ht="14.25" customHeight="1">
      <c r="A806" s="26"/>
      <c r="B806" s="58"/>
      <c r="C806" s="58"/>
      <c r="D806" s="58"/>
      <c r="E806" s="58"/>
      <c r="F806" s="58"/>
      <c r="G806" s="58"/>
      <c r="H806" s="58"/>
      <c r="I806" s="58"/>
      <c r="J806" s="58"/>
      <c r="K806" s="58"/>
      <c r="L806" s="31"/>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row>
    <row r="807" spans="1:56" ht="15" customHeight="1">
      <c r="A807" s="8"/>
      <c r="B807" s="511" t="s">
        <v>237</v>
      </c>
      <c r="C807" s="520">
        <v>44927</v>
      </c>
      <c r="D807" s="503"/>
      <c r="E807" s="505"/>
      <c r="F807" s="520">
        <v>44958</v>
      </c>
      <c r="G807" s="503"/>
      <c r="H807" s="505"/>
      <c r="I807" s="502" t="s">
        <v>11</v>
      </c>
      <c r="J807" s="503"/>
      <c r="K807" s="505"/>
      <c r="L807" s="10"/>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row>
    <row r="808" spans="1:56" ht="30" customHeight="1">
      <c r="A808" s="8"/>
      <c r="B808" s="521"/>
      <c r="C808" s="32" t="s">
        <v>117</v>
      </c>
      <c r="D808" s="32" t="s">
        <v>118</v>
      </c>
      <c r="E808" s="32" t="s">
        <v>17</v>
      </c>
      <c r="F808" s="32" t="s">
        <v>117</v>
      </c>
      <c r="G808" s="32" t="s">
        <v>118</v>
      </c>
      <c r="H808" s="32" t="s">
        <v>17</v>
      </c>
      <c r="I808" s="32" t="s">
        <v>117</v>
      </c>
      <c r="J808" s="32" t="s">
        <v>118</v>
      </c>
      <c r="K808" s="32" t="s">
        <v>17</v>
      </c>
      <c r="L808" s="10"/>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row>
    <row r="809" spans="1:56" ht="14.25" customHeight="1">
      <c r="A809" s="8"/>
      <c r="B809" s="12" t="s">
        <v>43</v>
      </c>
      <c r="C809" s="70">
        <f>SUM(C812:C813,C811)</f>
        <v>0</v>
      </c>
      <c r="D809" s="70">
        <f>SUM(D812:D813,D811)</f>
        <v>0</v>
      </c>
      <c r="E809" s="37" t="str">
        <f t="shared" ref="E809:E838" si="311">IFERROR(C809/D809,"-")</f>
        <v>-</v>
      </c>
      <c r="F809" s="70">
        <f>SUM(F812:F813,F811)</f>
        <v>0</v>
      </c>
      <c r="G809" s="70">
        <f>SUM(G812:G813,G811)</f>
        <v>0</v>
      </c>
      <c r="H809" s="37" t="str">
        <f t="shared" ref="H809:H838" si="312">IFERROR(F809/G809,"-")</f>
        <v>-</v>
      </c>
      <c r="I809" s="70"/>
      <c r="J809" s="70"/>
      <c r="K809" s="37" t="str">
        <f t="shared" ref="K809:K838" si="313">IFERROR(I809/J809,"-")</f>
        <v>-</v>
      </c>
      <c r="L809" s="10"/>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row>
    <row r="810" spans="1:56" ht="14.25" customHeight="1">
      <c r="A810" s="8"/>
      <c r="B810" s="38" t="s">
        <v>44</v>
      </c>
      <c r="C810" s="70">
        <f>SUM(C811,C812)</f>
        <v>0</v>
      </c>
      <c r="D810" s="70">
        <f>SUM(D811,D812)</f>
        <v>0</v>
      </c>
      <c r="E810" s="37" t="str">
        <f t="shared" si="311"/>
        <v>-</v>
      </c>
      <c r="F810" s="70">
        <f>SUM(F811,F812)</f>
        <v>0</v>
      </c>
      <c r="G810" s="70">
        <f>SUM(G811,G812)</f>
        <v>0</v>
      </c>
      <c r="H810" s="37" t="str">
        <f t="shared" si="312"/>
        <v>-</v>
      </c>
      <c r="I810" s="70"/>
      <c r="J810" s="70"/>
      <c r="K810" s="37" t="str">
        <f t="shared" si="313"/>
        <v>-</v>
      </c>
      <c r="L810" s="10"/>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row>
    <row r="811" spans="1:56" ht="14.25" customHeight="1">
      <c r="A811" s="8"/>
      <c r="B811" s="38" t="s">
        <v>45</v>
      </c>
      <c r="C811" s="78">
        <f>SUM(C815,C816:C835)</f>
        <v>0</v>
      </c>
      <c r="D811" s="78">
        <f>SUM(D815,D816:D835)</f>
        <v>0</v>
      </c>
      <c r="E811" s="40" t="str">
        <f t="shared" si="311"/>
        <v>-</v>
      </c>
      <c r="F811" s="78">
        <f>SUM(F815,F816:F835)</f>
        <v>0</v>
      </c>
      <c r="G811" s="78">
        <f>SUM(G815,G816:G835)</f>
        <v>0</v>
      </c>
      <c r="H811" s="40" t="str">
        <f t="shared" si="312"/>
        <v>-</v>
      </c>
      <c r="I811" s="78"/>
      <c r="J811" s="78"/>
      <c r="K811" s="40" t="str">
        <f t="shared" si="313"/>
        <v>-</v>
      </c>
      <c r="L811" s="10"/>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row>
    <row r="812" spans="1:56" ht="14.25" customHeight="1">
      <c r="A812" s="8"/>
      <c r="B812" s="43" t="s">
        <v>46</v>
      </c>
      <c r="C812" s="97">
        <f>SUM(C844:C846)</f>
        <v>0</v>
      </c>
      <c r="D812" s="97">
        <f>SUM(D844:D846)</f>
        <v>0</v>
      </c>
      <c r="E812" s="37" t="str">
        <f t="shared" si="311"/>
        <v>-</v>
      </c>
      <c r="F812" s="97">
        <f>SUM(F844:F846)</f>
        <v>0</v>
      </c>
      <c r="G812" s="97">
        <f>SUM(G844:G846)</f>
        <v>0</v>
      </c>
      <c r="H812" s="37" t="str">
        <f t="shared" si="312"/>
        <v>-</v>
      </c>
      <c r="I812" s="70"/>
      <c r="J812" s="70"/>
      <c r="K812" s="37" t="str">
        <f t="shared" si="313"/>
        <v>-</v>
      </c>
      <c r="L812" s="10"/>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row>
    <row r="813" spans="1:56" ht="14.25" customHeight="1">
      <c r="A813" s="8"/>
      <c r="B813" s="45" t="s">
        <v>47</v>
      </c>
      <c r="C813" s="81" t="s">
        <v>19</v>
      </c>
      <c r="D813" s="81" t="s">
        <v>19</v>
      </c>
      <c r="E813" s="37" t="str">
        <f t="shared" si="311"/>
        <v>-</v>
      </c>
      <c r="F813" s="81" t="s">
        <v>19</v>
      </c>
      <c r="G813" s="81" t="s">
        <v>19</v>
      </c>
      <c r="H813" s="37" t="str">
        <f t="shared" si="312"/>
        <v>-</v>
      </c>
      <c r="I813" s="70"/>
      <c r="J813" s="70"/>
      <c r="K813" s="37" t="str">
        <f t="shared" si="313"/>
        <v>-</v>
      </c>
      <c r="L813" s="10"/>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row>
    <row r="814" spans="1:56" ht="14.25" customHeight="1">
      <c r="A814" s="8"/>
      <c r="B814" s="12" t="s">
        <v>48</v>
      </c>
      <c r="C814" s="70">
        <f>C811</f>
        <v>0</v>
      </c>
      <c r="D814" s="70">
        <f>D811</f>
        <v>0</v>
      </c>
      <c r="E814" s="37" t="str">
        <f t="shared" si="311"/>
        <v>-</v>
      </c>
      <c r="F814" s="70">
        <f>F811</f>
        <v>0</v>
      </c>
      <c r="G814" s="70">
        <f>G811</f>
        <v>0</v>
      </c>
      <c r="H814" s="37" t="str">
        <f t="shared" si="312"/>
        <v>-</v>
      </c>
      <c r="I814" s="70"/>
      <c r="J814" s="70"/>
      <c r="K814" s="37" t="str">
        <f t="shared" si="313"/>
        <v>-</v>
      </c>
      <c r="L814" s="10"/>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row>
    <row r="815" spans="1:56" ht="14.25" customHeight="1">
      <c r="A815" s="8"/>
      <c r="B815" s="12" t="s">
        <v>67</v>
      </c>
      <c r="C815" s="68"/>
      <c r="D815" s="68"/>
      <c r="E815" s="37" t="str">
        <f t="shared" si="311"/>
        <v>-</v>
      </c>
      <c r="F815" s="68"/>
      <c r="G815" s="68"/>
      <c r="H815" s="37" t="str">
        <f t="shared" si="312"/>
        <v>-</v>
      </c>
      <c r="I815" s="70"/>
      <c r="J815" s="70"/>
      <c r="K815" s="37" t="str">
        <f t="shared" si="313"/>
        <v>-</v>
      </c>
      <c r="L815" s="10"/>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row>
    <row r="816" spans="1:56" ht="14.25" customHeight="1">
      <c r="A816" s="8"/>
      <c r="B816" s="12" t="s">
        <v>69</v>
      </c>
      <c r="C816" s="14"/>
      <c r="D816" s="14"/>
      <c r="E816" s="37" t="str">
        <f t="shared" si="311"/>
        <v>-</v>
      </c>
      <c r="F816" s="14"/>
      <c r="G816" s="14"/>
      <c r="H816" s="37" t="str">
        <f t="shared" si="312"/>
        <v>-</v>
      </c>
      <c r="I816" s="70"/>
      <c r="J816" s="70"/>
      <c r="K816" s="37" t="str">
        <f t="shared" si="313"/>
        <v>-</v>
      </c>
      <c r="L816" s="10"/>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row>
    <row r="817" spans="1:56" ht="14.25" customHeight="1">
      <c r="A817" s="8"/>
      <c r="B817" s="12" t="s">
        <v>70</v>
      </c>
      <c r="C817" s="14"/>
      <c r="D817" s="14"/>
      <c r="E817" s="37" t="str">
        <f t="shared" si="311"/>
        <v>-</v>
      </c>
      <c r="F817" s="14"/>
      <c r="G817" s="14"/>
      <c r="H817" s="37" t="str">
        <f t="shared" si="312"/>
        <v>-</v>
      </c>
      <c r="I817" s="70"/>
      <c r="J817" s="70"/>
      <c r="K817" s="37" t="str">
        <f t="shared" si="313"/>
        <v>-</v>
      </c>
      <c r="L817" s="10"/>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row>
    <row r="818" spans="1:56" ht="14.25" customHeight="1">
      <c r="A818" s="8"/>
      <c r="B818" s="12" t="s">
        <v>71</v>
      </c>
      <c r="C818" s="68"/>
      <c r="D818" s="68"/>
      <c r="E818" s="37" t="str">
        <f t="shared" si="311"/>
        <v>-</v>
      </c>
      <c r="F818" s="14"/>
      <c r="G818" s="14"/>
      <c r="H818" s="37" t="str">
        <f t="shared" si="312"/>
        <v>-</v>
      </c>
      <c r="I818" s="70"/>
      <c r="J818" s="70"/>
      <c r="K818" s="37" t="str">
        <f t="shared" si="313"/>
        <v>-</v>
      </c>
      <c r="L818" s="10"/>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row>
    <row r="819" spans="1:56" ht="14.25" customHeight="1">
      <c r="A819" s="8"/>
      <c r="B819" s="12" t="s">
        <v>72</v>
      </c>
      <c r="C819" s="68"/>
      <c r="D819" s="68"/>
      <c r="E819" s="37" t="str">
        <f t="shared" si="311"/>
        <v>-</v>
      </c>
      <c r="F819" s="14"/>
      <c r="G819" s="14"/>
      <c r="H819" s="37" t="str">
        <f t="shared" si="312"/>
        <v>-</v>
      </c>
      <c r="I819" s="70"/>
      <c r="J819" s="70"/>
      <c r="K819" s="37" t="str">
        <f t="shared" si="313"/>
        <v>-</v>
      </c>
      <c r="L819" s="10"/>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row>
    <row r="820" spans="1:56" ht="14.25" customHeight="1">
      <c r="A820" s="8"/>
      <c r="B820" s="12" t="s">
        <v>73</v>
      </c>
      <c r="C820" s="14"/>
      <c r="D820" s="14"/>
      <c r="E820" s="37" t="str">
        <f t="shared" si="311"/>
        <v>-</v>
      </c>
      <c r="F820" s="14"/>
      <c r="G820" s="14"/>
      <c r="H820" s="37" t="str">
        <f t="shared" si="312"/>
        <v>-</v>
      </c>
      <c r="I820" s="70"/>
      <c r="J820" s="70"/>
      <c r="K820" s="37" t="str">
        <f t="shared" si="313"/>
        <v>-</v>
      </c>
      <c r="L820" s="10"/>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row>
    <row r="821" spans="1:56" ht="14.25" customHeight="1">
      <c r="A821" s="8"/>
      <c r="B821" s="12" t="s">
        <v>74</v>
      </c>
      <c r="C821" s="68"/>
      <c r="D821" s="68"/>
      <c r="E821" s="37" t="str">
        <f t="shared" si="311"/>
        <v>-</v>
      </c>
      <c r="F821" s="14"/>
      <c r="G821" s="14"/>
      <c r="H821" s="37" t="str">
        <f t="shared" si="312"/>
        <v>-</v>
      </c>
      <c r="I821" s="70"/>
      <c r="J821" s="70"/>
      <c r="K821" s="37" t="str">
        <f t="shared" si="313"/>
        <v>-</v>
      </c>
      <c r="L821" s="10"/>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row>
    <row r="822" spans="1:56" ht="14.25" customHeight="1">
      <c r="A822" s="8"/>
      <c r="B822" s="12" t="s">
        <v>75</v>
      </c>
      <c r="C822" s="68"/>
      <c r="D822" s="68"/>
      <c r="E822" s="37" t="str">
        <f t="shared" si="311"/>
        <v>-</v>
      </c>
      <c r="F822" s="14"/>
      <c r="G822" s="14"/>
      <c r="H822" s="37" t="str">
        <f t="shared" si="312"/>
        <v>-</v>
      </c>
      <c r="I822" s="70"/>
      <c r="J822" s="70"/>
      <c r="K822" s="37" t="str">
        <f t="shared" si="313"/>
        <v>-</v>
      </c>
      <c r="L822" s="10"/>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row>
    <row r="823" spans="1:56" ht="14.25" customHeight="1">
      <c r="A823" s="8"/>
      <c r="B823" s="12" t="s">
        <v>76</v>
      </c>
      <c r="C823" s="68"/>
      <c r="D823" s="68"/>
      <c r="E823" s="37" t="str">
        <f t="shared" si="311"/>
        <v>-</v>
      </c>
      <c r="F823" s="14"/>
      <c r="G823" s="14"/>
      <c r="H823" s="37" t="str">
        <f t="shared" si="312"/>
        <v>-</v>
      </c>
      <c r="I823" s="70"/>
      <c r="J823" s="70"/>
      <c r="K823" s="37" t="str">
        <f t="shared" si="313"/>
        <v>-</v>
      </c>
      <c r="L823" s="10"/>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row>
    <row r="824" spans="1:56" ht="14.25" customHeight="1">
      <c r="A824" s="8"/>
      <c r="B824" s="12" t="s">
        <v>77</v>
      </c>
      <c r="C824" s="14"/>
      <c r="D824" s="14"/>
      <c r="E824" s="37" t="str">
        <f t="shared" si="311"/>
        <v>-</v>
      </c>
      <c r="F824" s="14"/>
      <c r="G824" s="14"/>
      <c r="H824" s="37" t="str">
        <f t="shared" si="312"/>
        <v>-</v>
      </c>
      <c r="I824" s="70"/>
      <c r="J824" s="70"/>
      <c r="K824" s="37" t="str">
        <f t="shared" si="313"/>
        <v>-</v>
      </c>
      <c r="L824" s="10"/>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row>
    <row r="825" spans="1:56" ht="14.25" customHeight="1">
      <c r="A825" s="8"/>
      <c r="B825" s="12" t="s">
        <v>78</v>
      </c>
      <c r="C825" s="14"/>
      <c r="D825" s="14"/>
      <c r="E825" s="37" t="str">
        <f t="shared" si="311"/>
        <v>-</v>
      </c>
      <c r="F825" s="14"/>
      <c r="G825" s="14"/>
      <c r="H825" s="37" t="str">
        <f t="shared" si="312"/>
        <v>-</v>
      </c>
      <c r="I825" s="70"/>
      <c r="J825" s="70"/>
      <c r="K825" s="37" t="str">
        <f t="shared" si="313"/>
        <v>-</v>
      </c>
      <c r="L825" s="10"/>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row>
    <row r="826" spans="1:56" ht="14.25" customHeight="1">
      <c r="A826" s="8"/>
      <c r="B826" s="12" t="s">
        <v>79</v>
      </c>
      <c r="C826" s="14"/>
      <c r="D826" s="14"/>
      <c r="E826" s="37" t="str">
        <f t="shared" si="311"/>
        <v>-</v>
      </c>
      <c r="F826" s="14"/>
      <c r="G826" s="14"/>
      <c r="H826" s="37" t="str">
        <f t="shared" si="312"/>
        <v>-</v>
      </c>
      <c r="I826" s="70"/>
      <c r="J826" s="70"/>
      <c r="K826" s="37" t="str">
        <f t="shared" si="313"/>
        <v>-</v>
      </c>
      <c r="L826" s="10"/>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row>
    <row r="827" spans="1:56" ht="14.25" customHeight="1">
      <c r="A827" s="8"/>
      <c r="B827" s="12" t="s">
        <v>80</v>
      </c>
      <c r="C827" s="14"/>
      <c r="D827" s="14"/>
      <c r="E827" s="37" t="str">
        <f t="shared" si="311"/>
        <v>-</v>
      </c>
      <c r="F827" s="14"/>
      <c r="G827" s="14"/>
      <c r="H827" s="37" t="str">
        <f t="shared" si="312"/>
        <v>-</v>
      </c>
      <c r="I827" s="70"/>
      <c r="J827" s="70"/>
      <c r="K827" s="37" t="str">
        <f t="shared" si="313"/>
        <v>-</v>
      </c>
      <c r="L827" s="10"/>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row>
    <row r="828" spans="1:56" ht="14.25" customHeight="1">
      <c r="A828" s="8"/>
      <c r="B828" s="12" t="s">
        <v>81</v>
      </c>
      <c r="C828" s="68"/>
      <c r="D828" s="68"/>
      <c r="E828" s="37" t="str">
        <f t="shared" si="311"/>
        <v>-</v>
      </c>
      <c r="F828" s="14"/>
      <c r="G828" s="14"/>
      <c r="H828" s="37" t="str">
        <f t="shared" si="312"/>
        <v>-</v>
      </c>
      <c r="I828" s="70"/>
      <c r="J828" s="70"/>
      <c r="K828" s="37" t="str">
        <f t="shared" si="313"/>
        <v>-</v>
      </c>
      <c r="L828" s="10"/>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row>
    <row r="829" spans="1:56" ht="14.25" customHeight="1">
      <c r="A829" s="8"/>
      <c r="B829" s="12" t="s">
        <v>82</v>
      </c>
      <c r="C829" s="68"/>
      <c r="D829" s="68"/>
      <c r="E829" s="37" t="str">
        <f t="shared" si="311"/>
        <v>-</v>
      </c>
      <c r="F829" s="14"/>
      <c r="G829" s="14"/>
      <c r="H829" s="37" t="str">
        <f t="shared" si="312"/>
        <v>-</v>
      </c>
      <c r="I829" s="70"/>
      <c r="J829" s="70"/>
      <c r="K829" s="37" t="str">
        <f t="shared" si="313"/>
        <v>-</v>
      </c>
      <c r="L829" s="10"/>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row>
    <row r="830" spans="1:56" ht="14.25" customHeight="1">
      <c r="A830" s="8"/>
      <c r="B830" s="12" t="s">
        <v>83</v>
      </c>
      <c r="C830" s="68"/>
      <c r="D830" s="68"/>
      <c r="E830" s="37" t="str">
        <f t="shared" si="311"/>
        <v>-</v>
      </c>
      <c r="F830" s="14"/>
      <c r="G830" s="14"/>
      <c r="H830" s="37" t="str">
        <f t="shared" si="312"/>
        <v>-</v>
      </c>
      <c r="I830" s="70"/>
      <c r="J830" s="70"/>
      <c r="K830" s="37" t="str">
        <f t="shared" si="313"/>
        <v>-</v>
      </c>
      <c r="L830" s="10"/>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row>
    <row r="831" spans="1:56" ht="14.25" customHeight="1">
      <c r="A831" s="8"/>
      <c r="B831" s="12" t="s">
        <v>84</v>
      </c>
      <c r="C831" s="68"/>
      <c r="D831" s="68"/>
      <c r="E831" s="37" t="str">
        <f t="shared" si="311"/>
        <v>-</v>
      </c>
      <c r="F831" s="14"/>
      <c r="G831" s="14"/>
      <c r="H831" s="37" t="str">
        <f t="shared" si="312"/>
        <v>-</v>
      </c>
      <c r="I831" s="70"/>
      <c r="J831" s="70"/>
      <c r="K831" s="37" t="str">
        <f t="shared" si="313"/>
        <v>-</v>
      </c>
      <c r="L831" s="10"/>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row>
    <row r="832" spans="1:56" ht="14.25" customHeight="1">
      <c r="A832" s="8"/>
      <c r="B832" s="12" t="s">
        <v>85</v>
      </c>
      <c r="C832" s="14"/>
      <c r="D832" s="14"/>
      <c r="E832" s="37" t="str">
        <f t="shared" si="311"/>
        <v>-</v>
      </c>
      <c r="F832" s="14"/>
      <c r="G832" s="14"/>
      <c r="H832" s="37" t="str">
        <f t="shared" si="312"/>
        <v>-</v>
      </c>
      <c r="I832" s="70"/>
      <c r="J832" s="70"/>
      <c r="K832" s="37" t="str">
        <f t="shared" si="313"/>
        <v>-</v>
      </c>
      <c r="L832" s="10"/>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row>
    <row r="833" spans="1:56" ht="14.25" customHeight="1">
      <c r="A833" s="8"/>
      <c r="B833" s="12" t="s">
        <v>86</v>
      </c>
      <c r="C833" s="68"/>
      <c r="D833" s="68"/>
      <c r="E833" s="37" t="str">
        <f t="shared" si="311"/>
        <v>-</v>
      </c>
      <c r="F833" s="14"/>
      <c r="G833" s="14"/>
      <c r="H833" s="37" t="str">
        <f t="shared" si="312"/>
        <v>-</v>
      </c>
      <c r="I833" s="70"/>
      <c r="J833" s="70"/>
      <c r="K833" s="37" t="str">
        <f t="shared" si="313"/>
        <v>-</v>
      </c>
      <c r="L833" s="10"/>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row>
    <row r="834" spans="1:56" ht="14.25" customHeight="1">
      <c r="A834" s="8"/>
      <c r="B834" s="12" t="s">
        <v>87</v>
      </c>
      <c r="C834" s="14"/>
      <c r="D834" s="14"/>
      <c r="E834" s="37" t="str">
        <f t="shared" si="311"/>
        <v>-</v>
      </c>
      <c r="F834" s="14"/>
      <c r="G834" s="14"/>
      <c r="H834" s="37" t="str">
        <f t="shared" si="312"/>
        <v>-</v>
      </c>
      <c r="I834" s="70"/>
      <c r="J834" s="70"/>
      <c r="K834" s="37" t="str">
        <f t="shared" si="313"/>
        <v>-</v>
      </c>
      <c r="L834" s="10"/>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row>
    <row r="835" spans="1:56" ht="14.25" customHeight="1">
      <c r="A835" s="8"/>
      <c r="B835" s="12" t="s">
        <v>88</v>
      </c>
      <c r="C835" s="14"/>
      <c r="D835" s="14"/>
      <c r="E835" s="37" t="str">
        <f t="shared" si="311"/>
        <v>-</v>
      </c>
      <c r="F835" s="14"/>
      <c r="G835" s="14"/>
      <c r="H835" s="37" t="str">
        <f t="shared" si="312"/>
        <v>-</v>
      </c>
      <c r="I835" s="70"/>
      <c r="J835" s="70"/>
      <c r="K835" s="37" t="str">
        <f t="shared" si="313"/>
        <v>-</v>
      </c>
      <c r="L835" s="10"/>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row>
    <row r="836" spans="1:56" ht="14.25" customHeight="1">
      <c r="A836" s="8"/>
      <c r="B836" s="12" t="s">
        <v>89</v>
      </c>
      <c r="C836" s="70">
        <f>SUM(C835,C820)</f>
        <v>0</v>
      </c>
      <c r="D836" s="70">
        <f>SUM(D835,D820)</f>
        <v>0</v>
      </c>
      <c r="E836" s="37" t="str">
        <f t="shared" si="311"/>
        <v>-</v>
      </c>
      <c r="F836" s="70">
        <f>SUM(F835,F820)</f>
        <v>0</v>
      </c>
      <c r="G836" s="70">
        <f>SUM(G835,G820)</f>
        <v>0</v>
      </c>
      <c r="H836" s="37" t="str">
        <f t="shared" si="312"/>
        <v>-</v>
      </c>
      <c r="I836" s="70"/>
      <c r="J836" s="70"/>
      <c r="K836" s="37" t="str">
        <f t="shared" si="313"/>
        <v>-</v>
      </c>
      <c r="L836" s="10"/>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row>
    <row r="837" spans="1:56" ht="14.25" customHeight="1">
      <c r="A837" s="8"/>
      <c r="B837" s="12" t="s">
        <v>90</v>
      </c>
      <c r="C837" s="70">
        <f>SUM(C826,C833)</f>
        <v>0</v>
      </c>
      <c r="D837" s="70">
        <f>SUM(D826,D833)</f>
        <v>0</v>
      </c>
      <c r="E837" s="37" t="str">
        <f t="shared" si="311"/>
        <v>-</v>
      </c>
      <c r="F837" s="70">
        <f>SUM(F826,F833)</f>
        <v>0</v>
      </c>
      <c r="G837" s="70">
        <f>SUM(G826,G833)</f>
        <v>0</v>
      </c>
      <c r="H837" s="37" t="str">
        <f t="shared" si="312"/>
        <v>-</v>
      </c>
      <c r="I837" s="70"/>
      <c r="J837" s="70"/>
      <c r="K837" s="37" t="str">
        <f t="shared" si="313"/>
        <v>-</v>
      </c>
      <c r="L837" s="10"/>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row>
    <row r="838" spans="1:56" ht="14.25" customHeight="1">
      <c r="A838" s="8"/>
      <c r="B838" s="12" t="s">
        <v>91</v>
      </c>
      <c r="C838" s="70">
        <f>SUM(C824,C825,C829)</f>
        <v>0</v>
      </c>
      <c r="D838" s="70">
        <f>SUM(D824,D825,D829)</f>
        <v>0</v>
      </c>
      <c r="E838" s="37" t="str">
        <f t="shared" si="311"/>
        <v>-</v>
      </c>
      <c r="F838" s="70">
        <f>SUM(F824,F825,F829)</f>
        <v>0</v>
      </c>
      <c r="G838" s="70">
        <f>SUM(G824,G825,G829)</f>
        <v>0</v>
      </c>
      <c r="H838" s="37" t="str">
        <f t="shared" si="312"/>
        <v>-</v>
      </c>
      <c r="I838" s="70"/>
      <c r="J838" s="70"/>
      <c r="K838" s="37" t="str">
        <f t="shared" si="313"/>
        <v>-</v>
      </c>
      <c r="L838" s="10"/>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row>
    <row r="839" spans="1:56" ht="14.25" customHeight="1">
      <c r="A839" s="8"/>
      <c r="B839" s="12" t="s">
        <v>92</v>
      </c>
      <c r="C839" s="68"/>
      <c r="D839" s="68"/>
      <c r="E839" s="15"/>
      <c r="F839" s="68"/>
      <c r="G839" s="68"/>
      <c r="H839" s="15"/>
      <c r="I839" s="68"/>
      <c r="J839" s="68"/>
      <c r="K839" s="15"/>
      <c r="L839" s="10"/>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row>
    <row r="840" spans="1:56" ht="14.25" customHeight="1">
      <c r="A840" s="8"/>
      <c r="B840" s="12" t="s">
        <v>93</v>
      </c>
      <c r="C840" s="70">
        <f>SUM(C817,C823)</f>
        <v>0</v>
      </c>
      <c r="D840" s="70">
        <f>SUM(D817,D823)</f>
        <v>0</v>
      </c>
      <c r="E840" s="37" t="str">
        <f t="shared" ref="E840:E848" si="314">IFERROR(C840/D840,"-")</f>
        <v>-</v>
      </c>
      <c r="F840" s="70">
        <f>SUM(F817,F823)</f>
        <v>0</v>
      </c>
      <c r="G840" s="70">
        <f>SUM(G817,G823)</f>
        <v>0</v>
      </c>
      <c r="H840" s="37" t="str">
        <f t="shared" ref="H840:H848" si="315">IFERROR(F840/G840,"-")</f>
        <v>-</v>
      </c>
      <c r="I840" s="70"/>
      <c r="J840" s="70"/>
      <c r="K840" s="37" t="str">
        <f t="shared" ref="K840:K848" si="316">IFERROR(I840/J840,"-")</f>
        <v>-</v>
      </c>
      <c r="L840" s="10"/>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row>
    <row r="841" spans="1:56" ht="14.25" customHeight="1">
      <c r="A841" s="8"/>
      <c r="B841" s="12" t="s">
        <v>94</v>
      </c>
      <c r="C841" s="70">
        <f>SUM(C818,C829)</f>
        <v>0</v>
      </c>
      <c r="D841" s="70">
        <f>SUM(D818,D829)</f>
        <v>0</v>
      </c>
      <c r="E841" s="37" t="str">
        <f t="shared" si="314"/>
        <v>-</v>
      </c>
      <c r="F841" s="97">
        <f>SUM(F818,F829)</f>
        <v>0</v>
      </c>
      <c r="G841" s="97">
        <f>SUM(G818,G829)</f>
        <v>0</v>
      </c>
      <c r="H841" s="37" t="str">
        <f t="shared" si="315"/>
        <v>-</v>
      </c>
      <c r="I841" s="70"/>
      <c r="J841" s="70"/>
      <c r="K841" s="37" t="str">
        <f t="shared" si="316"/>
        <v>-</v>
      </c>
      <c r="L841" s="10"/>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row>
    <row r="842" spans="1:56" ht="14.25" customHeight="1">
      <c r="A842" s="8"/>
      <c r="B842" s="12" t="s">
        <v>95</v>
      </c>
      <c r="C842" s="70">
        <f>SUM(C820,C821)</f>
        <v>0</v>
      </c>
      <c r="D842" s="70">
        <f>SUM(D820,D821)</f>
        <v>0</v>
      </c>
      <c r="E842" s="37" t="str">
        <f t="shared" si="314"/>
        <v>-</v>
      </c>
      <c r="F842" s="97">
        <f>SUM(F820,F821)</f>
        <v>0</v>
      </c>
      <c r="G842" s="97">
        <f>SUM(G820,G821)</f>
        <v>0</v>
      </c>
      <c r="H842" s="37" t="str">
        <f t="shared" si="315"/>
        <v>-</v>
      </c>
      <c r="I842" s="70"/>
      <c r="J842" s="70"/>
      <c r="K842" s="37" t="str">
        <f t="shared" si="316"/>
        <v>-</v>
      </c>
      <c r="L842" s="10"/>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row>
    <row r="843" spans="1:56" ht="14.25" customHeight="1">
      <c r="A843" s="8"/>
      <c r="B843" s="12" t="s">
        <v>96</v>
      </c>
      <c r="C843" s="70">
        <f>SUM(C828,C833)</f>
        <v>0</v>
      </c>
      <c r="D843" s="70">
        <f>SUM(D828,D833)</f>
        <v>0</v>
      </c>
      <c r="E843" s="37" t="str">
        <f t="shared" si="314"/>
        <v>-</v>
      </c>
      <c r="F843" s="97">
        <f>SUM(F828,F833)</f>
        <v>0</v>
      </c>
      <c r="G843" s="97">
        <f>SUM(G828,G833)</f>
        <v>0</v>
      </c>
      <c r="H843" s="37" t="str">
        <f t="shared" si="315"/>
        <v>-</v>
      </c>
      <c r="I843" s="70"/>
      <c r="J843" s="70"/>
      <c r="K843" s="37" t="str">
        <f t="shared" si="316"/>
        <v>-</v>
      </c>
      <c r="L843" s="10"/>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row>
    <row r="844" spans="1:56" ht="14.25" customHeight="1">
      <c r="A844" s="8"/>
      <c r="B844" s="43" t="s">
        <v>97</v>
      </c>
      <c r="C844" s="14"/>
      <c r="D844" s="14"/>
      <c r="E844" s="37" t="str">
        <f t="shared" si="314"/>
        <v>-</v>
      </c>
      <c r="F844" s="14"/>
      <c r="G844" s="14"/>
      <c r="H844" s="37" t="str">
        <f t="shared" si="315"/>
        <v>-</v>
      </c>
      <c r="I844" s="70"/>
      <c r="J844" s="70"/>
      <c r="K844" s="37" t="str">
        <f t="shared" si="316"/>
        <v>-</v>
      </c>
      <c r="L844" s="10"/>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row>
    <row r="845" spans="1:56" ht="14.25" customHeight="1">
      <c r="A845" s="8"/>
      <c r="B845" s="43" t="s">
        <v>98</v>
      </c>
      <c r="C845" s="14"/>
      <c r="D845" s="14"/>
      <c r="E845" s="37" t="str">
        <f t="shared" si="314"/>
        <v>-</v>
      </c>
      <c r="F845" s="14"/>
      <c r="G845" s="14"/>
      <c r="H845" s="37" t="str">
        <f t="shared" si="315"/>
        <v>-</v>
      </c>
      <c r="I845" s="70"/>
      <c r="J845" s="70"/>
      <c r="K845" s="37" t="str">
        <f t="shared" si="316"/>
        <v>-</v>
      </c>
      <c r="L845" s="10"/>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row>
    <row r="846" spans="1:56" ht="14.25" customHeight="1">
      <c r="A846" s="8"/>
      <c r="B846" s="43" t="s">
        <v>99</v>
      </c>
      <c r="C846" s="14"/>
      <c r="D846" s="14"/>
      <c r="E846" s="37" t="str">
        <f t="shared" si="314"/>
        <v>-</v>
      </c>
      <c r="F846" s="14"/>
      <c r="G846" s="14"/>
      <c r="H846" s="37" t="str">
        <f t="shared" si="315"/>
        <v>-</v>
      </c>
      <c r="I846" s="70"/>
      <c r="J846" s="70"/>
      <c r="K846" s="37" t="str">
        <f t="shared" si="316"/>
        <v>-</v>
      </c>
      <c r="L846" s="10"/>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row>
    <row r="847" spans="1:56" ht="14.25" customHeight="1">
      <c r="A847" s="8"/>
      <c r="B847" s="45" t="s">
        <v>100</v>
      </c>
      <c r="C847" s="14"/>
      <c r="D847" s="14"/>
      <c r="E847" s="37" t="str">
        <f t="shared" si="314"/>
        <v>-</v>
      </c>
      <c r="F847" s="14"/>
      <c r="G847" s="14"/>
      <c r="H847" s="37" t="str">
        <f t="shared" si="315"/>
        <v>-</v>
      </c>
      <c r="I847" s="70"/>
      <c r="J847" s="70"/>
      <c r="K847" s="37" t="str">
        <f t="shared" si="316"/>
        <v>-</v>
      </c>
      <c r="L847" s="10"/>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row>
    <row r="848" spans="1:56" ht="14.25" customHeight="1">
      <c r="A848" s="8"/>
      <c r="B848" s="45" t="s">
        <v>101</v>
      </c>
      <c r="C848" s="14"/>
      <c r="D848" s="14"/>
      <c r="E848" s="37" t="str">
        <f t="shared" si="314"/>
        <v>-</v>
      </c>
      <c r="F848" s="14"/>
      <c r="G848" s="14"/>
      <c r="H848" s="37" t="str">
        <f t="shared" si="315"/>
        <v>-</v>
      </c>
      <c r="I848" s="70"/>
      <c r="J848" s="70"/>
      <c r="K848" s="37" t="str">
        <f t="shared" si="316"/>
        <v>-</v>
      </c>
      <c r="L848" s="10"/>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row>
    <row r="849" spans="1:56" ht="14.25" customHeight="1">
      <c r="A849" s="2"/>
      <c r="B849" s="23"/>
      <c r="C849" s="23"/>
      <c r="D849" s="23"/>
      <c r="E849" s="23"/>
      <c r="F849" s="23"/>
      <c r="G849" s="23"/>
      <c r="H849" s="23"/>
      <c r="I849" s="23"/>
      <c r="J849" s="23"/>
      <c r="K849" s="23"/>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row>
    <row r="850" spans="1:56" ht="14.25" customHeight="1">
      <c r="A850" s="2"/>
      <c r="B850" s="25"/>
      <c r="C850" s="25"/>
      <c r="D850" s="25"/>
      <c r="E850" s="25"/>
      <c r="F850" s="25"/>
      <c r="G850" s="25"/>
      <c r="H850" s="25"/>
      <c r="I850" s="25"/>
      <c r="J850" s="25"/>
      <c r="K850" s="25"/>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row>
    <row r="851" spans="1:56" ht="14.25" customHeight="1">
      <c r="A851" s="26"/>
      <c r="B851" s="58"/>
      <c r="C851" s="29" t="s">
        <v>111</v>
      </c>
      <c r="D851" s="30"/>
      <c r="E851" s="30"/>
      <c r="F851" s="30"/>
      <c r="G851" s="30"/>
      <c r="H851" s="30"/>
      <c r="I851" s="30"/>
      <c r="J851" s="30"/>
      <c r="K851" s="30"/>
      <c r="L851" s="31"/>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row>
    <row r="852" spans="1:56" ht="15" customHeight="1">
      <c r="A852" s="8"/>
      <c r="B852" s="511" t="s">
        <v>112</v>
      </c>
      <c r="C852" s="520">
        <v>44927</v>
      </c>
      <c r="D852" s="503"/>
      <c r="E852" s="505"/>
      <c r="F852" s="520">
        <v>44958</v>
      </c>
      <c r="G852" s="503"/>
      <c r="H852" s="505"/>
      <c r="I852" s="502" t="s">
        <v>11</v>
      </c>
      <c r="J852" s="503"/>
      <c r="K852" s="505"/>
      <c r="L852" s="10"/>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row>
    <row r="853" spans="1:56" ht="30" customHeight="1">
      <c r="A853" s="8"/>
      <c r="B853" s="521"/>
      <c r="C853" s="32" t="s">
        <v>117</v>
      </c>
      <c r="D853" s="32" t="s">
        <v>118</v>
      </c>
      <c r="E853" s="32" t="s">
        <v>17</v>
      </c>
      <c r="F853" s="32" t="s">
        <v>117</v>
      </c>
      <c r="G853" s="32" t="s">
        <v>118</v>
      </c>
      <c r="H853" s="32" t="s">
        <v>17</v>
      </c>
      <c r="I853" s="32" t="s">
        <v>117</v>
      </c>
      <c r="J853" s="32" t="s">
        <v>118</v>
      </c>
      <c r="K853" s="32" t="s">
        <v>17</v>
      </c>
      <c r="L853" s="10"/>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row>
    <row r="854" spans="1:56" ht="14.25" customHeight="1">
      <c r="A854" s="8"/>
      <c r="B854" s="12" t="s">
        <v>67</v>
      </c>
      <c r="C854" s="68">
        <f>C815</f>
        <v>0</v>
      </c>
      <c r="D854" s="68">
        <f>D815</f>
        <v>0</v>
      </c>
      <c r="E854" s="37" t="str">
        <f t="shared" ref="E854:E869" si="317">IFERROR(C854/D854,"-")</f>
        <v>-</v>
      </c>
      <c r="F854" s="68">
        <f>F815</f>
        <v>0</v>
      </c>
      <c r="G854" s="68">
        <f>G815</f>
        <v>0</v>
      </c>
      <c r="H854" s="37" t="str">
        <f t="shared" ref="H854:H869" si="318">IFERROR(F854/G854,"-")</f>
        <v>-</v>
      </c>
      <c r="I854" s="70"/>
      <c r="J854" s="70"/>
      <c r="K854" s="37" t="str">
        <f t="shared" ref="K854:K869" si="319">IFERROR(I854/J854,"-")</f>
        <v>-</v>
      </c>
      <c r="L854" s="10"/>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row>
    <row r="855" spans="1:56" ht="14.25" customHeight="1">
      <c r="A855" s="8"/>
      <c r="B855" s="12" t="s">
        <v>119</v>
      </c>
      <c r="C855" s="70">
        <f>SUM(C862,C863)</f>
        <v>0</v>
      </c>
      <c r="D855" s="70">
        <f>SUM(D862,D863)</f>
        <v>0</v>
      </c>
      <c r="E855" s="37" t="str">
        <f t="shared" si="317"/>
        <v>-</v>
      </c>
      <c r="F855" s="70">
        <f>SUM(F862,F863)</f>
        <v>0</v>
      </c>
      <c r="G855" s="70">
        <f>SUM(G862,G863)</f>
        <v>0</v>
      </c>
      <c r="H855" s="37" t="str">
        <f t="shared" si="318"/>
        <v>-</v>
      </c>
      <c r="I855" s="70"/>
      <c r="J855" s="70"/>
      <c r="K855" s="37" t="str">
        <f t="shared" si="319"/>
        <v>-</v>
      </c>
      <c r="L855" s="10"/>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row>
    <row r="856" spans="1:56" ht="14.25" customHeight="1">
      <c r="A856" s="8"/>
      <c r="B856" s="12" t="s">
        <v>120</v>
      </c>
      <c r="C856" s="70">
        <f>SUM(C820,C821,C827,C835)</f>
        <v>0</v>
      </c>
      <c r="D856" s="70">
        <f>SUM(D820,D821,D827,D835)</f>
        <v>0</v>
      </c>
      <c r="E856" s="37" t="str">
        <f t="shared" si="317"/>
        <v>-</v>
      </c>
      <c r="F856" s="70">
        <f>SUM(F820,F821,F827,F835)</f>
        <v>0</v>
      </c>
      <c r="G856" s="70">
        <f>SUM(G820,G821,G827,G835)</f>
        <v>0</v>
      </c>
      <c r="H856" s="37" t="str">
        <f t="shared" si="318"/>
        <v>-</v>
      </c>
      <c r="I856" s="70"/>
      <c r="J856" s="70"/>
      <c r="K856" s="37" t="str">
        <f t="shared" si="319"/>
        <v>-</v>
      </c>
      <c r="L856" s="10"/>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row>
    <row r="857" spans="1:56" ht="14.25" customHeight="1">
      <c r="A857" s="8"/>
      <c r="B857" s="12" t="s">
        <v>121</v>
      </c>
      <c r="C857" s="70">
        <f>SUM(C866,C867)</f>
        <v>0</v>
      </c>
      <c r="D857" s="70">
        <f>SUM(D866,D867)</f>
        <v>0</v>
      </c>
      <c r="E857" s="37" t="str">
        <f t="shared" si="317"/>
        <v>-</v>
      </c>
      <c r="F857" s="70">
        <f>SUM(F866,F867)</f>
        <v>0</v>
      </c>
      <c r="G857" s="70">
        <f>SUM(G866,G867)</f>
        <v>0</v>
      </c>
      <c r="H857" s="37" t="str">
        <f t="shared" si="318"/>
        <v>-</v>
      </c>
      <c r="I857" s="70"/>
      <c r="J857" s="70"/>
      <c r="K857" s="37" t="str">
        <f t="shared" si="319"/>
        <v>-</v>
      </c>
      <c r="L857" s="10"/>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row>
    <row r="858" spans="1:56" ht="14.25" customHeight="1">
      <c r="A858" s="8"/>
      <c r="B858" s="12" t="s">
        <v>122</v>
      </c>
      <c r="C858" s="70">
        <f>SUM(C818,C829)</f>
        <v>0</v>
      </c>
      <c r="D858" s="70">
        <f>SUM(D818,D829)</f>
        <v>0</v>
      </c>
      <c r="E858" s="37" t="str">
        <f t="shared" si="317"/>
        <v>-</v>
      </c>
      <c r="F858" s="70">
        <f>SUM(F818,F829)</f>
        <v>0</v>
      </c>
      <c r="G858" s="70">
        <f>SUM(G818,G829)</f>
        <v>0</v>
      </c>
      <c r="H858" s="37" t="str">
        <f t="shared" si="318"/>
        <v>-</v>
      </c>
      <c r="I858" s="70"/>
      <c r="J858" s="70"/>
      <c r="K858" s="37" t="str">
        <f t="shared" si="319"/>
        <v>-</v>
      </c>
      <c r="L858" s="10"/>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row>
    <row r="859" spans="1:56" ht="14.25" customHeight="1">
      <c r="A859" s="8"/>
      <c r="B859" s="12" t="s">
        <v>123</v>
      </c>
      <c r="C859" s="70">
        <f>SUM(C830,C831)</f>
        <v>0</v>
      </c>
      <c r="D859" s="70">
        <f>SUM(D830,D831)</f>
        <v>0</v>
      </c>
      <c r="E859" s="37" t="str">
        <f t="shared" si="317"/>
        <v>-</v>
      </c>
      <c r="F859" s="70">
        <f>SUM(F830,F831)</f>
        <v>0</v>
      </c>
      <c r="G859" s="70">
        <f>SUM(G830,G831)</f>
        <v>0</v>
      </c>
      <c r="H859" s="37" t="str">
        <f t="shared" si="318"/>
        <v>-</v>
      </c>
      <c r="I859" s="70"/>
      <c r="J859" s="70"/>
      <c r="K859" s="37" t="str">
        <f t="shared" si="319"/>
        <v>-</v>
      </c>
      <c r="L859" s="10"/>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row>
    <row r="860" spans="1:56" ht="14.25" customHeight="1">
      <c r="A860" s="8"/>
      <c r="B860" s="12" t="s">
        <v>124</v>
      </c>
      <c r="C860" s="97">
        <f>SUM(C834)</f>
        <v>0</v>
      </c>
      <c r="D860" s="97">
        <f>SUM(D834)</f>
        <v>0</v>
      </c>
      <c r="E860" s="37" t="str">
        <f t="shared" si="317"/>
        <v>-</v>
      </c>
      <c r="F860" s="97">
        <f>SUM(F834)</f>
        <v>0</v>
      </c>
      <c r="G860" s="97">
        <f>SUM(G834)</f>
        <v>0</v>
      </c>
      <c r="H860" s="37" t="str">
        <f t="shared" si="318"/>
        <v>-</v>
      </c>
      <c r="I860" s="70"/>
      <c r="J860" s="70"/>
      <c r="K860" s="37" t="str">
        <f t="shared" si="319"/>
        <v>-</v>
      </c>
      <c r="L860" s="10"/>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row>
    <row r="861" spans="1:56" ht="14.25" customHeight="1">
      <c r="A861" s="8"/>
      <c r="B861" s="12" t="s">
        <v>125</v>
      </c>
      <c r="C861" s="70">
        <f>SUM(C817,C822,C823)</f>
        <v>0</v>
      </c>
      <c r="D861" s="70">
        <f>SUM(D817,D822,D823)</f>
        <v>0</v>
      </c>
      <c r="E861" s="37" t="str">
        <f t="shared" si="317"/>
        <v>-</v>
      </c>
      <c r="F861" s="97">
        <f>SUM(F817,F822,F823)</f>
        <v>0</v>
      </c>
      <c r="G861" s="97">
        <f>SUM(G817,G822,G823)</f>
        <v>0</v>
      </c>
      <c r="H861" s="37" t="str">
        <f t="shared" si="318"/>
        <v>-</v>
      </c>
      <c r="I861" s="70"/>
      <c r="J861" s="70"/>
      <c r="K861" s="37" t="str">
        <f t="shared" si="319"/>
        <v>-</v>
      </c>
      <c r="L861" s="10"/>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row>
    <row r="862" spans="1:56" ht="14.25" customHeight="1">
      <c r="A862" s="8"/>
      <c r="B862" s="12" t="s">
        <v>126</v>
      </c>
      <c r="C862" s="70">
        <f>SUM(C816,C824,C825,C832,C819)</f>
        <v>0</v>
      </c>
      <c r="D862" s="70">
        <f>SUM(D816,D824,D825,D832,D819)</f>
        <v>0</v>
      </c>
      <c r="E862" s="37" t="str">
        <f t="shared" si="317"/>
        <v>-</v>
      </c>
      <c r="F862" s="70">
        <f>SUM(F816,F824,F825,F832,F819)</f>
        <v>0</v>
      </c>
      <c r="G862" s="70">
        <f>SUM(G816,G824,G825,G832,G819)</f>
        <v>0</v>
      </c>
      <c r="H862" s="37" t="str">
        <f t="shared" si="318"/>
        <v>-</v>
      </c>
      <c r="I862" s="70"/>
      <c r="J862" s="70"/>
      <c r="K862" s="37" t="str">
        <f t="shared" si="319"/>
        <v>-</v>
      </c>
      <c r="L862" s="10"/>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row>
    <row r="863" spans="1:56" ht="14.25" customHeight="1">
      <c r="A863" s="8"/>
      <c r="B863" s="12" t="s">
        <v>127</v>
      </c>
      <c r="C863" s="97">
        <f>SUM(C844,C846)</f>
        <v>0</v>
      </c>
      <c r="D863" s="97">
        <f>SUM(D844,D846)</f>
        <v>0</v>
      </c>
      <c r="E863" s="37" t="str">
        <f t="shared" si="317"/>
        <v>-</v>
      </c>
      <c r="F863" s="97">
        <f>SUM(F844,F846)</f>
        <v>0</v>
      </c>
      <c r="G863" s="97">
        <f>SUM(G844,G846)</f>
        <v>0</v>
      </c>
      <c r="H863" s="37" t="str">
        <f t="shared" si="318"/>
        <v>-</v>
      </c>
      <c r="I863" s="70"/>
      <c r="J863" s="70"/>
      <c r="K863" s="37" t="str">
        <f t="shared" si="319"/>
        <v>-</v>
      </c>
      <c r="L863" s="10"/>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row>
    <row r="864" spans="1:56" ht="14.25" customHeight="1">
      <c r="A864" s="8"/>
      <c r="B864" s="45" t="s">
        <v>128</v>
      </c>
      <c r="C864" s="120">
        <f>C848</f>
        <v>0</v>
      </c>
      <c r="D864" s="120">
        <f>D848</f>
        <v>0</v>
      </c>
      <c r="E864" s="37" t="str">
        <f t="shared" si="317"/>
        <v>-</v>
      </c>
      <c r="F864" s="120">
        <f>F848</f>
        <v>0</v>
      </c>
      <c r="G864" s="120">
        <f>G848</f>
        <v>0</v>
      </c>
      <c r="H864" s="37" t="str">
        <f t="shared" si="318"/>
        <v>-</v>
      </c>
      <c r="I864" s="70"/>
      <c r="J864" s="70"/>
      <c r="K864" s="37" t="str">
        <f t="shared" si="319"/>
        <v>-</v>
      </c>
      <c r="L864" s="10"/>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row>
    <row r="865" spans="1:56" ht="14.25" customHeight="1">
      <c r="A865" s="8"/>
      <c r="B865" s="12" t="s">
        <v>129</v>
      </c>
      <c r="C865" s="70">
        <f>SUM(C856,C864)</f>
        <v>0</v>
      </c>
      <c r="D865" s="70">
        <f>SUM(D856,D864)</f>
        <v>0</v>
      </c>
      <c r="E865" s="37" t="str">
        <f t="shared" si="317"/>
        <v>-</v>
      </c>
      <c r="F865" s="70">
        <f>SUM(F856,F864)</f>
        <v>0</v>
      </c>
      <c r="G865" s="70">
        <f>SUM(G856,G864)</f>
        <v>0</v>
      </c>
      <c r="H865" s="37" t="str">
        <f t="shared" si="318"/>
        <v>-</v>
      </c>
      <c r="I865" s="70"/>
      <c r="J865" s="70"/>
      <c r="K865" s="37" t="str">
        <f t="shared" si="319"/>
        <v>-</v>
      </c>
      <c r="L865" s="10"/>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row>
    <row r="866" spans="1:56" ht="14.25" customHeight="1">
      <c r="A866" s="8"/>
      <c r="B866" s="12" t="s">
        <v>130</v>
      </c>
      <c r="C866" s="70">
        <f>SUM(C826,C828,C833)</f>
        <v>0</v>
      </c>
      <c r="D866" s="70">
        <f>SUM(D826,D828,D833)</f>
        <v>0</v>
      </c>
      <c r="E866" s="37" t="str">
        <f t="shared" si="317"/>
        <v>-</v>
      </c>
      <c r="F866" s="70">
        <f>SUM(F826,F828,F833)</f>
        <v>0</v>
      </c>
      <c r="G866" s="70">
        <f>SUM(G826,G828,G833)</f>
        <v>0</v>
      </c>
      <c r="H866" s="37" t="str">
        <f t="shared" si="318"/>
        <v>-</v>
      </c>
      <c r="I866" s="70"/>
      <c r="J866" s="70"/>
      <c r="K866" s="37" t="str">
        <f t="shared" si="319"/>
        <v>-</v>
      </c>
      <c r="L866" s="10"/>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row>
    <row r="867" spans="1:56" ht="14.25" customHeight="1">
      <c r="A867" s="8"/>
      <c r="B867" s="12" t="s">
        <v>131</v>
      </c>
      <c r="C867" s="120">
        <f>C845</f>
        <v>0</v>
      </c>
      <c r="D867" s="120">
        <f>D845</f>
        <v>0</v>
      </c>
      <c r="E867" s="37" t="str">
        <f t="shared" si="317"/>
        <v>-</v>
      </c>
      <c r="F867" s="120">
        <f>F845</f>
        <v>0</v>
      </c>
      <c r="G867" s="120">
        <f>G845</f>
        <v>0</v>
      </c>
      <c r="H867" s="37" t="str">
        <f t="shared" si="318"/>
        <v>-</v>
      </c>
      <c r="I867" s="70"/>
      <c r="J867" s="70"/>
      <c r="K867" s="37" t="str">
        <f t="shared" si="319"/>
        <v>-</v>
      </c>
      <c r="L867" s="10"/>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row>
    <row r="868" spans="1:56" ht="14.25" customHeight="1">
      <c r="A868" s="8"/>
      <c r="B868" s="45" t="s">
        <v>132</v>
      </c>
      <c r="C868" s="120">
        <f>C847</f>
        <v>0</v>
      </c>
      <c r="D868" s="120">
        <f>D847</f>
        <v>0</v>
      </c>
      <c r="E868" s="37" t="str">
        <f t="shared" si="317"/>
        <v>-</v>
      </c>
      <c r="F868" s="120">
        <f>F847</f>
        <v>0</v>
      </c>
      <c r="G868" s="120">
        <f>G847</f>
        <v>0</v>
      </c>
      <c r="H868" s="37" t="str">
        <f t="shared" si="318"/>
        <v>-</v>
      </c>
      <c r="I868" s="70"/>
      <c r="J868" s="70"/>
      <c r="K868" s="37" t="str">
        <f t="shared" si="319"/>
        <v>-</v>
      </c>
      <c r="L868" s="10"/>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row>
    <row r="869" spans="1:56" ht="14.25" customHeight="1">
      <c r="A869" s="8"/>
      <c r="B869" s="12" t="s">
        <v>133</v>
      </c>
      <c r="C869" s="70">
        <f>SUM(C866:C868)</f>
        <v>0</v>
      </c>
      <c r="D869" s="70">
        <f>SUM(D866:D868)</f>
        <v>0</v>
      </c>
      <c r="E869" s="37" t="str">
        <f t="shared" si="317"/>
        <v>-</v>
      </c>
      <c r="F869" s="70">
        <f>SUM(F866:F868)</f>
        <v>0</v>
      </c>
      <c r="G869" s="70">
        <f>SUM(G866:G868)</f>
        <v>0</v>
      </c>
      <c r="H869" s="37" t="str">
        <f t="shared" si="318"/>
        <v>-</v>
      </c>
      <c r="I869" s="70"/>
      <c r="J869" s="70"/>
      <c r="K869" s="37" t="str">
        <f t="shared" si="319"/>
        <v>-</v>
      </c>
      <c r="L869" s="10"/>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row>
  </sheetData>
  <mergeCells count="348">
    <mergeCell ref="B529:B533"/>
    <mergeCell ref="B534:B538"/>
    <mergeCell ref="B539:B543"/>
    <mergeCell ref="B544:B548"/>
    <mergeCell ref="B549:B553"/>
    <mergeCell ref="B554:B558"/>
    <mergeCell ref="B559:B563"/>
    <mergeCell ref="AN785:AN786"/>
    <mergeCell ref="AO785:AO786"/>
    <mergeCell ref="R785:T785"/>
    <mergeCell ref="S686:U686"/>
    <mergeCell ref="V686:V687"/>
    <mergeCell ref="B725:B726"/>
    <mergeCell ref="C725:E725"/>
    <mergeCell ref="F725:H725"/>
    <mergeCell ref="I725:K725"/>
    <mergeCell ref="L725:N725"/>
    <mergeCell ref="O725:Q725"/>
    <mergeCell ref="R725:T725"/>
    <mergeCell ref="AN725:AN726"/>
    <mergeCell ref="AO725:AO726"/>
    <mergeCell ref="I764:K764"/>
    <mergeCell ref="P764:R764"/>
    <mergeCell ref="S764:U764"/>
    <mergeCell ref="AP785:AR785"/>
    <mergeCell ref="AS785:AU785"/>
    <mergeCell ref="AV785:AX785"/>
    <mergeCell ref="U785:W785"/>
    <mergeCell ref="X785:Z785"/>
    <mergeCell ref="AA785:AC785"/>
    <mergeCell ref="AD785:AF785"/>
    <mergeCell ref="AG785:AI785"/>
    <mergeCell ref="AJ785:AL785"/>
    <mergeCell ref="AM785:AM786"/>
    <mergeCell ref="C807:E807"/>
    <mergeCell ref="F807:H807"/>
    <mergeCell ref="I807:K807"/>
    <mergeCell ref="B785:B786"/>
    <mergeCell ref="C785:E785"/>
    <mergeCell ref="F785:H785"/>
    <mergeCell ref="I785:K785"/>
    <mergeCell ref="L785:N785"/>
    <mergeCell ref="O785:Q785"/>
    <mergeCell ref="B807:B808"/>
    <mergeCell ref="B852:B853"/>
    <mergeCell ref="C852:E852"/>
    <mergeCell ref="F852:H852"/>
    <mergeCell ref="I852:K852"/>
    <mergeCell ref="B564:B568"/>
    <mergeCell ref="B569:B573"/>
    <mergeCell ref="B574:B578"/>
    <mergeCell ref="B579:B583"/>
    <mergeCell ref="B584:B588"/>
    <mergeCell ref="B589:B593"/>
    <mergeCell ref="B594:B598"/>
    <mergeCell ref="B599:B603"/>
    <mergeCell ref="B607:B608"/>
    <mergeCell ref="C607:I607"/>
    <mergeCell ref="J607:P607"/>
    <mergeCell ref="I686:K686"/>
    <mergeCell ref="P686:R686"/>
    <mergeCell ref="B686:B687"/>
    <mergeCell ref="C686:C687"/>
    <mergeCell ref="D686:D687"/>
    <mergeCell ref="F686:H686"/>
    <mergeCell ref="L686:L687"/>
    <mergeCell ref="M686:M687"/>
    <mergeCell ref="N686:N687"/>
    <mergeCell ref="AP725:AR725"/>
    <mergeCell ref="AS725:AU725"/>
    <mergeCell ref="AV725:AX725"/>
    <mergeCell ref="U725:W725"/>
    <mergeCell ref="X725:Z725"/>
    <mergeCell ref="AA725:AC725"/>
    <mergeCell ref="AD725:AF725"/>
    <mergeCell ref="AG725:AI725"/>
    <mergeCell ref="AJ725:AL725"/>
    <mergeCell ref="AM725:AM726"/>
    <mergeCell ref="V764:V765"/>
    <mergeCell ref="B764:B765"/>
    <mergeCell ref="C764:C765"/>
    <mergeCell ref="D764:D765"/>
    <mergeCell ref="F764:H764"/>
    <mergeCell ref="L764:L765"/>
    <mergeCell ref="M764:M765"/>
    <mergeCell ref="N764:N765"/>
    <mergeCell ref="F20:H20"/>
    <mergeCell ref="I20:K20"/>
    <mergeCell ref="N20:N21"/>
    <mergeCell ref="P20:R20"/>
    <mergeCell ref="V20:V21"/>
    <mergeCell ref="L85:N85"/>
    <mergeCell ref="O85:Q85"/>
    <mergeCell ref="R85:T85"/>
    <mergeCell ref="U85:W85"/>
    <mergeCell ref="C150:C151"/>
    <mergeCell ref="D150:D151"/>
    <mergeCell ref="L150:L151"/>
    <mergeCell ref="M150:M151"/>
    <mergeCell ref="N150:N151"/>
    <mergeCell ref="P150:R150"/>
    <mergeCell ref="S150:U150"/>
    <mergeCell ref="B2:B3"/>
    <mergeCell ref="C2:C3"/>
    <mergeCell ref="D2:I2"/>
    <mergeCell ref="J2:O2"/>
    <mergeCell ref="P2:U2"/>
    <mergeCell ref="B6:B8"/>
    <mergeCell ref="B20:B21"/>
    <mergeCell ref="S20:U20"/>
    <mergeCell ref="L20:L21"/>
    <mergeCell ref="M20:M21"/>
    <mergeCell ref="X85:Z85"/>
    <mergeCell ref="AP85:AR85"/>
    <mergeCell ref="AS85:AU85"/>
    <mergeCell ref="AV85:AX85"/>
    <mergeCell ref="AA85:AC85"/>
    <mergeCell ref="AD85:AF85"/>
    <mergeCell ref="AG85:AI85"/>
    <mergeCell ref="AJ85:AL85"/>
    <mergeCell ref="AM85:AM86"/>
    <mergeCell ref="AN85:AN86"/>
    <mergeCell ref="AO85:AO86"/>
    <mergeCell ref="V150:V151"/>
    <mergeCell ref="F150:H150"/>
    <mergeCell ref="I150:K150"/>
    <mergeCell ref="C20:C21"/>
    <mergeCell ref="D20:D21"/>
    <mergeCell ref="B85:B86"/>
    <mergeCell ref="C85:E85"/>
    <mergeCell ref="F85:H85"/>
    <mergeCell ref="I85:K85"/>
    <mergeCell ref="B150:B151"/>
    <mergeCell ref="AN171:AN172"/>
    <mergeCell ref="AO171:AO172"/>
    <mergeCell ref="AP171:AR171"/>
    <mergeCell ref="AS171:AU171"/>
    <mergeCell ref="AV171:AX171"/>
    <mergeCell ref="U171:W171"/>
    <mergeCell ref="X171:Z171"/>
    <mergeCell ref="AA171:AC171"/>
    <mergeCell ref="AD171:AF171"/>
    <mergeCell ref="AG171:AI171"/>
    <mergeCell ref="AJ171:AL171"/>
    <mergeCell ref="AM171:AM172"/>
    <mergeCell ref="B171:B172"/>
    <mergeCell ref="C171:E171"/>
    <mergeCell ref="F171:H171"/>
    <mergeCell ref="I171:K171"/>
    <mergeCell ref="L171:N171"/>
    <mergeCell ref="O171:Q171"/>
    <mergeCell ref="R171:T171"/>
    <mergeCell ref="U193:W193"/>
    <mergeCell ref="X193:Z193"/>
    <mergeCell ref="B193:B194"/>
    <mergeCell ref="C193:E193"/>
    <mergeCell ref="F193:H193"/>
    <mergeCell ref="I193:K193"/>
    <mergeCell ref="L193:N193"/>
    <mergeCell ref="O193:Q193"/>
    <mergeCell ref="R193:T193"/>
    <mergeCell ref="U304:W304"/>
    <mergeCell ref="X304:Z304"/>
    <mergeCell ref="AA304:AC304"/>
    <mergeCell ref="AD304:AF304"/>
    <mergeCell ref="AG304:AI304"/>
    <mergeCell ref="AJ304:AL304"/>
    <mergeCell ref="AM304:AO304"/>
    <mergeCell ref="B304:B305"/>
    <mergeCell ref="C304:E304"/>
    <mergeCell ref="F304:H304"/>
    <mergeCell ref="I304:K304"/>
    <mergeCell ref="L304:N304"/>
    <mergeCell ref="O304:Q304"/>
    <mergeCell ref="R304:T304"/>
    <mergeCell ref="AP238:AR238"/>
    <mergeCell ref="AS238:AU238"/>
    <mergeCell ref="AV238:AX238"/>
    <mergeCell ref="AY238:BA238"/>
    <mergeCell ref="BB238:BD238"/>
    <mergeCell ref="U238:W238"/>
    <mergeCell ref="X238:Z238"/>
    <mergeCell ref="AA238:AC238"/>
    <mergeCell ref="AD238:AF238"/>
    <mergeCell ref="AG238:AI238"/>
    <mergeCell ref="AJ238:AL238"/>
    <mergeCell ref="AM238:AO238"/>
    <mergeCell ref="B238:B239"/>
    <mergeCell ref="C238:E238"/>
    <mergeCell ref="F238:H238"/>
    <mergeCell ref="I238:K238"/>
    <mergeCell ref="L238:N238"/>
    <mergeCell ref="O238:Q238"/>
    <mergeCell ref="R238:T238"/>
    <mergeCell ref="U283:W283"/>
    <mergeCell ref="X283:Z283"/>
    <mergeCell ref="B283:B284"/>
    <mergeCell ref="C283:E283"/>
    <mergeCell ref="F283:H283"/>
    <mergeCell ref="I283:K283"/>
    <mergeCell ref="L283:N283"/>
    <mergeCell ref="O283:Q283"/>
    <mergeCell ref="R283:T283"/>
    <mergeCell ref="AP304:AR304"/>
    <mergeCell ref="AS304:AU304"/>
    <mergeCell ref="AV304:AX304"/>
    <mergeCell ref="AY304:BA304"/>
    <mergeCell ref="BB304:BD304"/>
    <mergeCell ref="X326:X328"/>
    <mergeCell ref="Y326:Z328"/>
    <mergeCell ref="AB326:AE326"/>
    <mergeCell ref="AB327:AE327"/>
    <mergeCell ref="X409:X413"/>
    <mergeCell ref="X414:X418"/>
    <mergeCell ref="X419:X423"/>
    <mergeCell ref="X424:X428"/>
    <mergeCell ref="X429:X433"/>
    <mergeCell ref="X434:X438"/>
    <mergeCell ref="X439:X443"/>
    <mergeCell ref="X444:X448"/>
    <mergeCell ref="X449:X453"/>
    <mergeCell ref="X454:X458"/>
    <mergeCell ref="X459:X463"/>
    <mergeCell ref="X464:X468"/>
    <mergeCell ref="X469:X473"/>
    <mergeCell ref="X474:X478"/>
    <mergeCell ref="AC526:AF526"/>
    <mergeCell ref="AC527:AF527"/>
    <mergeCell ref="X514:X518"/>
    <mergeCell ref="X519:X523"/>
    <mergeCell ref="T526:W526"/>
    <mergeCell ref="X526:X528"/>
    <mergeCell ref="Y526:Y528"/>
    <mergeCell ref="Z526:AA528"/>
    <mergeCell ref="T527:W527"/>
    <mergeCell ref="X479:X483"/>
    <mergeCell ref="X484:X488"/>
    <mergeCell ref="X489:X493"/>
    <mergeCell ref="X494:X498"/>
    <mergeCell ref="X499:X503"/>
    <mergeCell ref="X504:X508"/>
    <mergeCell ref="X509:X513"/>
    <mergeCell ref="X564:X568"/>
    <mergeCell ref="X569:X573"/>
    <mergeCell ref="X574:X578"/>
    <mergeCell ref="X579:X583"/>
    <mergeCell ref="X584:X588"/>
    <mergeCell ref="X589:X593"/>
    <mergeCell ref="X594:X598"/>
    <mergeCell ref="X599:X603"/>
    <mergeCell ref="X529:X533"/>
    <mergeCell ref="X534:X538"/>
    <mergeCell ref="X539:X543"/>
    <mergeCell ref="X544:X548"/>
    <mergeCell ref="X549:X553"/>
    <mergeCell ref="X554:X558"/>
    <mergeCell ref="X559:X563"/>
    <mergeCell ref="X334:X338"/>
    <mergeCell ref="X339:X343"/>
    <mergeCell ref="X344:X348"/>
    <mergeCell ref="X349:X353"/>
    <mergeCell ref="B326:B328"/>
    <mergeCell ref="C326:C328"/>
    <mergeCell ref="D326:G326"/>
    <mergeCell ref="H326:K326"/>
    <mergeCell ref="L326:O326"/>
    <mergeCell ref="P326:S326"/>
    <mergeCell ref="T326:W326"/>
    <mergeCell ref="T327:W327"/>
    <mergeCell ref="Y356:Z358"/>
    <mergeCell ref="AC356:AF356"/>
    <mergeCell ref="AC357:AF357"/>
    <mergeCell ref="X359:X363"/>
    <mergeCell ref="X364:X368"/>
    <mergeCell ref="X369:X373"/>
    <mergeCell ref="B384:B388"/>
    <mergeCell ref="B389:B393"/>
    <mergeCell ref="X374:X378"/>
    <mergeCell ref="X379:X383"/>
    <mergeCell ref="X384:X388"/>
    <mergeCell ref="X389:X393"/>
    <mergeCell ref="L357:O357"/>
    <mergeCell ref="P357:S357"/>
    <mergeCell ref="B356:B358"/>
    <mergeCell ref="C356:C358"/>
    <mergeCell ref="D356:G356"/>
    <mergeCell ref="H356:K356"/>
    <mergeCell ref="L356:O356"/>
    <mergeCell ref="P356:S356"/>
    <mergeCell ref="T356:W356"/>
    <mergeCell ref="T357:W357"/>
    <mergeCell ref="X394:X398"/>
    <mergeCell ref="X399:X403"/>
    <mergeCell ref="X404:X408"/>
    <mergeCell ref="D327:G327"/>
    <mergeCell ref="H327:K327"/>
    <mergeCell ref="B329:B333"/>
    <mergeCell ref="B334:B338"/>
    <mergeCell ref="B339:B343"/>
    <mergeCell ref="B344:B348"/>
    <mergeCell ref="B349:B353"/>
    <mergeCell ref="D357:G357"/>
    <mergeCell ref="H357:K357"/>
    <mergeCell ref="B359:B363"/>
    <mergeCell ref="B364:B368"/>
    <mergeCell ref="B369:B373"/>
    <mergeCell ref="B374:B378"/>
    <mergeCell ref="B379:B383"/>
    <mergeCell ref="B394:B398"/>
    <mergeCell ref="B399:B403"/>
    <mergeCell ref="B404:B408"/>
    <mergeCell ref="X356:X358"/>
    <mergeCell ref="L327:O327"/>
    <mergeCell ref="P327:S327"/>
    <mergeCell ref="X329:X333"/>
    <mergeCell ref="B409:B413"/>
    <mergeCell ref="B414:B418"/>
    <mergeCell ref="B419:B423"/>
    <mergeCell ref="B424:B428"/>
    <mergeCell ref="B429:B433"/>
    <mergeCell ref="B434:B438"/>
    <mergeCell ref="B439:B443"/>
    <mergeCell ref="B444:B448"/>
    <mergeCell ref="B449:B453"/>
    <mergeCell ref="B454:B458"/>
    <mergeCell ref="B459:B463"/>
    <mergeCell ref="B464:B468"/>
    <mergeCell ref="B469:B473"/>
    <mergeCell ref="B474:B478"/>
    <mergeCell ref="B479:B483"/>
    <mergeCell ref="B484:B488"/>
    <mergeCell ref="B489:B493"/>
    <mergeCell ref="B494:B498"/>
    <mergeCell ref="D526:G526"/>
    <mergeCell ref="H526:K526"/>
    <mergeCell ref="L526:O526"/>
    <mergeCell ref="P526:S526"/>
    <mergeCell ref="D527:G527"/>
    <mergeCell ref="H527:K527"/>
    <mergeCell ref="L527:O527"/>
    <mergeCell ref="P527:S527"/>
    <mergeCell ref="B499:B503"/>
    <mergeCell ref="B504:B508"/>
    <mergeCell ref="B509:B513"/>
    <mergeCell ref="B514:B518"/>
    <mergeCell ref="B519:B523"/>
    <mergeCell ref="B526:B528"/>
    <mergeCell ref="C526:C528"/>
  </mergeCells>
  <pageMargins left="0.7" right="0.7" top="0.75" bottom="0.75" header="0" footer="0"/>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857"/>
  <sheetViews>
    <sheetView showGridLines="0" topLeftCell="A19" workbookViewId="0">
      <selection activeCell="C25" sqref="C25"/>
    </sheetView>
  </sheetViews>
  <sheetFormatPr defaultColWidth="14.3984375" defaultRowHeight="15" customHeight="1"/>
  <cols>
    <col min="1" max="1" width="26" style="1" customWidth="1"/>
    <col min="2" max="2" width="19.796875" style="1" customWidth="1"/>
    <col min="3" max="3" width="14" style="1" customWidth="1"/>
    <col min="4" max="4" width="16.796875" style="1" customWidth="1"/>
    <col min="5" max="5" width="14.19921875" style="1" customWidth="1"/>
    <col min="6" max="6" width="11" style="1" customWidth="1"/>
    <col min="7" max="7" width="13.59765625" style="1" customWidth="1"/>
    <col min="8" max="8" width="11.796875" style="1" customWidth="1"/>
    <col min="9" max="9" width="11" style="1" customWidth="1"/>
    <col min="10" max="10" width="10.796875" style="1" customWidth="1"/>
    <col min="11" max="11" width="14.19921875" style="1" customWidth="1"/>
    <col min="12" max="12" width="14" style="1" customWidth="1"/>
    <col min="13" max="13" width="14.19921875" style="1" customWidth="1"/>
    <col min="14" max="14" width="15.3984375" style="1" customWidth="1"/>
    <col min="15" max="16" width="11" style="1" customWidth="1"/>
    <col min="17" max="17" width="14.19921875" style="1" customWidth="1"/>
    <col min="18" max="18" width="10.59765625" style="1" customWidth="1"/>
    <col min="19" max="19" width="13.59765625" style="1" customWidth="1"/>
    <col min="20" max="30" width="11.19921875" style="1" customWidth="1"/>
    <col min="31" max="55" width="9.19921875" style="1" customWidth="1"/>
    <col min="56" max="56" width="14.3984375" style="1" customWidth="1"/>
    <col min="57" max="16384" width="14.3984375" style="1"/>
  </cols>
  <sheetData>
    <row r="1" spans="1:55" ht="14.25" customHeight="1">
      <c r="A1" s="167" t="s">
        <v>8</v>
      </c>
      <c r="B1" s="168"/>
      <c r="C1" s="168"/>
      <c r="D1" s="168"/>
      <c r="E1" s="168"/>
      <c r="F1" s="168"/>
      <c r="G1" s="168"/>
      <c r="H1" s="168"/>
      <c r="I1" s="168"/>
      <c r="J1" s="168"/>
      <c r="K1" s="168"/>
      <c r="L1" s="168"/>
      <c r="M1" s="168"/>
      <c r="N1" s="168"/>
      <c r="O1" s="168"/>
      <c r="P1" s="168"/>
      <c r="Q1" s="168"/>
      <c r="R1" s="168"/>
      <c r="S1" s="168"/>
      <c r="T1" s="168"/>
      <c r="U1" s="169"/>
      <c r="V1" s="169"/>
      <c r="W1" s="169"/>
      <c r="X1" s="169"/>
      <c r="Y1" s="169"/>
      <c r="Z1" s="169"/>
      <c r="AA1" s="169"/>
      <c r="AB1" s="169"/>
      <c r="AC1" s="169"/>
      <c r="AD1" s="169"/>
      <c r="AE1" s="169"/>
      <c r="AF1" s="169"/>
      <c r="AG1" s="169"/>
      <c r="AH1" s="169"/>
      <c r="AI1" s="169"/>
      <c r="AJ1" s="169"/>
      <c r="AK1" s="169"/>
      <c r="AL1" s="169"/>
      <c r="AM1" s="169"/>
      <c r="AN1" s="169"/>
      <c r="AO1" s="169"/>
      <c r="AP1" s="169"/>
      <c r="AQ1" s="169"/>
      <c r="AR1" s="169"/>
      <c r="AS1" s="169"/>
      <c r="AT1" s="169"/>
      <c r="AU1" s="169"/>
      <c r="AV1" s="169"/>
      <c r="AW1" s="169"/>
      <c r="AX1" s="169"/>
      <c r="AY1" s="169"/>
      <c r="AZ1" s="169"/>
      <c r="BA1" s="169"/>
      <c r="BB1" s="169"/>
      <c r="BC1" s="169"/>
    </row>
    <row r="2" spans="1:55" ht="14.25" customHeight="1">
      <c r="A2" s="532" t="s">
        <v>9</v>
      </c>
      <c r="B2" s="511" t="s">
        <v>10</v>
      </c>
      <c r="C2" s="534" t="s">
        <v>238</v>
      </c>
      <c r="D2" s="503"/>
      <c r="E2" s="504"/>
      <c r="F2" s="504"/>
      <c r="G2" s="504"/>
      <c r="H2" s="505"/>
      <c r="I2" s="534" t="s">
        <v>239</v>
      </c>
      <c r="J2" s="503"/>
      <c r="K2" s="504"/>
      <c r="L2" s="504"/>
      <c r="M2" s="504"/>
      <c r="N2" s="505"/>
      <c r="O2" s="534" t="s">
        <v>240</v>
      </c>
      <c r="P2" s="503"/>
      <c r="Q2" s="504"/>
      <c r="R2" s="504"/>
      <c r="S2" s="504"/>
      <c r="T2" s="505"/>
      <c r="U2" s="170"/>
      <c r="V2" s="169"/>
      <c r="W2" s="169"/>
      <c r="X2" s="169"/>
      <c r="Y2" s="169"/>
      <c r="Z2" s="169"/>
      <c r="AA2" s="169"/>
      <c r="AB2" s="169"/>
      <c r="AC2" s="169"/>
      <c r="AD2" s="169"/>
      <c r="AE2" s="169"/>
      <c r="AF2" s="169"/>
      <c r="AG2" s="169"/>
      <c r="AH2" s="169"/>
      <c r="AI2" s="169"/>
      <c r="AJ2" s="169"/>
      <c r="AK2" s="169"/>
      <c r="AL2" s="169"/>
      <c r="AM2" s="169"/>
      <c r="AN2" s="169"/>
      <c r="AO2" s="169"/>
      <c r="AP2" s="169"/>
      <c r="AQ2" s="169"/>
      <c r="AR2" s="169"/>
      <c r="AS2" s="169"/>
      <c r="AT2" s="169"/>
      <c r="AU2" s="169"/>
      <c r="AV2" s="169"/>
      <c r="AW2" s="169"/>
      <c r="AX2" s="169"/>
      <c r="AY2" s="169"/>
      <c r="AZ2" s="169"/>
      <c r="BA2" s="169"/>
      <c r="BB2" s="169"/>
      <c r="BC2" s="169"/>
    </row>
    <row r="3" spans="1:55" ht="14.25" customHeight="1">
      <c r="A3" s="521"/>
      <c r="B3" s="521"/>
      <c r="C3" s="11" t="s">
        <v>12</v>
      </c>
      <c r="D3" s="11" t="s">
        <v>13</v>
      </c>
      <c r="E3" s="11" t="s">
        <v>14</v>
      </c>
      <c r="F3" s="11" t="s">
        <v>15</v>
      </c>
      <c r="G3" s="11" t="s">
        <v>16</v>
      </c>
      <c r="H3" s="11" t="s">
        <v>17</v>
      </c>
      <c r="I3" s="11" t="s">
        <v>12</v>
      </c>
      <c r="J3" s="11" t="s">
        <v>13</v>
      </c>
      <c r="K3" s="11" t="s">
        <v>14</v>
      </c>
      <c r="L3" s="11" t="s">
        <v>15</v>
      </c>
      <c r="M3" s="11" t="s">
        <v>16</v>
      </c>
      <c r="N3" s="11" t="s">
        <v>17</v>
      </c>
      <c r="O3" s="11" t="s">
        <v>12</v>
      </c>
      <c r="P3" s="11" t="s">
        <v>13</v>
      </c>
      <c r="Q3" s="11" t="s">
        <v>14</v>
      </c>
      <c r="R3" s="11" t="s">
        <v>15</v>
      </c>
      <c r="S3" s="11" t="s">
        <v>16</v>
      </c>
      <c r="T3" s="11" t="s">
        <v>17</v>
      </c>
      <c r="U3" s="170"/>
      <c r="V3" s="169"/>
      <c r="W3" s="169"/>
      <c r="X3" s="169"/>
      <c r="Y3" s="169"/>
      <c r="Z3" s="169"/>
      <c r="AA3" s="169"/>
      <c r="AB3" s="169"/>
      <c r="AC3" s="169"/>
      <c r="AD3" s="169"/>
      <c r="AE3" s="169"/>
      <c r="AF3" s="169"/>
      <c r="AG3" s="169"/>
      <c r="AH3" s="169"/>
      <c r="AI3" s="169"/>
      <c r="AJ3" s="169"/>
      <c r="AK3" s="169"/>
      <c r="AL3" s="169"/>
      <c r="AM3" s="169"/>
      <c r="AN3" s="169"/>
      <c r="AO3" s="169"/>
      <c r="AP3" s="169"/>
      <c r="AQ3" s="169"/>
      <c r="AR3" s="169"/>
      <c r="AS3" s="169"/>
      <c r="AT3" s="169"/>
      <c r="AU3" s="169"/>
      <c r="AV3" s="169"/>
      <c r="AW3" s="169"/>
      <c r="AX3" s="169"/>
      <c r="AY3" s="169"/>
      <c r="AZ3" s="169"/>
      <c r="BA3" s="169"/>
      <c r="BB3" s="169"/>
      <c r="BC3" s="169"/>
    </row>
    <row r="4" spans="1:55" ht="14.25" customHeight="1">
      <c r="A4" s="12" t="s">
        <v>18</v>
      </c>
      <c r="B4" s="13" t="s">
        <v>19</v>
      </c>
      <c r="C4" s="171"/>
      <c r="D4" s="171"/>
      <c r="E4" s="172"/>
      <c r="F4" s="173"/>
      <c r="G4" s="173"/>
      <c r="H4" s="174"/>
      <c r="I4" s="171"/>
      <c r="J4" s="171"/>
      <c r="K4" s="171"/>
      <c r="L4" s="173"/>
      <c r="M4" s="173"/>
      <c r="N4" s="173"/>
      <c r="O4" s="171"/>
      <c r="P4" s="171"/>
      <c r="Q4" s="172"/>
      <c r="R4" s="173"/>
      <c r="S4" s="173"/>
      <c r="T4" s="174"/>
      <c r="U4" s="170"/>
      <c r="V4" s="169"/>
      <c r="W4" s="169"/>
      <c r="X4" s="169"/>
      <c r="Y4" s="169"/>
      <c r="Z4" s="169"/>
      <c r="AA4" s="169"/>
      <c r="AB4" s="169"/>
      <c r="AC4" s="169"/>
      <c r="AD4" s="169"/>
      <c r="AE4" s="169"/>
      <c r="AF4" s="169"/>
      <c r="AG4" s="169"/>
      <c r="AH4" s="169"/>
      <c r="AI4" s="169"/>
      <c r="AJ4" s="169"/>
      <c r="AK4" s="169"/>
      <c r="AL4" s="169"/>
      <c r="AM4" s="169"/>
      <c r="AN4" s="169"/>
      <c r="AO4" s="169"/>
      <c r="AP4" s="169"/>
      <c r="AQ4" s="169"/>
      <c r="AR4" s="169"/>
      <c r="AS4" s="169"/>
      <c r="AT4" s="169"/>
      <c r="AU4" s="169"/>
      <c r="AV4" s="169"/>
      <c r="AW4" s="169"/>
      <c r="AX4" s="169"/>
      <c r="AY4" s="169"/>
      <c r="AZ4" s="169"/>
      <c r="BA4" s="169"/>
      <c r="BB4" s="169"/>
      <c r="BC4" s="169"/>
    </row>
    <row r="5" spans="1:55" ht="14.25" customHeight="1">
      <c r="A5" s="12" t="s">
        <v>20</v>
      </c>
      <c r="B5" s="13" t="s">
        <v>19</v>
      </c>
      <c r="C5" s="171"/>
      <c r="D5" s="171"/>
      <c r="E5" s="172"/>
      <c r="F5" s="173"/>
      <c r="G5" s="173"/>
      <c r="H5" s="174"/>
      <c r="I5" s="171"/>
      <c r="J5" s="171"/>
      <c r="K5" s="172"/>
      <c r="L5" s="173"/>
      <c r="M5" s="173"/>
      <c r="N5" s="174"/>
      <c r="O5" s="171"/>
      <c r="P5" s="171"/>
      <c r="Q5" s="172"/>
      <c r="R5" s="173"/>
      <c r="S5" s="173"/>
      <c r="T5" s="174"/>
      <c r="U5" s="170"/>
      <c r="V5" s="169"/>
      <c r="W5" s="169"/>
      <c r="X5" s="169"/>
      <c r="Y5" s="169"/>
      <c r="Z5" s="169"/>
      <c r="AA5" s="169"/>
      <c r="AB5" s="169"/>
      <c r="AC5" s="169"/>
      <c r="AD5" s="169"/>
      <c r="AE5" s="169"/>
      <c r="AF5" s="169"/>
      <c r="AG5" s="169"/>
      <c r="AH5" s="169"/>
      <c r="AI5" s="169"/>
      <c r="AJ5" s="169"/>
      <c r="AK5" s="169"/>
      <c r="AL5" s="169"/>
      <c r="AM5" s="169"/>
      <c r="AN5" s="169"/>
      <c r="AO5" s="169"/>
      <c r="AP5" s="169"/>
      <c r="AQ5" s="169"/>
      <c r="AR5" s="169"/>
      <c r="AS5" s="169"/>
      <c r="AT5" s="169"/>
      <c r="AU5" s="169"/>
      <c r="AV5" s="169"/>
      <c r="AW5" s="169"/>
      <c r="AX5" s="169"/>
      <c r="AY5" s="169"/>
      <c r="AZ5" s="169"/>
      <c r="BA5" s="169"/>
      <c r="BB5" s="169"/>
      <c r="BC5" s="169"/>
    </row>
    <row r="6" spans="1:55" ht="14.25" customHeight="1">
      <c r="A6" s="535" t="s">
        <v>21</v>
      </c>
      <c r="B6" s="13" t="s">
        <v>22</v>
      </c>
      <c r="C6" s="171"/>
      <c r="D6" s="171"/>
      <c r="E6" s="172"/>
      <c r="F6" s="173"/>
      <c r="G6" s="173"/>
      <c r="H6" s="174"/>
      <c r="I6" s="171"/>
      <c r="J6" s="171"/>
      <c r="K6" s="172"/>
      <c r="L6" s="173"/>
      <c r="M6" s="173"/>
      <c r="N6" s="174"/>
      <c r="O6" s="171"/>
      <c r="P6" s="171"/>
      <c r="Q6" s="172"/>
      <c r="R6" s="173"/>
      <c r="S6" s="173"/>
      <c r="T6" s="174"/>
      <c r="U6" s="170"/>
      <c r="V6" s="169"/>
      <c r="W6" s="169"/>
      <c r="X6" s="169"/>
      <c r="Y6" s="169"/>
      <c r="Z6" s="169"/>
      <c r="AA6" s="169"/>
      <c r="AB6" s="169"/>
      <c r="AC6" s="169"/>
      <c r="AD6" s="169"/>
      <c r="AE6" s="169"/>
      <c r="AF6" s="169"/>
      <c r="AG6" s="169"/>
      <c r="AH6" s="169"/>
      <c r="AI6" s="169"/>
      <c r="AJ6" s="169"/>
      <c r="AK6" s="169"/>
      <c r="AL6" s="169"/>
      <c r="AM6" s="169"/>
      <c r="AN6" s="169"/>
      <c r="AO6" s="169"/>
      <c r="AP6" s="169"/>
      <c r="AQ6" s="169"/>
      <c r="AR6" s="169"/>
      <c r="AS6" s="169"/>
      <c r="AT6" s="169"/>
      <c r="AU6" s="169"/>
      <c r="AV6" s="169"/>
      <c r="AW6" s="169"/>
      <c r="AX6" s="169"/>
      <c r="AY6" s="169"/>
      <c r="AZ6" s="169"/>
      <c r="BA6" s="169"/>
      <c r="BB6" s="169"/>
      <c r="BC6" s="169"/>
    </row>
    <row r="7" spans="1:55" ht="14.25" customHeight="1">
      <c r="A7" s="507"/>
      <c r="B7" s="13" t="s">
        <v>23</v>
      </c>
      <c r="C7" s="171"/>
      <c r="D7" s="171"/>
      <c r="E7" s="172"/>
      <c r="F7" s="173"/>
      <c r="G7" s="173"/>
      <c r="H7" s="174"/>
      <c r="I7" s="171"/>
      <c r="J7" s="171"/>
      <c r="K7" s="172"/>
      <c r="L7" s="173"/>
      <c r="M7" s="173"/>
      <c r="N7" s="174"/>
      <c r="O7" s="171"/>
      <c r="P7" s="171"/>
      <c r="Q7" s="172"/>
      <c r="R7" s="173"/>
      <c r="S7" s="173"/>
      <c r="T7" s="174"/>
      <c r="U7" s="170"/>
      <c r="V7" s="169"/>
      <c r="W7" s="169"/>
      <c r="X7" s="169"/>
      <c r="Y7" s="169"/>
      <c r="Z7" s="169"/>
      <c r="AA7" s="169"/>
      <c r="AB7" s="169"/>
      <c r="AC7" s="169"/>
      <c r="AD7" s="169"/>
      <c r="AE7" s="169"/>
      <c r="AF7" s="169"/>
      <c r="AG7" s="169"/>
      <c r="AH7" s="169"/>
      <c r="AI7" s="169"/>
      <c r="AJ7" s="169"/>
      <c r="AK7" s="169"/>
      <c r="AL7" s="169"/>
      <c r="AM7" s="169"/>
      <c r="AN7" s="169"/>
      <c r="AO7" s="169"/>
      <c r="AP7" s="169"/>
      <c r="AQ7" s="169"/>
      <c r="AR7" s="169"/>
      <c r="AS7" s="169"/>
      <c r="AT7" s="169"/>
      <c r="AU7" s="169"/>
      <c r="AV7" s="169"/>
      <c r="AW7" s="169"/>
      <c r="AX7" s="169"/>
      <c r="AY7" s="169"/>
      <c r="AZ7" s="169"/>
      <c r="BA7" s="169"/>
      <c r="BB7" s="169"/>
      <c r="BC7" s="169"/>
    </row>
    <row r="8" spans="1:55" ht="14.25" customHeight="1">
      <c r="A8" s="508"/>
      <c r="B8" s="13" t="s">
        <v>24</v>
      </c>
      <c r="C8" s="171"/>
      <c r="D8" s="171"/>
      <c r="E8" s="172"/>
      <c r="F8" s="173"/>
      <c r="G8" s="173"/>
      <c r="H8" s="174"/>
      <c r="I8" s="171"/>
      <c r="J8" s="171"/>
      <c r="K8" s="172"/>
      <c r="L8" s="173"/>
      <c r="M8" s="173"/>
      <c r="N8" s="175"/>
      <c r="O8" s="171"/>
      <c r="P8" s="171"/>
      <c r="Q8" s="172"/>
      <c r="R8" s="173"/>
      <c r="S8" s="173"/>
      <c r="T8" s="174"/>
      <c r="U8" s="170"/>
      <c r="V8" s="169"/>
      <c r="W8" s="169"/>
      <c r="X8" s="169"/>
      <c r="Y8" s="169"/>
      <c r="Z8" s="169"/>
      <c r="AA8" s="169"/>
      <c r="AB8" s="169"/>
      <c r="AC8" s="169"/>
      <c r="AD8" s="169"/>
      <c r="AE8" s="169"/>
      <c r="AF8" s="169"/>
      <c r="AG8" s="169"/>
      <c r="AH8" s="169"/>
      <c r="AI8" s="169"/>
      <c r="AJ8" s="169"/>
      <c r="AK8" s="169"/>
      <c r="AL8" s="169"/>
      <c r="AM8" s="169"/>
      <c r="AN8" s="169"/>
      <c r="AO8" s="169"/>
      <c r="AP8" s="169"/>
      <c r="AQ8" s="169"/>
      <c r="AR8" s="169"/>
      <c r="AS8" s="169"/>
      <c r="AT8" s="169"/>
      <c r="AU8" s="169"/>
      <c r="AV8" s="169"/>
      <c r="AW8" s="169"/>
      <c r="AX8" s="169"/>
      <c r="AY8" s="169"/>
      <c r="AZ8" s="169"/>
      <c r="BA8" s="169"/>
      <c r="BB8" s="169"/>
      <c r="BC8" s="169"/>
    </row>
    <row r="9" spans="1:55" ht="14.25" customHeight="1">
      <c r="A9" s="12" t="s">
        <v>25</v>
      </c>
      <c r="B9" s="13" t="s">
        <v>19</v>
      </c>
      <c r="C9" s="171"/>
      <c r="D9" s="171"/>
      <c r="E9" s="172"/>
      <c r="F9" s="173"/>
      <c r="G9" s="173"/>
      <c r="H9" s="174"/>
      <c r="I9" s="171"/>
      <c r="J9" s="171"/>
      <c r="K9" s="172"/>
      <c r="L9" s="173"/>
      <c r="M9" s="173"/>
      <c r="N9" s="174"/>
      <c r="O9" s="171"/>
      <c r="P9" s="171"/>
      <c r="Q9" s="172"/>
      <c r="R9" s="173"/>
      <c r="S9" s="173"/>
      <c r="T9" s="174"/>
      <c r="U9" s="170"/>
      <c r="V9" s="169"/>
      <c r="W9" s="19" t="s">
        <v>26</v>
      </c>
      <c r="X9" s="20">
        <v>0.73089999999999999</v>
      </c>
      <c r="Y9" s="169"/>
      <c r="Z9" s="169"/>
      <c r="AA9" s="169"/>
      <c r="AB9" s="169"/>
      <c r="AC9" s="169"/>
      <c r="AD9" s="169"/>
      <c r="AE9" s="169"/>
      <c r="AF9" s="169"/>
      <c r="AG9" s="169"/>
      <c r="AH9" s="169"/>
      <c r="AI9" s="169"/>
      <c r="AJ9" s="169"/>
      <c r="AK9" s="169"/>
      <c r="AL9" s="169"/>
      <c r="AM9" s="169"/>
      <c r="AN9" s="169"/>
      <c r="AO9" s="169"/>
      <c r="AP9" s="169"/>
      <c r="AQ9" s="169"/>
      <c r="AR9" s="169"/>
      <c r="AS9" s="169"/>
      <c r="AT9" s="169"/>
      <c r="AU9" s="169"/>
      <c r="AV9" s="169"/>
      <c r="AW9" s="169"/>
      <c r="AX9" s="169"/>
      <c r="AY9" s="169"/>
      <c r="AZ9" s="169"/>
      <c r="BA9" s="169"/>
      <c r="BB9" s="169"/>
      <c r="BC9" s="169"/>
    </row>
    <row r="10" spans="1:55" ht="14.25" customHeight="1">
      <c r="A10" s="12" t="s">
        <v>27</v>
      </c>
      <c r="B10" s="13" t="s">
        <v>19</v>
      </c>
      <c r="C10" s="171"/>
      <c r="D10" s="171"/>
      <c r="E10" s="172"/>
      <c r="F10" s="173"/>
      <c r="G10" s="173"/>
      <c r="H10" s="174"/>
      <c r="I10" s="171"/>
      <c r="J10" s="171"/>
      <c r="K10" s="171"/>
      <c r="L10" s="173"/>
      <c r="M10" s="173"/>
      <c r="N10" s="174"/>
      <c r="O10" s="171"/>
      <c r="P10" s="171"/>
      <c r="Q10" s="172"/>
      <c r="R10" s="173"/>
      <c r="S10" s="173"/>
      <c r="T10" s="174"/>
      <c r="U10" s="170"/>
      <c r="V10" s="169"/>
      <c r="W10" s="19" t="s">
        <v>28</v>
      </c>
      <c r="X10" s="20">
        <v>0.72160000000000002</v>
      </c>
      <c r="Y10" s="169"/>
      <c r="Z10" s="169"/>
      <c r="AA10" s="169"/>
      <c r="AB10" s="169"/>
      <c r="AC10" s="169"/>
      <c r="AD10" s="169"/>
      <c r="AE10" s="169"/>
      <c r="AF10" s="169"/>
      <c r="AG10" s="169"/>
      <c r="AH10" s="169"/>
      <c r="AI10" s="169"/>
      <c r="AJ10" s="169"/>
      <c r="AK10" s="169"/>
      <c r="AL10" s="169"/>
      <c r="AM10" s="169"/>
      <c r="AN10" s="169"/>
      <c r="AO10" s="169"/>
      <c r="AP10" s="169"/>
      <c r="AQ10" s="169"/>
      <c r="AR10" s="169"/>
      <c r="AS10" s="169"/>
      <c r="AT10" s="169"/>
      <c r="AU10" s="169"/>
      <c r="AV10" s="169"/>
      <c r="AW10" s="169"/>
      <c r="AX10" s="169"/>
      <c r="AY10" s="169"/>
      <c r="AZ10" s="169"/>
      <c r="BA10" s="169"/>
      <c r="BB10" s="169"/>
      <c r="BC10" s="169"/>
    </row>
    <row r="11" spans="1:55" ht="14.25" customHeight="1">
      <c r="A11" s="12" t="s">
        <v>29</v>
      </c>
      <c r="B11" s="13" t="s">
        <v>19</v>
      </c>
      <c r="C11" s="171"/>
      <c r="D11" s="171"/>
      <c r="E11" s="172"/>
      <c r="F11" s="173"/>
      <c r="G11" s="173"/>
      <c r="H11" s="174"/>
      <c r="I11" s="171"/>
      <c r="J11" s="171"/>
      <c r="K11" s="171"/>
      <c r="L11" s="173"/>
      <c r="M11" s="173"/>
      <c r="N11" s="174"/>
      <c r="O11" s="171"/>
      <c r="P11" s="171"/>
      <c r="Q11" s="172"/>
      <c r="R11" s="173"/>
      <c r="S11" s="173"/>
      <c r="T11" s="174"/>
      <c r="U11" s="170"/>
      <c r="V11" s="169"/>
      <c r="W11" s="19" t="s">
        <v>30</v>
      </c>
      <c r="X11" s="20">
        <f>(X10-X9)/X9</f>
        <v>-1.2724038856204645E-2</v>
      </c>
      <c r="Y11" s="169"/>
      <c r="Z11" s="169"/>
      <c r="AA11" s="169"/>
      <c r="AB11" s="169"/>
      <c r="AC11" s="169"/>
      <c r="AD11" s="169"/>
      <c r="AE11" s="169"/>
      <c r="AF11" s="169"/>
      <c r="AG11" s="169"/>
      <c r="AH11" s="169"/>
      <c r="AI11" s="169"/>
      <c r="AJ11" s="169"/>
      <c r="AK11" s="169"/>
      <c r="AL11" s="169"/>
      <c r="AM11" s="169"/>
      <c r="AN11" s="169"/>
      <c r="AO11" s="169"/>
      <c r="AP11" s="169"/>
      <c r="AQ11" s="169"/>
      <c r="AR11" s="169"/>
      <c r="AS11" s="169"/>
      <c r="AT11" s="169"/>
      <c r="AU11" s="169"/>
      <c r="AV11" s="169"/>
      <c r="AW11" s="169"/>
      <c r="AX11" s="169"/>
      <c r="AY11" s="169"/>
      <c r="AZ11" s="169"/>
      <c r="BA11" s="169"/>
      <c r="BB11" s="169"/>
      <c r="BC11" s="169"/>
    </row>
    <row r="12" spans="1:55" ht="14.25" customHeight="1">
      <c r="A12" s="12" t="s">
        <v>31</v>
      </c>
      <c r="B12" s="13" t="s">
        <v>19</v>
      </c>
      <c r="C12" s="171"/>
      <c r="D12" s="171"/>
      <c r="E12" s="172"/>
      <c r="F12" s="173"/>
      <c r="G12" s="173"/>
      <c r="H12" s="174"/>
      <c r="I12" s="171"/>
      <c r="J12" s="171"/>
      <c r="K12" s="171"/>
      <c r="L12" s="173"/>
      <c r="M12" s="173"/>
      <c r="N12" s="174"/>
      <c r="O12" s="171"/>
      <c r="P12" s="171"/>
      <c r="Q12" s="172"/>
      <c r="R12" s="173"/>
      <c r="S12" s="173"/>
      <c r="T12" s="174"/>
      <c r="U12" s="170"/>
      <c r="V12" s="169"/>
      <c r="W12" s="169"/>
      <c r="X12" s="169"/>
      <c r="Y12" s="169"/>
      <c r="Z12" s="169"/>
      <c r="AA12" s="169"/>
      <c r="AB12" s="169"/>
      <c r="AC12" s="169"/>
      <c r="AD12" s="169"/>
      <c r="AE12" s="169"/>
      <c r="AF12" s="169"/>
      <c r="AG12" s="169"/>
      <c r="AH12" s="169"/>
      <c r="AI12" s="169"/>
      <c r="AJ12" s="169"/>
      <c r="AK12" s="169"/>
      <c r="AL12" s="169"/>
      <c r="AM12" s="169"/>
      <c r="AN12" s="169"/>
      <c r="AO12" s="169"/>
      <c r="AP12" s="169"/>
      <c r="AQ12" s="169"/>
      <c r="AR12" s="169"/>
      <c r="AS12" s="169"/>
      <c r="AT12" s="169"/>
      <c r="AU12" s="169"/>
      <c r="AV12" s="169"/>
      <c r="AW12" s="169"/>
      <c r="AX12" s="169"/>
      <c r="AY12" s="169"/>
      <c r="AZ12" s="169"/>
      <c r="BA12" s="169"/>
      <c r="BB12" s="169"/>
      <c r="BC12" s="169"/>
    </row>
    <row r="13" spans="1:55" ht="14.25" customHeight="1">
      <c r="A13" s="12" t="s">
        <v>32</v>
      </c>
      <c r="B13" s="13" t="s">
        <v>19</v>
      </c>
      <c r="C13" s="171"/>
      <c r="D13" s="171"/>
      <c r="E13" s="172"/>
      <c r="F13" s="173"/>
      <c r="G13" s="173"/>
      <c r="H13" s="174"/>
      <c r="I13" s="171"/>
      <c r="J13" s="171"/>
      <c r="K13" s="21" t="e">
        <f>I13/J13</f>
        <v>#DIV/0!</v>
      </c>
      <c r="L13" s="173"/>
      <c r="M13" s="173"/>
      <c r="N13" s="22" t="e">
        <f>L13/M13</f>
        <v>#DIV/0!</v>
      </c>
      <c r="O13" s="171"/>
      <c r="P13" s="171"/>
      <c r="Q13" s="172"/>
      <c r="R13" s="173"/>
      <c r="S13" s="173"/>
      <c r="T13" s="174"/>
      <c r="U13" s="170"/>
      <c r="V13" s="169"/>
      <c r="W13" s="169"/>
      <c r="X13" s="169"/>
      <c r="Y13" s="169"/>
      <c r="Z13" s="169"/>
      <c r="AA13" s="169"/>
      <c r="AB13" s="169"/>
      <c r="AC13" s="169"/>
      <c r="AD13" s="169"/>
      <c r="AE13" s="169"/>
      <c r="AF13" s="169"/>
      <c r="AG13" s="169"/>
      <c r="AH13" s="169"/>
      <c r="AI13" s="169"/>
      <c r="AJ13" s="169"/>
      <c r="AK13" s="169"/>
      <c r="AL13" s="169"/>
      <c r="AM13" s="169"/>
      <c r="AN13" s="169"/>
      <c r="AO13" s="169"/>
      <c r="AP13" s="169"/>
      <c r="AQ13" s="169"/>
      <c r="AR13" s="169"/>
      <c r="AS13" s="169"/>
      <c r="AT13" s="169"/>
      <c r="AU13" s="169"/>
      <c r="AV13" s="169"/>
      <c r="AW13" s="169"/>
      <c r="AX13" s="169"/>
      <c r="AY13" s="169"/>
      <c r="AZ13" s="169"/>
      <c r="BA13" s="169"/>
      <c r="BB13" s="169"/>
      <c r="BC13" s="169"/>
    </row>
    <row r="14" spans="1:55" ht="14.25" customHeight="1">
      <c r="A14" s="12" t="s">
        <v>33</v>
      </c>
      <c r="B14" s="176"/>
      <c r="C14" s="171"/>
      <c r="D14" s="171"/>
      <c r="E14" s="172"/>
      <c r="F14" s="173"/>
      <c r="G14" s="173"/>
      <c r="H14" s="174"/>
      <c r="I14" s="171"/>
      <c r="J14" s="171"/>
      <c r="K14" s="21" t="e">
        <f>I14/J14</f>
        <v>#DIV/0!</v>
      </c>
      <c r="L14" s="173"/>
      <c r="M14" s="173"/>
      <c r="N14" s="22" t="e">
        <f>L14/M14</f>
        <v>#DIV/0!</v>
      </c>
      <c r="O14" s="171"/>
      <c r="P14" s="171"/>
      <c r="Q14" s="172"/>
      <c r="R14" s="173"/>
      <c r="S14" s="173"/>
      <c r="T14" s="174"/>
      <c r="U14" s="170"/>
      <c r="V14" s="169"/>
      <c r="W14" s="169"/>
      <c r="X14" s="169"/>
      <c r="Y14" s="169"/>
      <c r="Z14" s="169"/>
      <c r="AA14" s="169"/>
      <c r="AB14" s="169"/>
      <c r="AC14" s="169"/>
      <c r="AD14" s="169"/>
      <c r="AE14" s="169"/>
      <c r="AF14" s="169"/>
      <c r="AG14" s="169"/>
      <c r="AH14" s="169"/>
      <c r="AI14" s="169"/>
      <c r="AJ14" s="169"/>
      <c r="AK14" s="169"/>
      <c r="AL14" s="169"/>
      <c r="AM14" s="169"/>
      <c r="AN14" s="169"/>
      <c r="AO14" s="169"/>
      <c r="AP14" s="169"/>
      <c r="AQ14" s="169"/>
      <c r="AR14" s="169"/>
      <c r="AS14" s="169"/>
      <c r="AT14" s="169"/>
      <c r="AU14" s="169"/>
      <c r="AV14" s="169"/>
      <c r="AW14" s="169"/>
      <c r="AX14" s="169"/>
      <c r="AY14" s="169"/>
      <c r="AZ14" s="169"/>
      <c r="BA14" s="169"/>
      <c r="BB14" s="169"/>
      <c r="BC14" s="169"/>
    </row>
    <row r="15" spans="1:55" ht="14.25" customHeight="1">
      <c r="A15" s="12" t="s">
        <v>34</v>
      </c>
      <c r="B15" s="13" t="s">
        <v>19</v>
      </c>
      <c r="C15" s="171"/>
      <c r="D15" s="171"/>
      <c r="E15" s="172"/>
      <c r="F15" s="173"/>
      <c r="G15" s="173"/>
      <c r="H15" s="174"/>
      <c r="I15" s="171"/>
      <c r="J15" s="171"/>
      <c r="K15" s="172"/>
      <c r="L15" s="173"/>
      <c r="M15" s="173"/>
      <c r="N15" s="174"/>
      <c r="O15" s="171"/>
      <c r="P15" s="171"/>
      <c r="Q15" s="172"/>
      <c r="R15" s="173"/>
      <c r="S15" s="173"/>
      <c r="T15" s="174"/>
      <c r="U15" s="170"/>
      <c r="V15" s="169"/>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row>
    <row r="16" spans="1:55" ht="14.25" customHeight="1">
      <c r="A16" s="177"/>
      <c r="B16" s="177"/>
      <c r="C16" s="177"/>
      <c r="D16" s="177"/>
      <c r="E16" s="177"/>
      <c r="F16" s="177"/>
      <c r="G16" s="177"/>
      <c r="H16" s="177"/>
      <c r="I16" s="177"/>
      <c r="J16" s="177"/>
      <c r="K16" s="177"/>
      <c r="L16" s="177"/>
      <c r="M16" s="177"/>
      <c r="N16" s="177"/>
      <c r="O16" s="177"/>
      <c r="P16" s="177"/>
      <c r="Q16" s="177"/>
      <c r="R16" s="177"/>
      <c r="S16" s="177"/>
      <c r="T16" s="177"/>
      <c r="U16" s="169"/>
      <c r="V16" s="169"/>
      <c r="W16" s="169"/>
      <c r="X16" s="169"/>
      <c r="Y16" s="169"/>
      <c r="Z16" s="169"/>
      <c r="AA16" s="169"/>
      <c r="AB16" s="169"/>
      <c r="AC16" s="169"/>
      <c r="AD16" s="169"/>
      <c r="AE16" s="169"/>
      <c r="AF16" s="169"/>
      <c r="AG16" s="169"/>
      <c r="AH16" s="169"/>
      <c r="AI16" s="169"/>
      <c r="AJ16" s="169"/>
      <c r="AK16" s="169"/>
      <c r="AL16" s="169"/>
      <c r="AM16" s="169"/>
      <c r="AN16" s="169"/>
      <c r="AO16" s="169"/>
      <c r="AP16" s="169"/>
      <c r="AQ16" s="169"/>
      <c r="AR16" s="169"/>
      <c r="AS16" s="169"/>
      <c r="AT16" s="169"/>
      <c r="AU16" s="169"/>
      <c r="AV16" s="169"/>
      <c r="AW16" s="169"/>
      <c r="AX16" s="169"/>
      <c r="AY16" s="169"/>
      <c r="AZ16" s="169"/>
      <c r="BA16" s="169"/>
      <c r="BB16" s="169"/>
      <c r="BC16" s="169"/>
    </row>
    <row r="17" spans="1:55" ht="14.25" customHeight="1">
      <c r="A17" s="169"/>
      <c r="B17" s="169"/>
      <c r="C17" s="169"/>
      <c r="D17" s="169"/>
      <c r="E17" s="169"/>
      <c r="F17" s="169"/>
      <c r="G17" s="169"/>
      <c r="H17" s="169"/>
      <c r="I17" s="169"/>
      <c r="J17" s="169"/>
      <c r="K17" s="20"/>
      <c r="L17" s="169"/>
      <c r="M17" s="169"/>
      <c r="N17" s="169"/>
      <c r="O17" s="169"/>
      <c r="P17" s="169"/>
      <c r="Q17" s="169"/>
      <c r="R17" s="169"/>
      <c r="S17" s="169"/>
      <c r="T17" s="169"/>
      <c r="U17" s="169"/>
      <c r="V17" s="169"/>
      <c r="W17" s="169"/>
      <c r="X17" s="169"/>
      <c r="Y17" s="169"/>
      <c r="Z17" s="169"/>
      <c r="AA17" s="169"/>
      <c r="AB17" s="169"/>
      <c r="AC17" s="169"/>
      <c r="AD17" s="169"/>
      <c r="AE17" s="169"/>
      <c r="AF17" s="169"/>
      <c r="AG17" s="169"/>
      <c r="AH17" s="169"/>
      <c r="AI17" s="169"/>
      <c r="AJ17" s="169"/>
      <c r="AK17" s="169"/>
      <c r="AL17" s="169"/>
      <c r="AM17" s="169"/>
      <c r="AN17" s="169"/>
      <c r="AO17" s="169"/>
      <c r="AP17" s="169"/>
      <c r="AQ17" s="169"/>
      <c r="AR17" s="169"/>
      <c r="AS17" s="169"/>
      <c r="AT17" s="169"/>
      <c r="AU17" s="169"/>
      <c r="AV17" s="169"/>
      <c r="AW17" s="169"/>
      <c r="AX17" s="169"/>
      <c r="AY17" s="169"/>
      <c r="AZ17" s="169"/>
      <c r="BA17" s="169"/>
      <c r="BB17" s="169"/>
      <c r="BC17" s="169"/>
    </row>
    <row r="18" spans="1:55" ht="14.25" customHeight="1">
      <c r="A18" s="178" t="s">
        <v>35</v>
      </c>
      <c r="B18" s="179"/>
      <c r="C18" s="179"/>
      <c r="D18" s="179"/>
      <c r="E18" s="179"/>
      <c r="F18" s="179"/>
      <c r="G18" s="179"/>
      <c r="H18" s="179"/>
      <c r="I18" s="179"/>
      <c r="J18" s="179"/>
      <c r="K18" s="179"/>
      <c r="L18" s="179"/>
      <c r="M18" s="179"/>
      <c r="N18" s="179"/>
      <c r="O18" s="179"/>
      <c r="P18" s="179"/>
      <c r="Q18" s="179"/>
      <c r="R18" s="179"/>
      <c r="S18" s="179"/>
      <c r="T18" s="179"/>
      <c r="U18" s="179"/>
      <c r="V18" s="169"/>
      <c r="W18" s="169"/>
      <c r="X18" s="169"/>
      <c r="Y18" s="169"/>
      <c r="Z18" s="169"/>
      <c r="AA18" s="169"/>
      <c r="AB18" s="169"/>
      <c r="AC18" s="169"/>
      <c r="AD18" s="169"/>
      <c r="AE18" s="169"/>
      <c r="AF18" s="169"/>
      <c r="AG18" s="169"/>
      <c r="AH18" s="169"/>
      <c r="AI18" s="169"/>
      <c r="AJ18" s="169"/>
      <c r="AK18" s="169"/>
      <c r="AL18" s="169"/>
      <c r="AM18" s="169"/>
      <c r="AN18" s="169"/>
      <c r="AO18" s="169"/>
      <c r="AP18" s="169"/>
      <c r="AQ18" s="169"/>
      <c r="AR18" s="169"/>
      <c r="AS18" s="169"/>
      <c r="AT18" s="169"/>
      <c r="AU18" s="169"/>
      <c r="AV18" s="169"/>
      <c r="AW18" s="169"/>
      <c r="AX18" s="169"/>
      <c r="AY18" s="169"/>
      <c r="AZ18" s="169"/>
      <c r="BA18" s="169"/>
      <c r="BB18" s="169"/>
      <c r="BC18" s="169"/>
    </row>
    <row r="19" spans="1:55" ht="14.25" customHeight="1">
      <c r="A19" s="180" t="s">
        <v>36</v>
      </c>
      <c r="B19" s="181"/>
      <c r="C19" s="182"/>
      <c r="D19" s="182"/>
      <c r="E19" s="182"/>
      <c r="F19" s="182"/>
      <c r="G19" s="182"/>
      <c r="H19" s="182"/>
      <c r="I19" s="182"/>
      <c r="J19" s="182"/>
      <c r="K19" s="182"/>
      <c r="L19" s="29" t="s">
        <v>17</v>
      </c>
      <c r="M19" s="183"/>
      <c r="N19" s="184"/>
      <c r="O19" s="184"/>
      <c r="P19" s="184"/>
      <c r="Q19" s="184"/>
      <c r="R19" s="184"/>
      <c r="S19" s="184"/>
      <c r="T19" s="184"/>
      <c r="U19" s="184"/>
      <c r="V19" s="185"/>
      <c r="W19" s="169"/>
      <c r="X19" s="169"/>
      <c r="Y19" s="169"/>
      <c r="Z19" s="169"/>
      <c r="AA19" s="169"/>
      <c r="AB19" s="169"/>
      <c r="AC19" s="169"/>
      <c r="AD19" s="169"/>
      <c r="AE19" s="169"/>
      <c r="AF19" s="169"/>
      <c r="AG19" s="169"/>
      <c r="AH19" s="169"/>
      <c r="AI19" s="169"/>
      <c r="AJ19" s="169"/>
      <c r="AK19" s="169"/>
      <c r="AL19" s="169"/>
      <c r="AM19" s="169"/>
      <c r="AN19" s="169"/>
      <c r="AO19" s="169"/>
      <c r="AP19" s="169"/>
      <c r="AQ19" s="169"/>
      <c r="AR19" s="169"/>
      <c r="AS19" s="169"/>
      <c r="AT19" s="169"/>
      <c r="AU19" s="169"/>
      <c r="AV19" s="169"/>
      <c r="AW19" s="169"/>
      <c r="AX19" s="169"/>
      <c r="AY19" s="169"/>
      <c r="AZ19" s="169"/>
      <c r="BA19" s="169"/>
      <c r="BB19" s="169"/>
      <c r="BC19" s="169"/>
    </row>
    <row r="20" spans="1:55" ht="14.25" customHeight="1">
      <c r="A20" s="511" t="s">
        <v>37</v>
      </c>
      <c r="B20" s="511" t="s">
        <v>38</v>
      </c>
      <c r="C20" s="511" t="s">
        <v>18</v>
      </c>
      <c r="D20" s="32" t="s">
        <v>20</v>
      </c>
      <c r="E20" s="502" t="s">
        <v>21</v>
      </c>
      <c r="F20" s="503"/>
      <c r="G20" s="505"/>
      <c r="H20" s="502" t="s">
        <v>25</v>
      </c>
      <c r="I20" s="503"/>
      <c r="J20" s="505"/>
      <c r="K20" s="511" t="s">
        <v>39</v>
      </c>
      <c r="L20" s="511" t="s">
        <v>38</v>
      </c>
      <c r="M20" s="511" t="s">
        <v>18</v>
      </c>
      <c r="N20" s="32" t="s">
        <v>20</v>
      </c>
      <c r="O20" s="502" t="s">
        <v>21</v>
      </c>
      <c r="P20" s="503"/>
      <c r="Q20" s="505"/>
      <c r="R20" s="502" t="s">
        <v>25</v>
      </c>
      <c r="S20" s="503"/>
      <c r="T20" s="505"/>
      <c r="U20" s="511" t="s">
        <v>39</v>
      </c>
      <c r="V20" s="170"/>
      <c r="W20" s="33" t="s">
        <v>40</v>
      </c>
      <c r="X20" s="33" t="s">
        <v>41</v>
      </c>
      <c r="Y20" s="33" t="s">
        <v>42</v>
      </c>
      <c r="Z20" s="169"/>
      <c r="AA20" s="169"/>
      <c r="AB20" s="169"/>
      <c r="AC20" s="169"/>
      <c r="AD20" s="169"/>
      <c r="AE20" s="169"/>
      <c r="AF20" s="169"/>
      <c r="AG20" s="169"/>
      <c r="AH20" s="169"/>
      <c r="AI20" s="169"/>
      <c r="AJ20" s="169"/>
      <c r="AK20" s="169"/>
      <c r="AL20" s="169"/>
      <c r="AM20" s="169"/>
      <c r="AN20" s="169"/>
      <c r="AO20" s="169"/>
      <c r="AP20" s="169"/>
      <c r="AQ20" s="169"/>
      <c r="AR20" s="169"/>
      <c r="AS20" s="169"/>
      <c r="AT20" s="169"/>
      <c r="AU20" s="169"/>
      <c r="AV20" s="169"/>
      <c r="AW20" s="169"/>
      <c r="AX20" s="169"/>
      <c r="AY20" s="169"/>
      <c r="AZ20" s="169"/>
      <c r="BA20" s="169"/>
      <c r="BB20" s="169"/>
      <c r="BC20" s="169"/>
    </row>
    <row r="21" spans="1:55" ht="14.25" customHeight="1">
      <c r="A21" s="521"/>
      <c r="B21" s="521"/>
      <c r="C21" s="521"/>
      <c r="D21" s="32" t="s">
        <v>240</v>
      </c>
      <c r="E21" s="32" t="s">
        <v>238</v>
      </c>
      <c r="F21" s="32" t="s">
        <v>239</v>
      </c>
      <c r="G21" s="32" t="s">
        <v>240</v>
      </c>
      <c r="H21" s="32" t="s">
        <v>238</v>
      </c>
      <c r="I21" s="32" t="s">
        <v>239</v>
      </c>
      <c r="J21" s="32" t="s">
        <v>240</v>
      </c>
      <c r="K21" s="521"/>
      <c r="L21" s="521"/>
      <c r="M21" s="521"/>
      <c r="N21" s="32" t="s">
        <v>240</v>
      </c>
      <c r="O21" s="32" t="s">
        <v>238</v>
      </c>
      <c r="P21" s="32" t="s">
        <v>239</v>
      </c>
      <c r="Q21" s="32" t="s">
        <v>240</v>
      </c>
      <c r="R21" s="32" t="s">
        <v>238</v>
      </c>
      <c r="S21" s="32" t="s">
        <v>239</v>
      </c>
      <c r="T21" s="32" t="s">
        <v>240</v>
      </c>
      <c r="U21" s="521"/>
      <c r="V21" s="170"/>
      <c r="W21" s="35">
        <v>0.65</v>
      </c>
      <c r="X21" s="35">
        <v>0.25</v>
      </c>
      <c r="Y21" s="35">
        <v>0.1</v>
      </c>
      <c r="Z21" s="169"/>
      <c r="AA21" s="169"/>
      <c r="AB21" s="169"/>
      <c r="AC21" s="169"/>
      <c r="AD21" s="169"/>
      <c r="AE21" s="169"/>
      <c r="AF21" s="169"/>
      <c r="AG21" s="169"/>
      <c r="AH21" s="169"/>
      <c r="AI21" s="169"/>
      <c r="AJ21" s="169"/>
      <c r="AK21" s="169"/>
      <c r="AL21" s="169"/>
      <c r="AM21" s="169"/>
      <c r="AN21" s="169"/>
      <c r="AO21" s="169"/>
      <c r="AP21" s="169"/>
      <c r="AQ21" s="169"/>
      <c r="AR21" s="169"/>
      <c r="AS21" s="169"/>
      <c r="AT21" s="169"/>
      <c r="AU21" s="169"/>
      <c r="AV21" s="169"/>
      <c r="AW21" s="169"/>
      <c r="AX21" s="169"/>
      <c r="AY21" s="169"/>
      <c r="AZ21" s="169"/>
      <c r="BA21" s="169"/>
      <c r="BB21" s="169"/>
      <c r="BC21" s="169"/>
    </row>
    <row r="22" spans="1:55" ht="14.25" customHeight="1">
      <c r="A22" s="43" t="s">
        <v>241</v>
      </c>
      <c r="B22" s="36">
        <f t="shared" ref="B22:B53" si="0">D85</f>
        <v>0.80272108843537415</v>
      </c>
      <c r="C22" s="36">
        <f t="shared" ref="C22:C32" si="1">G85</f>
        <v>0.84353741496598644</v>
      </c>
      <c r="D22" s="44" t="str">
        <f t="shared" ref="D22:D32" si="2">J85</f>
        <v>-</v>
      </c>
      <c r="E22" s="36">
        <f t="shared" ref="E22:G26" si="3">K183</f>
        <v>0.7857142857142857</v>
      </c>
      <c r="F22" s="36">
        <f t="shared" si="3"/>
        <v>0.76691729323308266</v>
      </c>
      <c r="G22" s="36">
        <f t="shared" si="3"/>
        <v>0.77248677248677244</v>
      </c>
      <c r="H22" s="44" t="str">
        <f t="shared" ref="H22:H32" si="4">V85</f>
        <v>-</v>
      </c>
      <c r="I22" s="44" t="str">
        <f t="shared" ref="I22:I32" si="5">Y85</f>
        <v>-</v>
      </c>
      <c r="J22" s="44" t="str">
        <f t="shared" ref="J22:J32" si="6">AB85</f>
        <v>-</v>
      </c>
      <c r="K22" s="36">
        <f t="shared" ref="K22:K53" si="7">IFERROR(AVERAGE(C22,D22,G22,J22),"-")</f>
        <v>0.8080120937263795</v>
      </c>
      <c r="L22" s="21">
        <f t="shared" ref="L22:L53" si="8">AE85</f>
        <v>0.55084745762711862</v>
      </c>
      <c r="M22" s="21">
        <f t="shared" ref="M22:M53" si="9">AH85</f>
        <v>0.95476575121163165</v>
      </c>
      <c r="N22" s="37" t="str">
        <f t="shared" ref="N22:N43" si="10">AK85</f>
        <v>-</v>
      </c>
      <c r="O22" s="21">
        <f t="shared" ref="O22:Q26" si="11">W183</f>
        <v>0</v>
      </c>
      <c r="P22" s="21">
        <f t="shared" si="11"/>
        <v>0</v>
      </c>
      <c r="Q22" s="21">
        <f t="shared" si="11"/>
        <v>0</v>
      </c>
      <c r="R22" s="37" t="str">
        <f t="shared" ref="R22:R53" si="12">AQ85</f>
        <v>-</v>
      </c>
      <c r="S22" s="37" t="str">
        <f t="shared" ref="S22:S53" si="13">AT85</f>
        <v>-</v>
      </c>
      <c r="T22" s="37" t="str">
        <f t="shared" ref="T22:T53" si="14">AW85</f>
        <v>-</v>
      </c>
      <c r="U22" s="21">
        <f t="shared" ref="U22:U53" si="15">IFERROR(AVERAGE(T22,Q22,N22,M22),"-")</f>
        <v>0.47738287560581583</v>
      </c>
      <c r="V22" s="170"/>
      <c r="W22" s="20">
        <v>0.89959999999999996</v>
      </c>
      <c r="X22" s="169"/>
      <c r="Y22" s="169"/>
      <c r="Z22" s="169"/>
      <c r="AA22" s="169"/>
      <c r="AB22" s="169"/>
      <c r="AC22" s="169"/>
      <c r="AD22" s="169"/>
      <c r="AE22" s="169"/>
      <c r="AF22" s="169"/>
      <c r="AG22" s="169"/>
      <c r="AH22" s="169"/>
      <c r="AI22" s="169"/>
      <c r="AJ22" s="169"/>
      <c r="AK22" s="169"/>
      <c r="AL22" s="169"/>
      <c r="AM22" s="169"/>
      <c r="AN22" s="169"/>
      <c r="AO22" s="169"/>
      <c r="AP22" s="169"/>
      <c r="AQ22" s="169"/>
      <c r="AR22" s="169"/>
      <c r="AS22" s="169"/>
      <c r="AT22" s="169"/>
      <c r="AU22" s="169"/>
      <c r="AV22" s="169"/>
      <c r="AW22" s="169"/>
      <c r="AX22" s="169"/>
      <c r="AY22" s="169"/>
      <c r="AZ22" s="169"/>
      <c r="BA22" s="169"/>
      <c r="BB22" s="169"/>
      <c r="BC22" s="169"/>
    </row>
    <row r="23" spans="1:55" ht="14.25" customHeight="1">
      <c r="A23" s="45" t="s">
        <v>47</v>
      </c>
      <c r="B23" s="36">
        <f t="shared" si="0"/>
        <v>0.90909090909090906</v>
      </c>
      <c r="C23" s="36">
        <f t="shared" si="1"/>
        <v>0.93939393939393945</v>
      </c>
      <c r="D23" s="36">
        <f t="shared" si="2"/>
        <v>1</v>
      </c>
      <c r="E23" s="36">
        <f t="shared" si="3"/>
        <v>0.94594594594594594</v>
      </c>
      <c r="F23" s="36">
        <f t="shared" si="3"/>
        <v>1</v>
      </c>
      <c r="G23" s="36">
        <f t="shared" si="3"/>
        <v>0.9726027397260274</v>
      </c>
      <c r="H23" s="44" t="str">
        <f t="shared" si="4"/>
        <v>-</v>
      </c>
      <c r="I23" s="44" t="str">
        <f t="shared" si="5"/>
        <v>-</v>
      </c>
      <c r="J23" s="44" t="str">
        <f t="shared" si="6"/>
        <v>-</v>
      </c>
      <c r="K23" s="36">
        <f t="shared" si="7"/>
        <v>0.97066555970665558</v>
      </c>
      <c r="L23" s="37" t="str">
        <f t="shared" si="8"/>
        <v>-</v>
      </c>
      <c r="M23" s="21">
        <f t="shared" si="9"/>
        <v>0.86517783291976835</v>
      </c>
      <c r="N23" s="37" t="str">
        <f t="shared" si="10"/>
        <v>-</v>
      </c>
      <c r="O23" s="21">
        <f t="shared" si="11"/>
        <v>0</v>
      </c>
      <c r="P23" s="21">
        <f t="shared" si="11"/>
        <v>0</v>
      </c>
      <c r="Q23" s="21">
        <f t="shared" si="11"/>
        <v>0</v>
      </c>
      <c r="R23" s="37" t="str">
        <f t="shared" si="12"/>
        <v>-</v>
      </c>
      <c r="S23" s="37" t="str">
        <f t="shared" si="13"/>
        <v>-</v>
      </c>
      <c r="T23" s="37" t="str">
        <f t="shared" si="14"/>
        <v>-</v>
      </c>
      <c r="U23" s="21">
        <f t="shared" si="15"/>
        <v>0.43258891645988418</v>
      </c>
      <c r="V23" s="170"/>
      <c r="W23" s="20">
        <v>0.87250000000000005</v>
      </c>
      <c r="X23" s="169"/>
      <c r="Y23" s="169"/>
      <c r="Z23" s="169"/>
      <c r="AA23" s="169"/>
      <c r="AB23" s="169"/>
      <c r="AC23" s="169"/>
      <c r="AD23" s="169"/>
      <c r="AE23" s="169"/>
      <c r="AF23" s="169"/>
      <c r="AG23" s="169"/>
      <c r="AH23" s="169"/>
      <c r="AI23" s="169"/>
      <c r="AJ23" s="169"/>
      <c r="AK23" s="169"/>
      <c r="AL23" s="169"/>
      <c r="AM23" s="169"/>
      <c r="AN23" s="169"/>
      <c r="AO23" s="169"/>
      <c r="AP23" s="169"/>
      <c r="AQ23" s="169"/>
      <c r="AR23" s="169"/>
      <c r="AS23" s="169"/>
      <c r="AT23" s="169"/>
      <c r="AU23" s="169"/>
      <c r="AV23" s="169"/>
      <c r="AW23" s="169"/>
      <c r="AX23" s="169"/>
      <c r="AY23" s="169"/>
      <c r="AZ23" s="169"/>
      <c r="BA23" s="169"/>
      <c r="BB23" s="169"/>
      <c r="BC23" s="169"/>
    </row>
    <row r="24" spans="1:55" ht="14.25" customHeight="1">
      <c r="A24" s="12" t="s">
        <v>242</v>
      </c>
      <c r="B24" s="36">
        <f t="shared" si="0"/>
        <v>0.90430925221799752</v>
      </c>
      <c r="C24" s="36">
        <f t="shared" si="1"/>
        <v>0.82271293375394317</v>
      </c>
      <c r="D24" s="36">
        <f t="shared" si="2"/>
        <v>0.77191990957532697</v>
      </c>
      <c r="E24" s="36">
        <f t="shared" si="3"/>
        <v>0.85100887812752224</v>
      </c>
      <c r="F24" s="36">
        <f t="shared" si="3"/>
        <v>0.92825266048747002</v>
      </c>
      <c r="G24" s="36">
        <f t="shared" si="3"/>
        <v>0.88844522086348887</v>
      </c>
      <c r="H24" s="36">
        <f t="shared" si="4"/>
        <v>1</v>
      </c>
      <c r="I24" s="36">
        <f t="shared" si="5"/>
        <v>1</v>
      </c>
      <c r="J24" s="36">
        <f t="shared" si="6"/>
        <v>1</v>
      </c>
      <c r="K24" s="36">
        <f t="shared" si="7"/>
        <v>0.87076951604818975</v>
      </c>
      <c r="L24" s="37" t="str">
        <f t="shared" si="8"/>
        <v>-</v>
      </c>
      <c r="M24" s="21">
        <f t="shared" si="9"/>
        <v>0.88056741915802317</v>
      </c>
      <c r="N24" s="21">
        <f t="shared" si="10"/>
        <v>0.86115671801607585</v>
      </c>
      <c r="O24" s="21">
        <f t="shared" si="11"/>
        <v>0</v>
      </c>
      <c r="P24" s="21">
        <f t="shared" si="11"/>
        <v>0</v>
      </c>
      <c r="Q24" s="21">
        <f t="shared" si="11"/>
        <v>0</v>
      </c>
      <c r="R24" s="21">
        <f t="shared" si="12"/>
        <v>0.79132231404958675</v>
      </c>
      <c r="S24" s="21">
        <f t="shared" si="13"/>
        <v>0.86156148665502619</v>
      </c>
      <c r="T24" s="37" t="str">
        <f t="shared" si="14"/>
        <v>-</v>
      </c>
      <c r="U24" s="21">
        <f t="shared" si="15"/>
        <v>0.58057471239136638</v>
      </c>
      <c r="V24" s="170"/>
      <c r="W24" s="20">
        <v>0.85850000000000004</v>
      </c>
      <c r="X24" s="169"/>
      <c r="Y24" s="169"/>
      <c r="Z24" s="169"/>
      <c r="AA24" s="169"/>
      <c r="AB24" s="169"/>
      <c r="AC24" s="169"/>
      <c r="AD24" s="169"/>
      <c r="AE24" s="169"/>
      <c r="AF24" s="169"/>
      <c r="AG24" s="169"/>
      <c r="AH24" s="169"/>
      <c r="AI24" s="169"/>
      <c r="AJ24" s="169"/>
      <c r="AK24" s="169"/>
      <c r="AL24" s="169"/>
      <c r="AM24" s="169"/>
      <c r="AN24" s="169"/>
      <c r="AO24" s="169"/>
      <c r="AP24" s="169"/>
      <c r="AQ24" s="169"/>
      <c r="AR24" s="169"/>
      <c r="AS24" s="169"/>
      <c r="AT24" s="169"/>
      <c r="AU24" s="169"/>
      <c r="AV24" s="169"/>
      <c r="AW24" s="169"/>
      <c r="AX24" s="169"/>
      <c r="AY24" s="169"/>
      <c r="AZ24" s="169"/>
      <c r="BA24" s="169"/>
      <c r="BB24" s="169"/>
      <c r="BC24" s="169"/>
    </row>
    <row r="25" spans="1:55" ht="14.25" customHeight="1">
      <c r="A25" s="38" t="s">
        <v>243</v>
      </c>
      <c r="B25" s="39">
        <f t="shared" si="0"/>
        <v>0.90420711974110035</v>
      </c>
      <c r="C25" s="39">
        <f t="shared" si="1"/>
        <v>0.82023195876288657</v>
      </c>
      <c r="D25" s="39">
        <f t="shared" si="2"/>
        <v>0.77123653737144704</v>
      </c>
      <c r="E25" s="39">
        <f t="shared" si="3"/>
        <v>0.85043845404352059</v>
      </c>
      <c r="F25" s="39">
        <f t="shared" si="3"/>
        <v>0.92780656303972364</v>
      </c>
      <c r="G25" s="39">
        <f t="shared" si="3"/>
        <v>0.88793103448275867</v>
      </c>
      <c r="H25" s="39">
        <f t="shared" si="4"/>
        <v>1</v>
      </c>
      <c r="I25" s="39">
        <f t="shared" si="5"/>
        <v>1</v>
      </c>
      <c r="J25" s="39">
        <f t="shared" si="6"/>
        <v>1</v>
      </c>
      <c r="K25" s="39">
        <f t="shared" si="7"/>
        <v>0.8698498826542731</v>
      </c>
      <c r="L25" s="40" t="str">
        <f t="shared" si="8"/>
        <v>-</v>
      </c>
      <c r="M25" s="41">
        <f t="shared" si="9"/>
        <v>0.899624445203141</v>
      </c>
      <c r="N25" s="41">
        <f t="shared" si="10"/>
        <v>0.86115671801607585</v>
      </c>
      <c r="O25" s="41">
        <f t="shared" si="11"/>
        <v>0</v>
      </c>
      <c r="P25" s="41">
        <f t="shared" si="11"/>
        <v>0</v>
      </c>
      <c r="Q25" s="41">
        <f t="shared" si="11"/>
        <v>0</v>
      </c>
      <c r="R25" s="41">
        <f t="shared" si="12"/>
        <v>0.79132231404958675</v>
      </c>
      <c r="S25" s="41">
        <f t="shared" si="13"/>
        <v>0.86156148665502619</v>
      </c>
      <c r="T25" s="40" t="str">
        <f t="shared" si="14"/>
        <v>-</v>
      </c>
      <c r="U25" s="41">
        <f t="shared" si="15"/>
        <v>0.58692705440640569</v>
      </c>
      <c r="V25" s="186"/>
      <c r="W25" s="20">
        <v>0.85170000000000001</v>
      </c>
      <c r="X25" s="169"/>
      <c r="Y25" s="169"/>
      <c r="Z25" s="187"/>
      <c r="AA25" s="187"/>
      <c r="AB25" s="187"/>
      <c r="AC25" s="187"/>
      <c r="AD25" s="187"/>
      <c r="AE25" s="187"/>
      <c r="AF25" s="187"/>
      <c r="AG25" s="187"/>
      <c r="AH25" s="187"/>
      <c r="AI25" s="187"/>
      <c r="AJ25" s="187"/>
      <c r="AK25" s="187"/>
      <c r="AL25" s="187"/>
      <c r="AM25" s="187"/>
      <c r="AN25" s="187"/>
      <c r="AO25" s="187"/>
      <c r="AP25" s="187"/>
      <c r="AQ25" s="187"/>
      <c r="AR25" s="187"/>
      <c r="AS25" s="187"/>
      <c r="AT25" s="187"/>
      <c r="AU25" s="187"/>
      <c r="AV25" s="187"/>
      <c r="AW25" s="187"/>
      <c r="AX25" s="187"/>
      <c r="AY25" s="187"/>
      <c r="AZ25" s="187"/>
      <c r="BA25" s="187"/>
      <c r="BB25" s="187"/>
      <c r="BC25" s="187"/>
    </row>
    <row r="26" spans="1:55" ht="14.25" customHeight="1">
      <c r="A26" s="38" t="s">
        <v>44</v>
      </c>
      <c r="B26" s="39">
        <f t="shared" si="0"/>
        <v>0.91487839771101576</v>
      </c>
      <c r="C26" s="39">
        <f t="shared" si="1"/>
        <v>0.81779359430604981</v>
      </c>
      <c r="D26" s="39">
        <f t="shared" si="2"/>
        <v>0.77123653737144704</v>
      </c>
      <c r="E26" s="39">
        <f t="shared" si="3"/>
        <v>0.85103244837758107</v>
      </c>
      <c r="F26" s="39">
        <f t="shared" si="3"/>
        <v>0.93158918154498849</v>
      </c>
      <c r="G26" s="39">
        <f t="shared" si="3"/>
        <v>0.88978654647504041</v>
      </c>
      <c r="H26" s="39">
        <f t="shared" si="4"/>
        <v>1</v>
      </c>
      <c r="I26" s="39">
        <f t="shared" si="5"/>
        <v>1</v>
      </c>
      <c r="J26" s="39">
        <f t="shared" si="6"/>
        <v>1</v>
      </c>
      <c r="K26" s="39">
        <f t="shared" si="7"/>
        <v>0.86970416953813434</v>
      </c>
      <c r="L26" s="40" t="str">
        <f t="shared" si="8"/>
        <v>-</v>
      </c>
      <c r="M26" s="41">
        <f t="shared" si="9"/>
        <v>0.89310937201756058</v>
      </c>
      <c r="N26" s="41">
        <f t="shared" si="10"/>
        <v>0.86115671801607585</v>
      </c>
      <c r="O26" s="41">
        <f t="shared" si="11"/>
        <v>0</v>
      </c>
      <c r="P26" s="41">
        <f t="shared" si="11"/>
        <v>0</v>
      </c>
      <c r="Q26" s="41">
        <f t="shared" si="11"/>
        <v>0</v>
      </c>
      <c r="R26" s="41">
        <f t="shared" si="12"/>
        <v>0.79132231404958675</v>
      </c>
      <c r="S26" s="41">
        <f t="shared" si="13"/>
        <v>0.86156148665502619</v>
      </c>
      <c r="T26" s="40" t="str">
        <f t="shared" si="14"/>
        <v>-</v>
      </c>
      <c r="U26" s="41">
        <f t="shared" si="15"/>
        <v>0.58475536334454548</v>
      </c>
      <c r="V26" s="186"/>
      <c r="W26" s="42">
        <f>AVERAGE(W22:W25)</f>
        <v>0.8705750000000001</v>
      </c>
      <c r="X26" s="42">
        <v>0.9133</v>
      </c>
      <c r="Y26" s="35">
        <v>1</v>
      </c>
      <c r="Z26" s="187"/>
      <c r="AA26" s="187"/>
      <c r="AB26" s="187"/>
      <c r="AC26" s="187"/>
      <c r="AD26" s="187"/>
      <c r="AE26" s="187"/>
      <c r="AF26" s="187"/>
      <c r="AG26" s="187"/>
      <c r="AH26" s="187"/>
      <c r="AI26" s="187"/>
      <c r="AJ26" s="187"/>
      <c r="AK26" s="187"/>
      <c r="AL26" s="187"/>
      <c r="AM26" s="187"/>
      <c r="AN26" s="187"/>
      <c r="AO26" s="187"/>
      <c r="AP26" s="187"/>
      <c r="AQ26" s="187"/>
      <c r="AR26" s="187"/>
      <c r="AS26" s="187"/>
      <c r="AT26" s="187"/>
      <c r="AU26" s="187"/>
      <c r="AV26" s="187"/>
      <c r="AW26" s="187"/>
      <c r="AX26" s="187"/>
      <c r="AY26" s="187"/>
      <c r="AZ26" s="187"/>
      <c r="BA26" s="187"/>
      <c r="BB26" s="187"/>
      <c r="BC26" s="187"/>
    </row>
    <row r="27" spans="1:55" ht="14.25" customHeight="1">
      <c r="A27" s="12" t="s">
        <v>48</v>
      </c>
      <c r="B27" s="36">
        <f t="shared" si="0"/>
        <v>0.91487839771101576</v>
      </c>
      <c r="C27" s="36">
        <f t="shared" si="1"/>
        <v>0.81779359430604981</v>
      </c>
      <c r="D27" s="36">
        <f t="shared" si="2"/>
        <v>0.77123653737144704</v>
      </c>
      <c r="E27" s="36">
        <f>E26</f>
        <v>0.85103244837758107</v>
      </c>
      <c r="F27" s="36">
        <f>F26</f>
        <v>0.93158918154498849</v>
      </c>
      <c r="G27" s="36">
        <f>G26</f>
        <v>0.88978654647504041</v>
      </c>
      <c r="H27" s="36">
        <f t="shared" si="4"/>
        <v>1</v>
      </c>
      <c r="I27" s="36">
        <f t="shared" si="5"/>
        <v>1</v>
      </c>
      <c r="J27" s="36">
        <f t="shared" si="6"/>
        <v>1</v>
      </c>
      <c r="K27" s="36">
        <f t="shared" si="7"/>
        <v>0.86970416953813434</v>
      </c>
      <c r="L27" s="37" t="str">
        <f t="shared" si="8"/>
        <v>-</v>
      </c>
      <c r="M27" s="21">
        <f t="shared" si="9"/>
        <v>0.89310937201756058</v>
      </c>
      <c r="N27" s="21">
        <f t="shared" si="10"/>
        <v>0.86115671801607585</v>
      </c>
      <c r="O27" s="21">
        <f>O26</f>
        <v>0</v>
      </c>
      <c r="P27" s="21">
        <f>P26</f>
        <v>0</v>
      </c>
      <c r="Q27" s="21">
        <f>Q26</f>
        <v>0</v>
      </c>
      <c r="R27" s="21">
        <f t="shared" si="12"/>
        <v>0.79132231404958675</v>
      </c>
      <c r="S27" s="21">
        <f t="shared" si="13"/>
        <v>0.86156148665502619</v>
      </c>
      <c r="T27" s="37" t="str">
        <f t="shared" si="14"/>
        <v>-</v>
      </c>
      <c r="U27" s="21">
        <f t="shared" si="15"/>
        <v>0.58475536334454548</v>
      </c>
      <c r="V27" s="170"/>
      <c r="W27" s="20">
        <f>W26*W21</f>
        <v>0.56587375000000006</v>
      </c>
      <c r="X27" s="20">
        <f>X26*X21</f>
        <v>0.228325</v>
      </c>
      <c r="Y27" s="20">
        <f>Y26*Y21</f>
        <v>0.1</v>
      </c>
      <c r="Z27" s="20">
        <f>SUM(W27:Y27)</f>
        <v>0.89419875000000004</v>
      </c>
      <c r="AA27" s="169"/>
      <c r="AB27" s="169"/>
      <c r="AC27" s="169"/>
      <c r="AD27" s="169"/>
      <c r="AE27" s="169"/>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row>
    <row r="28" spans="1:55" ht="14.25" customHeight="1">
      <c r="A28" s="12" t="s">
        <v>49</v>
      </c>
      <c r="B28" s="44" t="str">
        <f t="shared" si="0"/>
        <v>-</v>
      </c>
      <c r="C28" s="44" t="str">
        <f t="shared" si="1"/>
        <v>-</v>
      </c>
      <c r="D28" s="36">
        <f t="shared" si="2"/>
        <v>0.68999738835205016</v>
      </c>
      <c r="E28" s="36">
        <f>E26</f>
        <v>0.85103244837758107</v>
      </c>
      <c r="F28" s="36">
        <f>F26</f>
        <v>0.93158918154498849</v>
      </c>
      <c r="G28" s="36">
        <f>G26</f>
        <v>0.88978654647504041</v>
      </c>
      <c r="H28" s="36">
        <f t="shared" si="4"/>
        <v>1</v>
      </c>
      <c r="I28" s="36">
        <f t="shared" si="5"/>
        <v>1</v>
      </c>
      <c r="J28" s="36">
        <f t="shared" si="6"/>
        <v>1</v>
      </c>
      <c r="K28" s="36">
        <f t="shared" si="7"/>
        <v>0.85992797827569678</v>
      </c>
      <c r="L28" s="37" t="str">
        <f t="shared" si="8"/>
        <v>-</v>
      </c>
      <c r="M28" s="37" t="str">
        <f t="shared" si="9"/>
        <v>-</v>
      </c>
      <c r="N28" s="21">
        <f t="shared" si="10"/>
        <v>0.90364954584334656</v>
      </c>
      <c r="O28" s="21">
        <f>O26</f>
        <v>0</v>
      </c>
      <c r="P28" s="21">
        <f>P26</f>
        <v>0</v>
      </c>
      <c r="Q28" s="21">
        <f>Q26</f>
        <v>0</v>
      </c>
      <c r="R28" s="21">
        <f t="shared" si="12"/>
        <v>0.76033057851239672</v>
      </c>
      <c r="S28" s="21">
        <f t="shared" si="13"/>
        <v>0.80300000000000005</v>
      </c>
      <c r="T28" s="37" t="str">
        <f t="shared" si="14"/>
        <v>-</v>
      </c>
      <c r="U28" s="21">
        <f t="shared" si="15"/>
        <v>0.45182477292167328</v>
      </c>
      <c r="V28" s="170"/>
      <c r="W28" s="169"/>
      <c r="X28" s="169"/>
      <c r="Y28" s="169"/>
      <c r="Z28" s="169"/>
      <c r="AA28" s="169"/>
      <c r="AB28" s="169"/>
      <c r="AC28" s="169"/>
      <c r="AD28" s="169"/>
      <c r="AE28" s="169"/>
      <c r="AF28" s="169"/>
      <c r="AG28" s="169"/>
      <c r="AH28" s="169"/>
      <c r="AI28" s="169"/>
      <c r="AJ28" s="169"/>
      <c r="AK28" s="169"/>
      <c r="AL28" s="169"/>
      <c r="AM28" s="169"/>
      <c r="AN28" s="169"/>
      <c r="AO28" s="169"/>
      <c r="AP28" s="169"/>
      <c r="AQ28" s="169"/>
      <c r="AR28" s="169"/>
      <c r="AS28" s="169"/>
      <c r="AT28" s="169"/>
      <c r="AU28" s="169"/>
      <c r="AV28" s="169"/>
      <c r="AW28" s="169"/>
      <c r="AX28" s="169"/>
      <c r="AY28" s="169"/>
      <c r="AZ28" s="169"/>
      <c r="BA28" s="169"/>
      <c r="BB28" s="169"/>
      <c r="BC28" s="169"/>
    </row>
    <row r="29" spans="1:55" ht="14.25" customHeight="1">
      <c r="A29" s="12" t="s">
        <v>50</v>
      </c>
      <c r="B29" s="44" t="str">
        <f t="shared" si="0"/>
        <v>-</v>
      </c>
      <c r="C29" s="36">
        <f t="shared" si="1"/>
        <v>0.81779359430604981</v>
      </c>
      <c r="D29" s="36">
        <f t="shared" si="2"/>
        <v>0.91930434782608694</v>
      </c>
      <c r="E29" s="44" t="s">
        <v>19</v>
      </c>
      <c r="F29" s="44" t="s">
        <v>19</v>
      </c>
      <c r="G29" s="44" t="s">
        <v>19</v>
      </c>
      <c r="H29" s="36">
        <f t="shared" si="4"/>
        <v>1</v>
      </c>
      <c r="I29" s="36">
        <f t="shared" si="5"/>
        <v>1</v>
      </c>
      <c r="J29" s="36">
        <f t="shared" si="6"/>
        <v>1</v>
      </c>
      <c r="K29" s="36">
        <f t="shared" si="7"/>
        <v>0.91236598071071218</v>
      </c>
      <c r="L29" s="37" t="str">
        <f t="shared" si="8"/>
        <v>-</v>
      </c>
      <c r="M29" s="21">
        <f t="shared" si="9"/>
        <v>0.89584850691915519</v>
      </c>
      <c r="N29" s="21">
        <f t="shared" si="10"/>
        <v>0.76718573133049839</v>
      </c>
      <c r="O29" s="37" t="s">
        <v>19</v>
      </c>
      <c r="P29" s="37" t="s">
        <v>19</v>
      </c>
      <c r="Q29" s="37" t="s">
        <v>19</v>
      </c>
      <c r="R29" s="21">
        <f t="shared" si="12"/>
        <v>0.73553719008264462</v>
      </c>
      <c r="S29" s="21">
        <f t="shared" si="13"/>
        <v>0.82978723404255317</v>
      </c>
      <c r="T29" s="37" t="str">
        <f t="shared" si="14"/>
        <v>-</v>
      </c>
      <c r="U29" s="21">
        <f t="shared" si="15"/>
        <v>0.83151711912482673</v>
      </c>
      <c r="V29" s="170"/>
      <c r="W29" s="33" t="s">
        <v>40</v>
      </c>
      <c r="X29" s="33" t="s">
        <v>41</v>
      </c>
      <c r="Y29" s="33" t="s">
        <v>42</v>
      </c>
      <c r="Z29" s="169"/>
      <c r="AA29" s="169"/>
      <c r="AB29" s="169"/>
      <c r="AC29" s="169"/>
      <c r="AD29" s="169"/>
      <c r="AE29" s="169"/>
      <c r="AF29" s="169"/>
      <c r="AG29" s="169"/>
      <c r="AH29" s="169"/>
      <c r="AI29" s="169"/>
      <c r="AJ29" s="169"/>
      <c r="AK29" s="169"/>
      <c r="AL29" s="169"/>
      <c r="AM29" s="169"/>
      <c r="AN29" s="169"/>
      <c r="AO29" s="169"/>
      <c r="AP29" s="169"/>
      <c r="AQ29" s="169"/>
      <c r="AR29" s="169"/>
      <c r="AS29" s="169"/>
      <c r="AT29" s="169"/>
      <c r="AU29" s="169"/>
      <c r="AV29" s="169"/>
      <c r="AW29" s="169"/>
      <c r="AX29" s="169"/>
      <c r="AY29" s="169"/>
      <c r="AZ29" s="169"/>
      <c r="BA29" s="169"/>
      <c r="BB29" s="169"/>
      <c r="BC29" s="169"/>
    </row>
    <row r="30" spans="1:55" ht="14.25" customHeight="1">
      <c r="A30" s="12" t="s">
        <v>51</v>
      </c>
      <c r="B30" s="44" t="str">
        <f t="shared" si="0"/>
        <v>-</v>
      </c>
      <c r="C30" s="36">
        <f t="shared" si="1"/>
        <v>0.81779359430604981</v>
      </c>
      <c r="D30" s="36">
        <f t="shared" si="2"/>
        <v>0.86820899402131535</v>
      </c>
      <c r="E30" s="44" t="s">
        <v>19</v>
      </c>
      <c r="F30" s="44" t="s">
        <v>19</v>
      </c>
      <c r="G30" s="44" t="s">
        <v>19</v>
      </c>
      <c r="H30" s="44" t="str">
        <f t="shared" si="4"/>
        <v>-</v>
      </c>
      <c r="I30" s="44" t="str">
        <f t="shared" si="5"/>
        <v>-</v>
      </c>
      <c r="J30" s="44" t="str">
        <f t="shared" si="6"/>
        <v>-</v>
      </c>
      <c r="K30" s="36">
        <f t="shared" si="7"/>
        <v>0.84300129416368264</v>
      </c>
      <c r="L30" s="37" t="str">
        <f t="shared" si="8"/>
        <v>-</v>
      </c>
      <c r="M30" s="21">
        <f t="shared" si="9"/>
        <v>0.88303571428571426</v>
      </c>
      <c r="N30" s="21">
        <f t="shared" si="10"/>
        <v>0.59413641802951733</v>
      </c>
      <c r="O30" s="37" t="s">
        <v>19</v>
      </c>
      <c r="P30" s="37" t="s">
        <v>19</v>
      </c>
      <c r="Q30" s="37" t="s">
        <v>19</v>
      </c>
      <c r="R30" s="37" t="str">
        <f t="shared" si="12"/>
        <v>-</v>
      </c>
      <c r="S30" s="37" t="str">
        <f t="shared" si="13"/>
        <v>-</v>
      </c>
      <c r="T30" s="37" t="str">
        <f t="shared" si="14"/>
        <v>-</v>
      </c>
      <c r="U30" s="21">
        <f t="shared" si="15"/>
        <v>0.73858606615761579</v>
      </c>
      <c r="V30" s="170"/>
      <c r="W30" s="35">
        <v>0.65</v>
      </c>
      <c r="X30" s="35">
        <v>0.25</v>
      </c>
      <c r="Y30" s="35">
        <v>0.1</v>
      </c>
      <c r="Z30" s="169"/>
      <c r="AA30" s="169"/>
      <c r="AB30" s="169"/>
      <c r="AC30" s="169"/>
      <c r="AD30" s="169"/>
      <c r="AE30" s="169"/>
      <c r="AF30" s="169"/>
      <c r="AG30" s="169"/>
      <c r="AH30" s="169"/>
      <c r="AI30" s="169"/>
      <c r="AJ30" s="169"/>
      <c r="AK30" s="169"/>
      <c r="AL30" s="169"/>
      <c r="AM30" s="169"/>
      <c r="AN30" s="169"/>
      <c r="AO30" s="169"/>
      <c r="AP30" s="169"/>
      <c r="AQ30" s="169"/>
      <c r="AR30" s="169"/>
      <c r="AS30" s="169"/>
      <c r="AT30" s="169"/>
      <c r="AU30" s="169"/>
      <c r="AV30" s="169"/>
      <c r="AW30" s="169"/>
      <c r="AX30" s="169"/>
      <c r="AY30" s="169"/>
      <c r="AZ30" s="169"/>
      <c r="BA30" s="169"/>
      <c r="BB30" s="169"/>
      <c r="BC30" s="169"/>
    </row>
    <row r="31" spans="1:55" ht="14.25" customHeight="1">
      <c r="A31" s="12" t="s">
        <v>52</v>
      </c>
      <c r="B31" s="44" t="str">
        <f t="shared" si="0"/>
        <v>-</v>
      </c>
      <c r="C31" s="44" t="str">
        <f t="shared" si="1"/>
        <v>-</v>
      </c>
      <c r="D31" s="36">
        <f t="shared" si="2"/>
        <v>0.83369175627240144</v>
      </c>
      <c r="E31" s="44" t="s">
        <v>19</v>
      </c>
      <c r="F31" s="44" t="s">
        <v>19</v>
      </c>
      <c r="G31" s="44" t="s">
        <v>19</v>
      </c>
      <c r="H31" s="36">
        <f t="shared" si="4"/>
        <v>1</v>
      </c>
      <c r="I31" s="36">
        <f t="shared" si="5"/>
        <v>1</v>
      </c>
      <c r="J31" s="36">
        <f t="shared" si="6"/>
        <v>1</v>
      </c>
      <c r="K31" s="36">
        <f t="shared" si="7"/>
        <v>0.91684587813620078</v>
      </c>
      <c r="L31" s="37" t="str">
        <f t="shared" si="8"/>
        <v>-</v>
      </c>
      <c r="M31" s="37" t="str">
        <f t="shared" si="9"/>
        <v>-</v>
      </c>
      <c r="N31" s="21">
        <f t="shared" si="10"/>
        <v>0.78383476374610961</v>
      </c>
      <c r="O31" s="37" t="s">
        <v>19</v>
      </c>
      <c r="P31" s="37" t="s">
        <v>19</v>
      </c>
      <c r="Q31" s="37" t="s">
        <v>19</v>
      </c>
      <c r="R31" s="21">
        <f t="shared" si="12"/>
        <v>0.76033057851239672</v>
      </c>
      <c r="S31" s="21">
        <f t="shared" si="13"/>
        <v>0.80300000000000005</v>
      </c>
      <c r="T31" s="37" t="str">
        <f t="shared" si="14"/>
        <v>-</v>
      </c>
      <c r="U31" s="21">
        <f t="shared" si="15"/>
        <v>0.78383476374610961</v>
      </c>
      <c r="V31" s="170"/>
      <c r="W31" s="20">
        <v>0.89959999999999996</v>
      </c>
      <c r="X31" s="169"/>
      <c r="Y31" s="169"/>
      <c r="Z31" s="169"/>
      <c r="AA31" s="169"/>
      <c r="AB31" s="169"/>
      <c r="AC31" s="169"/>
      <c r="AD31" s="169"/>
      <c r="AE31" s="169"/>
      <c r="AF31" s="169"/>
      <c r="AG31" s="169"/>
      <c r="AH31" s="169"/>
      <c r="AI31" s="169"/>
      <c r="AJ31" s="169"/>
      <c r="AK31" s="169"/>
      <c r="AL31" s="169"/>
      <c r="AM31" s="169"/>
      <c r="AN31" s="169"/>
      <c r="AO31" s="169"/>
      <c r="AP31" s="169"/>
      <c r="AQ31" s="169"/>
      <c r="AR31" s="169"/>
      <c r="AS31" s="169"/>
      <c r="AT31" s="169"/>
      <c r="AU31" s="169"/>
      <c r="AV31" s="169"/>
      <c r="AW31" s="169"/>
      <c r="AX31" s="169"/>
      <c r="AY31" s="169"/>
      <c r="AZ31" s="169"/>
      <c r="BA31" s="169"/>
      <c r="BB31" s="169"/>
      <c r="BC31" s="169"/>
    </row>
    <row r="32" spans="1:55" ht="14.25" customHeight="1">
      <c r="A32" s="12" t="s">
        <v>53</v>
      </c>
      <c r="B32" s="44" t="str">
        <f t="shared" si="0"/>
        <v>-</v>
      </c>
      <c r="C32" s="36">
        <f t="shared" si="1"/>
        <v>0.82023195876288657</v>
      </c>
      <c r="D32" s="36">
        <f t="shared" si="2"/>
        <v>0.86820899402131535</v>
      </c>
      <c r="E32" s="44" t="s">
        <v>19</v>
      </c>
      <c r="F32" s="44" t="s">
        <v>19</v>
      </c>
      <c r="G32" s="44" t="s">
        <v>19</v>
      </c>
      <c r="H32" s="44" t="str">
        <f t="shared" si="4"/>
        <v>-</v>
      </c>
      <c r="I32" s="44" t="str">
        <f t="shared" si="5"/>
        <v>-</v>
      </c>
      <c r="J32" s="44" t="str">
        <f t="shared" si="6"/>
        <v>-</v>
      </c>
      <c r="K32" s="36">
        <f t="shared" si="7"/>
        <v>0.84422047639210096</v>
      </c>
      <c r="L32" s="37" t="str">
        <f t="shared" si="8"/>
        <v>-</v>
      </c>
      <c r="M32" s="21">
        <f t="shared" si="9"/>
        <v>0.88303571428571426</v>
      </c>
      <c r="N32" s="21">
        <f t="shared" si="10"/>
        <v>0.59413641802951733</v>
      </c>
      <c r="O32" s="37" t="s">
        <v>19</v>
      </c>
      <c r="P32" s="37" t="s">
        <v>19</v>
      </c>
      <c r="Q32" s="37" t="s">
        <v>19</v>
      </c>
      <c r="R32" s="37" t="str">
        <f t="shared" si="12"/>
        <v>-</v>
      </c>
      <c r="S32" s="37" t="str">
        <f t="shared" si="13"/>
        <v>-</v>
      </c>
      <c r="T32" s="37" t="str">
        <f t="shared" si="14"/>
        <v>-</v>
      </c>
      <c r="U32" s="21">
        <f t="shared" si="15"/>
        <v>0.73858606615761579</v>
      </c>
      <c r="V32" s="170"/>
      <c r="W32" s="20">
        <v>0.87250000000000005</v>
      </c>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row>
    <row r="33" spans="1:55" ht="14.25" customHeight="1">
      <c r="A33" s="43" t="s">
        <v>55</v>
      </c>
      <c r="B33" s="44" t="str">
        <f t="shared" si="0"/>
        <v>-</v>
      </c>
      <c r="C33" s="44" t="s">
        <v>19</v>
      </c>
      <c r="D33" s="44" t="s">
        <v>19</v>
      </c>
      <c r="E33" s="44" t="s">
        <v>19</v>
      </c>
      <c r="F33" s="44" t="s">
        <v>19</v>
      </c>
      <c r="G33" s="44" t="s">
        <v>19</v>
      </c>
      <c r="H33" s="44" t="s">
        <v>19</v>
      </c>
      <c r="I33" s="44" t="s">
        <v>19</v>
      </c>
      <c r="J33" s="44" t="s">
        <v>19</v>
      </c>
      <c r="K33" s="44" t="str">
        <f t="shared" si="7"/>
        <v>-</v>
      </c>
      <c r="L33" s="37" t="str">
        <f t="shared" si="8"/>
        <v>-</v>
      </c>
      <c r="M33" s="21">
        <f t="shared" si="9"/>
        <v>0.97575757575757571</v>
      </c>
      <c r="N33" s="37" t="str">
        <f t="shared" si="10"/>
        <v>-</v>
      </c>
      <c r="O33" s="37" t="s">
        <v>19</v>
      </c>
      <c r="P33" s="37" t="s">
        <v>19</v>
      </c>
      <c r="Q33" s="21">
        <f>Y190</f>
        <v>0</v>
      </c>
      <c r="R33" s="37" t="str">
        <f t="shared" si="12"/>
        <v>-</v>
      </c>
      <c r="S33" s="37" t="str">
        <f t="shared" si="13"/>
        <v>-</v>
      </c>
      <c r="T33" s="37" t="str">
        <f t="shared" si="14"/>
        <v>-</v>
      </c>
      <c r="U33" s="21">
        <f t="shared" si="15"/>
        <v>0.48787878787878786</v>
      </c>
      <c r="V33" s="170"/>
      <c r="W33" s="20">
        <v>0.85850000000000004</v>
      </c>
      <c r="X33" s="169"/>
      <c r="Y33" s="169"/>
      <c r="Z33" s="169"/>
      <c r="AA33" s="169"/>
      <c r="AB33" s="169"/>
      <c r="AC33" s="169"/>
      <c r="AD33" s="169"/>
      <c r="AE33" s="16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row>
    <row r="34" spans="1:55" ht="14.25" customHeight="1">
      <c r="A34" s="43" t="s">
        <v>56</v>
      </c>
      <c r="B34" s="44" t="str">
        <f t="shared" si="0"/>
        <v>-</v>
      </c>
      <c r="C34" s="44" t="s">
        <v>19</v>
      </c>
      <c r="D34" s="44" t="s">
        <v>19</v>
      </c>
      <c r="E34" s="44" t="s">
        <v>19</v>
      </c>
      <c r="F34" s="44" t="s">
        <v>19</v>
      </c>
      <c r="G34" s="44" t="s">
        <v>19</v>
      </c>
      <c r="H34" s="44" t="s">
        <v>19</v>
      </c>
      <c r="I34" s="44" t="s">
        <v>19</v>
      </c>
      <c r="J34" s="44" t="s">
        <v>19</v>
      </c>
      <c r="K34" s="44" t="str">
        <f t="shared" si="7"/>
        <v>-</v>
      </c>
      <c r="L34" s="37" t="str">
        <f t="shared" si="8"/>
        <v>-</v>
      </c>
      <c r="M34" s="21">
        <f t="shared" si="9"/>
        <v>0.92741935483870963</v>
      </c>
      <c r="N34" s="37" t="str">
        <f t="shared" si="10"/>
        <v>-</v>
      </c>
      <c r="O34" s="37" t="s">
        <v>19</v>
      </c>
      <c r="P34" s="37" t="s">
        <v>19</v>
      </c>
      <c r="Q34" s="21">
        <f>Y191</f>
        <v>0</v>
      </c>
      <c r="R34" s="37" t="str">
        <f t="shared" si="12"/>
        <v>-</v>
      </c>
      <c r="S34" s="37" t="str">
        <f t="shared" si="13"/>
        <v>-</v>
      </c>
      <c r="T34" s="37" t="str">
        <f t="shared" si="14"/>
        <v>-</v>
      </c>
      <c r="U34" s="21">
        <f t="shared" si="15"/>
        <v>0.46370967741935482</v>
      </c>
      <c r="V34" s="170"/>
      <c r="W34" s="20">
        <v>0.85170000000000001</v>
      </c>
      <c r="X34" s="169"/>
      <c r="Y34" s="169"/>
      <c r="Z34" s="187"/>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row>
    <row r="35" spans="1:55" ht="14.25" customHeight="1">
      <c r="A35" s="12" t="s">
        <v>57</v>
      </c>
      <c r="B35" s="44" t="str">
        <f t="shared" si="0"/>
        <v>-</v>
      </c>
      <c r="C35" s="36">
        <f>G98</f>
        <v>0.82023195876288657</v>
      </c>
      <c r="D35" s="36">
        <f>J98</f>
        <v>0.82450832072617242</v>
      </c>
      <c r="E35" s="44" t="s">
        <v>19</v>
      </c>
      <c r="F35" s="44" t="s">
        <v>19</v>
      </c>
      <c r="G35" s="44" t="s">
        <v>19</v>
      </c>
      <c r="H35" s="44" t="str">
        <f>V98</f>
        <v>-</v>
      </c>
      <c r="I35" s="44" t="str">
        <f>Y98</f>
        <v>-</v>
      </c>
      <c r="J35" s="44" t="str">
        <f>AB98</f>
        <v>-</v>
      </c>
      <c r="K35" s="36">
        <f t="shared" si="7"/>
        <v>0.82237013974452955</v>
      </c>
      <c r="L35" s="37" t="str">
        <f t="shared" si="8"/>
        <v>-</v>
      </c>
      <c r="M35" s="21">
        <f t="shared" si="9"/>
        <v>0.86513823331085637</v>
      </c>
      <c r="N35" s="21">
        <f t="shared" si="10"/>
        <v>0.82088720463664733</v>
      </c>
      <c r="O35" s="37" t="s">
        <v>19</v>
      </c>
      <c r="P35" s="37" t="s">
        <v>19</v>
      </c>
      <c r="Q35" s="37" t="s">
        <v>19</v>
      </c>
      <c r="R35" s="37" t="str">
        <f t="shared" si="12"/>
        <v>-</v>
      </c>
      <c r="S35" s="37" t="str">
        <f t="shared" si="13"/>
        <v>-</v>
      </c>
      <c r="T35" s="37" t="str">
        <f t="shared" si="14"/>
        <v>-</v>
      </c>
      <c r="U35" s="21">
        <f t="shared" si="15"/>
        <v>0.84301271897375185</v>
      </c>
      <c r="V35" s="170"/>
      <c r="W35" s="42">
        <f>AVERAGE(W31:W34)</f>
        <v>0.8705750000000001</v>
      </c>
      <c r="X35" s="42">
        <v>0.1404</v>
      </c>
      <c r="Y35" s="35">
        <v>1</v>
      </c>
      <c r="Z35" s="187"/>
      <c r="AA35" s="169"/>
      <c r="AB35" s="169"/>
      <c r="AC35" s="169"/>
      <c r="AD35" s="169"/>
      <c r="AE35" s="169"/>
      <c r="AF35" s="169"/>
      <c r="AG35" s="169"/>
      <c r="AH35" s="169"/>
      <c r="AI35" s="169"/>
      <c r="AJ35" s="169"/>
      <c r="AK35" s="169"/>
      <c r="AL35" s="169"/>
      <c r="AM35" s="169"/>
      <c r="AN35" s="169"/>
      <c r="AO35" s="169"/>
      <c r="AP35" s="169"/>
      <c r="AQ35" s="169"/>
      <c r="AR35" s="169"/>
      <c r="AS35" s="169"/>
      <c r="AT35" s="169"/>
      <c r="AU35" s="169"/>
      <c r="AV35" s="169"/>
      <c r="AW35" s="169"/>
      <c r="AX35" s="169"/>
      <c r="AY35" s="169"/>
      <c r="AZ35" s="169"/>
      <c r="BA35" s="169"/>
      <c r="BB35" s="169"/>
      <c r="BC35" s="169"/>
    </row>
    <row r="36" spans="1:55" ht="14.25" customHeight="1">
      <c r="A36" s="12" t="s">
        <v>58</v>
      </c>
      <c r="B36" s="44" t="str">
        <f t="shared" si="0"/>
        <v>-</v>
      </c>
      <c r="C36" s="44" t="s">
        <v>19</v>
      </c>
      <c r="D36" s="44" t="s">
        <v>19</v>
      </c>
      <c r="E36" s="44" t="s">
        <v>19</v>
      </c>
      <c r="F36" s="44" t="s">
        <v>19</v>
      </c>
      <c r="G36" s="44" t="s">
        <v>19</v>
      </c>
      <c r="H36" s="44" t="s">
        <v>19</v>
      </c>
      <c r="I36" s="44" t="s">
        <v>19</v>
      </c>
      <c r="J36" s="44" t="s">
        <v>19</v>
      </c>
      <c r="K36" s="44" t="str">
        <f t="shared" si="7"/>
        <v>-</v>
      </c>
      <c r="L36" s="37" t="str">
        <f t="shared" si="8"/>
        <v>-</v>
      </c>
      <c r="M36" s="37" t="str">
        <f t="shared" si="9"/>
        <v>-</v>
      </c>
      <c r="N36" s="37" t="str">
        <f t="shared" si="10"/>
        <v>-</v>
      </c>
      <c r="O36" s="37" t="s">
        <v>19</v>
      </c>
      <c r="P36" s="37" t="s">
        <v>19</v>
      </c>
      <c r="Q36" s="37" t="s">
        <v>19</v>
      </c>
      <c r="R36" s="37" t="str">
        <f t="shared" si="12"/>
        <v>-</v>
      </c>
      <c r="S36" s="37" t="str">
        <f t="shared" si="13"/>
        <v>-</v>
      </c>
      <c r="T36" s="37" t="str">
        <f t="shared" si="14"/>
        <v>-</v>
      </c>
      <c r="U36" s="37" t="str">
        <f t="shared" si="15"/>
        <v>-</v>
      </c>
      <c r="V36" s="170"/>
      <c r="W36" s="20">
        <f>W35*W30</f>
        <v>0.56587375000000006</v>
      </c>
      <c r="X36" s="20">
        <f>X35*X30</f>
        <v>3.5099999999999999E-2</v>
      </c>
      <c r="Y36" s="20">
        <f>Y35*Y30</f>
        <v>0.1</v>
      </c>
      <c r="Z36" s="20">
        <f>SUM(W36:Y36)</f>
        <v>0.70097375000000006</v>
      </c>
      <c r="AA36" s="20">
        <f>Z36/80%</f>
        <v>0.87621718749999999</v>
      </c>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row>
    <row r="37" spans="1:55" ht="14.25" customHeight="1">
      <c r="A37" s="12" t="s">
        <v>59</v>
      </c>
      <c r="B37" s="44" t="str">
        <f t="shared" si="0"/>
        <v>-</v>
      </c>
      <c r="C37" s="44" t="str">
        <f>G100</f>
        <v>-</v>
      </c>
      <c r="D37" s="36">
        <f>J100</f>
        <v>0.82450832072617242</v>
      </c>
      <c r="E37" s="44" t="s">
        <v>19</v>
      </c>
      <c r="F37" s="44" t="s">
        <v>19</v>
      </c>
      <c r="G37" s="44" t="s">
        <v>19</v>
      </c>
      <c r="H37" s="44" t="str">
        <f>V100</f>
        <v>-</v>
      </c>
      <c r="I37" s="44" t="str">
        <f>Y100</f>
        <v>-</v>
      </c>
      <c r="J37" s="44" t="str">
        <f>AB100</f>
        <v>-</v>
      </c>
      <c r="K37" s="36">
        <f t="shared" si="7"/>
        <v>0.82450832072617242</v>
      </c>
      <c r="L37" s="37" t="str">
        <f t="shared" si="8"/>
        <v>-</v>
      </c>
      <c r="M37" s="37" t="str">
        <f t="shared" si="9"/>
        <v>-</v>
      </c>
      <c r="N37" s="21">
        <f t="shared" si="10"/>
        <v>0.79634247714048212</v>
      </c>
      <c r="O37" s="37" t="s">
        <v>19</v>
      </c>
      <c r="P37" s="37" t="s">
        <v>19</v>
      </c>
      <c r="Q37" s="37" t="s">
        <v>19</v>
      </c>
      <c r="R37" s="37" t="str">
        <f t="shared" si="12"/>
        <v>-</v>
      </c>
      <c r="S37" s="37" t="str">
        <f t="shared" si="13"/>
        <v>-</v>
      </c>
      <c r="T37" s="37" t="str">
        <f t="shared" si="14"/>
        <v>-</v>
      </c>
      <c r="U37" s="21">
        <f t="shared" si="15"/>
        <v>0.79634247714048212</v>
      </c>
      <c r="V37" s="170"/>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row>
    <row r="38" spans="1:55" ht="14.25" customHeight="1">
      <c r="A38" s="12" t="s">
        <v>60</v>
      </c>
      <c r="B38" s="44" t="str">
        <f t="shared" si="0"/>
        <v>-</v>
      </c>
      <c r="C38" s="44" t="str">
        <f>G101</f>
        <v>-</v>
      </c>
      <c r="D38" s="36">
        <f>J101</f>
        <v>0.91930434782608694</v>
      </c>
      <c r="E38" s="44" t="s">
        <v>19</v>
      </c>
      <c r="F38" s="44" t="s">
        <v>19</v>
      </c>
      <c r="G38" s="44" t="s">
        <v>19</v>
      </c>
      <c r="H38" s="44" t="str">
        <f>V101</f>
        <v>-</v>
      </c>
      <c r="I38" s="36">
        <f>Y101</f>
        <v>1</v>
      </c>
      <c r="J38" s="44" t="str">
        <f>AB101</f>
        <v>-</v>
      </c>
      <c r="K38" s="36">
        <f t="shared" si="7"/>
        <v>0.91930434782608694</v>
      </c>
      <c r="L38" s="37" t="str">
        <f t="shared" si="8"/>
        <v>-</v>
      </c>
      <c r="M38" s="37" t="str">
        <f t="shared" si="9"/>
        <v>-</v>
      </c>
      <c r="N38" s="21">
        <f t="shared" si="10"/>
        <v>0.82692307692307687</v>
      </c>
      <c r="O38" s="37" t="s">
        <v>19</v>
      </c>
      <c r="P38" s="37" t="s">
        <v>19</v>
      </c>
      <c r="Q38" s="37" t="s">
        <v>19</v>
      </c>
      <c r="R38" s="21">
        <f t="shared" si="12"/>
        <v>0.73553719008264462</v>
      </c>
      <c r="S38" s="21">
        <f t="shared" si="13"/>
        <v>0.82978723404255317</v>
      </c>
      <c r="T38" s="37" t="str">
        <f t="shared" si="14"/>
        <v>-</v>
      </c>
      <c r="U38" s="21">
        <f t="shared" si="15"/>
        <v>0.82692307692307687</v>
      </c>
      <c r="V38" s="170"/>
      <c r="W38" s="169"/>
      <c r="X38" s="169"/>
      <c r="Y38" s="169"/>
      <c r="Z38" s="169"/>
      <c r="AA38" s="169"/>
      <c r="AB38" s="169"/>
      <c r="AC38" s="169"/>
      <c r="AD38" s="169"/>
      <c r="AE38" s="169"/>
      <c r="AF38" s="169"/>
      <c r="AG38" s="169"/>
      <c r="AH38" s="169"/>
      <c r="AI38" s="169"/>
      <c r="AJ38" s="169"/>
      <c r="AK38" s="169"/>
      <c r="AL38" s="169"/>
      <c r="AM38" s="169"/>
      <c r="AN38" s="169"/>
      <c r="AO38" s="169"/>
      <c r="AP38" s="169"/>
      <c r="AQ38" s="169"/>
      <c r="AR38" s="169"/>
      <c r="AS38" s="169"/>
      <c r="AT38" s="169"/>
      <c r="AU38" s="169"/>
      <c r="AV38" s="169"/>
      <c r="AW38" s="169"/>
      <c r="AX38" s="169"/>
      <c r="AY38" s="169"/>
      <c r="AZ38" s="169"/>
      <c r="BA38" s="169"/>
      <c r="BB38" s="169"/>
      <c r="BC38" s="169"/>
    </row>
    <row r="39" spans="1:55" ht="14.25" customHeight="1">
      <c r="A39" s="12" t="s">
        <v>61</v>
      </c>
      <c r="B39" s="44" t="str">
        <f t="shared" si="0"/>
        <v>-</v>
      </c>
      <c r="C39" s="44" t="s">
        <v>19</v>
      </c>
      <c r="D39" s="44" t="s">
        <v>19</v>
      </c>
      <c r="E39" s="44" t="s">
        <v>19</v>
      </c>
      <c r="F39" s="44" t="s">
        <v>19</v>
      </c>
      <c r="G39" s="44" t="s">
        <v>19</v>
      </c>
      <c r="H39" s="44" t="s">
        <v>19</v>
      </c>
      <c r="I39" s="44" t="s">
        <v>19</v>
      </c>
      <c r="J39" s="44" t="s">
        <v>19</v>
      </c>
      <c r="K39" s="44" t="str">
        <f t="shared" si="7"/>
        <v>-</v>
      </c>
      <c r="L39" s="37" t="str">
        <f t="shared" si="8"/>
        <v>-</v>
      </c>
      <c r="M39" s="37" t="str">
        <f t="shared" si="9"/>
        <v>-</v>
      </c>
      <c r="N39" s="37" t="str">
        <f t="shared" si="10"/>
        <v>-</v>
      </c>
      <c r="O39" s="37" t="s">
        <v>19</v>
      </c>
      <c r="P39" s="37" t="s">
        <v>19</v>
      </c>
      <c r="Q39" s="37" t="s">
        <v>19</v>
      </c>
      <c r="R39" s="37" t="str">
        <f t="shared" si="12"/>
        <v>-</v>
      </c>
      <c r="S39" s="37" t="str">
        <f t="shared" si="13"/>
        <v>-</v>
      </c>
      <c r="T39" s="37" t="str">
        <f t="shared" si="14"/>
        <v>-</v>
      </c>
      <c r="U39" s="37" t="str">
        <f t="shared" si="15"/>
        <v>-</v>
      </c>
      <c r="V39" s="170"/>
      <c r="W39" s="169"/>
      <c r="X39" s="169"/>
      <c r="Y39" s="169"/>
      <c r="Z39" s="169"/>
      <c r="AA39" s="169"/>
      <c r="AB39" s="169"/>
      <c r="AC39" s="169"/>
      <c r="AD39" s="169"/>
      <c r="AE39" s="169"/>
      <c r="AF39" s="169"/>
      <c r="AG39" s="169"/>
      <c r="AH39" s="169"/>
      <c r="AI39" s="169"/>
      <c r="AJ39" s="169"/>
      <c r="AK39" s="169"/>
      <c r="AL39" s="169"/>
      <c r="AM39" s="169"/>
      <c r="AN39" s="169"/>
      <c r="AO39" s="169"/>
      <c r="AP39" s="169"/>
      <c r="AQ39" s="169"/>
      <c r="AR39" s="169"/>
      <c r="AS39" s="169"/>
      <c r="AT39" s="169"/>
      <c r="AU39" s="169"/>
      <c r="AV39" s="169"/>
      <c r="AW39" s="169"/>
      <c r="AX39" s="169"/>
      <c r="AY39" s="169"/>
      <c r="AZ39" s="169"/>
      <c r="BA39" s="169"/>
      <c r="BB39" s="169"/>
      <c r="BC39" s="169"/>
    </row>
    <row r="40" spans="1:55" ht="14.25" customHeight="1">
      <c r="A40" s="12" t="s">
        <v>62</v>
      </c>
      <c r="B40" s="44" t="str">
        <f t="shared" si="0"/>
        <v>-</v>
      </c>
      <c r="C40" s="44" t="s">
        <v>19</v>
      </c>
      <c r="D40" s="44" t="s">
        <v>19</v>
      </c>
      <c r="E40" s="44" t="s">
        <v>19</v>
      </c>
      <c r="F40" s="44" t="s">
        <v>19</v>
      </c>
      <c r="G40" s="44" t="s">
        <v>19</v>
      </c>
      <c r="H40" s="44" t="s">
        <v>19</v>
      </c>
      <c r="I40" s="44" t="s">
        <v>19</v>
      </c>
      <c r="J40" s="44" t="s">
        <v>19</v>
      </c>
      <c r="K40" s="44" t="str">
        <f t="shared" si="7"/>
        <v>-</v>
      </c>
      <c r="L40" s="37" t="str">
        <f t="shared" si="8"/>
        <v>-</v>
      </c>
      <c r="M40" s="37" t="str">
        <f t="shared" si="9"/>
        <v>-</v>
      </c>
      <c r="N40" s="21">
        <f t="shared" si="10"/>
        <v>0.92997118155619596</v>
      </c>
      <c r="O40" s="37" t="s">
        <v>19</v>
      </c>
      <c r="P40" s="37" t="s">
        <v>19</v>
      </c>
      <c r="Q40" s="37" t="s">
        <v>19</v>
      </c>
      <c r="R40" s="37" t="str">
        <f t="shared" si="12"/>
        <v>-</v>
      </c>
      <c r="S40" s="37" t="str">
        <f t="shared" si="13"/>
        <v>-</v>
      </c>
      <c r="T40" s="37" t="str">
        <f t="shared" si="14"/>
        <v>-</v>
      </c>
      <c r="U40" s="21">
        <f t="shared" si="15"/>
        <v>0.92997118155619596</v>
      </c>
      <c r="V40" s="170"/>
      <c r="W40" s="169"/>
      <c r="X40" s="169"/>
      <c r="Y40" s="169"/>
      <c r="Z40" s="169"/>
      <c r="AA40" s="169"/>
      <c r="AB40" s="169"/>
      <c r="AC40" s="169"/>
      <c r="AD40" s="169"/>
      <c r="AE40" s="16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row>
    <row r="41" spans="1:55" ht="14.25" customHeight="1">
      <c r="A41" s="12" t="s">
        <v>63</v>
      </c>
      <c r="B41" s="44" t="str">
        <f t="shared" si="0"/>
        <v>-</v>
      </c>
      <c r="C41" s="36">
        <f>G104</f>
        <v>0.81779359430604981</v>
      </c>
      <c r="D41" s="44" t="str">
        <f>J104</f>
        <v>-</v>
      </c>
      <c r="E41" s="44" t="s">
        <v>19</v>
      </c>
      <c r="F41" s="44" t="s">
        <v>19</v>
      </c>
      <c r="G41" s="44" t="s">
        <v>19</v>
      </c>
      <c r="H41" s="44" t="str">
        <f>V104</f>
        <v>-</v>
      </c>
      <c r="I41" s="44" t="str">
        <f>Y104</f>
        <v>-</v>
      </c>
      <c r="J41" s="44" t="str">
        <f>AB104</f>
        <v>-</v>
      </c>
      <c r="K41" s="36">
        <f t="shared" si="7"/>
        <v>0.81779359430604981</v>
      </c>
      <c r="L41" s="37" t="str">
        <f t="shared" si="8"/>
        <v>-</v>
      </c>
      <c r="M41" s="21">
        <f t="shared" si="9"/>
        <v>0.91312594840667682</v>
      </c>
      <c r="N41" s="37" t="str">
        <f t="shared" si="10"/>
        <v>-</v>
      </c>
      <c r="O41" s="37" t="s">
        <v>19</v>
      </c>
      <c r="P41" s="37" t="s">
        <v>19</v>
      </c>
      <c r="Q41" s="37" t="s">
        <v>19</v>
      </c>
      <c r="R41" s="37" t="str">
        <f t="shared" si="12"/>
        <v>-</v>
      </c>
      <c r="S41" s="37" t="str">
        <f t="shared" si="13"/>
        <v>-</v>
      </c>
      <c r="T41" s="37" t="str">
        <f t="shared" si="14"/>
        <v>-</v>
      </c>
      <c r="U41" s="21">
        <f t="shared" si="15"/>
        <v>0.91312594840667682</v>
      </c>
      <c r="V41" s="170"/>
      <c r="W41" s="169"/>
      <c r="X41" s="169"/>
      <c r="Y41" s="169"/>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row>
    <row r="42" spans="1:55" ht="14.25" customHeight="1">
      <c r="A42" s="12" t="s">
        <v>64</v>
      </c>
      <c r="B42" s="44" t="str">
        <f t="shared" si="0"/>
        <v>-</v>
      </c>
      <c r="C42" s="44" t="str">
        <f>G105</f>
        <v>-</v>
      </c>
      <c r="D42" s="36">
        <f>J105</f>
        <v>0.63863982405684316</v>
      </c>
      <c r="E42" s="44" t="s">
        <v>19</v>
      </c>
      <c r="F42" s="44" t="s">
        <v>19</v>
      </c>
      <c r="G42" s="44" t="s">
        <v>19</v>
      </c>
      <c r="H42" s="44" t="str">
        <f>V105</f>
        <v>-</v>
      </c>
      <c r="I42" s="36">
        <f>Y105</f>
        <v>1</v>
      </c>
      <c r="J42" s="36">
        <f>AB105</f>
        <v>1</v>
      </c>
      <c r="K42" s="36">
        <f t="shared" si="7"/>
        <v>0.81931991202842158</v>
      </c>
      <c r="L42" s="37" t="str">
        <f t="shared" si="8"/>
        <v>-</v>
      </c>
      <c r="M42" s="37" t="str">
        <f t="shared" si="9"/>
        <v>-</v>
      </c>
      <c r="N42" s="21">
        <f t="shared" si="10"/>
        <v>0.93730908675668734</v>
      </c>
      <c r="O42" s="37" t="s">
        <v>19</v>
      </c>
      <c r="P42" s="37" t="s">
        <v>19</v>
      </c>
      <c r="Q42" s="37" t="s">
        <v>19</v>
      </c>
      <c r="R42" s="37" t="str">
        <f t="shared" si="12"/>
        <v>-</v>
      </c>
      <c r="S42" s="37" t="str">
        <f t="shared" si="13"/>
        <v>-</v>
      </c>
      <c r="T42" s="37" t="str">
        <f t="shared" si="14"/>
        <v>-</v>
      </c>
      <c r="U42" s="21">
        <f t="shared" si="15"/>
        <v>0.93730908675668734</v>
      </c>
      <c r="V42" s="170"/>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row>
    <row r="43" spans="1:55" ht="14.25" customHeight="1">
      <c r="A43" s="12" t="s">
        <v>65</v>
      </c>
      <c r="B43" s="44" t="str">
        <f t="shared" si="0"/>
        <v>-</v>
      </c>
      <c r="C43" s="44" t="str">
        <f>G106</f>
        <v>-</v>
      </c>
      <c r="D43" s="36">
        <f>J106</f>
        <v>0.82450832072617242</v>
      </c>
      <c r="E43" s="44" t="s">
        <v>19</v>
      </c>
      <c r="F43" s="44" t="s">
        <v>19</v>
      </c>
      <c r="G43" s="44" t="s">
        <v>19</v>
      </c>
      <c r="H43" s="44" t="str">
        <f>V106</f>
        <v>-</v>
      </c>
      <c r="I43" s="44" t="str">
        <f>Y106</f>
        <v>-</v>
      </c>
      <c r="J43" s="44" t="str">
        <f>AB106</f>
        <v>-</v>
      </c>
      <c r="K43" s="36">
        <f t="shared" si="7"/>
        <v>0.82450832072617242</v>
      </c>
      <c r="L43" s="37" t="str">
        <f t="shared" si="8"/>
        <v>-</v>
      </c>
      <c r="M43" s="37" t="str">
        <f t="shared" si="9"/>
        <v>-</v>
      </c>
      <c r="N43" s="21">
        <f t="shared" si="10"/>
        <v>0.62607099143206857</v>
      </c>
      <c r="O43" s="37" t="s">
        <v>19</v>
      </c>
      <c r="P43" s="37" t="s">
        <v>19</v>
      </c>
      <c r="Q43" s="37" t="s">
        <v>19</v>
      </c>
      <c r="R43" s="37" t="str">
        <f t="shared" si="12"/>
        <v>-</v>
      </c>
      <c r="S43" s="37" t="str">
        <f t="shared" si="13"/>
        <v>-</v>
      </c>
      <c r="T43" s="37" t="str">
        <f t="shared" si="14"/>
        <v>-</v>
      </c>
      <c r="U43" s="21">
        <f t="shared" si="15"/>
        <v>0.62607099143206857</v>
      </c>
      <c r="V43" s="170"/>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row>
    <row r="44" spans="1:55" ht="14.25" customHeight="1">
      <c r="A44" s="12" t="s">
        <v>66</v>
      </c>
      <c r="B44" s="44" t="str">
        <f t="shared" si="0"/>
        <v>-</v>
      </c>
      <c r="C44" s="44" t="s">
        <v>19</v>
      </c>
      <c r="D44" s="44" t="s">
        <v>19</v>
      </c>
      <c r="E44" s="44" t="s">
        <v>19</v>
      </c>
      <c r="F44" s="44" t="s">
        <v>19</v>
      </c>
      <c r="G44" s="44" t="s">
        <v>19</v>
      </c>
      <c r="H44" s="44" t="s">
        <v>19</v>
      </c>
      <c r="I44" s="44" t="s">
        <v>19</v>
      </c>
      <c r="J44" s="44" t="s">
        <v>19</v>
      </c>
      <c r="K44" s="44" t="str">
        <f t="shared" si="7"/>
        <v>-</v>
      </c>
      <c r="L44" s="37" t="str">
        <f t="shared" si="8"/>
        <v>-</v>
      </c>
      <c r="M44" s="37" t="str">
        <f t="shared" si="9"/>
        <v>-</v>
      </c>
      <c r="N44" s="21"/>
      <c r="O44" s="37" t="s">
        <v>19</v>
      </c>
      <c r="P44" s="37" t="s">
        <v>19</v>
      </c>
      <c r="Q44" s="37" t="s">
        <v>19</v>
      </c>
      <c r="R44" s="37" t="str">
        <f t="shared" si="12"/>
        <v>-</v>
      </c>
      <c r="S44" s="37" t="str">
        <f t="shared" si="13"/>
        <v>-</v>
      </c>
      <c r="T44" s="37" t="str">
        <f t="shared" si="14"/>
        <v>-</v>
      </c>
      <c r="U44" s="37" t="str">
        <f t="shared" si="15"/>
        <v>-</v>
      </c>
      <c r="V44" s="170"/>
      <c r="W44" s="169"/>
      <c r="X44" s="169"/>
      <c r="Y44" s="169"/>
      <c r="Z44" s="169"/>
      <c r="AA44" s="169"/>
      <c r="AB44" s="169"/>
      <c r="AC44" s="169"/>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169"/>
      <c r="BA44" s="169"/>
      <c r="BB44" s="169"/>
      <c r="BC44" s="169"/>
    </row>
    <row r="45" spans="1:55" ht="14.25" customHeight="1">
      <c r="A45" s="12" t="s">
        <v>67</v>
      </c>
      <c r="B45" s="44" t="str">
        <f t="shared" si="0"/>
        <v>-</v>
      </c>
      <c r="C45" s="44" t="str">
        <f>G108</f>
        <v>-</v>
      </c>
      <c r="D45" s="36">
        <f>J108</f>
        <v>0.82450832072617242</v>
      </c>
      <c r="E45" s="36">
        <f>K188</f>
        <v>0.88842364532019702</v>
      </c>
      <c r="F45" s="36">
        <f>L188</f>
        <v>0.94661700806952198</v>
      </c>
      <c r="G45" s="36">
        <f>M188</f>
        <v>0.91417193078824499</v>
      </c>
      <c r="H45" s="44" t="str">
        <f>V108</f>
        <v>-</v>
      </c>
      <c r="I45" s="44" t="str">
        <f>Y108</f>
        <v>-</v>
      </c>
      <c r="J45" s="44" t="str">
        <f>AB108</f>
        <v>-</v>
      </c>
      <c r="K45" s="36">
        <f t="shared" si="7"/>
        <v>0.86934012575720865</v>
      </c>
      <c r="L45" s="37" t="str">
        <f t="shared" si="8"/>
        <v>-</v>
      </c>
      <c r="M45" s="37" t="str">
        <f t="shared" si="9"/>
        <v>-</v>
      </c>
      <c r="N45" s="21">
        <f t="shared" ref="N45:N76" si="16">AK108</f>
        <v>0.68436344426835716</v>
      </c>
      <c r="O45" s="37" t="s">
        <v>19</v>
      </c>
      <c r="P45" s="37" t="s">
        <v>19</v>
      </c>
      <c r="Q45" s="21">
        <f>Y188</f>
        <v>0</v>
      </c>
      <c r="R45" s="37" t="str">
        <f t="shared" si="12"/>
        <v>-</v>
      </c>
      <c r="S45" s="37" t="str">
        <f t="shared" si="13"/>
        <v>-</v>
      </c>
      <c r="T45" s="37" t="str">
        <f t="shared" si="14"/>
        <v>-</v>
      </c>
      <c r="U45" s="21">
        <f t="shared" si="15"/>
        <v>0.34218172213417858</v>
      </c>
      <c r="V45" s="170"/>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row>
    <row r="46" spans="1:55" ht="14.25" customHeight="1">
      <c r="A46" s="12" t="s">
        <v>68</v>
      </c>
      <c r="B46" s="44" t="str">
        <f t="shared" si="0"/>
        <v>-</v>
      </c>
      <c r="C46" s="44" t="s">
        <v>19</v>
      </c>
      <c r="D46" s="44" t="s">
        <v>19</v>
      </c>
      <c r="E46" s="44" t="s">
        <v>19</v>
      </c>
      <c r="F46" s="44" t="s">
        <v>19</v>
      </c>
      <c r="G46" s="44" t="s">
        <v>19</v>
      </c>
      <c r="H46" s="44" t="s">
        <v>19</v>
      </c>
      <c r="I46" s="44" t="s">
        <v>19</v>
      </c>
      <c r="J46" s="44" t="s">
        <v>19</v>
      </c>
      <c r="K46" s="44" t="str">
        <f t="shared" si="7"/>
        <v>-</v>
      </c>
      <c r="L46" s="37" t="str">
        <f t="shared" si="8"/>
        <v>-</v>
      </c>
      <c r="M46" s="37" t="str">
        <f t="shared" si="9"/>
        <v>-</v>
      </c>
      <c r="N46" s="37" t="str">
        <f t="shared" si="16"/>
        <v>-</v>
      </c>
      <c r="O46" s="37" t="s">
        <v>19</v>
      </c>
      <c r="P46" s="37" t="s">
        <v>19</v>
      </c>
      <c r="Q46" s="21">
        <f>Y189</f>
        <v>0</v>
      </c>
      <c r="R46" s="37" t="str">
        <f t="shared" si="12"/>
        <v>-</v>
      </c>
      <c r="S46" s="37" t="str">
        <f t="shared" si="13"/>
        <v>-</v>
      </c>
      <c r="T46" s="37" t="str">
        <f t="shared" si="14"/>
        <v>-</v>
      </c>
      <c r="U46" s="21">
        <f t="shared" si="15"/>
        <v>0</v>
      </c>
      <c r="V46" s="170"/>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row>
    <row r="47" spans="1:55" ht="14.25" customHeight="1">
      <c r="A47" s="12" t="s">
        <v>69</v>
      </c>
      <c r="B47" s="36">
        <f t="shared" si="0"/>
        <v>0.91891891891891897</v>
      </c>
      <c r="C47" s="36">
        <f t="shared" ref="C47:C78" si="17">G110</f>
        <v>0.86486486486486491</v>
      </c>
      <c r="D47" s="36">
        <f t="shared" ref="D47:D77" si="18">J110</f>
        <v>0.91666666666666663</v>
      </c>
      <c r="E47" s="36">
        <f t="shared" ref="E47:E78" si="19">K189</f>
        <v>0.87272727272727268</v>
      </c>
      <c r="F47" s="36">
        <f t="shared" ref="F47:F78" si="20">L189</f>
        <v>0.95580110497237569</v>
      </c>
      <c r="G47" s="36">
        <f t="shared" ref="G47:G78" si="21">M189</f>
        <v>0.91022443890274318</v>
      </c>
      <c r="H47" s="36">
        <f t="shared" ref="H47:H78" si="22">V110</f>
        <v>1</v>
      </c>
      <c r="I47" s="36">
        <f t="shared" ref="I47:I78" si="23">Y110</f>
        <v>1</v>
      </c>
      <c r="J47" s="36">
        <f t="shared" ref="J47:J78" si="24">AB110</f>
        <v>1</v>
      </c>
      <c r="K47" s="36">
        <f t="shared" si="7"/>
        <v>0.92293899260856871</v>
      </c>
      <c r="L47" s="37" t="str">
        <f t="shared" si="8"/>
        <v>-</v>
      </c>
      <c r="M47" s="37" t="str">
        <f t="shared" si="9"/>
        <v>-</v>
      </c>
      <c r="N47" s="21">
        <f t="shared" si="16"/>
        <v>0.79098360655737709</v>
      </c>
      <c r="O47" s="21">
        <f t="shared" ref="O47:O78" si="25">W189</f>
        <v>0</v>
      </c>
      <c r="P47" s="21">
        <f t="shared" ref="P47:P78" si="26">X189</f>
        <v>0</v>
      </c>
      <c r="Q47" s="21">
        <f t="shared" ref="Q47:Q78" si="27">Y189</f>
        <v>0</v>
      </c>
      <c r="R47" s="21">
        <f t="shared" si="12"/>
        <v>1</v>
      </c>
      <c r="S47" s="21">
        <f t="shared" si="13"/>
        <v>0.92222222222222228</v>
      </c>
      <c r="T47" s="37" t="str">
        <f t="shared" si="14"/>
        <v>-</v>
      </c>
      <c r="U47" s="21">
        <f t="shared" si="15"/>
        <v>0.39549180327868855</v>
      </c>
      <c r="V47" s="170"/>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row>
    <row r="48" spans="1:55" ht="14.25" customHeight="1">
      <c r="A48" s="12" t="s">
        <v>70</v>
      </c>
      <c r="B48" s="36">
        <f t="shared" si="0"/>
        <v>0.97752808988764039</v>
      </c>
      <c r="C48" s="36">
        <f t="shared" si="17"/>
        <v>0.9101123595505618</v>
      </c>
      <c r="D48" s="36">
        <f t="shared" si="18"/>
        <v>0.84210526315789469</v>
      </c>
      <c r="E48" s="36">
        <f t="shared" si="19"/>
        <v>0.90645161290322585</v>
      </c>
      <c r="F48" s="36">
        <f t="shared" si="20"/>
        <v>0.952755905511811</v>
      </c>
      <c r="G48" s="36">
        <f t="shared" si="21"/>
        <v>0.93198263386396529</v>
      </c>
      <c r="H48" s="36">
        <f t="shared" si="22"/>
        <v>1</v>
      </c>
      <c r="I48" s="36">
        <f t="shared" si="23"/>
        <v>1</v>
      </c>
      <c r="J48" s="36">
        <f t="shared" si="24"/>
        <v>1</v>
      </c>
      <c r="K48" s="36">
        <f t="shared" si="7"/>
        <v>0.92105006414310542</v>
      </c>
      <c r="L48" s="37" t="str">
        <f t="shared" si="8"/>
        <v>-</v>
      </c>
      <c r="M48" s="37" t="str">
        <f t="shared" si="9"/>
        <v>-</v>
      </c>
      <c r="N48" s="21">
        <f t="shared" si="16"/>
        <v>0.61748633879781423</v>
      </c>
      <c r="O48" s="21">
        <f t="shared" si="25"/>
        <v>0</v>
      </c>
      <c r="P48" s="21">
        <f t="shared" si="26"/>
        <v>0</v>
      </c>
      <c r="Q48" s="21">
        <f t="shared" si="27"/>
        <v>0</v>
      </c>
      <c r="R48" s="21">
        <f t="shared" si="12"/>
        <v>0.6333333333333333</v>
      </c>
      <c r="S48" s="21">
        <f t="shared" si="13"/>
        <v>0.72499999999999998</v>
      </c>
      <c r="T48" s="37" t="str">
        <f t="shared" si="14"/>
        <v>-</v>
      </c>
      <c r="U48" s="21">
        <f t="shared" si="15"/>
        <v>0.30874316939890711</v>
      </c>
      <c r="V48" s="170"/>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169"/>
      <c r="BB48" s="169"/>
      <c r="BC48" s="169"/>
    </row>
    <row r="49" spans="1:55" ht="14.25" customHeight="1">
      <c r="A49" s="12" t="s">
        <v>71</v>
      </c>
      <c r="B49" s="36">
        <f t="shared" si="0"/>
        <v>0.92982456140350878</v>
      </c>
      <c r="C49" s="36">
        <f t="shared" si="17"/>
        <v>0.73684210526315785</v>
      </c>
      <c r="D49" s="36">
        <f t="shared" si="18"/>
        <v>0.8651685393258427</v>
      </c>
      <c r="E49" s="36">
        <f t="shared" si="19"/>
        <v>0.85661764705882348</v>
      </c>
      <c r="F49" s="36">
        <f t="shared" si="20"/>
        <v>0.92182410423452765</v>
      </c>
      <c r="G49" s="36">
        <f t="shared" si="21"/>
        <v>0.89119170984455953</v>
      </c>
      <c r="H49" s="36">
        <f t="shared" si="22"/>
        <v>1</v>
      </c>
      <c r="I49" s="36">
        <f t="shared" si="23"/>
        <v>1</v>
      </c>
      <c r="J49" s="36">
        <f t="shared" si="24"/>
        <v>1</v>
      </c>
      <c r="K49" s="36">
        <f t="shared" si="7"/>
        <v>0.87330058860838999</v>
      </c>
      <c r="L49" s="37" t="str">
        <f t="shared" si="8"/>
        <v>-</v>
      </c>
      <c r="M49" s="37" t="str">
        <f t="shared" si="9"/>
        <v>-</v>
      </c>
      <c r="N49" s="21">
        <f t="shared" si="16"/>
        <v>0.72123893805309736</v>
      </c>
      <c r="O49" s="21">
        <f t="shared" si="25"/>
        <v>0</v>
      </c>
      <c r="P49" s="21">
        <f t="shared" si="26"/>
        <v>0</v>
      </c>
      <c r="Q49" s="21">
        <f t="shared" si="27"/>
        <v>0</v>
      </c>
      <c r="R49" s="21">
        <f t="shared" si="12"/>
        <v>1</v>
      </c>
      <c r="S49" s="21">
        <f t="shared" si="13"/>
        <v>0.91860465116279066</v>
      </c>
      <c r="T49" s="37" t="str">
        <f t="shared" si="14"/>
        <v>-</v>
      </c>
      <c r="U49" s="21">
        <f t="shared" si="15"/>
        <v>0.36061946902654868</v>
      </c>
      <c r="V49" s="170"/>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row>
    <row r="50" spans="1:55" ht="14.25" customHeight="1">
      <c r="A50" s="12" t="s">
        <v>72</v>
      </c>
      <c r="B50" s="36">
        <f t="shared" si="0"/>
        <v>0.8</v>
      </c>
      <c r="C50" s="36">
        <f t="shared" si="17"/>
        <v>0.85</v>
      </c>
      <c r="D50" s="36">
        <f t="shared" si="18"/>
        <v>0.54545454545454541</v>
      </c>
      <c r="E50" s="36">
        <f t="shared" si="19"/>
        <v>0.90909090909090906</v>
      </c>
      <c r="F50" s="36">
        <f t="shared" si="20"/>
        <v>0.80952380952380953</v>
      </c>
      <c r="G50" s="36">
        <f t="shared" si="21"/>
        <v>0.84375</v>
      </c>
      <c r="H50" s="44" t="str">
        <f t="shared" si="22"/>
        <v>-</v>
      </c>
      <c r="I50" s="44" t="str">
        <f t="shared" si="23"/>
        <v>-</v>
      </c>
      <c r="J50" s="44" t="str">
        <f t="shared" si="24"/>
        <v>-</v>
      </c>
      <c r="K50" s="36">
        <f t="shared" si="7"/>
        <v>0.7464015151515152</v>
      </c>
      <c r="L50" s="37" t="str">
        <f t="shared" si="8"/>
        <v>-</v>
      </c>
      <c r="M50" s="37" t="str">
        <f t="shared" si="9"/>
        <v>-</v>
      </c>
      <c r="N50" s="21">
        <f t="shared" si="16"/>
        <v>0.93103448275862066</v>
      </c>
      <c r="O50" s="21">
        <f t="shared" si="25"/>
        <v>0</v>
      </c>
      <c r="P50" s="21">
        <f t="shared" si="26"/>
        <v>0</v>
      </c>
      <c r="Q50" s="21">
        <f t="shared" si="27"/>
        <v>0</v>
      </c>
      <c r="R50" s="37" t="str">
        <f t="shared" si="12"/>
        <v>-</v>
      </c>
      <c r="S50" s="37" t="str">
        <f t="shared" si="13"/>
        <v>-</v>
      </c>
      <c r="T50" s="37" t="str">
        <f t="shared" si="14"/>
        <v>-</v>
      </c>
      <c r="U50" s="21">
        <f t="shared" si="15"/>
        <v>0.46551724137931033</v>
      </c>
      <c r="V50" s="170"/>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row>
    <row r="51" spans="1:55" ht="14.25" customHeight="1">
      <c r="A51" s="12" t="s">
        <v>73</v>
      </c>
      <c r="B51" s="44" t="str">
        <f t="shared" si="0"/>
        <v>-</v>
      </c>
      <c r="C51" s="44" t="str">
        <f t="shared" si="17"/>
        <v>-</v>
      </c>
      <c r="D51" s="44" t="str">
        <f t="shared" si="18"/>
        <v>-</v>
      </c>
      <c r="E51" s="36">
        <f t="shared" si="19"/>
        <v>0.7142857142857143</v>
      </c>
      <c r="F51" s="36">
        <f t="shared" si="20"/>
        <v>1</v>
      </c>
      <c r="G51" s="36">
        <f t="shared" si="21"/>
        <v>0.81818181818181823</v>
      </c>
      <c r="H51" s="36">
        <f t="shared" si="22"/>
        <v>1</v>
      </c>
      <c r="I51" s="36">
        <f t="shared" si="23"/>
        <v>1</v>
      </c>
      <c r="J51" s="36">
        <f t="shared" si="24"/>
        <v>1</v>
      </c>
      <c r="K51" s="36">
        <f t="shared" si="7"/>
        <v>0.90909090909090917</v>
      </c>
      <c r="L51" s="37" t="str">
        <f t="shared" si="8"/>
        <v>-</v>
      </c>
      <c r="M51" s="37" t="str">
        <f t="shared" si="9"/>
        <v>-</v>
      </c>
      <c r="N51" s="37" t="str">
        <f t="shared" si="16"/>
        <v>-</v>
      </c>
      <c r="O51" s="21">
        <f t="shared" si="25"/>
        <v>0</v>
      </c>
      <c r="P51" s="21">
        <f t="shared" si="26"/>
        <v>0</v>
      </c>
      <c r="Q51" s="21">
        <f t="shared" si="27"/>
        <v>0</v>
      </c>
      <c r="R51" s="21">
        <f t="shared" si="12"/>
        <v>0.8571428571428571</v>
      </c>
      <c r="S51" s="21">
        <f t="shared" si="13"/>
        <v>1</v>
      </c>
      <c r="T51" s="37" t="str">
        <f t="shared" si="14"/>
        <v>-</v>
      </c>
      <c r="U51" s="21">
        <f t="shared" si="15"/>
        <v>0</v>
      </c>
      <c r="V51" s="170"/>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row>
    <row r="52" spans="1:55" ht="14.25" customHeight="1">
      <c r="A52" s="12" t="s">
        <v>74</v>
      </c>
      <c r="B52" s="36">
        <f t="shared" si="0"/>
        <v>0.92156862745098034</v>
      </c>
      <c r="C52" s="36">
        <f t="shared" si="17"/>
        <v>0.70588235294117652</v>
      </c>
      <c r="D52" s="36">
        <f t="shared" si="18"/>
        <v>0.82499999999999996</v>
      </c>
      <c r="E52" s="36">
        <f t="shared" si="19"/>
        <v>0.92063492063492058</v>
      </c>
      <c r="F52" s="36">
        <f t="shared" si="20"/>
        <v>0.94594594594594594</v>
      </c>
      <c r="G52" s="36">
        <f t="shared" si="21"/>
        <v>0.93430656934306566</v>
      </c>
      <c r="H52" s="44" t="str">
        <f t="shared" si="22"/>
        <v>-</v>
      </c>
      <c r="I52" s="36">
        <f t="shared" si="23"/>
        <v>1</v>
      </c>
      <c r="J52" s="36">
        <f t="shared" si="24"/>
        <v>1</v>
      </c>
      <c r="K52" s="36">
        <f t="shared" si="7"/>
        <v>0.86629723057106056</v>
      </c>
      <c r="L52" s="37" t="str">
        <f t="shared" si="8"/>
        <v>-</v>
      </c>
      <c r="M52" s="37" t="str">
        <f t="shared" si="9"/>
        <v>-</v>
      </c>
      <c r="N52" s="21">
        <f t="shared" si="16"/>
        <v>0.67914438502673802</v>
      </c>
      <c r="O52" s="21">
        <f t="shared" si="25"/>
        <v>0</v>
      </c>
      <c r="P52" s="21">
        <f t="shared" si="26"/>
        <v>0</v>
      </c>
      <c r="Q52" s="21">
        <f t="shared" si="27"/>
        <v>0</v>
      </c>
      <c r="R52" s="37" t="str">
        <f t="shared" si="12"/>
        <v>-</v>
      </c>
      <c r="S52" s="21">
        <f t="shared" si="13"/>
        <v>0.8</v>
      </c>
      <c r="T52" s="37" t="str">
        <f t="shared" si="14"/>
        <v>-</v>
      </c>
      <c r="U52" s="21">
        <f t="shared" si="15"/>
        <v>0.33957219251336901</v>
      </c>
      <c r="V52" s="170"/>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row>
    <row r="53" spans="1:55" ht="14.25" customHeight="1">
      <c r="A53" s="12" t="s">
        <v>75</v>
      </c>
      <c r="B53" s="36">
        <f t="shared" si="0"/>
        <v>0.94444444444444442</v>
      </c>
      <c r="C53" s="36">
        <f t="shared" si="17"/>
        <v>1</v>
      </c>
      <c r="D53" s="36">
        <f t="shared" si="18"/>
        <v>1</v>
      </c>
      <c r="E53" s="36">
        <f t="shared" si="19"/>
        <v>0.9662921348314607</v>
      </c>
      <c r="F53" s="36">
        <f t="shared" si="20"/>
        <v>0.90804597701149425</v>
      </c>
      <c r="G53" s="36">
        <f t="shared" si="21"/>
        <v>0.9375</v>
      </c>
      <c r="H53" s="36">
        <f t="shared" si="22"/>
        <v>1</v>
      </c>
      <c r="I53" s="36">
        <f t="shared" si="23"/>
        <v>1</v>
      </c>
      <c r="J53" s="36">
        <f t="shared" si="24"/>
        <v>1</v>
      </c>
      <c r="K53" s="36">
        <f t="shared" si="7"/>
        <v>0.984375</v>
      </c>
      <c r="L53" s="37" t="str">
        <f t="shared" si="8"/>
        <v>-</v>
      </c>
      <c r="M53" s="37" t="str">
        <f t="shared" si="9"/>
        <v>-</v>
      </c>
      <c r="N53" s="21">
        <f t="shared" si="16"/>
        <v>0.80327868852459017</v>
      </c>
      <c r="O53" s="21">
        <f t="shared" si="25"/>
        <v>0</v>
      </c>
      <c r="P53" s="21">
        <f t="shared" si="26"/>
        <v>0</v>
      </c>
      <c r="Q53" s="21">
        <f t="shared" si="27"/>
        <v>0</v>
      </c>
      <c r="R53" s="21">
        <f t="shared" si="12"/>
        <v>1</v>
      </c>
      <c r="S53" s="21">
        <f t="shared" si="13"/>
        <v>0.95454545454545459</v>
      </c>
      <c r="T53" s="37" t="str">
        <f t="shared" si="14"/>
        <v>-</v>
      </c>
      <c r="U53" s="21">
        <f t="shared" si="15"/>
        <v>0.40163934426229508</v>
      </c>
      <c r="V53" s="170"/>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row>
    <row r="54" spans="1:55" ht="14.25" customHeight="1">
      <c r="A54" s="12" t="s">
        <v>76</v>
      </c>
      <c r="B54" s="36">
        <f t="shared" ref="B54:B78" si="28">D117</f>
        <v>0.95918367346938771</v>
      </c>
      <c r="C54" s="36">
        <f t="shared" si="17"/>
        <v>0.89795918367346939</v>
      </c>
      <c r="D54" s="36">
        <f t="shared" si="18"/>
        <v>0.92727272727272725</v>
      </c>
      <c r="E54" s="36">
        <f t="shared" si="19"/>
        <v>0.76851851851851849</v>
      </c>
      <c r="F54" s="36">
        <f t="shared" si="20"/>
        <v>0.94841269841269837</v>
      </c>
      <c r="G54" s="36">
        <f t="shared" si="21"/>
        <v>0.84722222222222221</v>
      </c>
      <c r="H54" s="36">
        <f t="shared" si="22"/>
        <v>1</v>
      </c>
      <c r="I54" s="36">
        <f t="shared" si="23"/>
        <v>1</v>
      </c>
      <c r="J54" s="36">
        <f t="shared" si="24"/>
        <v>1</v>
      </c>
      <c r="K54" s="36">
        <f t="shared" ref="K54:K78" si="29">IFERROR(AVERAGE(C54,D54,G54,J54),"-")</f>
        <v>0.91811353329210477</v>
      </c>
      <c r="L54" s="37" t="str">
        <f t="shared" ref="L54:L78" si="30">AE117</f>
        <v>-</v>
      </c>
      <c r="M54" s="37" t="str">
        <f t="shared" ref="M54:M78" si="31">AH117</f>
        <v>-</v>
      </c>
      <c r="N54" s="21">
        <f t="shared" si="16"/>
        <v>0.75257731958762886</v>
      </c>
      <c r="O54" s="21">
        <f t="shared" si="25"/>
        <v>0</v>
      </c>
      <c r="P54" s="21">
        <f t="shared" si="26"/>
        <v>0</v>
      </c>
      <c r="Q54" s="21">
        <f t="shared" si="27"/>
        <v>0</v>
      </c>
      <c r="R54" s="21">
        <f t="shared" ref="R54:R78" si="32">AQ117</f>
        <v>1</v>
      </c>
      <c r="S54" s="21">
        <f t="shared" ref="S54:S78" si="33">AT117</f>
        <v>0.84</v>
      </c>
      <c r="T54" s="37" t="str">
        <f t="shared" ref="T54:T78" si="34">AW117</f>
        <v>-</v>
      </c>
      <c r="U54" s="21">
        <f t="shared" ref="U54:U78" si="35">IFERROR(AVERAGE(T54,Q54,N54,M54),"-")</f>
        <v>0.37628865979381443</v>
      </c>
      <c r="V54" s="170"/>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row>
    <row r="55" spans="1:55" ht="14.25" customHeight="1">
      <c r="A55" s="12" t="s">
        <v>77</v>
      </c>
      <c r="B55" s="36">
        <f t="shared" si="28"/>
        <v>0.93103448275862066</v>
      </c>
      <c r="C55" s="36">
        <f t="shared" si="17"/>
        <v>0.83908045977011492</v>
      </c>
      <c r="D55" s="36">
        <f t="shared" si="18"/>
        <v>0.83823529411764708</v>
      </c>
      <c r="E55" s="36">
        <f t="shared" si="19"/>
        <v>0.82122905027932958</v>
      </c>
      <c r="F55" s="36">
        <f t="shared" si="20"/>
        <v>0.94402035623409675</v>
      </c>
      <c r="G55" s="36">
        <f t="shared" si="21"/>
        <v>0.88548601864181087</v>
      </c>
      <c r="H55" s="36">
        <f t="shared" si="22"/>
        <v>1</v>
      </c>
      <c r="I55" s="36">
        <f t="shared" si="23"/>
        <v>1</v>
      </c>
      <c r="J55" s="36">
        <f t="shared" si="24"/>
        <v>1</v>
      </c>
      <c r="K55" s="36">
        <f t="shared" si="29"/>
        <v>0.89070044313239327</v>
      </c>
      <c r="L55" s="37" t="str">
        <f t="shared" si="30"/>
        <v>-</v>
      </c>
      <c r="M55" s="37" t="str">
        <f t="shared" si="31"/>
        <v>-</v>
      </c>
      <c r="N55" s="37" t="str">
        <f t="shared" si="16"/>
        <v>-</v>
      </c>
      <c r="O55" s="21">
        <f t="shared" si="25"/>
        <v>0</v>
      </c>
      <c r="P55" s="21">
        <f t="shared" si="26"/>
        <v>0</v>
      </c>
      <c r="Q55" s="21">
        <f t="shared" si="27"/>
        <v>0</v>
      </c>
      <c r="R55" s="21">
        <f t="shared" si="32"/>
        <v>0.4</v>
      </c>
      <c r="S55" s="21">
        <f t="shared" si="33"/>
        <v>0.90259740259740262</v>
      </c>
      <c r="T55" s="37" t="str">
        <f t="shared" si="34"/>
        <v>-</v>
      </c>
      <c r="U55" s="21">
        <f t="shared" si="35"/>
        <v>0</v>
      </c>
      <c r="V55" s="170"/>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row>
    <row r="56" spans="1:55" ht="14.25" customHeight="1">
      <c r="A56" s="12" t="s">
        <v>78</v>
      </c>
      <c r="B56" s="36">
        <f t="shared" si="28"/>
        <v>0.94510739856801906</v>
      </c>
      <c r="C56" s="36">
        <f t="shared" si="17"/>
        <v>0.79713603818615753</v>
      </c>
      <c r="D56" s="36">
        <f t="shared" si="18"/>
        <v>0.83783783783783783</v>
      </c>
      <c r="E56" s="36">
        <f t="shared" si="19"/>
        <v>0.87474120082815732</v>
      </c>
      <c r="F56" s="36">
        <f t="shared" si="20"/>
        <v>0.95091383812010444</v>
      </c>
      <c r="G56" s="36">
        <f t="shared" si="21"/>
        <v>0.91265921497270597</v>
      </c>
      <c r="H56" s="36">
        <f t="shared" si="22"/>
        <v>1</v>
      </c>
      <c r="I56" s="36">
        <f t="shared" si="23"/>
        <v>1</v>
      </c>
      <c r="J56" s="36">
        <f t="shared" si="24"/>
        <v>1</v>
      </c>
      <c r="K56" s="36">
        <f t="shared" si="29"/>
        <v>0.88690827274917527</v>
      </c>
      <c r="L56" s="37" t="str">
        <f t="shared" si="30"/>
        <v>-</v>
      </c>
      <c r="M56" s="37" t="str">
        <f t="shared" si="31"/>
        <v>-</v>
      </c>
      <c r="N56" s="37" t="str">
        <f t="shared" si="16"/>
        <v>-</v>
      </c>
      <c r="O56" s="21">
        <f t="shared" si="25"/>
        <v>0</v>
      </c>
      <c r="P56" s="21">
        <f t="shared" si="26"/>
        <v>0</v>
      </c>
      <c r="Q56" s="21">
        <f t="shared" si="27"/>
        <v>0</v>
      </c>
      <c r="R56" s="21">
        <f t="shared" si="32"/>
        <v>0.86363636363636365</v>
      </c>
      <c r="S56" s="21">
        <f t="shared" si="33"/>
        <v>0.9353932584269663</v>
      </c>
      <c r="T56" s="37" t="str">
        <f t="shared" si="34"/>
        <v>-</v>
      </c>
      <c r="U56" s="21">
        <f t="shared" si="35"/>
        <v>0</v>
      </c>
      <c r="V56" s="170"/>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row>
    <row r="57" spans="1:55" ht="14.25" customHeight="1">
      <c r="A57" s="12" t="s">
        <v>79</v>
      </c>
      <c r="B57" s="36">
        <f t="shared" si="28"/>
        <v>0.96610169491525422</v>
      </c>
      <c r="C57" s="36">
        <f t="shared" si="17"/>
        <v>0.88135593220338981</v>
      </c>
      <c r="D57" s="36">
        <f t="shared" si="18"/>
        <v>0.86792452830188682</v>
      </c>
      <c r="E57" s="36">
        <f t="shared" si="19"/>
        <v>0.9049586776859504</v>
      </c>
      <c r="F57" s="36">
        <f t="shared" si="20"/>
        <v>0.9452054794520548</v>
      </c>
      <c r="G57" s="36">
        <f t="shared" si="21"/>
        <v>0.92407809110629069</v>
      </c>
      <c r="H57" s="36">
        <f t="shared" si="22"/>
        <v>1</v>
      </c>
      <c r="I57" s="36">
        <f t="shared" si="23"/>
        <v>1</v>
      </c>
      <c r="J57" s="36">
        <f t="shared" si="24"/>
        <v>1</v>
      </c>
      <c r="K57" s="36">
        <f t="shared" si="29"/>
        <v>0.91833963790289186</v>
      </c>
      <c r="L57" s="37" t="str">
        <f t="shared" si="30"/>
        <v>-</v>
      </c>
      <c r="M57" s="37" t="str">
        <f t="shared" si="31"/>
        <v>-</v>
      </c>
      <c r="N57" s="21">
        <f t="shared" si="16"/>
        <v>0.71320754716981127</v>
      </c>
      <c r="O57" s="21">
        <f t="shared" si="25"/>
        <v>0</v>
      </c>
      <c r="P57" s="21">
        <f t="shared" si="26"/>
        <v>0</v>
      </c>
      <c r="Q57" s="21">
        <f t="shared" si="27"/>
        <v>0</v>
      </c>
      <c r="R57" s="21">
        <f t="shared" si="32"/>
        <v>0.75</v>
      </c>
      <c r="S57" s="21">
        <f t="shared" si="33"/>
        <v>0.92</v>
      </c>
      <c r="T57" s="37" t="str">
        <f t="shared" si="34"/>
        <v>-</v>
      </c>
      <c r="U57" s="21">
        <f t="shared" si="35"/>
        <v>0.35660377358490564</v>
      </c>
      <c r="V57" s="170"/>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row>
    <row r="58" spans="1:55" ht="14.25" customHeight="1">
      <c r="A58" s="12" t="s">
        <v>80</v>
      </c>
      <c r="B58" s="36">
        <f t="shared" si="28"/>
        <v>0.90909090909090906</v>
      </c>
      <c r="C58" s="36">
        <f t="shared" si="17"/>
        <v>0.8545454545454545</v>
      </c>
      <c r="D58" s="36">
        <f t="shared" si="18"/>
        <v>0.89830508474576276</v>
      </c>
      <c r="E58" s="36">
        <f t="shared" si="19"/>
        <v>0.85496183206106868</v>
      </c>
      <c r="F58" s="36">
        <f t="shared" si="20"/>
        <v>0.94094488188976377</v>
      </c>
      <c r="G58" s="36">
        <f t="shared" si="21"/>
        <v>0.8972868217054264</v>
      </c>
      <c r="H58" s="36">
        <f t="shared" si="22"/>
        <v>1</v>
      </c>
      <c r="I58" s="36">
        <f t="shared" si="23"/>
        <v>1</v>
      </c>
      <c r="J58" s="36">
        <f t="shared" si="24"/>
        <v>1</v>
      </c>
      <c r="K58" s="36">
        <f t="shared" si="29"/>
        <v>0.91253434024916091</v>
      </c>
      <c r="L58" s="37" t="str">
        <f t="shared" si="30"/>
        <v>-</v>
      </c>
      <c r="M58" s="37" t="str">
        <f t="shared" si="31"/>
        <v>-</v>
      </c>
      <c r="N58" s="21">
        <f t="shared" si="16"/>
        <v>0.71812080536912748</v>
      </c>
      <c r="O58" s="21">
        <f t="shared" si="25"/>
        <v>0</v>
      </c>
      <c r="P58" s="21">
        <f t="shared" si="26"/>
        <v>0</v>
      </c>
      <c r="Q58" s="21">
        <f t="shared" si="27"/>
        <v>0</v>
      </c>
      <c r="R58" s="21">
        <f t="shared" si="32"/>
        <v>1</v>
      </c>
      <c r="S58" s="21">
        <f t="shared" si="33"/>
        <v>0.93181818181818177</v>
      </c>
      <c r="T58" s="37" t="str">
        <f t="shared" si="34"/>
        <v>-</v>
      </c>
      <c r="U58" s="21">
        <f t="shared" si="35"/>
        <v>0.35906040268456374</v>
      </c>
      <c r="V58" s="170"/>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row>
    <row r="59" spans="1:55" ht="14.25" customHeight="1">
      <c r="A59" s="12" t="s">
        <v>81</v>
      </c>
      <c r="B59" s="36">
        <f t="shared" si="28"/>
        <v>0.90163934426229508</v>
      </c>
      <c r="C59" s="36">
        <f t="shared" si="17"/>
        <v>0.72131147540983609</v>
      </c>
      <c r="D59" s="36">
        <f t="shared" si="18"/>
        <v>0.95454545454545459</v>
      </c>
      <c r="E59" s="36">
        <f t="shared" si="19"/>
        <v>0.9464285714285714</v>
      </c>
      <c r="F59" s="36">
        <f t="shared" si="20"/>
        <v>0.96319018404907975</v>
      </c>
      <c r="G59" s="36">
        <f t="shared" si="21"/>
        <v>0.9546827794561934</v>
      </c>
      <c r="H59" s="44" t="str">
        <f t="shared" si="22"/>
        <v>-</v>
      </c>
      <c r="I59" s="36">
        <f t="shared" si="23"/>
        <v>1</v>
      </c>
      <c r="J59" s="36">
        <f t="shared" si="24"/>
        <v>1</v>
      </c>
      <c r="K59" s="36">
        <f t="shared" si="29"/>
        <v>0.90763492735287099</v>
      </c>
      <c r="L59" s="37" t="str">
        <f t="shared" si="30"/>
        <v>-</v>
      </c>
      <c r="M59" s="37" t="str">
        <f t="shared" si="31"/>
        <v>-</v>
      </c>
      <c r="N59" s="21">
        <f t="shared" si="16"/>
        <v>0.65833333333333333</v>
      </c>
      <c r="O59" s="21">
        <f t="shared" si="25"/>
        <v>0</v>
      </c>
      <c r="P59" s="21">
        <f t="shared" si="26"/>
        <v>0</v>
      </c>
      <c r="Q59" s="21">
        <f t="shared" si="27"/>
        <v>0</v>
      </c>
      <c r="R59" s="37" t="str">
        <f t="shared" si="32"/>
        <v>-</v>
      </c>
      <c r="S59" s="21">
        <f t="shared" si="33"/>
        <v>0.95454545454545459</v>
      </c>
      <c r="T59" s="37" t="str">
        <f t="shared" si="34"/>
        <v>-</v>
      </c>
      <c r="U59" s="21">
        <f t="shared" si="35"/>
        <v>0.32916666666666666</v>
      </c>
      <c r="V59" s="170"/>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row>
    <row r="60" spans="1:55" ht="14.25" customHeight="1">
      <c r="A60" s="12" t="s">
        <v>82</v>
      </c>
      <c r="B60" s="44" t="str">
        <f t="shared" si="28"/>
        <v>-</v>
      </c>
      <c r="C60" s="44" t="str">
        <f t="shared" si="17"/>
        <v>-</v>
      </c>
      <c r="D60" s="44" t="str">
        <f t="shared" si="18"/>
        <v>-</v>
      </c>
      <c r="E60" s="44" t="str">
        <f t="shared" si="19"/>
        <v>-</v>
      </c>
      <c r="F60" s="44" t="str">
        <f t="shared" si="20"/>
        <v>-</v>
      </c>
      <c r="G60" s="44" t="str">
        <f t="shared" si="21"/>
        <v>-</v>
      </c>
      <c r="H60" s="44" t="str">
        <f t="shared" si="22"/>
        <v>-</v>
      </c>
      <c r="I60" s="36">
        <f t="shared" si="23"/>
        <v>1</v>
      </c>
      <c r="J60" s="36">
        <f t="shared" si="24"/>
        <v>1</v>
      </c>
      <c r="K60" s="36">
        <f t="shared" si="29"/>
        <v>1</v>
      </c>
      <c r="L60" s="37" t="str">
        <f t="shared" si="30"/>
        <v>-</v>
      </c>
      <c r="M60" s="37" t="str">
        <f t="shared" si="31"/>
        <v>-</v>
      </c>
      <c r="N60" s="37" t="str">
        <f t="shared" si="16"/>
        <v>-</v>
      </c>
      <c r="O60" s="21">
        <f t="shared" si="25"/>
        <v>0</v>
      </c>
      <c r="P60" s="21">
        <f t="shared" si="26"/>
        <v>0</v>
      </c>
      <c r="Q60" s="21">
        <f t="shared" si="27"/>
        <v>0</v>
      </c>
      <c r="R60" s="37" t="str">
        <f t="shared" si="32"/>
        <v>-</v>
      </c>
      <c r="S60" s="21">
        <f t="shared" si="33"/>
        <v>1</v>
      </c>
      <c r="T60" s="37" t="str">
        <f t="shared" si="34"/>
        <v>-</v>
      </c>
      <c r="U60" s="21">
        <f t="shared" si="35"/>
        <v>0</v>
      </c>
      <c r="V60" s="170"/>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row>
    <row r="61" spans="1:55" ht="14.25" customHeight="1">
      <c r="A61" s="12" t="s">
        <v>83</v>
      </c>
      <c r="B61" s="36">
        <f t="shared" si="28"/>
        <v>0.70731707317073167</v>
      </c>
      <c r="C61" s="36">
        <f t="shared" si="17"/>
        <v>0.73170731707317072</v>
      </c>
      <c r="D61" s="36">
        <f t="shared" si="18"/>
        <v>0.28205128205128205</v>
      </c>
      <c r="E61" s="36">
        <f t="shared" si="19"/>
        <v>0.31818181818181818</v>
      </c>
      <c r="F61" s="36">
        <f t="shared" si="20"/>
        <v>0.2988505747126437</v>
      </c>
      <c r="G61" s="36">
        <f t="shared" si="21"/>
        <v>0.30857142857142855</v>
      </c>
      <c r="H61" s="44" t="str">
        <f t="shared" si="22"/>
        <v>-</v>
      </c>
      <c r="I61" s="36">
        <f t="shared" si="23"/>
        <v>1</v>
      </c>
      <c r="J61" s="36">
        <f t="shared" si="24"/>
        <v>1</v>
      </c>
      <c r="K61" s="36">
        <f t="shared" si="29"/>
        <v>0.58058250692397029</v>
      </c>
      <c r="L61" s="37" t="str">
        <f t="shared" si="30"/>
        <v>-</v>
      </c>
      <c r="M61" s="37" t="str">
        <f t="shared" si="31"/>
        <v>-</v>
      </c>
      <c r="N61" s="21">
        <f t="shared" si="16"/>
        <v>0.71875</v>
      </c>
      <c r="O61" s="21">
        <f t="shared" si="25"/>
        <v>0</v>
      </c>
      <c r="P61" s="21">
        <f t="shared" si="26"/>
        <v>0</v>
      </c>
      <c r="Q61" s="21">
        <f t="shared" si="27"/>
        <v>0</v>
      </c>
      <c r="R61" s="37" t="str">
        <f t="shared" si="32"/>
        <v>-</v>
      </c>
      <c r="S61" s="21">
        <f t="shared" si="33"/>
        <v>0.90909090909090906</v>
      </c>
      <c r="T61" s="37" t="str">
        <f t="shared" si="34"/>
        <v>-</v>
      </c>
      <c r="U61" s="21">
        <f t="shared" si="35"/>
        <v>0.359375</v>
      </c>
      <c r="V61" s="170"/>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row>
    <row r="62" spans="1:55" ht="14.25" customHeight="1">
      <c r="A62" s="12" t="s">
        <v>84</v>
      </c>
      <c r="B62" s="36">
        <f t="shared" si="28"/>
        <v>0.92647058823529416</v>
      </c>
      <c r="C62" s="36">
        <f t="shared" si="17"/>
        <v>0.91176470588235292</v>
      </c>
      <c r="D62" s="36">
        <f t="shared" si="18"/>
        <v>0.8970588235294118</v>
      </c>
      <c r="E62" s="36">
        <f t="shared" si="19"/>
        <v>0.9083665338645418</v>
      </c>
      <c r="F62" s="36">
        <f t="shared" si="20"/>
        <v>0.96460176991150437</v>
      </c>
      <c r="G62" s="36">
        <f t="shared" si="21"/>
        <v>0.93501048218029348</v>
      </c>
      <c r="H62" s="44" t="str">
        <f t="shared" si="22"/>
        <v>-</v>
      </c>
      <c r="I62" s="36">
        <f t="shared" si="23"/>
        <v>1</v>
      </c>
      <c r="J62" s="36">
        <f t="shared" si="24"/>
        <v>1</v>
      </c>
      <c r="K62" s="36">
        <f t="shared" si="29"/>
        <v>0.93595850289801452</v>
      </c>
      <c r="L62" s="37" t="str">
        <f t="shared" si="30"/>
        <v>-</v>
      </c>
      <c r="M62" s="37" t="str">
        <f t="shared" si="31"/>
        <v>-</v>
      </c>
      <c r="N62" s="21">
        <f t="shared" si="16"/>
        <v>0.7931034482758621</v>
      </c>
      <c r="O62" s="21">
        <f t="shared" si="25"/>
        <v>0</v>
      </c>
      <c r="P62" s="21">
        <f t="shared" si="26"/>
        <v>0</v>
      </c>
      <c r="Q62" s="21">
        <f t="shared" si="27"/>
        <v>0</v>
      </c>
      <c r="R62" s="37" t="str">
        <f t="shared" si="32"/>
        <v>-</v>
      </c>
      <c r="S62" s="21">
        <f t="shared" si="33"/>
        <v>0.9821428571428571</v>
      </c>
      <c r="T62" s="37" t="str">
        <f t="shared" si="34"/>
        <v>-</v>
      </c>
      <c r="U62" s="21">
        <f t="shared" si="35"/>
        <v>0.39655172413793105</v>
      </c>
      <c r="V62" s="170"/>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row>
    <row r="63" spans="1:55" ht="14.25" customHeight="1">
      <c r="A63" s="12" t="s">
        <v>85</v>
      </c>
      <c r="B63" s="36">
        <f t="shared" si="28"/>
        <v>0.72727272727272729</v>
      </c>
      <c r="C63" s="36">
        <f t="shared" si="17"/>
        <v>0.828125</v>
      </c>
      <c r="D63" s="36">
        <f t="shared" si="18"/>
        <v>0.54761904761904767</v>
      </c>
      <c r="E63" s="36">
        <f t="shared" si="19"/>
        <v>0.88692579505300351</v>
      </c>
      <c r="F63" s="36">
        <f t="shared" si="20"/>
        <v>0.87462686567164183</v>
      </c>
      <c r="G63" s="36">
        <f t="shared" si="21"/>
        <v>0.88025889967637538</v>
      </c>
      <c r="H63" s="36">
        <f t="shared" si="22"/>
        <v>1</v>
      </c>
      <c r="I63" s="36">
        <f t="shared" si="23"/>
        <v>1</v>
      </c>
      <c r="J63" s="36">
        <f t="shared" si="24"/>
        <v>1</v>
      </c>
      <c r="K63" s="36">
        <f t="shared" si="29"/>
        <v>0.81400073682385576</v>
      </c>
      <c r="L63" s="37" t="str">
        <f t="shared" si="30"/>
        <v>-</v>
      </c>
      <c r="M63" s="37" t="str">
        <f t="shared" si="31"/>
        <v>-</v>
      </c>
      <c r="N63" s="21">
        <f t="shared" si="16"/>
        <v>0.8571428571428571</v>
      </c>
      <c r="O63" s="21">
        <f t="shared" si="25"/>
        <v>0</v>
      </c>
      <c r="P63" s="21">
        <f t="shared" si="26"/>
        <v>0</v>
      </c>
      <c r="Q63" s="21">
        <f t="shared" si="27"/>
        <v>0</v>
      </c>
      <c r="R63" s="21">
        <f t="shared" si="32"/>
        <v>0.92222222222222228</v>
      </c>
      <c r="S63" s="21">
        <f t="shared" si="33"/>
        <v>0.95</v>
      </c>
      <c r="T63" s="37" t="str">
        <f t="shared" si="34"/>
        <v>-</v>
      </c>
      <c r="U63" s="21">
        <f t="shared" si="35"/>
        <v>0.42857142857142855</v>
      </c>
      <c r="V63" s="170"/>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row>
    <row r="64" spans="1:55" ht="14.25" customHeight="1">
      <c r="A64" s="12" t="s">
        <v>86</v>
      </c>
      <c r="B64" s="44" t="str">
        <f t="shared" si="28"/>
        <v>-</v>
      </c>
      <c r="C64" s="44" t="str">
        <f t="shared" si="17"/>
        <v>-</v>
      </c>
      <c r="D64" s="44" t="str">
        <f t="shared" si="18"/>
        <v>-</v>
      </c>
      <c r="E64" s="36">
        <f t="shared" si="19"/>
        <v>1</v>
      </c>
      <c r="F64" s="36">
        <f t="shared" si="20"/>
        <v>1</v>
      </c>
      <c r="G64" s="36">
        <f t="shared" si="21"/>
        <v>1</v>
      </c>
      <c r="H64" s="44" t="str">
        <f t="shared" si="22"/>
        <v>-</v>
      </c>
      <c r="I64" s="36">
        <f t="shared" si="23"/>
        <v>1</v>
      </c>
      <c r="J64" s="36">
        <f t="shared" si="24"/>
        <v>1</v>
      </c>
      <c r="K64" s="36">
        <f t="shared" si="29"/>
        <v>1</v>
      </c>
      <c r="L64" s="37" t="str">
        <f t="shared" si="30"/>
        <v>-</v>
      </c>
      <c r="M64" s="37" t="str">
        <f t="shared" si="31"/>
        <v>-</v>
      </c>
      <c r="N64" s="37" t="str">
        <f t="shared" si="16"/>
        <v>-</v>
      </c>
      <c r="O64" s="21">
        <f t="shared" si="25"/>
        <v>0</v>
      </c>
      <c r="P64" s="21">
        <f t="shared" si="26"/>
        <v>0</v>
      </c>
      <c r="Q64" s="21">
        <f t="shared" si="27"/>
        <v>0</v>
      </c>
      <c r="R64" s="37" t="str">
        <f t="shared" si="32"/>
        <v>-</v>
      </c>
      <c r="S64" s="21">
        <f t="shared" si="33"/>
        <v>1</v>
      </c>
      <c r="T64" s="37" t="str">
        <f t="shared" si="34"/>
        <v>-</v>
      </c>
      <c r="U64" s="21">
        <f t="shared" si="35"/>
        <v>0</v>
      </c>
      <c r="V64" s="170"/>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row>
    <row r="65" spans="1:55" ht="14.25" customHeight="1">
      <c r="A65" s="12" t="s">
        <v>87</v>
      </c>
      <c r="B65" s="36">
        <f t="shared" si="28"/>
        <v>0.91228070175438591</v>
      </c>
      <c r="C65" s="36">
        <f t="shared" si="17"/>
        <v>0.75438596491228072</v>
      </c>
      <c r="D65" s="36">
        <f t="shared" si="18"/>
        <v>0.88888888888888884</v>
      </c>
      <c r="E65" s="36">
        <f t="shared" si="19"/>
        <v>0.85074626865671643</v>
      </c>
      <c r="F65" s="36">
        <f t="shared" si="20"/>
        <v>0.95499999999999996</v>
      </c>
      <c r="G65" s="36">
        <f t="shared" si="21"/>
        <v>0.90274314214463836</v>
      </c>
      <c r="H65" s="44" t="str">
        <f t="shared" si="22"/>
        <v>-</v>
      </c>
      <c r="I65" s="36">
        <f t="shared" si="23"/>
        <v>1</v>
      </c>
      <c r="J65" s="36">
        <f t="shared" si="24"/>
        <v>1</v>
      </c>
      <c r="K65" s="36">
        <f t="shared" si="29"/>
        <v>0.88650449898645201</v>
      </c>
      <c r="L65" s="37" t="str">
        <f t="shared" si="30"/>
        <v>-</v>
      </c>
      <c r="M65" s="37" t="str">
        <f t="shared" si="31"/>
        <v>-</v>
      </c>
      <c r="N65" s="21">
        <f t="shared" si="16"/>
        <v>0.81294964028776984</v>
      </c>
      <c r="O65" s="21">
        <f t="shared" si="25"/>
        <v>0</v>
      </c>
      <c r="P65" s="21">
        <f t="shared" si="26"/>
        <v>0</v>
      </c>
      <c r="Q65" s="21">
        <f t="shared" si="27"/>
        <v>0</v>
      </c>
      <c r="R65" s="37" t="str">
        <f t="shared" si="32"/>
        <v>-</v>
      </c>
      <c r="S65" s="21">
        <f t="shared" si="33"/>
        <v>0.9285714285714286</v>
      </c>
      <c r="T65" s="37" t="str">
        <f t="shared" si="34"/>
        <v>-</v>
      </c>
      <c r="U65" s="21">
        <f t="shared" si="35"/>
        <v>0.40647482014388492</v>
      </c>
      <c r="V65" s="170"/>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row>
    <row r="66" spans="1:55" ht="14.25" customHeight="1">
      <c r="A66" s="12" t="s">
        <v>88</v>
      </c>
      <c r="B66" s="36">
        <f t="shared" si="28"/>
        <v>0.98165137614678899</v>
      </c>
      <c r="C66" s="36">
        <f t="shared" si="17"/>
        <v>0.80733944954128445</v>
      </c>
      <c r="D66" s="36">
        <f t="shared" si="18"/>
        <v>0.83809523809523812</v>
      </c>
      <c r="E66" s="36">
        <f t="shared" si="19"/>
        <v>0.87605633802816907</v>
      </c>
      <c r="F66" s="36">
        <f t="shared" si="20"/>
        <v>0.94878706199460916</v>
      </c>
      <c r="G66" s="36">
        <f t="shared" si="21"/>
        <v>0.91322314049586772</v>
      </c>
      <c r="H66" s="36">
        <f t="shared" si="22"/>
        <v>1</v>
      </c>
      <c r="I66" s="36">
        <f t="shared" si="23"/>
        <v>1</v>
      </c>
      <c r="J66" s="36">
        <f t="shared" si="24"/>
        <v>1</v>
      </c>
      <c r="K66" s="36">
        <f t="shared" si="29"/>
        <v>0.8896644570330976</v>
      </c>
      <c r="L66" s="37" t="str">
        <f t="shared" si="30"/>
        <v>-</v>
      </c>
      <c r="M66" s="37" t="str">
        <f t="shared" si="31"/>
        <v>-</v>
      </c>
      <c r="N66" s="21">
        <f t="shared" si="16"/>
        <v>0.67976424361493126</v>
      </c>
      <c r="O66" s="21">
        <f t="shared" si="25"/>
        <v>0</v>
      </c>
      <c r="P66" s="21">
        <f t="shared" si="26"/>
        <v>0</v>
      </c>
      <c r="Q66" s="21">
        <f t="shared" si="27"/>
        <v>0</v>
      </c>
      <c r="R66" s="21">
        <f t="shared" si="32"/>
        <v>0.7</v>
      </c>
      <c r="S66" s="21">
        <f t="shared" si="33"/>
        <v>0.9</v>
      </c>
      <c r="T66" s="37" t="str">
        <f t="shared" si="34"/>
        <v>-</v>
      </c>
      <c r="U66" s="21">
        <f t="shared" si="35"/>
        <v>0.33988212180746563</v>
      </c>
      <c r="V66" s="170"/>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row>
    <row r="67" spans="1:55" ht="14.25" customHeight="1">
      <c r="A67" s="12" t="s">
        <v>89</v>
      </c>
      <c r="B67" s="36">
        <f t="shared" si="28"/>
        <v>0.98165137614678899</v>
      </c>
      <c r="C67" s="36">
        <f t="shared" si="17"/>
        <v>0.80733944954128445</v>
      </c>
      <c r="D67" s="36">
        <f t="shared" si="18"/>
        <v>0.83809523809523812</v>
      </c>
      <c r="E67" s="36">
        <f t="shared" si="19"/>
        <v>0.86702127659574468</v>
      </c>
      <c r="F67" s="36">
        <f t="shared" si="20"/>
        <v>0.95039164490861616</v>
      </c>
      <c r="G67" s="36">
        <f t="shared" si="21"/>
        <v>0.90909090909090906</v>
      </c>
      <c r="H67" s="36">
        <f t="shared" si="22"/>
        <v>1</v>
      </c>
      <c r="I67" s="36">
        <f t="shared" si="23"/>
        <v>1</v>
      </c>
      <c r="J67" s="36">
        <f t="shared" si="24"/>
        <v>1</v>
      </c>
      <c r="K67" s="36">
        <f t="shared" si="29"/>
        <v>0.88863139918185796</v>
      </c>
      <c r="L67" s="37" t="str">
        <f t="shared" si="30"/>
        <v>-</v>
      </c>
      <c r="M67" s="37" t="str">
        <f t="shared" si="31"/>
        <v>-</v>
      </c>
      <c r="N67" s="21">
        <f t="shared" si="16"/>
        <v>0.67976424361493126</v>
      </c>
      <c r="O67" s="21">
        <f t="shared" si="25"/>
        <v>0</v>
      </c>
      <c r="P67" s="21">
        <f t="shared" si="26"/>
        <v>0</v>
      </c>
      <c r="Q67" s="21">
        <f t="shared" si="27"/>
        <v>0</v>
      </c>
      <c r="R67" s="21">
        <f t="shared" si="32"/>
        <v>0.79166666666666663</v>
      </c>
      <c r="S67" s="21">
        <f t="shared" si="33"/>
        <v>0.91176470588235292</v>
      </c>
      <c r="T67" s="37" t="str">
        <f t="shared" si="34"/>
        <v>-</v>
      </c>
      <c r="U67" s="21">
        <f t="shared" si="35"/>
        <v>0.33988212180746563</v>
      </c>
      <c r="V67" s="170"/>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row>
    <row r="68" spans="1:55" ht="14.25" customHeight="1">
      <c r="A68" s="12" t="s">
        <v>90</v>
      </c>
      <c r="B68" s="36">
        <f t="shared" si="28"/>
        <v>0.96610169491525422</v>
      </c>
      <c r="C68" s="36">
        <f t="shared" si="17"/>
        <v>0.88135593220338981</v>
      </c>
      <c r="D68" s="36">
        <f t="shared" si="18"/>
        <v>0.86792452830188682</v>
      </c>
      <c r="E68" s="36">
        <f t="shared" si="19"/>
        <v>0.90612244897959182</v>
      </c>
      <c r="F68" s="36">
        <f t="shared" si="20"/>
        <v>0.94570135746606332</v>
      </c>
      <c r="G68" s="36">
        <f t="shared" si="21"/>
        <v>0.92489270386266098</v>
      </c>
      <c r="H68" s="36">
        <f t="shared" si="22"/>
        <v>1</v>
      </c>
      <c r="I68" s="36">
        <f t="shared" si="23"/>
        <v>1</v>
      </c>
      <c r="J68" s="36">
        <f t="shared" si="24"/>
        <v>1</v>
      </c>
      <c r="K68" s="36">
        <f t="shared" si="29"/>
        <v>0.9185432910919844</v>
      </c>
      <c r="L68" s="37" t="str">
        <f t="shared" si="30"/>
        <v>-</v>
      </c>
      <c r="M68" s="37" t="str">
        <f t="shared" si="31"/>
        <v>-</v>
      </c>
      <c r="N68" s="21">
        <f t="shared" si="16"/>
        <v>0.71320754716981127</v>
      </c>
      <c r="O68" s="21">
        <f t="shared" si="25"/>
        <v>0</v>
      </c>
      <c r="P68" s="21">
        <f t="shared" si="26"/>
        <v>0</v>
      </c>
      <c r="Q68" s="21">
        <f t="shared" si="27"/>
        <v>0</v>
      </c>
      <c r="R68" s="21">
        <f t="shared" si="32"/>
        <v>0.75</v>
      </c>
      <c r="S68" s="21">
        <f t="shared" si="33"/>
        <v>0.92307692307692313</v>
      </c>
      <c r="T68" s="37" t="str">
        <f t="shared" si="34"/>
        <v>-</v>
      </c>
      <c r="U68" s="21">
        <f t="shared" si="35"/>
        <v>0.35660377358490564</v>
      </c>
      <c r="V68" s="170"/>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row>
    <row r="69" spans="1:55" ht="14.25" customHeight="1">
      <c r="A69" s="12" t="s">
        <v>91</v>
      </c>
      <c r="B69" s="36">
        <f t="shared" si="28"/>
        <v>0.94268774703557312</v>
      </c>
      <c r="C69" s="36">
        <f t="shared" si="17"/>
        <v>0.80434782608695654</v>
      </c>
      <c r="D69" s="36">
        <f t="shared" si="18"/>
        <v>0.83789473684210525</v>
      </c>
      <c r="E69" s="36">
        <f t="shared" si="19"/>
        <v>0.86637554585152843</v>
      </c>
      <c r="F69" s="36">
        <f t="shared" si="20"/>
        <v>0.94974003466204504</v>
      </c>
      <c r="G69" s="36">
        <f t="shared" si="21"/>
        <v>0.90822096563723353</v>
      </c>
      <c r="H69" s="36">
        <f t="shared" si="22"/>
        <v>1</v>
      </c>
      <c r="I69" s="36">
        <f t="shared" si="23"/>
        <v>1</v>
      </c>
      <c r="J69" s="36">
        <f t="shared" si="24"/>
        <v>1</v>
      </c>
      <c r="K69" s="36">
        <f t="shared" si="29"/>
        <v>0.88761588214157383</v>
      </c>
      <c r="L69" s="37" t="str">
        <f t="shared" si="30"/>
        <v>-</v>
      </c>
      <c r="M69" s="37" t="str">
        <f t="shared" si="31"/>
        <v>-</v>
      </c>
      <c r="N69" s="37" t="str">
        <f t="shared" si="16"/>
        <v>-</v>
      </c>
      <c r="O69" s="21">
        <f t="shared" si="25"/>
        <v>0</v>
      </c>
      <c r="P69" s="21">
        <f t="shared" si="26"/>
        <v>0</v>
      </c>
      <c r="Q69" s="21">
        <f t="shared" si="27"/>
        <v>0</v>
      </c>
      <c r="R69" s="21">
        <f t="shared" si="32"/>
        <v>0.80263157894736847</v>
      </c>
      <c r="S69" s="21">
        <f t="shared" si="33"/>
        <v>0.92972350230414746</v>
      </c>
      <c r="T69" s="37" t="str">
        <f t="shared" si="34"/>
        <v>-</v>
      </c>
      <c r="U69" s="21">
        <f t="shared" si="35"/>
        <v>0</v>
      </c>
      <c r="V69" s="170"/>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row>
    <row r="70" spans="1:55" ht="14.25" customHeight="1">
      <c r="A70" s="12" t="s">
        <v>93</v>
      </c>
      <c r="B70" s="36">
        <f t="shared" si="28"/>
        <v>0.97101449275362317</v>
      </c>
      <c r="C70" s="36">
        <f t="shared" si="17"/>
        <v>0.90579710144927539</v>
      </c>
      <c r="D70" s="36">
        <f t="shared" si="18"/>
        <v>0.87786259541984735</v>
      </c>
      <c r="E70" s="36">
        <f t="shared" si="19"/>
        <v>0.83596214511041012</v>
      </c>
      <c r="F70" s="36">
        <f t="shared" si="20"/>
        <v>0.95102685624012639</v>
      </c>
      <c r="G70" s="36">
        <f t="shared" si="21"/>
        <v>0.89344909234411996</v>
      </c>
      <c r="H70" s="36">
        <f t="shared" si="22"/>
        <v>1</v>
      </c>
      <c r="I70" s="36">
        <f t="shared" si="23"/>
        <v>1</v>
      </c>
      <c r="J70" s="36">
        <f t="shared" si="24"/>
        <v>1</v>
      </c>
      <c r="K70" s="36">
        <f t="shared" si="29"/>
        <v>0.9192771973033107</v>
      </c>
      <c r="L70" s="37" t="str">
        <f t="shared" si="30"/>
        <v>-</v>
      </c>
      <c r="M70" s="37" t="str">
        <f t="shared" si="31"/>
        <v>-</v>
      </c>
      <c r="N70" s="21">
        <f t="shared" si="16"/>
        <v>0.67732115677321159</v>
      </c>
      <c r="O70" s="21">
        <f t="shared" si="25"/>
        <v>0</v>
      </c>
      <c r="P70" s="21">
        <f t="shared" si="26"/>
        <v>0</v>
      </c>
      <c r="Q70" s="21">
        <f t="shared" si="27"/>
        <v>0</v>
      </c>
      <c r="R70" s="21">
        <f t="shared" si="32"/>
        <v>0.65625</v>
      </c>
      <c r="S70" s="21">
        <f t="shared" si="33"/>
        <v>0.78888888888888886</v>
      </c>
      <c r="T70" s="37" t="str">
        <f t="shared" si="34"/>
        <v>-</v>
      </c>
      <c r="U70" s="21">
        <f t="shared" si="35"/>
        <v>0.33866057838660579</v>
      </c>
      <c r="V70" s="170"/>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row>
    <row r="71" spans="1:55" ht="14.25" customHeight="1">
      <c r="A71" s="12" t="s">
        <v>94</v>
      </c>
      <c r="B71" s="36">
        <f t="shared" si="28"/>
        <v>0.92982456140350878</v>
      </c>
      <c r="C71" s="36">
        <f t="shared" si="17"/>
        <v>0.73684210526315785</v>
      </c>
      <c r="D71" s="36">
        <f t="shared" si="18"/>
        <v>0.8651685393258427</v>
      </c>
      <c r="E71" s="36">
        <f t="shared" si="19"/>
        <v>0.85661764705882348</v>
      </c>
      <c r="F71" s="36">
        <f t="shared" si="20"/>
        <v>0.92182410423452765</v>
      </c>
      <c r="G71" s="36">
        <f t="shared" si="21"/>
        <v>0.89119170984455953</v>
      </c>
      <c r="H71" s="36">
        <f t="shared" si="22"/>
        <v>1</v>
      </c>
      <c r="I71" s="36">
        <f t="shared" si="23"/>
        <v>1</v>
      </c>
      <c r="J71" s="36">
        <f t="shared" si="24"/>
        <v>1</v>
      </c>
      <c r="K71" s="36">
        <f t="shared" si="29"/>
        <v>0.87330058860838999</v>
      </c>
      <c r="L71" s="37" t="str">
        <f t="shared" si="30"/>
        <v>-</v>
      </c>
      <c r="M71" s="37" t="str">
        <f t="shared" si="31"/>
        <v>-</v>
      </c>
      <c r="N71" s="21">
        <f t="shared" si="16"/>
        <v>0.72123893805309736</v>
      </c>
      <c r="O71" s="21">
        <f t="shared" si="25"/>
        <v>0</v>
      </c>
      <c r="P71" s="21">
        <f t="shared" si="26"/>
        <v>0</v>
      </c>
      <c r="Q71" s="21">
        <f t="shared" si="27"/>
        <v>0</v>
      </c>
      <c r="R71" s="21">
        <f t="shared" si="32"/>
        <v>1</v>
      </c>
      <c r="S71" s="21">
        <f t="shared" si="33"/>
        <v>0.92045454545454541</v>
      </c>
      <c r="T71" s="37" t="str">
        <f t="shared" si="34"/>
        <v>-</v>
      </c>
      <c r="U71" s="21">
        <f t="shared" si="35"/>
        <v>0.36061946902654868</v>
      </c>
      <c r="V71" s="170"/>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row>
    <row r="72" spans="1:55" ht="14.25" customHeight="1">
      <c r="A72" s="12" t="s">
        <v>95</v>
      </c>
      <c r="B72" s="36">
        <f t="shared" si="28"/>
        <v>0.92156862745098034</v>
      </c>
      <c r="C72" s="36">
        <f t="shared" si="17"/>
        <v>0.70588235294117652</v>
      </c>
      <c r="D72" s="36">
        <f t="shared" si="18"/>
        <v>0.82499999999999996</v>
      </c>
      <c r="E72" s="36">
        <f t="shared" si="19"/>
        <v>0.9</v>
      </c>
      <c r="F72" s="36">
        <f t="shared" si="20"/>
        <v>0.94871794871794868</v>
      </c>
      <c r="G72" s="36">
        <f t="shared" si="21"/>
        <v>0.92567567567567566</v>
      </c>
      <c r="H72" s="36">
        <f t="shared" si="22"/>
        <v>1</v>
      </c>
      <c r="I72" s="36">
        <f t="shared" si="23"/>
        <v>1</v>
      </c>
      <c r="J72" s="36">
        <f t="shared" si="24"/>
        <v>1</v>
      </c>
      <c r="K72" s="36">
        <f t="shared" si="29"/>
        <v>0.86413950715421306</v>
      </c>
      <c r="L72" s="37" t="str">
        <f t="shared" si="30"/>
        <v>-</v>
      </c>
      <c r="M72" s="37" t="str">
        <f t="shared" si="31"/>
        <v>-</v>
      </c>
      <c r="N72" s="21">
        <f t="shared" si="16"/>
        <v>0.67914438502673802</v>
      </c>
      <c r="O72" s="21">
        <f t="shared" si="25"/>
        <v>0</v>
      </c>
      <c r="P72" s="21">
        <f t="shared" si="26"/>
        <v>0</v>
      </c>
      <c r="Q72" s="21">
        <f t="shared" si="27"/>
        <v>0</v>
      </c>
      <c r="R72" s="21">
        <f t="shared" si="32"/>
        <v>0.8571428571428571</v>
      </c>
      <c r="S72" s="21">
        <f t="shared" si="33"/>
        <v>0.82608695652173914</v>
      </c>
      <c r="T72" s="37" t="str">
        <f t="shared" si="34"/>
        <v>-</v>
      </c>
      <c r="U72" s="21">
        <f t="shared" si="35"/>
        <v>0.33957219251336901</v>
      </c>
      <c r="V72" s="170"/>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row>
    <row r="73" spans="1:55" ht="14.25" customHeight="1">
      <c r="A73" s="12" t="s">
        <v>96</v>
      </c>
      <c r="B73" s="36">
        <f t="shared" si="28"/>
        <v>0.90163934426229508</v>
      </c>
      <c r="C73" s="36">
        <f t="shared" si="17"/>
        <v>0.72131147540983609</v>
      </c>
      <c r="D73" s="36">
        <f t="shared" si="18"/>
        <v>0.95454545454545459</v>
      </c>
      <c r="E73" s="36">
        <f t="shared" si="19"/>
        <v>0.94736842105263153</v>
      </c>
      <c r="F73" s="36">
        <f t="shared" si="20"/>
        <v>0.96363636363636362</v>
      </c>
      <c r="G73" s="36">
        <f t="shared" si="21"/>
        <v>0.9553571428571429</v>
      </c>
      <c r="H73" s="44" t="str">
        <f t="shared" si="22"/>
        <v>-</v>
      </c>
      <c r="I73" s="36">
        <f t="shared" si="23"/>
        <v>1</v>
      </c>
      <c r="J73" s="36">
        <f t="shared" si="24"/>
        <v>1</v>
      </c>
      <c r="K73" s="36">
        <f t="shared" si="29"/>
        <v>0.90780351820310834</v>
      </c>
      <c r="L73" s="37" t="str">
        <f t="shared" si="30"/>
        <v>-</v>
      </c>
      <c r="M73" s="37" t="str">
        <f t="shared" si="31"/>
        <v>-</v>
      </c>
      <c r="N73" s="21">
        <f t="shared" si="16"/>
        <v>0.65833333333333333</v>
      </c>
      <c r="O73" s="21">
        <f t="shared" si="25"/>
        <v>0</v>
      </c>
      <c r="P73" s="21">
        <f t="shared" si="26"/>
        <v>0</v>
      </c>
      <c r="Q73" s="21">
        <f t="shared" si="27"/>
        <v>0</v>
      </c>
      <c r="R73" s="37" t="str">
        <f t="shared" si="32"/>
        <v>-</v>
      </c>
      <c r="S73" s="21">
        <f t="shared" si="33"/>
        <v>0.95833333333333337</v>
      </c>
      <c r="T73" s="37" t="str">
        <f t="shared" si="34"/>
        <v>-</v>
      </c>
      <c r="U73" s="21">
        <f t="shared" si="35"/>
        <v>0.32916666666666666</v>
      </c>
      <c r="V73" s="170"/>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row>
    <row r="74" spans="1:55" ht="14.25" customHeight="1">
      <c r="A74" s="43" t="s">
        <v>97</v>
      </c>
      <c r="B74" s="36">
        <f t="shared" si="28"/>
        <v>0.79629629629629628</v>
      </c>
      <c r="C74" s="36">
        <f t="shared" si="17"/>
        <v>0.79629629629629628</v>
      </c>
      <c r="D74" s="44" t="str">
        <f t="shared" si="18"/>
        <v>-</v>
      </c>
      <c r="E74" s="36">
        <f t="shared" si="19"/>
        <v>0.73076923076923073</v>
      </c>
      <c r="F74" s="36">
        <f t="shared" si="20"/>
        <v>0.69811320754716977</v>
      </c>
      <c r="G74" s="36">
        <f t="shared" si="21"/>
        <v>0.70886075949367089</v>
      </c>
      <c r="H74" s="44" t="str">
        <f t="shared" si="22"/>
        <v>-</v>
      </c>
      <c r="I74" s="44" t="str">
        <f t="shared" si="23"/>
        <v>-</v>
      </c>
      <c r="J74" s="44" t="str">
        <f t="shared" si="24"/>
        <v>-</v>
      </c>
      <c r="K74" s="36">
        <f t="shared" si="29"/>
        <v>0.75257852789498358</v>
      </c>
      <c r="L74" s="21">
        <f t="shared" si="30"/>
        <v>0.39534883720930231</v>
      </c>
      <c r="M74" s="37" t="str">
        <f t="shared" si="31"/>
        <v>-</v>
      </c>
      <c r="N74" s="37" t="str">
        <f t="shared" si="16"/>
        <v>-</v>
      </c>
      <c r="O74" s="21">
        <f t="shared" si="25"/>
        <v>0</v>
      </c>
      <c r="P74" s="21">
        <f t="shared" si="26"/>
        <v>0</v>
      </c>
      <c r="Q74" s="21">
        <f t="shared" si="27"/>
        <v>0</v>
      </c>
      <c r="R74" s="37" t="str">
        <f t="shared" si="32"/>
        <v>-</v>
      </c>
      <c r="S74" s="37" t="str">
        <f t="shared" si="33"/>
        <v>-</v>
      </c>
      <c r="T74" s="37" t="str">
        <f t="shared" si="34"/>
        <v>-</v>
      </c>
      <c r="U74" s="21">
        <f t="shared" si="35"/>
        <v>0</v>
      </c>
      <c r="V74" s="170"/>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row>
    <row r="75" spans="1:55" ht="14.25" customHeight="1">
      <c r="A75" s="43" t="s">
        <v>98</v>
      </c>
      <c r="B75" s="36">
        <f t="shared" si="28"/>
        <v>0.72727272727272729</v>
      </c>
      <c r="C75" s="36">
        <f t="shared" si="17"/>
        <v>0.81818181818181823</v>
      </c>
      <c r="D75" s="44" t="str">
        <f t="shared" si="18"/>
        <v>-</v>
      </c>
      <c r="E75" s="36">
        <f t="shared" si="19"/>
        <v>0.6</v>
      </c>
      <c r="F75" s="36">
        <f t="shared" si="20"/>
        <v>0.61111111111111116</v>
      </c>
      <c r="G75" s="36">
        <f t="shared" si="21"/>
        <v>0.6071428571428571</v>
      </c>
      <c r="H75" s="44" t="str">
        <f t="shared" si="22"/>
        <v>-</v>
      </c>
      <c r="I75" s="44" t="str">
        <f t="shared" si="23"/>
        <v>-</v>
      </c>
      <c r="J75" s="44" t="str">
        <f t="shared" si="24"/>
        <v>-</v>
      </c>
      <c r="K75" s="36">
        <f t="shared" si="29"/>
        <v>0.71266233766233766</v>
      </c>
      <c r="L75" s="21">
        <f t="shared" si="30"/>
        <v>0.625</v>
      </c>
      <c r="M75" s="37" t="str">
        <f t="shared" si="31"/>
        <v>-</v>
      </c>
      <c r="N75" s="37" t="str">
        <f t="shared" si="16"/>
        <v>-</v>
      </c>
      <c r="O75" s="21">
        <f t="shared" si="25"/>
        <v>0</v>
      </c>
      <c r="P75" s="21">
        <f t="shared" si="26"/>
        <v>0</v>
      </c>
      <c r="Q75" s="21">
        <f t="shared" si="27"/>
        <v>0</v>
      </c>
      <c r="R75" s="37" t="str">
        <f t="shared" si="32"/>
        <v>-</v>
      </c>
      <c r="S75" s="37" t="str">
        <f t="shared" si="33"/>
        <v>-</v>
      </c>
      <c r="T75" s="37" t="str">
        <f t="shared" si="34"/>
        <v>-</v>
      </c>
      <c r="U75" s="21">
        <f t="shared" si="35"/>
        <v>0</v>
      </c>
      <c r="V75" s="170"/>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row>
    <row r="76" spans="1:55" ht="14.25" customHeight="1">
      <c r="A76" s="43" t="s">
        <v>99</v>
      </c>
      <c r="B76" s="36">
        <f t="shared" si="28"/>
        <v>0.83098591549295775</v>
      </c>
      <c r="C76" s="36">
        <f t="shared" si="17"/>
        <v>0.88732394366197187</v>
      </c>
      <c r="D76" s="44" t="str">
        <f t="shared" si="18"/>
        <v>-</v>
      </c>
      <c r="E76" s="36">
        <f t="shared" si="19"/>
        <v>0.82758620689655171</v>
      </c>
      <c r="F76" s="36">
        <f t="shared" si="20"/>
        <v>0.86567164179104472</v>
      </c>
      <c r="G76" s="36">
        <f t="shared" si="21"/>
        <v>0.85416666666666663</v>
      </c>
      <c r="H76" s="44" t="str">
        <f t="shared" si="22"/>
        <v>-</v>
      </c>
      <c r="I76" s="44" t="str">
        <f t="shared" si="23"/>
        <v>-</v>
      </c>
      <c r="J76" s="44" t="str">
        <f t="shared" si="24"/>
        <v>-</v>
      </c>
      <c r="K76" s="36">
        <f t="shared" si="29"/>
        <v>0.87074530516431925</v>
      </c>
      <c r="L76" s="21">
        <f t="shared" si="30"/>
        <v>0.64406779661016944</v>
      </c>
      <c r="M76" s="37" t="str">
        <f t="shared" si="31"/>
        <v>-</v>
      </c>
      <c r="N76" s="37" t="str">
        <f t="shared" si="16"/>
        <v>-</v>
      </c>
      <c r="O76" s="21">
        <f t="shared" si="25"/>
        <v>0</v>
      </c>
      <c r="P76" s="21">
        <f t="shared" si="26"/>
        <v>0</v>
      </c>
      <c r="Q76" s="21">
        <f t="shared" si="27"/>
        <v>0</v>
      </c>
      <c r="R76" s="37" t="str">
        <f t="shared" si="32"/>
        <v>-</v>
      </c>
      <c r="S76" s="37" t="str">
        <f t="shared" si="33"/>
        <v>-</v>
      </c>
      <c r="T76" s="37" t="str">
        <f t="shared" si="34"/>
        <v>-</v>
      </c>
      <c r="U76" s="21">
        <f t="shared" si="35"/>
        <v>0</v>
      </c>
      <c r="V76" s="170"/>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row>
    <row r="77" spans="1:55" ht="14.25" customHeight="1">
      <c r="A77" s="45" t="s">
        <v>100</v>
      </c>
      <c r="B77" s="36">
        <f t="shared" si="28"/>
        <v>0.9285714285714286</v>
      </c>
      <c r="C77" s="36">
        <f t="shared" si="17"/>
        <v>0.9285714285714286</v>
      </c>
      <c r="D77" s="36">
        <f t="shared" si="18"/>
        <v>1</v>
      </c>
      <c r="E77" s="36">
        <f t="shared" si="19"/>
        <v>1</v>
      </c>
      <c r="F77" s="36">
        <f t="shared" si="20"/>
        <v>1</v>
      </c>
      <c r="G77" s="36">
        <f t="shared" si="21"/>
        <v>1</v>
      </c>
      <c r="H77" s="44" t="str">
        <f t="shared" si="22"/>
        <v>-</v>
      </c>
      <c r="I77" s="44" t="str">
        <f t="shared" si="23"/>
        <v>-</v>
      </c>
      <c r="J77" s="44" t="str">
        <f t="shared" si="24"/>
        <v>-</v>
      </c>
      <c r="K77" s="36">
        <f t="shared" si="29"/>
        <v>0.97619047619047628</v>
      </c>
      <c r="L77" s="37" t="str">
        <f t="shared" si="30"/>
        <v>-</v>
      </c>
      <c r="M77" s="37" t="str">
        <f t="shared" si="31"/>
        <v>-</v>
      </c>
      <c r="N77" s="21">
        <v>0.89290000000000003</v>
      </c>
      <c r="O77" s="21">
        <f t="shared" si="25"/>
        <v>0</v>
      </c>
      <c r="P77" s="21">
        <f t="shared" si="26"/>
        <v>0</v>
      </c>
      <c r="Q77" s="21">
        <f t="shared" si="27"/>
        <v>0</v>
      </c>
      <c r="R77" s="37" t="str">
        <f t="shared" si="32"/>
        <v>-</v>
      </c>
      <c r="S77" s="37" t="str">
        <f t="shared" si="33"/>
        <v>-</v>
      </c>
      <c r="T77" s="37" t="str">
        <f t="shared" si="34"/>
        <v>-</v>
      </c>
      <c r="U77" s="21">
        <f t="shared" si="35"/>
        <v>0.44645000000000001</v>
      </c>
      <c r="V77" s="170"/>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row>
    <row r="78" spans="1:55" ht="14.25" customHeight="1">
      <c r="A78" s="45" t="s">
        <v>101</v>
      </c>
      <c r="B78" s="36">
        <f t="shared" si="28"/>
        <v>0.89473684210526316</v>
      </c>
      <c r="C78" s="36">
        <f t="shared" si="17"/>
        <v>0.94736842105263153</v>
      </c>
      <c r="D78" s="36">
        <v>0.92010000000000003</v>
      </c>
      <c r="E78" s="36">
        <f t="shared" si="19"/>
        <v>0.91304347826086951</v>
      </c>
      <c r="F78" s="36">
        <f t="shared" si="20"/>
        <v>1</v>
      </c>
      <c r="G78" s="36">
        <f t="shared" si="21"/>
        <v>0.9555555555555556</v>
      </c>
      <c r="H78" s="44" t="str">
        <f t="shared" si="22"/>
        <v>-</v>
      </c>
      <c r="I78" s="44" t="str">
        <f t="shared" si="23"/>
        <v>-</v>
      </c>
      <c r="J78" s="44" t="str">
        <f t="shared" si="24"/>
        <v>-</v>
      </c>
      <c r="K78" s="36">
        <f t="shared" si="29"/>
        <v>0.94100799220272913</v>
      </c>
      <c r="L78" s="37" t="str">
        <f t="shared" si="30"/>
        <v>-</v>
      </c>
      <c r="M78" s="37" t="str">
        <f t="shared" si="31"/>
        <v>-</v>
      </c>
      <c r="N78" s="21">
        <v>0.87309999999999999</v>
      </c>
      <c r="O78" s="21">
        <f t="shared" si="25"/>
        <v>0</v>
      </c>
      <c r="P78" s="21">
        <f t="shared" si="26"/>
        <v>0</v>
      </c>
      <c r="Q78" s="21">
        <f t="shared" si="27"/>
        <v>0</v>
      </c>
      <c r="R78" s="37" t="str">
        <f t="shared" si="32"/>
        <v>-</v>
      </c>
      <c r="S78" s="37" t="str">
        <f t="shared" si="33"/>
        <v>-</v>
      </c>
      <c r="T78" s="37" t="str">
        <f t="shared" si="34"/>
        <v>-</v>
      </c>
      <c r="U78" s="21">
        <f t="shared" si="35"/>
        <v>0.43654999999999999</v>
      </c>
      <c r="V78" s="170"/>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row>
    <row r="79" spans="1:55" ht="14.25" customHeight="1">
      <c r="A79" s="177"/>
      <c r="B79" s="188"/>
      <c r="C79" s="188"/>
      <c r="D79" s="188"/>
      <c r="E79" s="188"/>
      <c r="F79" s="188"/>
      <c r="G79" s="188"/>
      <c r="H79" s="188"/>
      <c r="I79" s="188"/>
      <c r="J79" s="188"/>
      <c r="K79" s="189"/>
      <c r="L79" s="188"/>
      <c r="M79" s="188"/>
      <c r="N79" s="188"/>
      <c r="O79" s="188"/>
      <c r="P79" s="188"/>
      <c r="Q79" s="188"/>
      <c r="R79" s="188"/>
      <c r="S79" s="188"/>
      <c r="T79" s="177"/>
      <c r="U79" s="177"/>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row>
    <row r="80" spans="1:55" ht="14.25" customHeight="1">
      <c r="A80" s="169"/>
      <c r="B80" s="20"/>
      <c r="C80" s="20"/>
      <c r="D80" s="20"/>
      <c r="E80" s="20"/>
      <c r="F80" s="20"/>
      <c r="G80" s="20"/>
      <c r="H80" s="20"/>
      <c r="I80" s="20"/>
      <c r="J80" s="20"/>
      <c r="K80" s="190"/>
      <c r="L80" s="20"/>
      <c r="M80" s="20"/>
      <c r="N80" s="20"/>
      <c r="O80" s="20"/>
      <c r="P80" s="20"/>
      <c r="Q80" s="20"/>
      <c r="R80" s="20"/>
      <c r="S80" s="20"/>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row>
    <row r="81" spans="1:55" ht="14.25" customHeight="1">
      <c r="A81" s="179"/>
      <c r="B81" s="179"/>
      <c r="C81" s="191"/>
      <c r="D81" s="179"/>
      <c r="E81" s="179"/>
      <c r="F81" s="179"/>
      <c r="G81" s="179"/>
      <c r="H81" s="179"/>
      <c r="I81" s="179"/>
      <c r="J81" s="179"/>
      <c r="K81" s="179"/>
      <c r="L81" s="179"/>
      <c r="M81" s="179"/>
      <c r="N81" s="179"/>
      <c r="O81" s="179"/>
      <c r="P81" s="179"/>
      <c r="Q81" s="179"/>
      <c r="R81" s="179"/>
      <c r="S81" s="179"/>
      <c r="T81" s="179"/>
      <c r="U81" s="179"/>
      <c r="V81" s="179"/>
      <c r="W81" s="179"/>
      <c r="X81" s="179"/>
      <c r="Y81" s="179"/>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69"/>
      <c r="AY81" s="169"/>
      <c r="AZ81" s="169"/>
      <c r="BA81" s="169"/>
      <c r="BB81" s="169"/>
      <c r="BC81" s="169"/>
    </row>
    <row r="82" spans="1:55" ht="14.25" customHeight="1">
      <c r="A82" s="192"/>
      <c r="B82" s="59" t="s">
        <v>102</v>
      </c>
      <c r="C82" s="193"/>
      <c r="D82" s="193"/>
      <c r="E82" s="194" t="s">
        <v>103</v>
      </c>
      <c r="F82" s="195"/>
      <c r="G82" s="195"/>
      <c r="H82" s="59" t="s">
        <v>104</v>
      </c>
      <c r="I82" s="193"/>
      <c r="J82" s="196"/>
      <c r="K82" s="194" t="s">
        <v>105</v>
      </c>
      <c r="L82" s="195"/>
      <c r="M82" s="195"/>
      <c r="N82" s="195"/>
      <c r="O82" s="195"/>
      <c r="P82" s="195"/>
      <c r="Q82" s="195"/>
      <c r="R82" s="195"/>
      <c r="S82" s="195"/>
      <c r="T82" s="59" t="s">
        <v>106</v>
      </c>
      <c r="U82" s="196"/>
      <c r="V82" s="196"/>
      <c r="W82" s="196"/>
      <c r="X82" s="196"/>
      <c r="Y82" s="196"/>
      <c r="Z82" s="196"/>
      <c r="AA82" s="196"/>
      <c r="AB82" s="196"/>
      <c r="AC82" s="29" t="s">
        <v>107</v>
      </c>
      <c r="AD82" s="184"/>
      <c r="AE82" s="184"/>
      <c r="AF82" s="27" t="s">
        <v>108</v>
      </c>
      <c r="AG82" s="181"/>
      <c r="AH82" s="182"/>
      <c r="AI82" s="29" t="s">
        <v>109</v>
      </c>
      <c r="AJ82" s="184"/>
      <c r="AK82" s="184"/>
      <c r="AL82" s="27" t="s">
        <v>110</v>
      </c>
      <c r="AM82" s="181"/>
      <c r="AN82" s="182"/>
      <c r="AO82" s="29" t="s">
        <v>111</v>
      </c>
      <c r="AP82" s="184"/>
      <c r="AQ82" s="184"/>
      <c r="AR82" s="184"/>
      <c r="AS82" s="184"/>
      <c r="AT82" s="184"/>
      <c r="AU82" s="184"/>
      <c r="AV82" s="184"/>
      <c r="AW82" s="184"/>
      <c r="AX82" s="185"/>
      <c r="AY82" s="169"/>
      <c r="AZ82" s="169"/>
      <c r="BA82" s="169"/>
      <c r="BB82" s="169"/>
      <c r="BC82" s="169"/>
    </row>
    <row r="83" spans="1:55" ht="15" customHeight="1">
      <c r="A83" s="511" t="s">
        <v>112</v>
      </c>
      <c r="B83" s="502" t="s">
        <v>240</v>
      </c>
      <c r="C83" s="503"/>
      <c r="D83" s="505"/>
      <c r="E83" s="502" t="s">
        <v>240</v>
      </c>
      <c r="F83" s="503"/>
      <c r="G83" s="505"/>
      <c r="H83" s="502" t="s">
        <v>240</v>
      </c>
      <c r="I83" s="503"/>
      <c r="J83" s="505"/>
      <c r="K83" s="502" t="s">
        <v>238</v>
      </c>
      <c r="L83" s="503"/>
      <c r="M83" s="505"/>
      <c r="N83" s="502" t="s">
        <v>239</v>
      </c>
      <c r="O83" s="503"/>
      <c r="P83" s="505"/>
      <c r="Q83" s="502" t="s">
        <v>240</v>
      </c>
      <c r="R83" s="503"/>
      <c r="S83" s="505"/>
      <c r="T83" s="502" t="s">
        <v>238</v>
      </c>
      <c r="U83" s="503"/>
      <c r="V83" s="505"/>
      <c r="W83" s="502" t="s">
        <v>239</v>
      </c>
      <c r="X83" s="503"/>
      <c r="Y83" s="505"/>
      <c r="Z83" s="502" t="s">
        <v>240</v>
      </c>
      <c r="AA83" s="503"/>
      <c r="AB83" s="505"/>
      <c r="AC83" s="502" t="s">
        <v>240</v>
      </c>
      <c r="AD83" s="503"/>
      <c r="AE83" s="505"/>
      <c r="AF83" s="502" t="s">
        <v>240</v>
      </c>
      <c r="AG83" s="503"/>
      <c r="AH83" s="505"/>
      <c r="AI83" s="502" t="s">
        <v>240</v>
      </c>
      <c r="AJ83" s="503"/>
      <c r="AK83" s="505"/>
      <c r="AL83" s="511" t="s">
        <v>238</v>
      </c>
      <c r="AM83" s="511" t="s">
        <v>239</v>
      </c>
      <c r="AN83" s="511" t="s">
        <v>240</v>
      </c>
      <c r="AO83" s="502" t="s">
        <v>238</v>
      </c>
      <c r="AP83" s="503"/>
      <c r="AQ83" s="505"/>
      <c r="AR83" s="502" t="s">
        <v>239</v>
      </c>
      <c r="AS83" s="503"/>
      <c r="AT83" s="505"/>
      <c r="AU83" s="502" t="s">
        <v>240</v>
      </c>
      <c r="AV83" s="503"/>
      <c r="AW83" s="505"/>
      <c r="AX83" s="170"/>
      <c r="AY83" s="169"/>
      <c r="AZ83" s="169"/>
      <c r="BA83" s="169"/>
      <c r="BB83" s="169"/>
      <c r="BC83" s="169"/>
    </row>
    <row r="84" spans="1:55" ht="30" customHeight="1">
      <c r="A84" s="521"/>
      <c r="B84" s="32" t="s">
        <v>113</v>
      </c>
      <c r="C84" s="32" t="s">
        <v>114</v>
      </c>
      <c r="D84" s="32" t="s">
        <v>14</v>
      </c>
      <c r="E84" s="32" t="s">
        <v>113</v>
      </c>
      <c r="F84" s="32" t="s">
        <v>114</v>
      </c>
      <c r="G84" s="32" t="s">
        <v>14</v>
      </c>
      <c r="H84" s="32" t="s">
        <v>113</v>
      </c>
      <c r="I84" s="32" t="s">
        <v>114</v>
      </c>
      <c r="J84" s="32" t="s">
        <v>14</v>
      </c>
      <c r="K84" s="32" t="s">
        <v>113</v>
      </c>
      <c r="L84" s="32" t="s">
        <v>114</v>
      </c>
      <c r="M84" s="32" t="s">
        <v>14</v>
      </c>
      <c r="N84" s="32" t="s">
        <v>113</v>
      </c>
      <c r="O84" s="32" t="s">
        <v>114</v>
      </c>
      <c r="P84" s="32" t="s">
        <v>14</v>
      </c>
      <c r="Q84" s="32" t="s">
        <v>113</v>
      </c>
      <c r="R84" s="32" t="s">
        <v>114</v>
      </c>
      <c r="S84" s="32" t="s">
        <v>14</v>
      </c>
      <c r="T84" s="32" t="s">
        <v>113</v>
      </c>
      <c r="U84" s="32" t="s">
        <v>114</v>
      </c>
      <c r="V84" s="32" t="s">
        <v>14</v>
      </c>
      <c r="W84" s="32" t="s">
        <v>113</v>
      </c>
      <c r="X84" s="32" t="s">
        <v>114</v>
      </c>
      <c r="Y84" s="32" t="s">
        <v>14</v>
      </c>
      <c r="Z84" s="32" t="s">
        <v>113</v>
      </c>
      <c r="AA84" s="32" t="s">
        <v>114</v>
      </c>
      <c r="AB84" s="32" t="s">
        <v>14</v>
      </c>
      <c r="AC84" s="32" t="s">
        <v>115</v>
      </c>
      <c r="AD84" s="32" t="s">
        <v>116</v>
      </c>
      <c r="AE84" s="32" t="s">
        <v>17</v>
      </c>
      <c r="AF84" s="32" t="s">
        <v>117</v>
      </c>
      <c r="AG84" s="32" t="s">
        <v>118</v>
      </c>
      <c r="AH84" s="32" t="s">
        <v>17</v>
      </c>
      <c r="AI84" s="32" t="s">
        <v>117</v>
      </c>
      <c r="AJ84" s="32" t="s">
        <v>118</v>
      </c>
      <c r="AK84" s="32" t="s">
        <v>17</v>
      </c>
      <c r="AL84" s="521"/>
      <c r="AM84" s="521"/>
      <c r="AN84" s="521"/>
      <c r="AO84" s="32" t="s">
        <v>117</v>
      </c>
      <c r="AP84" s="32" t="s">
        <v>118</v>
      </c>
      <c r="AQ84" s="32" t="s">
        <v>17</v>
      </c>
      <c r="AR84" s="32" t="s">
        <v>117</v>
      </c>
      <c r="AS84" s="32" t="s">
        <v>118</v>
      </c>
      <c r="AT84" s="32" t="s">
        <v>17</v>
      </c>
      <c r="AU84" s="32" t="s">
        <v>117</v>
      </c>
      <c r="AV84" s="32" t="s">
        <v>118</v>
      </c>
      <c r="AW84" s="32" t="s">
        <v>17</v>
      </c>
      <c r="AX84" s="170"/>
      <c r="AY84" s="169"/>
      <c r="AZ84" s="169"/>
      <c r="BA84" s="169"/>
      <c r="BB84" s="169"/>
      <c r="BC84" s="169"/>
    </row>
    <row r="85" spans="1:55" ht="14.25" customHeight="1">
      <c r="A85" s="43" t="s">
        <v>241</v>
      </c>
      <c r="B85" s="98">
        <v>118</v>
      </c>
      <c r="C85" s="98">
        <v>147</v>
      </c>
      <c r="D85" s="65">
        <f t="shared" ref="D85:D116" si="36">IFERROR(B85/C85,"-")</f>
        <v>0.80272108843537415</v>
      </c>
      <c r="E85" s="66">
        <f>SUM(E137:E139)</f>
        <v>124</v>
      </c>
      <c r="F85" s="66">
        <f>SUM(F137:F139)</f>
        <v>147</v>
      </c>
      <c r="G85" s="67">
        <f t="shared" ref="G85:G98" si="37">IFERROR(E85/F85,"-")</f>
        <v>0.84353741496598644</v>
      </c>
      <c r="H85" s="64">
        <f>SUM(H137:H139)</f>
        <v>0</v>
      </c>
      <c r="I85" s="64">
        <f>SUM(I137:I139)</f>
        <v>0</v>
      </c>
      <c r="J85" s="80" t="str">
        <f t="shared" ref="J85:J116" si="38">IFERROR(H85/I85,"-")</f>
        <v>-</v>
      </c>
      <c r="K85" s="66">
        <f t="shared" ref="K85:L89" si="39">IFERROR(SUM(B227,K227,T227),"-")</f>
        <v>44</v>
      </c>
      <c r="L85" s="66">
        <f t="shared" si="39"/>
        <v>56</v>
      </c>
      <c r="M85" s="67">
        <f t="shared" ref="M85:M116" si="40">IFERROR(K85/L85,"-")</f>
        <v>0.7857142857142857</v>
      </c>
      <c r="N85" s="66">
        <f t="shared" ref="N85:O89" si="41">IFERROR(SUM(E227,N227,W227),"-")</f>
        <v>102</v>
      </c>
      <c r="O85" s="66">
        <f t="shared" si="41"/>
        <v>133</v>
      </c>
      <c r="P85" s="67">
        <f t="shared" ref="P85:P116" si="42">IFERROR(N85/O85,"-")</f>
        <v>0.76691729323308266</v>
      </c>
      <c r="Q85" s="66">
        <f t="shared" ref="Q85:R89" si="43">IFERROR(SUM(H227,Q227,Z227),"-")</f>
        <v>146</v>
      </c>
      <c r="R85" s="66">
        <f t="shared" si="43"/>
        <v>189</v>
      </c>
      <c r="S85" s="67">
        <f t="shared" ref="S85:S116" si="44">IFERROR(Q85/R85,"-")</f>
        <v>0.77248677248677244</v>
      </c>
      <c r="T85" s="64">
        <f>SUM(T137:T139)</f>
        <v>0</v>
      </c>
      <c r="U85" s="64">
        <f>SUM(U137:U139)</f>
        <v>0</v>
      </c>
      <c r="V85" s="80" t="str">
        <f t="shared" ref="V85:V116" si="45">IFERROR(T85/U85,"-")</f>
        <v>-</v>
      </c>
      <c r="W85" s="64">
        <f>SUM(W137:W139)</f>
        <v>0</v>
      </c>
      <c r="X85" s="64">
        <f>SUM(X137:X139)</f>
        <v>0</v>
      </c>
      <c r="Y85" s="80" t="str">
        <f t="shared" ref="Y85:Y116" si="46">IFERROR(W85/X85,"-")</f>
        <v>-</v>
      </c>
      <c r="Z85" s="64">
        <f t="shared" ref="Z85:AA89" si="47">SUM(T85,W85)</f>
        <v>0</v>
      </c>
      <c r="AA85" s="64">
        <f t="shared" si="47"/>
        <v>0</v>
      </c>
      <c r="AB85" s="80" t="str">
        <f t="shared" ref="AB85:AB98" si="48">IFERROR(Z85/AA85,"-")</f>
        <v>-</v>
      </c>
      <c r="AC85" s="139">
        <v>65</v>
      </c>
      <c r="AD85" s="139">
        <v>118</v>
      </c>
      <c r="AE85" s="21">
        <f t="shared" ref="AE85:AE116" si="49">IFERROR(AC85/AD85,"-")</f>
        <v>0.55084745762711862</v>
      </c>
      <c r="AF85" s="197">
        <v>591</v>
      </c>
      <c r="AG85" s="197">
        <v>619</v>
      </c>
      <c r="AH85" s="36">
        <f t="shared" ref="AH85:AH116" si="50">IFERROR(AF85/AG85,"-")</f>
        <v>0.95476575121163165</v>
      </c>
      <c r="AI85" s="139"/>
      <c r="AJ85" s="139"/>
      <c r="AK85" s="37" t="str">
        <f t="shared" ref="AK85:AK95" si="51">IFERROR(AI85/AJ85,"-")</f>
        <v>-</v>
      </c>
      <c r="AL85" s="36">
        <f t="shared" ref="AL85:AN89" si="52">W183</f>
        <v>0</v>
      </c>
      <c r="AM85" s="36">
        <f t="shared" si="52"/>
        <v>0</v>
      </c>
      <c r="AN85" s="36">
        <f t="shared" si="52"/>
        <v>0</v>
      </c>
      <c r="AO85" s="121" t="s">
        <v>19</v>
      </c>
      <c r="AP85" s="121" t="s">
        <v>19</v>
      </c>
      <c r="AQ85" s="37" t="str">
        <f t="shared" ref="AQ85:AQ116" si="53">IFERROR(AO85/AP85,"-")</f>
        <v>-</v>
      </c>
      <c r="AR85" s="81" t="s">
        <v>19</v>
      </c>
      <c r="AS85" s="81" t="s">
        <v>19</v>
      </c>
      <c r="AT85" s="37" t="str">
        <f t="shared" ref="AT85:AT116" si="54">IFERROR(AR85/AS85,"-")</f>
        <v>-</v>
      </c>
      <c r="AU85" s="70"/>
      <c r="AV85" s="70"/>
      <c r="AW85" s="37" t="str">
        <f t="shared" ref="AW85:AW116" si="55">IFERROR(AU85/AV85,"-")</f>
        <v>-</v>
      </c>
      <c r="AX85" s="170"/>
      <c r="AY85" s="169"/>
      <c r="AZ85" s="169"/>
      <c r="BA85" s="169"/>
      <c r="BB85" s="169"/>
      <c r="BC85" s="169"/>
    </row>
    <row r="86" spans="1:55" ht="14.25" customHeight="1">
      <c r="A86" s="45" t="s">
        <v>47</v>
      </c>
      <c r="B86" s="98">
        <f>SUM(B140:B141)</f>
        <v>30</v>
      </c>
      <c r="C86" s="98">
        <f>SUM(C140:C141)</f>
        <v>33</v>
      </c>
      <c r="D86" s="65">
        <f t="shared" si="36"/>
        <v>0.90909090909090906</v>
      </c>
      <c r="E86" s="82">
        <f>SUM(E140:E141)</f>
        <v>31</v>
      </c>
      <c r="F86" s="82">
        <f>SUM(F140:F141)</f>
        <v>33</v>
      </c>
      <c r="G86" s="67">
        <f t="shared" si="37"/>
        <v>0.93939393939393945</v>
      </c>
      <c r="H86" s="64">
        <f>SUM(H140:H141)</f>
        <v>37</v>
      </c>
      <c r="I86" s="64">
        <f>SUM(I140:I141)</f>
        <v>37</v>
      </c>
      <c r="J86" s="65">
        <f t="shared" si="38"/>
        <v>1</v>
      </c>
      <c r="K86" s="66">
        <f t="shared" si="39"/>
        <v>35</v>
      </c>
      <c r="L86" s="66">
        <f t="shared" si="39"/>
        <v>37</v>
      </c>
      <c r="M86" s="67">
        <f t="shared" si="40"/>
        <v>0.94594594594594594</v>
      </c>
      <c r="N86" s="66">
        <f t="shared" si="41"/>
        <v>36</v>
      </c>
      <c r="O86" s="66">
        <f t="shared" si="41"/>
        <v>36</v>
      </c>
      <c r="P86" s="67">
        <f t="shared" si="42"/>
        <v>1</v>
      </c>
      <c r="Q86" s="66">
        <f t="shared" si="43"/>
        <v>71</v>
      </c>
      <c r="R86" s="66">
        <f t="shared" si="43"/>
        <v>73</v>
      </c>
      <c r="S86" s="67">
        <f t="shared" si="44"/>
        <v>0.9726027397260274</v>
      </c>
      <c r="T86" s="64">
        <f>SUM(T140:T141)</f>
        <v>0</v>
      </c>
      <c r="U86" s="64">
        <f>SUM(U140:U141)</f>
        <v>0</v>
      </c>
      <c r="V86" s="80" t="str">
        <f t="shared" si="45"/>
        <v>-</v>
      </c>
      <c r="W86" s="64">
        <f>SUM(W140:W141)</f>
        <v>0</v>
      </c>
      <c r="X86" s="64">
        <f>SUM(X140:X141)</f>
        <v>0</v>
      </c>
      <c r="Y86" s="80" t="str">
        <f t="shared" si="46"/>
        <v>-</v>
      </c>
      <c r="Z86" s="64">
        <f t="shared" si="47"/>
        <v>0</v>
      </c>
      <c r="AA86" s="64">
        <f t="shared" si="47"/>
        <v>0</v>
      </c>
      <c r="AB86" s="80" t="str">
        <f t="shared" si="48"/>
        <v>-</v>
      </c>
      <c r="AC86" s="139"/>
      <c r="AD86" s="139"/>
      <c r="AE86" s="37" t="str">
        <f t="shared" si="49"/>
        <v>-</v>
      </c>
      <c r="AF86" s="198">
        <v>6276</v>
      </c>
      <c r="AG86" s="198">
        <v>7254</v>
      </c>
      <c r="AH86" s="36">
        <f t="shared" si="50"/>
        <v>0.86517783291976835</v>
      </c>
      <c r="AI86" s="139"/>
      <c r="AJ86" s="139"/>
      <c r="AK86" s="37" t="str">
        <f t="shared" si="51"/>
        <v>-</v>
      </c>
      <c r="AL86" s="36">
        <f t="shared" si="52"/>
        <v>0</v>
      </c>
      <c r="AM86" s="36">
        <f t="shared" si="52"/>
        <v>0</v>
      </c>
      <c r="AN86" s="36">
        <f t="shared" si="52"/>
        <v>0</v>
      </c>
      <c r="AO86" s="121" t="s">
        <v>19</v>
      </c>
      <c r="AP86" s="121" t="s">
        <v>19</v>
      </c>
      <c r="AQ86" s="37" t="str">
        <f t="shared" si="53"/>
        <v>-</v>
      </c>
      <c r="AR86" s="81" t="s">
        <v>19</v>
      </c>
      <c r="AS86" s="81" t="s">
        <v>19</v>
      </c>
      <c r="AT86" s="37" t="str">
        <f t="shared" si="54"/>
        <v>-</v>
      </c>
      <c r="AU86" s="70"/>
      <c r="AV86" s="70"/>
      <c r="AW86" s="37" t="str">
        <f t="shared" si="55"/>
        <v>-</v>
      </c>
      <c r="AX86" s="170"/>
      <c r="AY86" s="169"/>
      <c r="AZ86" s="169"/>
      <c r="BA86" s="169"/>
      <c r="BB86" s="169"/>
      <c r="BC86" s="169"/>
    </row>
    <row r="87" spans="1:55" ht="14.25" customHeight="1">
      <c r="A87" s="12" t="s">
        <v>242</v>
      </c>
      <c r="B87" s="84">
        <f>SUM(B89,B85,B86)</f>
        <v>1427</v>
      </c>
      <c r="C87" s="84">
        <f>SUM(C89,C85,C86)</f>
        <v>1578</v>
      </c>
      <c r="D87" s="65">
        <f t="shared" si="36"/>
        <v>0.90430925221799752</v>
      </c>
      <c r="E87" s="66">
        <f>SUM(E89,E85,E86)</f>
        <v>1304</v>
      </c>
      <c r="F87" s="66">
        <f>SUM(F89,F85,F86)</f>
        <v>1585</v>
      </c>
      <c r="G87" s="67">
        <f t="shared" si="37"/>
        <v>0.82271293375394317</v>
      </c>
      <c r="H87" s="64">
        <f>SUM(H89,H85,H86)</f>
        <v>9561</v>
      </c>
      <c r="I87" s="64">
        <f>SUM(I89,I85,I86)</f>
        <v>12386</v>
      </c>
      <c r="J87" s="65">
        <f t="shared" si="38"/>
        <v>0.77191990957532697</v>
      </c>
      <c r="K87" s="66">
        <f t="shared" si="39"/>
        <v>5272</v>
      </c>
      <c r="L87" s="66">
        <f t="shared" si="39"/>
        <v>6195</v>
      </c>
      <c r="M87" s="67">
        <f t="shared" si="40"/>
        <v>0.85100887812752224</v>
      </c>
      <c r="N87" s="66">
        <f t="shared" si="41"/>
        <v>5408</v>
      </c>
      <c r="O87" s="66">
        <f t="shared" si="41"/>
        <v>5826</v>
      </c>
      <c r="P87" s="67">
        <f t="shared" si="42"/>
        <v>0.92825266048747002</v>
      </c>
      <c r="Q87" s="66">
        <f t="shared" si="43"/>
        <v>10680</v>
      </c>
      <c r="R87" s="66">
        <f t="shared" si="43"/>
        <v>12021</v>
      </c>
      <c r="S87" s="67">
        <f t="shared" si="44"/>
        <v>0.88844522086348887</v>
      </c>
      <c r="T87" s="64">
        <f>SUM(T89,T85,T86)</f>
        <v>121</v>
      </c>
      <c r="U87" s="64">
        <f>SUM(U89,U85,U86)</f>
        <v>121</v>
      </c>
      <c r="V87" s="65">
        <f t="shared" si="45"/>
        <v>1</v>
      </c>
      <c r="W87" s="64">
        <f>SUM(W89,W85,W86)</f>
        <v>987</v>
      </c>
      <c r="X87" s="64">
        <f>SUM(X89,X85,X86)</f>
        <v>987</v>
      </c>
      <c r="Y87" s="65">
        <f t="shared" si="46"/>
        <v>1</v>
      </c>
      <c r="Z87" s="64">
        <f t="shared" si="47"/>
        <v>1108</v>
      </c>
      <c r="AA87" s="64">
        <f t="shared" si="47"/>
        <v>1108</v>
      </c>
      <c r="AB87" s="65">
        <f t="shared" si="48"/>
        <v>1</v>
      </c>
      <c r="AC87" s="70"/>
      <c r="AD87" s="70"/>
      <c r="AE87" s="37" t="str">
        <f t="shared" si="49"/>
        <v>-</v>
      </c>
      <c r="AF87" s="69">
        <f>SUM(AF85:AF86,AF89)</f>
        <v>11546</v>
      </c>
      <c r="AG87" s="69">
        <f>SUM(AG85:AG86,AG89)</f>
        <v>13112</v>
      </c>
      <c r="AH87" s="36">
        <f t="shared" si="50"/>
        <v>0.88056741915802317</v>
      </c>
      <c r="AI87" s="70">
        <f>SUM(AI85:AI86,AI89)</f>
        <v>60318</v>
      </c>
      <c r="AJ87" s="70">
        <f>SUM(AJ85:AJ86,AJ89)</f>
        <v>70043</v>
      </c>
      <c r="AK87" s="21">
        <f t="shared" si="51"/>
        <v>0.86115671801607585</v>
      </c>
      <c r="AL87" s="36">
        <f t="shared" si="52"/>
        <v>0</v>
      </c>
      <c r="AM87" s="36">
        <f t="shared" si="52"/>
        <v>0</v>
      </c>
      <c r="AN87" s="36">
        <f t="shared" si="52"/>
        <v>0</v>
      </c>
      <c r="AO87" s="70">
        <f>SUM(AO85:AO86,AO89)</f>
        <v>383</v>
      </c>
      <c r="AP87" s="70">
        <f>SUM(AP85:AP86,AP89)</f>
        <v>484</v>
      </c>
      <c r="AQ87" s="21">
        <f t="shared" si="53"/>
        <v>0.79132231404958675</v>
      </c>
      <c r="AR87" s="70">
        <f>SUM(AR85:AR86,AR89)</f>
        <v>3454</v>
      </c>
      <c r="AS87" s="70">
        <f>SUM(AS85:AS86,AS89)</f>
        <v>4009</v>
      </c>
      <c r="AT87" s="21">
        <f t="shared" si="54"/>
        <v>0.86156148665502619</v>
      </c>
      <c r="AU87" s="70"/>
      <c r="AV87" s="70"/>
      <c r="AW87" s="37" t="str">
        <f t="shared" si="55"/>
        <v>-</v>
      </c>
      <c r="AX87" s="170"/>
      <c r="AY87" s="169"/>
      <c r="AZ87" s="169"/>
      <c r="BA87" s="169"/>
      <c r="BB87" s="169"/>
      <c r="BC87" s="169"/>
    </row>
    <row r="88" spans="1:55" ht="14.25" customHeight="1">
      <c r="A88" s="12" t="s">
        <v>243</v>
      </c>
      <c r="B88" s="84">
        <f>SUM(B89,B85)</f>
        <v>1397</v>
      </c>
      <c r="C88" s="84">
        <f>SUM(C89,C85)</f>
        <v>1545</v>
      </c>
      <c r="D88" s="65">
        <f t="shared" si="36"/>
        <v>0.90420711974110035</v>
      </c>
      <c r="E88" s="66">
        <f>SUM(E89,E85)</f>
        <v>1273</v>
      </c>
      <c r="F88" s="66">
        <f>SUM(F89,F85)</f>
        <v>1552</v>
      </c>
      <c r="G88" s="67">
        <f t="shared" si="37"/>
        <v>0.82023195876288657</v>
      </c>
      <c r="H88" s="64">
        <f>SUM(H89,H85)</f>
        <v>9524</v>
      </c>
      <c r="I88" s="64">
        <f>SUM(I89,I85)</f>
        <v>12349</v>
      </c>
      <c r="J88" s="65">
        <f t="shared" si="38"/>
        <v>0.77123653737144704</v>
      </c>
      <c r="K88" s="66">
        <f t="shared" si="39"/>
        <v>5237</v>
      </c>
      <c r="L88" s="66">
        <f t="shared" si="39"/>
        <v>6158</v>
      </c>
      <c r="M88" s="67">
        <f t="shared" si="40"/>
        <v>0.85043845404352059</v>
      </c>
      <c r="N88" s="66">
        <f t="shared" si="41"/>
        <v>5372</v>
      </c>
      <c r="O88" s="66">
        <f t="shared" si="41"/>
        <v>5790</v>
      </c>
      <c r="P88" s="67">
        <f t="shared" si="42"/>
        <v>0.92780656303972364</v>
      </c>
      <c r="Q88" s="66">
        <f t="shared" si="43"/>
        <v>10609</v>
      </c>
      <c r="R88" s="66">
        <f t="shared" si="43"/>
        <v>11948</v>
      </c>
      <c r="S88" s="67">
        <f t="shared" si="44"/>
        <v>0.88793103448275867</v>
      </c>
      <c r="T88" s="64">
        <f>SUM(T89,T85)</f>
        <v>121</v>
      </c>
      <c r="U88" s="64">
        <f>SUM(U89,U85)</f>
        <v>121</v>
      </c>
      <c r="V88" s="65">
        <f t="shared" si="45"/>
        <v>1</v>
      </c>
      <c r="W88" s="64">
        <f>SUM(W89,W85)</f>
        <v>987</v>
      </c>
      <c r="X88" s="64">
        <f>SUM(X89,X85)</f>
        <v>987</v>
      </c>
      <c r="Y88" s="65">
        <f t="shared" si="46"/>
        <v>1</v>
      </c>
      <c r="Z88" s="64">
        <f t="shared" si="47"/>
        <v>1108</v>
      </c>
      <c r="AA88" s="64">
        <f t="shared" si="47"/>
        <v>1108</v>
      </c>
      <c r="AB88" s="65">
        <f t="shared" si="48"/>
        <v>1</v>
      </c>
      <c r="AC88" s="70"/>
      <c r="AD88" s="70"/>
      <c r="AE88" s="37" t="str">
        <f t="shared" si="49"/>
        <v>-</v>
      </c>
      <c r="AF88" s="69">
        <f>SUM(AF89,AF85)</f>
        <v>5270</v>
      </c>
      <c r="AG88" s="69">
        <f>SUM(AG89,AG85)</f>
        <v>5858</v>
      </c>
      <c r="AH88" s="36">
        <f t="shared" si="50"/>
        <v>0.899624445203141</v>
      </c>
      <c r="AI88" s="70">
        <f>SUM(AI89,AI85)</f>
        <v>60318</v>
      </c>
      <c r="AJ88" s="70">
        <f>SUM(AJ89,AJ85)</f>
        <v>70043</v>
      </c>
      <c r="AK88" s="21">
        <f t="shared" si="51"/>
        <v>0.86115671801607585</v>
      </c>
      <c r="AL88" s="36">
        <f t="shared" si="52"/>
        <v>0</v>
      </c>
      <c r="AM88" s="36">
        <f t="shared" si="52"/>
        <v>0</v>
      </c>
      <c r="AN88" s="36">
        <f t="shared" si="52"/>
        <v>0</v>
      </c>
      <c r="AO88" s="70">
        <f>SUM(AO89,AO85)</f>
        <v>383</v>
      </c>
      <c r="AP88" s="70">
        <f>SUM(AP89,AP85)</f>
        <v>484</v>
      </c>
      <c r="AQ88" s="21">
        <f t="shared" si="53"/>
        <v>0.79132231404958675</v>
      </c>
      <c r="AR88" s="70">
        <f>SUM(AR89,AR85)</f>
        <v>3454</v>
      </c>
      <c r="AS88" s="70">
        <f>SUM(AS89,AS85)</f>
        <v>4009</v>
      </c>
      <c r="AT88" s="21">
        <f t="shared" si="54"/>
        <v>0.86156148665502619</v>
      </c>
      <c r="AU88" s="70"/>
      <c r="AV88" s="70"/>
      <c r="AW88" s="37" t="str">
        <f t="shared" si="55"/>
        <v>-</v>
      </c>
      <c r="AX88" s="170"/>
      <c r="AY88" s="169"/>
      <c r="AZ88" s="169"/>
      <c r="BA88" s="169"/>
      <c r="BB88" s="169"/>
      <c r="BC88" s="169"/>
    </row>
    <row r="89" spans="1:55" ht="14.25" customHeight="1">
      <c r="A89" s="38" t="s">
        <v>44</v>
      </c>
      <c r="B89" s="92">
        <v>1279</v>
      </c>
      <c r="C89" s="92">
        <v>1398</v>
      </c>
      <c r="D89" s="74">
        <f t="shared" si="36"/>
        <v>0.91487839771101576</v>
      </c>
      <c r="E89" s="71">
        <f>SUM(E110:E129)</f>
        <v>1149</v>
      </c>
      <c r="F89" s="71">
        <f>SUM(F110:F129)</f>
        <v>1405</v>
      </c>
      <c r="G89" s="72">
        <f t="shared" si="37"/>
        <v>0.81779359430604981</v>
      </c>
      <c r="H89" s="87">
        <f>1090+1626+4212+346+2250</f>
        <v>9524</v>
      </c>
      <c r="I89" s="87">
        <f>1322+1626+6524+352+2525</f>
        <v>12349</v>
      </c>
      <c r="J89" s="74">
        <f t="shared" si="38"/>
        <v>0.77123653737144704</v>
      </c>
      <c r="K89" s="71">
        <f t="shared" si="39"/>
        <v>5193</v>
      </c>
      <c r="L89" s="71">
        <f t="shared" si="39"/>
        <v>6102</v>
      </c>
      <c r="M89" s="72">
        <f t="shared" si="40"/>
        <v>0.85103244837758107</v>
      </c>
      <c r="N89" s="71">
        <f t="shared" si="41"/>
        <v>5270</v>
      </c>
      <c r="O89" s="71">
        <f t="shared" si="41"/>
        <v>5657</v>
      </c>
      <c r="P89" s="72">
        <f t="shared" si="42"/>
        <v>0.93158918154498849</v>
      </c>
      <c r="Q89" s="71">
        <f t="shared" si="43"/>
        <v>10463</v>
      </c>
      <c r="R89" s="71">
        <f t="shared" si="43"/>
        <v>11759</v>
      </c>
      <c r="S89" s="72">
        <f t="shared" si="44"/>
        <v>0.88978654647504041</v>
      </c>
      <c r="T89" s="75">
        <f>SUM(T110:T129)</f>
        <v>121</v>
      </c>
      <c r="U89" s="75">
        <f>SUM(U110:U129)</f>
        <v>121</v>
      </c>
      <c r="V89" s="74">
        <f t="shared" si="45"/>
        <v>1</v>
      </c>
      <c r="W89" s="75">
        <f>SUM(W110:W129)</f>
        <v>987</v>
      </c>
      <c r="X89" s="75">
        <f>SUM(X110:X129)</f>
        <v>987</v>
      </c>
      <c r="Y89" s="74">
        <f t="shared" si="46"/>
        <v>1</v>
      </c>
      <c r="Z89" s="75">
        <f t="shared" si="47"/>
        <v>1108</v>
      </c>
      <c r="AA89" s="75">
        <f t="shared" si="47"/>
        <v>1108</v>
      </c>
      <c r="AB89" s="74">
        <f t="shared" si="48"/>
        <v>1</v>
      </c>
      <c r="AC89" s="122"/>
      <c r="AD89" s="122"/>
      <c r="AE89" s="40" t="str">
        <f t="shared" si="49"/>
        <v>-</v>
      </c>
      <c r="AF89" s="134">
        <f>SUM(AF95,AF98,AF104)</f>
        <v>4679</v>
      </c>
      <c r="AG89" s="134">
        <f>SUM(AG95,AG98,AG104)</f>
        <v>5239</v>
      </c>
      <c r="AH89" s="39">
        <f t="shared" si="50"/>
        <v>0.89310937201756058</v>
      </c>
      <c r="AI89" s="122">
        <f>18743+1625+36723+3227</f>
        <v>60318</v>
      </c>
      <c r="AJ89" s="122">
        <f>25806+1626+39141+3470</f>
        <v>70043</v>
      </c>
      <c r="AK89" s="41">
        <f t="shared" si="51"/>
        <v>0.86115671801607585</v>
      </c>
      <c r="AL89" s="39">
        <f t="shared" si="52"/>
        <v>0</v>
      </c>
      <c r="AM89" s="39">
        <f t="shared" si="52"/>
        <v>0</v>
      </c>
      <c r="AN89" s="39">
        <f t="shared" si="52"/>
        <v>0</v>
      </c>
      <c r="AO89" s="77">
        <v>383</v>
      </c>
      <c r="AP89" s="77">
        <v>484</v>
      </c>
      <c r="AQ89" s="41">
        <f t="shared" si="53"/>
        <v>0.79132231404958675</v>
      </c>
      <c r="AR89" s="77">
        <v>3454</v>
      </c>
      <c r="AS89" s="77">
        <v>4009</v>
      </c>
      <c r="AT89" s="41">
        <f t="shared" si="54"/>
        <v>0.86156148665502619</v>
      </c>
      <c r="AU89" s="78"/>
      <c r="AV89" s="78"/>
      <c r="AW89" s="40" t="str">
        <f t="shared" si="55"/>
        <v>-</v>
      </c>
      <c r="AX89" s="186"/>
      <c r="AY89" s="187"/>
      <c r="AZ89" s="187"/>
      <c r="BA89" s="187"/>
      <c r="BB89" s="187"/>
      <c r="BC89" s="187"/>
    </row>
    <row r="90" spans="1:55" ht="14.25" customHeight="1">
      <c r="A90" s="12" t="s">
        <v>48</v>
      </c>
      <c r="B90" s="64">
        <f>B89</f>
        <v>1279</v>
      </c>
      <c r="C90" s="64">
        <f>C89</f>
        <v>1398</v>
      </c>
      <c r="D90" s="65">
        <f t="shared" si="36"/>
        <v>0.91487839771101576</v>
      </c>
      <c r="E90" s="66">
        <f>E89</f>
        <v>1149</v>
      </c>
      <c r="F90" s="66">
        <f>F89</f>
        <v>1405</v>
      </c>
      <c r="G90" s="67">
        <f t="shared" si="37"/>
        <v>0.81779359430604981</v>
      </c>
      <c r="H90" s="64">
        <f>H89</f>
        <v>9524</v>
      </c>
      <c r="I90" s="64">
        <f>I89</f>
        <v>12349</v>
      </c>
      <c r="J90" s="65">
        <f t="shared" si="38"/>
        <v>0.77123653737144704</v>
      </c>
      <c r="K90" s="66">
        <f>K89</f>
        <v>5193</v>
      </c>
      <c r="L90" s="66">
        <f>L89</f>
        <v>6102</v>
      </c>
      <c r="M90" s="67">
        <f t="shared" si="40"/>
        <v>0.85103244837758107</v>
      </c>
      <c r="N90" s="66">
        <f>N89</f>
        <v>5270</v>
      </c>
      <c r="O90" s="66">
        <f>O89</f>
        <v>5657</v>
      </c>
      <c r="P90" s="67">
        <f t="shared" si="42"/>
        <v>0.93158918154498849</v>
      </c>
      <c r="Q90" s="66">
        <f>Q89</f>
        <v>10463</v>
      </c>
      <c r="R90" s="66">
        <f>R89</f>
        <v>11759</v>
      </c>
      <c r="S90" s="67">
        <f t="shared" si="44"/>
        <v>0.88978654647504041</v>
      </c>
      <c r="T90" s="64">
        <f>T89</f>
        <v>121</v>
      </c>
      <c r="U90" s="64">
        <f>U89</f>
        <v>121</v>
      </c>
      <c r="V90" s="65">
        <f t="shared" si="45"/>
        <v>1</v>
      </c>
      <c r="W90" s="64">
        <f>W89</f>
        <v>987</v>
      </c>
      <c r="X90" s="64">
        <f>X89</f>
        <v>987</v>
      </c>
      <c r="Y90" s="65">
        <f t="shared" si="46"/>
        <v>1</v>
      </c>
      <c r="Z90" s="64">
        <f>Z89</f>
        <v>1108</v>
      </c>
      <c r="AA90" s="64">
        <f>AA89</f>
        <v>1108</v>
      </c>
      <c r="AB90" s="65">
        <f t="shared" si="48"/>
        <v>1</v>
      </c>
      <c r="AC90" s="70">
        <f>AC89</f>
        <v>0</v>
      </c>
      <c r="AD90" s="70">
        <f>AD89</f>
        <v>0</v>
      </c>
      <c r="AE90" s="37" t="str">
        <f t="shared" si="49"/>
        <v>-</v>
      </c>
      <c r="AF90" s="69">
        <f>AF89</f>
        <v>4679</v>
      </c>
      <c r="AG90" s="69">
        <f>AG89</f>
        <v>5239</v>
      </c>
      <c r="AH90" s="36">
        <f t="shared" si="50"/>
        <v>0.89310937201756058</v>
      </c>
      <c r="AI90" s="70">
        <f>AI89</f>
        <v>60318</v>
      </c>
      <c r="AJ90" s="70">
        <f>AJ89</f>
        <v>70043</v>
      </c>
      <c r="AK90" s="21">
        <f t="shared" si="51"/>
        <v>0.86115671801607585</v>
      </c>
      <c r="AL90" s="36">
        <f>AL89</f>
        <v>0</v>
      </c>
      <c r="AM90" s="36">
        <f>AM89</f>
        <v>0</v>
      </c>
      <c r="AN90" s="36">
        <f>AN89</f>
        <v>0</v>
      </c>
      <c r="AO90" s="70">
        <f>AO89</f>
        <v>383</v>
      </c>
      <c r="AP90" s="70">
        <f>AP89</f>
        <v>484</v>
      </c>
      <c r="AQ90" s="21">
        <f t="shared" si="53"/>
        <v>0.79132231404958675</v>
      </c>
      <c r="AR90" s="70">
        <f>AR89</f>
        <v>3454</v>
      </c>
      <c r="AS90" s="70">
        <f>AS89</f>
        <v>4009</v>
      </c>
      <c r="AT90" s="21">
        <f t="shared" si="54"/>
        <v>0.86156148665502619</v>
      </c>
      <c r="AU90" s="70"/>
      <c r="AV90" s="70"/>
      <c r="AW90" s="37" t="str">
        <f t="shared" si="55"/>
        <v>-</v>
      </c>
      <c r="AX90" s="170"/>
      <c r="AY90" s="169"/>
      <c r="AZ90" s="169"/>
      <c r="BA90" s="169"/>
      <c r="BB90" s="169"/>
      <c r="BC90" s="169"/>
    </row>
    <row r="91" spans="1:55" ht="14.25" customHeight="1">
      <c r="A91" s="12" t="s">
        <v>49</v>
      </c>
      <c r="B91" s="84">
        <f>SUM(B94,B102,B103,B105,B109)</f>
        <v>0</v>
      </c>
      <c r="C91" s="84">
        <f>SUM(C94,C102,C103,C105,C109)</f>
        <v>0</v>
      </c>
      <c r="D91" s="80" t="str">
        <f t="shared" si="36"/>
        <v>-</v>
      </c>
      <c r="E91" s="83" t="s">
        <v>19</v>
      </c>
      <c r="F91" s="83" t="s">
        <v>19</v>
      </c>
      <c r="G91" s="83" t="str">
        <f t="shared" si="37"/>
        <v>-</v>
      </c>
      <c r="H91" s="64">
        <f>H94+H103+H105</f>
        <v>5284</v>
      </c>
      <c r="I91" s="64">
        <f>I94+I103+I105</f>
        <v>7658</v>
      </c>
      <c r="J91" s="65">
        <f t="shared" si="38"/>
        <v>0.68999738835205016</v>
      </c>
      <c r="K91" s="66">
        <f>K89</f>
        <v>5193</v>
      </c>
      <c r="L91" s="66">
        <f>L89</f>
        <v>6102</v>
      </c>
      <c r="M91" s="67">
        <f t="shared" si="40"/>
        <v>0.85103244837758107</v>
      </c>
      <c r="N91" s="66">
        <f>N89</f>
        <v>5270</v>
      </c>
      <c r="O91" s="66">
        <f>O89</f>
        <v>5657</v>
      </c>
      <c r="P91" s="67">
        <f t="shared" si="42"/>
        <v>0.93158918154498849</v>
      </c>
      <c r="Q91" s="66">
        <f>Q89</f>
        <v>10463</v>
      </c>
      <c r="R91" s="66">
        <f>R89</f>
        <v>11759</v>
      </c>
      <c r="S91" s="67">
        <f t="shared" si="44"/>
        <v>0.88978654647504041</v>
      </c>
      <c r="T91" s="64">
        <f>T89</f>
        <v>121</v>
      </c>
      <c r="U91" s="64">
        <f>U89</f>
        <v>121</v>
      </c>
      <c r="V91" s="65">
        <f t="shared" si="45"/>
        <v>1</v>
      </c>
      <c r="W91" s="64">
        <f>W89</f>
        <v>987</v>
      </c>
      <c r="X91" s="64">
        <f>X89</f>
        <v>987</v>
      </c>
      <c r="Y91" s="65">
        <f t="shared" si="46"/>
        <v>1</v>
      </c>
      <c r="Z91" s="64">
        <f>Z89</f>
        <v>1108</v>
      </c>
      <c r="AA91" s="64">
        <f>AA89</f>
        <v>1108</v>
      </c>
      <c r="AB91" s="65">
        <f t="shared" si="48"/>
        <v>1</v>
      </c>
      <c r="AC91" s="70">
        <f>SUM(AC94,AC102,AC103,AC105,AC109)</f>
        <v>0</v>
      </c>
      <c r="AD91" s="70">
        <f>SUM(AD94,AD102,AD103,AD105,AD109)</f>
        <v>0</v>
      </c>
      <c r="AE91" s="37" t="str">
        <f t="shared" si="49"/>
        <v>-</v>
      </c>
      <c r="AF91" s="69">
        <f>SUM(AF94,AF102,AF103,AF105,AF109)</f>
        <v>0</v>
      </c>
      <c r="AG91" s="69">
        <f>SUM(AG94,AG102,AG103,AG105,AG109)</f>
        <v>0</v>
      </c>
      <c r="AH91" s="44" t="str">
        <f t="shared" si="50"/>
        <v>-</v>
      </c>
      <c r="AI91" s="70">
        <f>SUM(AI94,AI102,AI103,AI105,AI109)</f>
        <v>44371</v>
      </c>
      <c r="AJ91" s="70">
        <f>SUM(AJ94,AJ102,AJ103,AJ105,AJ109)</f>
        <v>49102</v>
      </c>
      <c r="AK91" s="21">
        <f t="shared" si="51"/>
        <v>0.90364954584334656</v>
      </c>
      <c r="AL91" s="44" t="s">
        <v>19</v>
      </c>
      <c r="AM91" s="36">
        <f>AM89</f>
        <v>0</v>
      </c>
      <c r="AN91" s="44" t="s">
        <v>19</v>
      </c>
      <c r="AO91" s="70">
        <f>SUM(AO94,AO102,AO103,AO105,AO109)</f>
        <v>92</v>
      </c>
      <c r="AP91" s="70">
        <f>SUM(AP94,AP102,AP103,AP105,AP109)</f>
        <v>121</v>
      </c>
      <c r="AQ91" s="21">
        <f t="shared" si="53"/>
        <v>0.76033057851239672</v>
      </c>
      <c r="AR91" s="70">
        <f>SUM(AR94,AR102,AR103,AR105,AR109)</f>
        <v>803</v>
      </c>
      <c r="AS91" s="70">
        <f>SUM(AS94,AS102,AS103,AS105,AS109)</f>
        <v>1000</v>
      </c>
      <c r="AT91" s="21">
        <f t="shared" si="54"/>
        <v>0.80300000000000005</v>
      </c>
      <c r="AU91" s="70"/>
      <c r="AV91" s="70"/>
      <c r="AW91" s="37" t="str">
        <f t="shared" si="55"/>
        <v>-</v>
      </c>
      <c r="AX91" s="170"/>
      <c r="AY91" s="169"/>
      <c r="AZ91" s="169"/>
      <c r="BA91" s="169"/>
      <c r="BB91" s="169"/>
      <c r="BC91" s="169"/>
    </row>
    <row r="92" spans="1:55" ht="14.25" customHeight="1">
      <c r="A92" s="12" t="s">
        <v>50</v>
      </c>
      <c r="B92" s="84">
        <f>SUM(B98,B99,B100,B101,B104,B106)</f>
        <v>0</v>
      </c>
      <c r="C92" s="84">
        <f>SUM(C98,C99,C100,C101,C104,C106)</f>
        <v>0</v>
      </c>
      <c r="D92" s="80" t="str">
        <f t="shared" si="36"/>
        <v>-</v>
      </c>
      <c r="E92" s="66">
        <f>E89</f>
        <v>1149</v>
      </c>
      <c r="F92" s="66">
        <f>F89</f>
        <v>1405</v>
      </c>
      <c r="G92" s="67">
        <f t="shared" si="37"/>
        <v>0.81779359430604981</v>
      </c>
      <c r="H92" s="64">
        <f>H101</f>
        <v>2643</v>
      </c>
      <c r="I92" s="64">
        <f>I101</f>
        <v>2875</v>
      </c>
      <c r="J92" s="65">
        <f t="shared" si="38"/>
        <v>0.91930434782608694</v>
      </c>
      <c r="K92" s="83" t="s">
        <v>19</v>
      </c>
      <c r="L92" s="83" t="s">
        <v>19</v>
      </c>
      <c r="M92" s="83" t="str">
        <f t="shared" si="40"/>
        <v>-</v>
      </c>
      <c r="N92" s="83" t="s">
        <v>19</v>
      </c>
      <c r="O92" s="83" t="s">
        <v>19</v>
      </c>
      <c r="P92" s="83" t="str">
        <f t="shared" si="42"/>
        <v>-</v>
      </c>
      <c r="Q92" s="83" t="s">
        <v>19</v>
      </c>
      <c r="R92" s="83" t="s">
        <v>19</v>
      </c>
      <c r="S92" s="83" t="str">
        <f t="shared" si="44"/>
        <v>-</v>
      </c>
      <c r="T92" s="64">
        <f>T89</f>
        <v>121</v>
      </c>
      <c r="U92" s="64">
        <f>U89</f>
        <v>121</v>
      </c>
      <c r="V92" s="65">
        <f t="shared" si="45"/>
        <v>1</v>
      </c>
      <c r="W92" s="64">
        <f>W89</f>
        <v>987</v>
      </c>
      <c r="X92" s="64">
        <f>X89</f>
        <v>987</v>
      </c>
      <c r="Y92" s="65">
        <f t="shared" si="46"/>
        <v>1</v>
      </c>
      <c r="Z92" s="64">
        <f>Z89</f>
        <v>1108</v>
      </c>
      <c r="AA92" s="64">
        <f>AA89</f>
        <v>1108</v>
      </c>
      <c r="AB92" s="65">
        <f t="shared" si="48"/>
        <v>1</v>
      </c>
      <c r="AC92" s="70">
        <f>SUM(AC98,AC99,AC100,AC101,AC104,AC106)</f>
        <v>0</v>
      </c>
      <c r="AD92" s="70">
        <f>SUM(AD98,AD99,AD100,AD101,AD104,AD106)</f>
        <v>0</v>
      </c>
      <c r="AE92" s="37" t="str">
        <f t="shared" si="49"/>
        <v>-</v>
      </c>
      <c r="AF92" s="69">
        <f>SUM(AF98,AF99,AF100,AF101,AF104,AF106)</f>
        <v>3690</v>
      </c>
      <c r="AG92" s="69">
        <f>SUM(AG98,AG99,AG100,AG101,AG104,AG106)</f>
        <v>4119</v>
      </c>
      <c r="AH92" s="36">
        <f t="shared" si="50"/>
        <v>0.89584850691915519</v>
      </c>
      <c r="AI92" s="70">
        <f>SUM(AI98,AI99,AI100,AI101,AI104,AI106)</f>
        <v>25077</v>
      </c>
      <c r="AJ92" s="70">
        <f>SUM(AJ98,AJ99,AJ100,AJ101,AJ104,AJ106)</f>
        <v>32687</v>
      </c>
      <c r="AK92" s="21">
        <f t="shared" si="51"/>
        <v>0.76718573133049839</v>
      </c>
      <c r="AL92" s="44" t="s">
        <v>19</v>
      </c>
      <c r="AM92" s="44" t="s">
        <v>19</v>
      </c>
      <c r="AN92" s="44" t="s">
        <v>19</v>
      </c>
      <c r="AO92" s="70">
        <f>SUM(AO98,AO99,AO100,AO101,AO104,AO106)</f>
        <v>89</v>
      </c>
      <c r="AP92" s="70">
        <f>SUM(AP98,AP99,AP100,AP101,AP104,AP106)</f>
        <v>121</v>
      </c>
      <c r="AQ92" s="21">
        <f t="shared" si="53"/>
        <v>0.73553719008264462</v>
      </c>
      <c r="AR92" s="70">
        <f>SUM(AR98,AR99,AR100,AR101,AR104,AR106)</f>
        <v>819</v>
      </c>
      <c r="AS92" s="70">
        <f>SUM(AS98,AS99,AS100,AS101,AS104,AS106)</f>
        <v>987</v>
      </c>
      <c r="AT92" s="21">
        <f t="shared" si="54"/>
        <v>0.82978723404255317</v>
      </c>
      <c r="AU92" s="70"/>
      <c r="AV92" s="70"/>
      <c r="AW92" s="37" t="str">
        <f t="shared" si="55"/>
        <v>-</v>
      </c>
      <c r="AX92" s="170"/>
      <c r="AY92" s="169"/>
      <c r="AZ92" s="169"/>
      <c r="BA92" s="169"/>
      <c r="BB92" s="169"/>
      <c r="BC92" s="169"/>
    </row>
    <row r="93" spans="1:55" ht="14.25" customHeight="1">
      <c r="A93" s="12" t="s">
        <v>51</v>
      </c>
      <c r="B93" s="84">
        <f>B95</f>
        <v>0</v>
      </c>
      <c r="C93" s="84">
        <f>C95</f>
        <v>0</v>
      </c>
      <c r="D93" s="80" t="str">
        <f t="shared" si="36"/>
        <v>-</v>
      </c>
      <c r="E93" s="66">
        <f>E89</f>
        <v>1149</v>
      </c>
      <c r="F93" s="66">
        <f>F89</f>
        <v>1405</v>
      </c>
      <c r="G93" s="67">
        <f t="shared" si="37"/>
        <v>0.81779359430604981</v>
      </c>
      <c r="H93" s="64">
        <f>H95</f>
        <v>3340</v>
      </c>
      <c r="I93" s="64">
        <f>I95</f>
        <v>3847</v>
      </c>
      <c r="J93" s="65">
        <f t="shared" si="38"/>
        <v>0.86820899402131535</v>
      </c>
      <c r="K93" s="83" t="s">
        <v>19</v>
      </c>
      <c r="L93" s="83" t="s">
        <v>19</v>
      </c>
      <c r="M93" s="83" t="str">
        <f t="shared" si="40"/>
        <v>-</v>
      </c>
      <c r="N93" s="83" t="s">
        <v>19</v>
      </c>
      <c r="O93" s="83" t="s">
        <v>19</v>
      </c>
      <c r="P93" s="83" t="str">
        <f t="shared" si="42"/>
        <v>-</v>
      </c>
      <c r="Q93" s="83" t="s">
        <v>19</v>
      </c>
      <c r="R93" s="83" t="s">
        <v>19</v>
      </c>
      <c r="S93" s="83" t="str">
        <f t="shared" si="44"/>
        <v>-</v>
      </c>
      <c r="T93" s="80" t="s">
        <v>19</v>
      </c>
      <c r="U93" s="80" t="s">
        <v>19</v>
      </c>
      <c r="V93" s="80" t="str">
        <f t="shared" si="45"/>
        <v>-</v>
      </c>
      <c r="W93" s="80" t="s">
        <v>19</v>
      </c>
      <c r="X93" s="80" t="s">
        <v>19</v>
      </c>
      <c r="Y93" s="80" t="str">
        <f t="shared" si="46"/>
        <v>-</v>
      </c>
      <c r="Z93" s="80" t="s">
        <v>19</v>
      </c>
      <c r="AA93" s="80" t="s">
        <v>19</v>
      </c>
      <c r="AB93" s="80" t="str">
        <f t="shared" si="48"/>
        <v>-</v>
      </c>
      <c r="AC93" s="70">
        <f>AC95</f>
        <v>0</v>
      </c>
      <c r="AD93" s="70">
        <f>AD95</f>
        <v>0</v>
      </c>
      <c r="AE93" s="37" t="str">
        <f t="shared" si="49"/>
        <v>-</v>
      </c>
      <c r="AF93" s="69">
        <f>AF95</f>
        <v>989</v>
      </c>
      <c r="AG93" s="69">
        <f>AG95</f>
        <v>1120</v>
      </c>
      <c r="AH93" s="36">
        <f t="shared" si="50"/>
        <v>0.88303571428571426</v>
      </c>
      <c r="AI93" s="70">
        <f>AI95</f>
        <v>2979</v>
      </c>
      <c r="AJ93" s="70">
        <f>AJ95</f>
        <v>5014</v>
      </c>
      <c r="AK93" s="21">
        <f t="shared" si="51"/>
        <v>0.59413641802951733</v>
      </c>
      <c r="AL93" s="44" t="s">
        <v>19</v>
      </c>
      <c r="AM93" s="44" t="s">
        <v>19</v>
      </c>
      <c r="AN93" s="44" t="s">
        <v>19</v>
      </c>
      <c r="AO93" s="37" t="str">
        <f>AO95</f>
        <v>-</v>
      </c>
      <c r="AP93" s="37" t="str">
        <f>AP95</f>
        <v>-</v>
      </c>
      <c r="AQ93" s="37" t="str">
        <f t="shared" si="53"/>
        <v>-</v>
      </c>
      <c r="AR93" s="37" t="str">
        <f>AR95</f>
        <v>-</v>
      </c>
      <c r="AS93" s="37" t="str">
        <f>AS95</f>
        <v>-</v>
      </c>
      <c r="AT93" s="37" t="str">
        <f t="shared" si="54"/>
        <v>-</v>
      </c>
      <c r="AU93" s="70"/>
      <c r="AV93" s="70"/>
      <c r="AW93" s="37" t="str">
        <f t="shared" si="55"/>
        <v>-</v>
      </c>
      <c r="AX93" s="170"/>
      <c r="AY93" s="169"/>
      <c r="AZ93" s="169"/>
      <c r="BA93" s="169"/>
      <c r="BB93" s="169"/>
      <c r="BC93" s="169"/>
    </row>
    <row r="94" spans="1:55" ht="14.25" customHeight="1">
      <c r="A94" s="12" t="s">
        <v>52</v>
      </c>
      <c r="B94" s="199"/>
      <c r="C94" s="199"/>
      <c r="D94" s="80" t="str">
        <f t="shared" si="36"/>
        <v>-</v>
      </c>
      <c r="E94" s="83" t="s">
        <v>19</v>
      </c>
      <c r="F94" s="83" t="s">
        <v>19</v>
      </c>
      <c r="G94" s="83" t="str">
        <f t="shared" si="37"/>
        <v>-</v>
      </c>
      <c r="H94" s="200">
        <f>H98+73</f>
        <v>1163</v>
      </c>
      <c r="I94" s="200">
        <f>I98+73</f>
        <v>1395</v>
      </c>
      <c r="J94" s="65">
        <f t="shared" si="38"/>
        <v>0.83369175627240144</v>
      </c>
      <c r="K94" s="83" t="s">
        <v>19</v>
      </c>
      <c r="L94" s="83" t="s">
        <v>19</v>
      </c>
      <c r="M94" s="83" t="str">
        <f t="shared" si="40"/>
        <v>-</v>
      </c>
      <c r="N94" s="83" t="s">
        <v>19</v>
      </c>
      <c r="O94" s="83" t="s">
        <v>19</v>
      </c>
      <c r="P94" s="83" t="str">
        <f t="shared" si="42"/>
        <v>-</v>
      </c>
      <c r="Q94" s="83" t="s">
        <v>19</v>
      </c>
      <c r="R94" s="83" t="s">
        <v>19</v>
      </c>
      <c r="S94" s="83" t="str">
        <f t="shared" si="44"/>
        <v>-</v>
      </c>
      <c r="T94" s="64">
        <f>T89</f>
        <v>121</v>
      </c>
      <c r="U94" s="64">
        <f>U89</f>
        <v>121</v>
      </c>
      <c r="V94" s="65">
        <f t="shared" si="45"/>
        <v>1</v>
      </c>
      <c r="W94" s="64">
        <f>W89</f>
        <v>987</v>
      </c>
      <c r="X94" s="64">
        <f>X89</f>
        <v>987</v>
      </c>
      <c r="Y94" s="65">
        <f t="shared" si="46"/>
        <v>1</v>
      </c>
      <c r="Z94" s="64">
        <f>Z89</f>
        <v>1108</v>
      </c>
      <c r="AA94" s="64">
        <f>AA89</f>
        <v>1108</v>
      </c>
      <c r="AB94" s="65">
        <f t="shared" si="48"/>
        <v>1</v>
      </c>
      <c r="AC94" s="139"/>
      <c r="AD94" s="139"/>
      <c r="AE94" s="37" t="str">
        <f t="shared" si="49"/>
        <v>-</v>
      </c>
      <c r="AF94" s="44" t="s">
        <v>19</v>
      </c>
      <c r="AG94" s="44" t="s">
        <v>19</v>
      </c>
      <c r="AH94" s="44" t="str">
        <f t="shared" si="50"/>
        <v>-</v>
      </c>
      <c r="AI94" s="201">
        <f>8238+73</f>
        <v>8311</v>
      </c>
      <c r="AJ94" s="201">
        <f>10530+73</f>
        <v>10603</v>
      </c>
      <c r="AK94" s="21">
        <f t="shared" si="51"/>
        <v>0.78383476374610961</v>
      </c>
      <c r="AL94" s="44" t="s">
        <v>19</v>
      </c>
      <c r="AM94" s="44" t="s">
        <v>19</v>
      </c>
      <c r="AN94" s="44" t="s">
        <v>19</v>
      </c>
      <c r="AO94" s="139">
        <v>92</v>
      </c>
      <c r="AP94" s="139">
        <v>121</v>
      </c>
      <c r="AQ94" s="21">
        <f t="shared" si="53"/>
        <v>0.76033057851239672</v>
      </c>
      <c r="AR94" s="201">
        <v>803</v>
      </c>
      <c r="AS94" s="201">
        <v>1000</v>
      </c>
      <c r="AT94" s="21">
        <f t="shared" si="54"/>
        <v>0.80300000000000005</v>
      </c>
      <c r="AU94" s="70"/>
      <c r="AV94" s="70"/>
      <c r="AW94" s="37" t="str">
        <f t="shared" si="55"/>
        <v>-</v>
      </c>
      <c r="AX94" s="170"/>
      <c r="AY94" s="169"/>
      <c r="AZ94" s="169"/>
      <c r="BA94" s="169"/>
      <c r="BB94" s="169"/>
      <c r="BC94" s="169"/>
    </row>
    <row r="95" spans="1:55" ht="14.25" customHeight="1">
      <c r="A95" s="12" t="s">
        <v>53</v>
      </c>
      <c r="B95" s="199"/>
      <c r="C95" s="199"/>
      <c r="D95" s="80" t="str">
        <f t="shared" si="36"/>
        <v>-</v>
      </c>
      <c r="E95" s="66">
        <f>E89+E85</f>
        <v>1273</v>
      </c>
      <c r="F95" s="66">
        <f>F89+F85</f>
        <v>1552</v>
      </c>
      <c r="G95" s="67">
        <f t="shared" si="37"/>
        <v>0.82023195876288657</v>
      </c>
      <c r="H95" s="200">
        <f>H98+1625+445+148+31+1</f>
        <v>3340</v>
      </c>
      <c r="I95" s="200">
        <f>I98+1727+485+273+39+1</f>
        <v>3847</v>
      </c>
      <c r="J95" s="65">
        <f t="shared" si="38"/>
        <v>0.86820899402131535</v>
      </c>
      <c r="K95" s="83" t="s">
        <v>19</v>
      </c>
      <c r="L95" s="83" t="s">
        <v>19</v>
      </c>
      <c r="M95" s="83" t="str">
        <f t="shared" si="40"/>
        <v>-</v>
      </c>
      <c r="N95" s="83" t="s">
        <v>19</v>
      </c>
      <c r="O95" s="83" t="s">
        <v>19</v>
      </c>
      <c r="P95" s="83" t="str">
        <f t="shared" si="42"/>
        <v>-</v>
      </c>
      <c r="Q95" s="83" t="s">
        <v>19</v>
      </c>
      <c r="R95" s="83" t="s">
        <v>19</v>
      </c>
      <c r="S95" s="83" t="str">
        <f t="shared" si="44"/>
        <v>-</v>
      </c>
      <c r="T95" s="80" t="s">
        <v>19</v>
      </c>
      <c r="U95" s="80" t="s">
        <v>19</v>
      </c>
      <c r="V95" s="80" t="str">
        <f t="shared" si="45"/>
        <v>-</v>
      </c>
      <c r="W95" s="80" t="s">
        <v>19</v>
      </c>
      <c r="X95" s="80" t="s">
        <v>19</v>
      </c>
      <c r="Y95" s="80" t="str">
        <f t="shared" si="46"/>
        <v>-</v>
      </c>
      <c r="Z95" s="80" t="s">
        <v>19</v>
      </c>
      <c r="AA95" s="80" t="s">
        <v>19</v>
      </c>
      <c r="AB95" s="80" t="str">
        <f t="shared" si="48"/>
        <v>-</v>
      </c>
      <c r="AC95" s="171"/>
      <c r="AD95" s="171"/>
      <c r="AE95" s="37" t="str">
        <f t="shared" si="49"/>
        <v>-</v>
      </c>
      <c r="AF95" s="202">
        <f>874+115</f>
        <v>989</v>
      </c>
      <c r="AG95" s="202">
        <f>996+124</f>
        <v>1120</v>
      </c>
      <c r="AH95" s="36">
        <f t="shared" si="50"/>
        <v>0.88303571428571426</v>
      </c>
      <c r="AI95" s="201">
        <v>2979</v>
      </c>
      <c r="AJ95" s="201">
        <v>5014</v>
      </c>
      <c r="AK95" s="21">
        <f t="shared" si="51"/>
        <v>0.59413641802951733</v>
      </c>
      <c r="AL95" s="44" t="s">
        <v>19</v>
      </c>
      <c r="AM95" s="44" t="s">
        <v>19</v>
      </c>
      <c r="AN95" s="44" t="s">
        <v>19</v>
      </c>
      <c r="AO95" s="37" t="s">
        <v>19</v>
      </c>
      <c r="AP95" s="37" t="s">
        <v>19</v>
      </c>
      <c r="AQ95" s="37" t="str">
        <f t="shared" si="53"/>
        <v>-</v>
      </c>
      <c r="AR95" s="37" t="s">
        <v>19</v>
      </c>
      <c r="AS95" s="37" t="s">
        <v>19</v>
      </c>
      <c r="AT95" s="37" t="str">
        <f t="shared" si="54"/>
        <v>-</v>
      </c>
      <c r="AU95" s="70"/>
      <c r="AV95" s="70"/>
      <c r="AW95" s="37" t="str">
        <f t="shared" si="55"/>
        <v>-</v>
      </c>
      <c r="AX95" s="170"/>
      <c r="AY95" s="169"/>
      <c r="AZ95" s="169"/>
      <c r="BA95" s="169"/>
      <c r="BB95" s="169"/>
      <c r="BC95" s="169"/>
    </row>
    <row r="96" spans="1:55" ht="14.25" customHeight="1">
      <c r="A96" s="43" t="s">
        <v>55</v>
      </c>
      <c r="B96" s="199"/>
      <c r="C96" s="199"/>
      <c r="D96" s="80" t="str">
        <f t="shared" si="36"/>
        <v>-</v>
      </c>
      <c r="E96" s="66">
        <f>E85</f>
        <v>124</v>
      </c>
      <c r="F96" s="66">
        <f>F85</f>
        <v>147</v>
      </c>
      <c r="G96" s="67">
        <f t="shared" si="37"/>
        <v>0.84353741496598644</v>
      </c>
      <c r="H96" s="80" t="s">
        <v>19</v>
      </c>
      <c r="I96" s="80" t="s">
        <v>19</v>
      </c>
      <c r="J96" s="80" t="str">
        <f t="shared" si="38"/>
        <v>-</v>
      </c>
      <c r="K96" s="83" t="s">
        <v>19</v>
      </c>
      <c r="L96" s="83" t="s">
        <v>19</v>
      </c>
      <c r="M96" s="83" t="str">
        <f t="shared" si="40"/>
        <v>-</v>
      </c>
      <c r="N96" s="83" t="s">
        <v>19</v>
      </c>
      <c r="O96" s="83" t="s">
        <v>19</v>
      </c>
      <c r="P96" s="83" t="str">
        <f t="shared" si="42"/>
        <v>-</v>
      </c>
      <c r="Q96" s="83" t="s">
        <v>19</v>
      </c>
      <c r="R96" s="83" t="s">
        <v>19</v>
      </c>
      <c r="S96" s="83" t="str">
        <f t="shared" si="44"/>
        <v>-</v>
      </c>
      <c r="T96" s="80" t="s">
        <v>19</v>
      </c>
      <c r="U96" s="80" t="s">
        <v>19</v>
      </c>
      <c r="V96" s="80" t="str">
        <f t="shared" si="45"/>
        <v>-</v>
      </c>
      <c r="W96" s="80" t="s">
        <v>19</v>
      </c>
      <c r="X96" s="80" t="s">
        <v>19</v>
      </c>
      <c r="Y96" s="80" t="str">
        <f t="shared" si="46"/>
        <v>-</v>
      </c>
      <c r="Z96" s="80" t="s">
        <v>19</v>
      </c>
      <c r="AA96" s="80" t="s">
        <v>19</v>
      </c>
      <c r="AB96" s="80" t="str">
        <f t="shared" si="48"/>
        <v>-</v>
      </c>
      <c r="AC96" s="139"/>
      <c r="AD96" s="139"/>
      <c r="AE96" s="37" t="str">
        <f t="shared" si="49"/>
        <v>-</v>
      </c>
      <c r="AF96" s="69">
        <v>322</v>
      </c>
      <c r="AG96" s="69">
        <v>330</v>
      </c>
      <c r="AH96" s="36">
        <f t="shared" si="50"/>
        <v>0.97575757575757571</v>
      </c>
      <c r="AI96" s="37" t="s">
        <v>19</v>
      </c>
      <c r="AJ96" s="37" t="s">
        <v>19</v>
      </c>
      <c r="AK96" s="37" t="s">
        <v>19</v>
      </c>
      <c r="AL96" s="44" t="s">
        <v>19</v>
      </c>
      <c r="AM96" s="44" t="s">
        <v>19</v>
      </c>
      <c r="AN96" s="44" t="s">
        <v>19</v>
      </c>
      <c r="AO96" s="37" t="s">
        <v>19</v>
      </c>
      <c r="AP96" s="37" t="s">
        <v>19</v>
      </c>
      <c r="AQ96" s="37" t="str">
        <f t="shared" si="53"/>
        <v>-</v>
      </c>
      <c r="AR96" s="37" t="s">
        <v>19</v>
      </c>
      <c r="AS96" s="37" t="s">
        <v>19</v>
      </c>
      <c r="AT96" s="37" t="str">
        <f t="shared" si="54"/>
        <v>-</v>
      </c>
      <c r="AU96" s="70"/>
      <c r="AV96" s="70"/>
      <c r="AW96" s="37" t="str">
        <f t="shared" si="55"/>
        <v>-</v>
      </c>
      <c r="AX96" s="170"/>
      <c r="AY96" s="169"/>
      <c r="AZ96" s="169"/>
      <c r="BA96" s="169"/>
      <c r="BB96" s="169"/>
      <c r="BC96" s="169"/>
    </row>
    <row r="97" spans="1:55" ht="14.25" customHeight="1">
      <c r="A97" s="43" t="s">
        <v>56</v>
      </c>
      <c r="B97" s="199"/>
      <c r="C97" s="199"/>
      <c r="D97" s="80" t="str">
        <f t="shared" si="36"/>
        <v>-</v>
      </c>
      <c r="E97" s="66">
        <f>E85</f>
        <v>124</v>
      </c>
      <c r="F97" s="66">
        <f>F85</f>
        <v>147</v>
      </c>
      <c r="G97" s="67">
        <f t="shared" si="37"/>
        <v>0.84353741496598644</v>
      </c>
      <c r="H97" s="80" t="s">
        <v>19</v>
      </c>
      <c r="I97" s="80" t="s">
        <v>19</v>
      </c>
      <c r="J97" s="80" t="str">
        <f t="shared" si="38"/>
        <v>-</v>
      </c>
      <c r="K97" s="83" t="s">
        <v>19</v>
      </c>
      <c r="L97" s="83" t="s">
        <v>19</v>
      </c>
      <c r="M97" s="83" t="str">
        <f t="shared" si="40"/>
        <v>-</v>
      </c>
      <c r="N97" s="83" t="s">
        <v>19</v>
      </c>
      <c r="O97" s="83" t="s">
        <v>19</v>
      </c>
      <c r="P97" s="83" t="str">
        <f t="shared" si="42"/>
        <v>-</v>
      </c>
      <c r="Q97" s="83" t="s">
        <v>19</v>
      </c>
      <c r="R97" s="83" t="s">
        <v>19</v>
      </c>
      <c r="S97" s="83" t="str">
        <f t="shared" si="44"/>
        <v>-</v>
      </c>
      <c r="T97" s="80" t="s">
        <v>19</v>
      </c>
      <c r="U97" s="80" t="s">
        <v>19</v>
      </c>
      <c r="V97" s="80" t="str">
        <f t="shared" si="45"/>
        <v>-</v>
      </c>
      <c r="W97" s="80" t="s">
        <v>19</v>
      </c>
      <c r="X97" s="80" t="s">
        <v>19</v>
      </c>
      <c r="Y97" s="80" t="str">
        <f t="shared" si="46"/>
        <v>-</v>
      </c>
      <c r="Z97" s="80" t="s">
        <v>19</v>
      </c>
      <c r="AA97" s="80" t="s">
        <v>19</v>
      </c>
      <c r="AB97" s="80" t="str">
        <f t="shared" si="48"/>
        <v>-</v>
      </c>
      <c r="AC97" s="139"/>
      <c r="AD97" s="139"/>
      <c r="AE97" s="37" t="str">
        <f t="shared" si="49"/>
        <v>-</v>
      </c>
      <c r="AF97" s="69">
        <v>115</v>
      </c>
      <c r="AG97" s="69">
        <v>124</v>
      </c>
      <c r="AH97" s="36">
        <f t="shared" si="50"/>
        <v>0.92741935483870963</v>
      </c>
      <c r="AI97" s="37" t="s">
        <v>19</v>
      </c>
      <c r="AJ97" s="37" t="s">
        <v>19</v>
      </c>
      <c r="AK97" s="37" t="s">
        <v>19</v>
      </c>
      <c r="AL97" s="44" t="s">
        <v>19</v>
      </c>
      <c r="AM97" s="44" t="s">
        <v>19</v>
      </c>
      <c r="AN97" s="44" t="s">
        <v>19</v>
      </c>
      <c r="AO97" s="37" t="s">
        <v>19</v>
      </c>
      <c r="AP97" s="37" t="s">
        <v>19</v>
      </c>
      <c r="AQ97" s="37" t="str">
        <f t="shared" si="53"/>
        <v>-</v>
      </c>
      <c r="AR97" s="37" t="s">
        <v>19</v>
      </c>
      <c r="AS97" s="37" t="s">
        <v>19</v>
      </c>
      <c r="AT97" s="37" t="str">
        <f t="shared" si="54"/>
        <v>-</v>
      </c>
      <c r="AU97" s="70"/>
      <c r="AV97" s="70"/>
      <c r="AW97" s="37" t="str">
        <f t="shared" si="55"/>
        <v>-</v>
      </c>
      <c r="AX97" s="170"/>
      <c r="AY97" s="169"/>
      <c r="AZ97" s="169"/>
      <c r="BA97" s="169"/>
      <c r="BB97" s="169"/>
      <c r="BC97" s="169"/>
    </row>
    <row r="98" spans="1:55" ht="14.25" customHeight="1">
      <c r="A98" s="12" t="s">
        <v>57</v>
      </c>
      <c r="B98" s="199"/>
      <c r="C98" s="199"/>
      <c r="D98" s="80" t="str">
        <f t="shared" si="36"/>
        <v>-</v>
      </c>
      <c r="E98" s="66">
        <f>E89+E85</f>
        <v>1273</v>
      </c>
      <c r="F98" s="66">
        <f>F89+F85</f>
        <v>1552</v>
      </c>
      <c r="G98" s="67">
        <f t="shared" si="37"/>
        <v>0.82023195876288657</v>
      </c>
      <c r="H98" s="200">
        <v>1090</v>
      </c>
      <c r="I98" s="200">
        <v>1322</v>
      </c>
      <c r="J98" s="65">
        <f t="shared" si="38"/>
        <v>0.82450832072617242</v>
      </c>
      <c r="K98" s="83" t="s">
        <v>19</v>
      </c>
      <c r="L98" s="83" t="s">
        <v>19</v>
      </c>
      <c r="M98" s="83" t="str">
        <f t="shared" si="40"/>
        <v>-</v>
      </c>
      <c r="N98" s="83" t="s">
        <v>19</v>
      </c>
      <c r="O98" s="83" t="s">
        <v>19</v>
      </c>
      <c r="P98" s="83" t="str">
        <f t="shared" si="42"/>
        <v>-</v>
      </c>
      <c r="Q98" s="83" t="s">
        <v>19</v>
      </c>
      <c r="R98" s="83" t="s">
        <v>19</v>
      </c>
      <c r="S98" s="83" t="str">
        <f t="shared" si="44"/>
        <v>-</v>
      </c>
      <c r="T98" s="80" t="s">
        <v>19</v>
      </c>
      <c r="U98" s="80" t="s">
        <v>19</v>
      </c>
      <c r="V98" s="80" t="str">
        <f t="shared" si="45"/>
        <v>-</v>
      </c>
      <c r="W98" s="80" t="s">
        <v>19</v>
      </c>
      <c r="X98" s="80" t="s">
        <v>19</v>
      </c>
      <c r="Y98" s="80" t="str">
        <f t="shared" si="46"/>
        <v>-</v>
      </c>
      <c r="Z98" s="80" t="s">
        <v>19</v>
      </c>
      <c r="AA98" s="80" t="s">
        <v>19</v>
      </c>
      <c r="AB98" s="80" t="str">
        <f t="shared" si="48"/>
        <v>-</v>
      </c>
      <c r="AC98" s="171"/>
      <c r="AD98" s="171"/>
      <c r="AE98" s="37" t="str">
        <f t="shared" si="49"/>
        <v>-</v>
      </c>
      <c r="AF98" s="202">
        <f>1129+154</f>
        <v>1283</v>
      </c>
      <c r="AG98" s="202">
        <f>1318+165</f>
        <v>1483</v>
      </c>
      <c r="AH98" s="36">
        <f t="shared" si="50"/>
        <v>0.86513823331085637</v>
      </c>
      <c r="AI98" s="201">
        <v>7365</v>
      </c>
      <c r="AJ98" s="201">
        <v>8972</v>
      </c>
      <c r="AK98" s="21">
        <f t="shared" ref="AK98:AK106" si="56">IFERROR(AI98/AJ98,"-")</f>
        <v>0.82088720463664733</v>
      </c>
      <c r="AL98" s="44" t="s">
        <v>19</v>
      </c>
      <c r="AM98" s="44" t="s">
        <v>19</v>
      </c>
      <c r="AN98" s="44" t="s">
        <v>19</v>
      </c>
      <c r="AO98" s="37" t="s">
        <v>19</v>
      </c>
      <c r="AP98" s="37" t="s">
        <v>19</v>
      </c>
      <c r="AQ98" s="37" t="str">
        <f t="shared" si="53"/>
        <v>-</v>
      </c>
      <c r="AR98" s="37" t="s">
        <v>19</v>
      </c>
      <c r="AS98" s="37" t="s">
        <v>19</v>
      </c>
      <c r="AT98" s="37" t="str">
        <f t="shared" si="54"/>
        <v>-</v>
      </c>
      <c r="AU98" s="70"/>
      <c r="AV98" s="70"/>
      <c r="AW98" s="37" t="str">
        <f t="shared" si="55"/>
        <v>-</v>
      </c>
      <c r="AX98" s="170"/>
      <c r="AY98" s="169"/>
      <c r="AZ98" s="169"/>
      <c r="BA98" s="169"/>
      <c r="BB98" s="169"/>
      <c r="BC98" s="169"/>
    </row>
    <row r="99" spans="1:55" ht="14.25" customHeight="1">
      <c r="A99" s="12" t="s">
        <v>58</v>
      </c>
      <c r="B99" s="199"/>
      <c r="C99" s="199"/>
      <c r="D99" s="80" t="str">
        <f t="shared" si="36"/>
        <v>-</v>
      </c>
      <c r="E99" s="83" t="s">
        <v>19</v>
      </c>
      <c r="F99" s="83" t="s">
        <v>19</v>
      </c>
      <c r="G99" s="67"/>
      <c r="H99" s="64">
        <f>H98</f>
        <v>1090</v>
      </c>
      <c r="I99" s="64">
        <f>I98</f>
        <v>1322</v>
      </c>
      <c r="J99" s="65">
        <f t="shared" si="38"/>
        <v>0.82450832072617242</v>
      </c>
      <c r="K99" s="83" t="s">
        <v>19</v>
      </c>
      <c r="L99" s="83" t="s">
        <v>19</v>
      </c>
      <c r="M99" s="83" t="str">
        <f t="shared" si="40"/>
        <v>-</v>
      </c>
      <c r="N99" s="83" t="s">
        <v>19</v>
      </c>
      <c r="O99" s="83" t="s">
        <v>19</v>
      </c>
      <c r="P99" s="83" t="str">
        <f t="shared" si="42"/>
        <v>-</v>
      </c>
      <c r="Q99" s="83" t="s">
        <v>19</v>
      </c>
      <c r="R99" s="83" t="s">
        <v>19</v>
      </c>
      <c r="S99" s="83" t="str">
        <f t="shared" si="44"/>
        <v>-</v>
      </c>
      <c r="T99" s="80" t="s">
        <v>19</v>
      </c>
      <c r="U99" s="80" t="s">
        <v>19</v>
      </c>
      <c r="V99" s="80" t="str">
        <f t="shared" si="45"/>
        <v>-</v>
      </c>
      <c r="W99" s="80" t="s">
        <v>19</v>
      </c>
      <c r="X99" s="80" t="s">
        <v>19</v>
      </c>
      <c r="Y99" s="80" t="str">
        <f t="shared" si="46"/>
        <v>-</v>
      </c>
      <c r="Z99" s="80" t="s">
        <v>19</v>
      </c>
      <c r="AA99" s="80" t="s">
        <v>19</v>
      </c>
      <c r="AB99" s="65"/>
      <c r="AC99" s="171"/>
      <c r="AD99" s="171"/>
      <c r="AE99" s="37" t="str">
        <f t="shared" si="49"/>
        <v>-</v>
      </c>
      <c r="AF99" s="44" t="s">
        <v>19</v>
      </c>
      <c r="AG99" s="44" t="s">
        <v>19</v>
      </c>
      <c r="AH99" s="44" t="str">
        <f t="shared" si="50"/>
        <v>-</v>
      </c>
      <c r="AI99" s="37" t="s">
        <v>19</v>
      </c>
      <c r="AJ99" s="37" t="s">
        <v>19</v>
      </c>
      <c r="AK99" s="37" t="str">
        <f t="shared" si="56"/>
        <v>-</v>
      </c>
      <c r="AL99" s="44" t="s">
        <v>19</v>
      </c>
      <c r="AM99" s="44" t="s">
        <v>19</v>
      </c>
      <c r="AN99" s="44" t="s">
        <v>19</v>
      </c>
      <c r="AO99" s="37" t="s">
        <v>19</v>
      </c>
      <c r="AP99" s="37" t="s">
        <v>19</v>
      </c>
      <c r="AQ99" s="37" t="str">
        <f t="shared" si="53"/>
        <v>-</v>
      </c>
      <c r="AR99" s="37" t="s">
        <v>19</v>
      </c>
      <c r="AS99" s="37" t="s">
        <v>19</v>
      </c>
      <c r="AT99" s="37" t="str">
        <f t="shared" si="54"/>
        <v>-</v>
      </c>
      <c r="AU99" s="70"/>
      <c r="AV99" s="70"/>
      <c r="AW99" s="37" t="str">
        <f t="shared" si="55"/>
        <v>-</v>
      </c>
      <c r="AX99" s="170"/>
      <c r="AY99" s="169"/>
      <c r="AZ99" s="169"/>
      <c r="BA99" s="169"/>
      <c r="BB99" s="169"/>
      <c r="BC99" s="169"/>
    </row>
    <row r="100" spans="1:55" ht="14.25" customHeight="1">
      <c r="A100" s="12" t="s">
        <v>59</v>
      </c>
      <c r="B100" s="199"/>
      <c r="C100" s="199"/>
      <c r="D100" s="80" t="str">
        <f t="shared" si="36"/>
        <v>-</v>
      </c>
      <c r="E100" s="83" t="s">
        <v>19</v>
      </c>
      <c r="F100" s="83" t="s">
        <v>19</v>
      </c>
      <c r="G100" s="83" t="str">
        <f>IFERROR(E100/F100,"-")</f>
        <v>-</v>
      </c>
      <c r="H100" s="64">
        <f>H98</f>
        <v>1090</v>
      </c>
      <c r="I100" s="64">
        <f>I98</f>
        <v>1322</v>
      </c>
      <c r="J100" s="65">
        <f t="shared" si="38"/>
        <v>0.82450832072617242</v>
      </c>
      <c r="K100" s="83" t="s">
        <v>19</v>
      </c>
      <c r="L100" s="83" t="s">
        <v>19</v>
      </c>
      <c r="M100" s="83" t="str">
        <f t="shared" si="40"/>
        <v>-</v>
      </c>
      <c r="N100" s="83" t="s">
        <v>19</v>
      </c>
      <c r="O100" s="83" t="s">
        <v>19</v>
      </c>
      <c r="P100" s="83" t="str">
        <f t="shared" si="42"/>
        <v>-</v>
      </c>
      <c r="Q100" s="83" t="s">
        <v>19</v>
      </c>
      <c r="R100" s="83" t="s">
        <v>19</v>
      </c>
      <c r="S100" s="83" t="str">
        <f t="shared" si="44"/>
        <v>-</v>
      </c>
      <c r="T100" s="80" t="s">
        <v>19</v>
      </c>
      <c r="U100" s="80" t="s">
        <v>19</v>
      </c>
      <c r="V100" s="80" t="str">
        <f t="shared" si="45"/>
        <v>-</v>
      </c>
      <c r="W100" s="80" t="s">
        <v>19</v>
      </c>
      <c r="X100" s="80" t="s">
        <v>19</v>
      </c>
      <c r="Y100" s="80" t="str">
        <f t="shared" si="46"/>
        <v>-</v>
      </c>
      <c r="Z100" s="80" t="s">
        <v>19</v>
      </c>
      <c r="AA100" s="80" t="s">
        <v>19</v>
      </c>
      <c r="AB100" s="80" t="str">
        <f t="shared" ref="AB100:AB106" si="57">IFERROR(Z100/AA100,"-")</f>
        <v>-</v>
      </c>
      <c r="AC100" s="139"/>
      <c r="AD100" s="139"/>
      <c r="AE100" s="37" t="str">
        <f t="shared" si="49"/>
        <v>-</v>
      </c>
      <c r="AF100" s="44" t="s">
        <v>19</v>
      </c>
      <c r="AG100" s="44" t="s">
        <v>19</v>
      </c>
      <c r="AH100" s="44" t="str">
        <f t="shared" si="50"/>
        <v>-</v>
      </c>
      <c r="AI100" s="201">
        <v>6706</v>
      </c>
      <c r="AJ100" s="201">
        <v>8421</v>
      </c>
      <c r="AK100" s="21">
        <f t="shared" si="56"/>
        <v>0.79634247714048212</v>
      </c>
      <c r="AL100" s="44" t="s">
        <v>19</v>
      </c>
      <c r="AM100" s="44" t="s">
        <v>19</v>
      </c>
      <c r="AN100" s="44" t="s">
        <v>19</v>
      </c>
      <c r="AO100" s="37" t="s">
        <v>19</v>
      </c>
      <c r="AP100" s="37" t="s">
        <v>19</v>
      </c>
      <c r="AQ100" s="37" t="str">
        <f t="shared" si="53"/>
        <v>-</v>
      </c>
      <c r="AR100" s="37" t="s">
        <v>19</v>
      </c>
      <c r="AS100" s="37" t="s">
        <v>19</v>
      </c>
      <c r="AT100" s="37" t="str">
        <f t="shared" si="54"/>
        <v>-</v>
      </c>
      <c r="AU100" s="70"/>
      <c r="AV100" s="70"/>
      <c r="AW100" s="37" t="str">
        <f t="shared" si="55"/>
        <v>-</v>
      </c>
      <c r="AX100" s="170"/>
      <c r="AY100" s="169"/>
      <c r="AZ100" s="169"/>
      <c r="BA100" s="169"/>
      <c r="BB100" s="169"/>
      <c r="BC100" s="169"/>
    </row>
    <row r="101" spans="1:55" ht="14.25" customHeight="1">
      <c r="A101" s="12" t="s">
        <v>60</v>
      </c>
      <c r="B101" s="199"/>
      <c r="C101" s="199"/>
      <c r="D101" s="80" t="str">
        <f t="shared" si="36"/>
        <v>-</v>
      </c>
      <c r="E101" s="83" t="s">
        <v>19</v>
      </c>
      <c r="F101" s="83" t="s">
        <v>19</v>
      </c>
      <c r="G101" s="83" t="str">
        <f>IFERROR(E101/F101,"-")</f>
        <v>-</v>
      </c>
      <c r="H101" s="200">
        <f>H98+1553</f>
        <v>2643</v>
      </c>
      <c r="I101" s="200">
        <f>I98+1553</f>
        <v>2875</v>
      </c>
      <c r="J101" s="65">
        <f t="shared" si="38"/>
        <v>0.91930434782608694</v>
      </c>
      <c r="K101" s="83" t="s">
        <v>19</v>
      </c>
      <c r="L101" s="83" t="s">
        <v>19</v>
      </c>
      <c r="M101" s="83" t="str">
        <f t="shared" si="40"/>
        <v>-</v>
      </c>
      <c r="N101" s="83" t="s">
        <v>19</v>
      </c>
      <c r="O101" s="83" t="s">
        <v>19</v>
      </c>
      <c r="P101" s="83" t="str">
        <f t="shared" si="42"/>
        <v>-</v>
      </c>
      <c r="Q101" s="83" t="s">
        <v>19</v>
      </c>
      <c r="R101" s="83" t="s">
        <v>19</v>
      </c>
      <c r="S101" s="83" t="str">
        <f t="shared" si="44"/>
        <v>-</v>
      </c>
      <c r="T101" s="80" t="s">
        <v>19</v>
      </c>
      <c r="U101" s="80" t="s">
        <v>19</v>
      </c>
      <c r="V101" s="80" t="str">
        <f t="shared" si="45"/>
        <v>-</v>
      </c>
      <c r="W101" s="64">
        <f>W94</f>
        <v>987</v>
      </c>
      <c r="X101" s="64">
        <f>X94</f>
        <v>987</v>
      </c>
      <c r="Y101" s="65">
        <f t="shared" si="46"/>
        <v>1</v>
      </c>
      <c r="Z101" s="80" t="s">
        <v>19</v>
      </c>
      <c r="AA101" s="80" t="s">
        <v>19</v>
      </c>
      <c r="AB101" s="80" t="str">
        <f t="shared" si="57"/>
        <v>-</v>
      </c>
      <c r="AC101" s="139"/>
      <c r="AD101" s="139"/>
      <c r="AE101" s="37" t="str">
        <f t="shared" si="49"/>
        <v>-</v>
      </c>
      <c r="AF101" s="44" t="s">
        <v>19</v>
      </c>
      <c r="AG101" s="44" t="s">
        <v>19</v>
      </c>
      <c r="AH101" s="44" t="str">
        <f t="shared" si="50"/>
        <v>-</v>
      </c>
      <c r="AI101" s="201">
        <f>4339+1552</f>
        <v>5891</v>
      </c>
      <c r="AJ101" s="201">
        <f>5571+1553</f>
        <v>7124</v>
      </c>
      <c r="AK101" s="21">
        <f t="shared" si="56"/>
        <v>0.82692307692307687</v>
      </c>
      <c r="AL101" s="44" t="s">
        <v>19</v>
      </c>
      <c r="AM101" s="44" t="s">
        <v>19</v>
      </c>
      <c r="AN101" s="44" t="s">
        <v>19</v>
      </c>
      <c r="AO101" s="139">
        <v>89</v>
      </c>
      <c r="AP101" s="139">
        <v>121</v>
      </c>
      <c r="AQ101" s="21">
        <f t="shared" si="53"/>
        <v>0.73553719008264462</v>
      </c>
      <c r="AR101" s="201">
        <v>819</v>
      </c>
      <c r="AS101" s="201">
        <v>987</v>
      </c>
      <c r="AT101" s="21">
        <f t="shared" si="54"/>
        <v>0.82978723404255317</v>
      </c>
      <c r="AU101" s="70"/>
      <c r="AV101" s="70"/>
      <c r="AW101" s="37" t="str">
        <f t="shared" si="55"/>
        <v>-</v>
      </c>
      <c r="AX101" s="170"/>
      <c r="AY101" s="169"/>
      <c r="AZ101" s="169"/>
      <c r="BA101" s="169"/>
      <c r="BB101" s="169"/>
      <c r="BC101" s="169"/>
    </row>
    <row r="102" spans="1:55" ht="14.25" customHeight="1">
      <c r="A102" s="12" t="s">
        <v>61</v>
      </c>
      <c r="B102" s="199"/>
      <c r="C102" s="199"/>
      <c r="D102" s="80" t="str">
        <f t="shared" si="36"/>
        <v>-</v>
      </c>
      <c r="E102" s="83" t="s">
        <v>19</v>
      </c>
      <c r="F102" s="83" t="s">
        <v>19</v>
      </c>
      <c r="G102" s="67"/>
      <c r="H102" s="64">
        <f>H98</f>
        <v>1090</v>
      </c>
      <c r="I102" s="64">
        <f>I98</f>
        <v>1322</v>
      </c>
      <c r="J102" s="65">
        <f t="shared" si="38"/>
        <v>0.82450832072617242</v>
      </c>
      <c r="K102" s="83" t="s">
        <v>19</v>
      </c>
      <c r="L102" s="83" t="s">
        <v>19</v>
      </c>
      <c r="M102" s="83" t="str">
        <f t="shared" si="40"/>
        <v>-</v>
      </c>
      <c r="N102" s="83" t="s">
        <v>19</v>
      </c>
      <c r="O102" s="83" t="s">
        <v>19</v>
      </c>
      <c r="P102" s="83" t="str">
        <f t="shared" si="42"/>
        <v>-</v>
      </c>
      <c r="Q102" s="83" t="s">
        <v>19</v>
      </c>
      <c r="R102" s="83" t="s">
        <v>19</v>
      </c>
      <c r="S102" s="83" t="str">
        <f t="shared" si="44"/>
        <v>-</v>
      </c>
      <c r="T102" s="80" t="s">
        <v>19</v>
      </c>
      <c r="U102" s="80" t="s">
        <v>19</v>
      </c>
      <c r="V102" s="80" t="str">
        <f t="shared" si="45"/>
        <v>-</v>
      </c>
      <c r="W102" s="80" t="s">
        <v>19</v>
      </c>
      <c r="X102" s="80" t="s">
        <v>19</v>
      </c>
      <c r="Y102" s="80" t="str">
        <f t="shared" si="46"/>
        <v>-</v>
      </c>
      <c r="Z102" s="80" t="s">
        <v>19</v>
      </c>
      <c r="AA102" s="80" t="s">
        <v>19</v>
      </c>
      <c r="AB102" s="80" t="str">
        <f t="shared" si="57"/>
        <v>-</v>
      </c>
      <c r="AC102" s="139"/>
      <c r="AD102" s="139"/>
      <c r="AE102" s="37" t="str">
        <f t="shared" si="49"/>
        <v>-</v>
      </c>
      <c r="AF102" s="44" t="s">
        <v>19</v>
      </c>
      <c r="AG102" s="44" t="s">
        <v>19</v>
      </c>
      <c r="AH102" s="44" t="str">
        <f t="shared" si="50"/>
        <v>-</v>
      </c>
      <c r="AI102" s="37" t="s">
        <v>19</v>
      </c>
      <c r="AJ102" s="37" t="s">
        <v>19</v>
      </c>
      <c r="AK102" s="37" t="str">
        <f t="shared" si="56"/>
        <v>-</v>
      </c>
      <c r="AL102" s="44" t="s">
        <v>19</v>
      </c>
      <c r="AM102" s="44" t="s">
        <v>19</v>
      </c>
      <c r="AN102" s="44" t="s">
        <v>19</v>
      </c>
      <c r="AO102" s="37" t="s">
        <v>19</v>
      </c>
      <c r="AP102" s="37" t="s">
        <v>19</v>
      </c>
      <c r="AQ102" s="37" t="str">
        <f t="shared" si="53"/>
        <v>-</v>
      </c>
      <c r="AR102" s="37" t="s">
        <v>19</v>
      </c>
      <c r="AS102" s="37" t="s">
        <v>19</v>
      </c>
      <c r="AT102" s="37" t="str">
        <f t="shared" si="54"/>
        <v>-</v>
      </c>
      <c r="AU102" s="70"/>
      <c r="AV102" s="70"/>
      <c r="AW102" s="37" t="str">
        <f t="shared" si="55"/>
        <v>-</v>
      </c>
      <c r="AX102" s="170"/>
      <c r="AY102" s="169"/>
      <c r="AZ102" s="169"/>
      <c r="BA102" s="169"/>
      <c r="BB102" s="169"/>
      <c r="BC102" s="169"/>
    </row>
    <row r="103" spans="1:55" ht="14.25" customHeight="1">
      <c r="A103" s="12" t="s">
        <v>62</v>
      </c>
      <c r="B103" s="199"/>
      <c r="C103" s="199"/>
      <c r="D103" s="80" t="str">
        <f t="shared" si="36"/>
        <v>-</v>
      </c>
      <c r="E103" s="83" t="s">
        <v>19</v>
      </c>
      <c r="F103" s="83" t="s">
        <v>19</v>
      </c>
      <c r="G103" s="67"/>
      <c r="H103" s="200">
        <v>346</v>
      </c>
      <c r="I103" s="200">
        <v>352</v>
      </c>
      <c r="J103" s="65">
        <f t="shared" si="38"/>
        <v>0.98295454545454541</v>
      </c>
      <c r="K103" s="83" t="s">
        <v>19</v>
      </c>
      <c r="L103" s="83" t="s">
        <v>19</v>
      </c>
      <c r="M103" s="83" t="str">
        <f t="shared" si="40"/>
        <v>-</v>
      </c>
      <c r="N103" s="83" t="s">
        <v>19</v>
      </c>
      <c r="O103" s="83" t="s">
        <v>19</v>
      </c>
      <c r="P103" s="83" t="str">
        <f t="shared" si="42"/>
        <v>-</v>
      </c>
      <c r="Q103" s="83" t="s">
        <v>19</v>
      </c>
      <c r="R103" s="83" t="s">
        <v>19</v>
      </c>
      <c r="S103" s="83" t="str">
        <f t="shared" si="44"/>
        <v>-</v>
      </c>
      <c r="T103" s="80" t="s">
        <v>19</v>
      </c>
      <c r="U103" s="80" t="s">
        <v>19</v>
      </c>
      <c r="V103" s="80" t="str">
        <f t="shared" si="45"/>
        <v>-</v>
      </c>
      <c r="W103" s="80" t="s">
        <v>19</v>
      </c>
      <c r="X103" s="80" t="s">
        <v>19</v>
      </c>
      <c r="Y103" s="80" t="str">
        <f t="shared" si="46"/>
        <v>-</v>
      </c>
      <c r="Z103" s="80" t="s">
        <v>19</v>
      </c>
      <c r="AA103" s="80" t="s">
        <v>19</v>
      </c>
      <c r="AB103" s="80" t="str">
        <f t="shared" si="57"/>
        <v>-</v>
      </c>
      <c r="AC103" s="139"/>
      <c r="AD103" s="139"/>
      <c r="AE103" s="37" t="str">
        <f t="shared" si="49"/>
        <v>-</v>
      </c>
      <c r="AF103" s="44" t="s">
        <v>19</v>
      </c>
      <c r="AG103" s="44" t="s">
        <v>19</v>
      </c>
      <c r="AH103" s="44" t="str">
        <f t="shared" si="50"/>
        <v>-</v>
      </c>
      <c r="AI103" s="139">
        <v>3227</v>
      </c>
      <c r="AJ103" s="139">
        <v>3470</v>
      </c>
      <c r="AK103" s="21">
        <f t="shared" si="56"/>
        <v>0.92997118155619596</v>
      </c>
      <c r="AL103" s="44" t="s">
        <v>19</v>
      </c>
      <c r="AM103" s="44" t="s">
        <v>19</v>
      </c>
      <c r="AN103" s="44" t="s">
        <v>19</v>
      </c>
      <c r="AO103" s="37" t="s">
        <v>19</v>
      </c>
      <c r="AP103" s="37" t="s">
        <v>19</v>
      </c>
      <c r="AQ103" s="37" t="str">
        <f t="shared" si="53"/>
        <v>-</v>
      </c>
      <c r="AR103" s="37" t="s">
        <v>19</v>
      </c>
      <c r="AS103" s="37" t="s">
        <v>19</v>
      </c>
      <c r="AT103" s="37" t="str">
        <f t="shared" si="54"/>
        <v>-</v>
      </c>
      <c r="AU103" s="70"/>
      <c r="AV103" s="70"/>
      <c r="AW103" s="37" t="str">
        <f t="shared" si="55"/>
        <v>-</v>
      </c>
      <c r="AX103" s="170"/>
      <c r="AY103" s="169"/>
      <c r="AZ103" s="169"/>
      <c r="BA103" s="169"/>
      <c r="BB103" s="169"/>
      <c r="BC103" s="169"/>
    </row>
    <row r="104" spans="1:55" ht="14.25" customHeight="1">
      <c r="A104" s="12" t="s">
        <v>63</v>
      </c>
      <c r="B104" s="199"/>
      <c r="C104" s="199"/>
      <c r="D104" s="80" t="str">
        <f t="shared" si="36"/>
        <v>-</v>
      </c>
      <c r="E104" s="66">
        <f>E89</f>
        <v>1149</v>
      </c>
      <c r="F104" s="66">
        <f>F89</f>
        <v>1405</v>
      </c>
      <c r="G104" s="67">
        <f>IFERROR(E104/F104,"-")</f>
        <v>0.81779359430604981</v>
      </c>
      <c r="H104" s="80" t="s">
        <v>19</v>
      </c>
      <c r="I104" s="80" t="s">
        <v>19</v>
      </c>
      <c r="J104" s="80" t="str">
        <f t="shared" si="38"/>
        <v>-</v>
      </c>
      <c r="K104" s="83" t="s">
        <v>19</v>
      </c>
      <c r="L104" s="83" t="s">
        <v>19</v>
      </c>
      <c r="M104" s="83" t="str">
        <f t="shared" si="40"/>
        <v>-</v>
      </c>
      <c r="N104" s="83" t="s">
        <v>19</v>
      </c>
      <c r="O104" s="83" t="s">
        <v>19</v>
      </c>
      <c r="P104" s="83" t="str">
        <f t="shared" si="42"/>
        <v>-</v>
      </c>
      <c r="Q104" s="83" t="s">
        <v>19</v>
      </c>
      <c r="R104" s="83" t="s">
        <v>19</v>
      </c>
      <c r="S104" s="83" t="str">
        <f t="shared" si="44"/>
        <v>-</v>
      </c>
      <c r="T104" s="80" t="s">
        <v>19</v>
      </c>
      <c r="U104" s="80" t="s">
        <v>19</v>
      </c>
      <c r="V104" s="80" t="str">
        <f t="shared" si="45"/>
        <v>-</v>
      </c>
      <c r="W104" s="80" t="s">
        <v>19</v>
      </c>
      <c r="X104" s="80" t="s">
        <v>19</v>
      </c>
      <c r="Y104" s="80" t="str">
        <f t="shared" si="46"/>
        <v>-</v>
      </c>
      <c r="Z104" s="80" t="s">
        <v>19</v>
      </c>
      <c r="AA104" s="80" t="s">
        <v>19</v>
      </c>
      <c r="AB104" s="80" t="str">
        <f t="shared" si="57"/>
        <v>-</v>
      </c>
      <c r="AC104" s="139"/>
      <c r="AD104" s="171"/>
      <c r="AE104" s="37" t="str">
        <f t="shared" si="49"/>
        <v>-</v>
      </c>
      <c r="AF104" s="197">
        <v>2407</v>
      </c>
      <c r="AG104" s="202">
        <v>2636</v>
      </c>
      <c r="AH104" s="36">
        <f t="shared" si="50"/>
        <v>0.91312594840667682</v>
      </c>
      <c r="AI104" s="37" t="s">
        <v>19</v>
      </c>
      <c r="AJ104" s="37" t="s">
        <v>19</v>
      </c>
      <c r="AK104" s="37" t="str">
        <f t="shared" si="56"/>
        <v>-</v>
      </c>
      <c r="AL104" s="44" t="s">
        <v>19</v>
      </c>
      <c r="AM104" s="44" t="s">
        <v>19</v>
      </c>
      <c r="AN104" s="44" t="s">
        <v>19</v>
      </c>
      <c r="AO104" s="37" t="s">
        <v>19</v>
      </c>
      <c r="AP104" s="37" t="s">
        <v>19</v>
      </c>
      <c r="AQ104" s="37" t="str">
        <f t="shared" si="53"/>
        <v>-</v>
      </c>
      <c r="AR104" s="37" t="s">
        <v>19</v>
      </c>
      <c r="AS104" s="37" t="s">
        <v>19</v>
      </c>
      <c r="AT104" s="37" t="str">
        <f t="shared" si="54"/>
        <v>-</v>
      </c>
      <c r="AU104" s="70"/>
      <c r="AV104" s="70"/>
      <c r="AW104" s="37" t="str">
        <f t="shared" si="55"/>
        <v>-</v>
      </c>
      <c r="AX104" s="170"/>
      <c r="AY104" s="169"/>
      <c r="AZ104" s="169"/>
      <c r="BA104" s="169"/>
      <c r="BB104" s="169"/>
      <c r="BC104" s="169"/>
    </row>
    <row r="105" spans="1:55" ht="14.25" customHeight="1">
      <c r="A105" s="12" t="s">
        <v>64</v>
      </c>
      <c r="B105" s="199"/>
      <c r="C105" s="199"/>
      <c r="D105" s="80" t="str">
        <f t="shared" si="36"/>
        <v>-</v>
      </c>
      <c r="E105" s="83" t="s">
        <v>19</v>
      </c>
      <c r="F105" s="83" t="s">
        <v>19</v>
      </c>
      <c r="G105" s="83" t="str">
        <f>IFERROR(E105/F105,"-")</f>
        <v>-</v>
      </c>
      <c r="H105" s="200">
        <v>3775</v>
      </c>
      <c r="I105" s="200">
        <v>5911</v>
      </c>
      <c r="J105" s="65">
        <f t="shared" si="38"/>
        <v>0.63863982405684316</v>
      </c>
      <c r="K105" s="83" t="s">
        <v>19</v>
      </c>
      <c r="L105" s="83" t="s">
        <v>19</v>
      </c>
      <c r="M105" s="83" t="str">
        <f t="shared" si="40"/>
        <v>-</v>
      </c>
      <c r="N105" s="83" t="s">
        <v>19</v>
      </c>
      <c r="O105" s="83" t="s">
        <v>19</v>
      </c>
      <c r="P105" s="83" t="str">
        <f t="shared" si="42"/>
        <v>-</v>
      </c>
      <c r="Q105" s="83" t="s">
        <v>19</v>
      </c>
      <c r="R105" s="83" t="s">
        <v>19</v>
      </c>
      <c r="S105" s="83" t="str">
        <f t="shared" si="44"/>
        <v>-</v>
      </c>
      <c r="T105" s="80" t="s">
        <v>19</v>
      </c>
      <c r="U105" s="80" t="s">
        <v>19</v>
      </c>
      <c r="V105" s="80" t="str">
        <f t="shared" si="45"/>
        <v>-</v>
      </c>
      <c r="W105" s="64">
        <f>W89</f>
        <v>987</v>
      </c>
      <c r="X105" s="64">
        <f>X89</f>
        <v>987</v>
      </c>
      <c r="Y105" s="65">
        <f t="shared" si="46"/>
        <v>1</v>
      </c>
      <c r="Z105" s="64">
        <f>Z89</f>
        <v>1108</v>
      </c>
      <c r="AA105" s="64">
        <f>AA89</f>
        <v>1108</v>
      </c>
      <c r="AB105" s="65">
        <f t="shared" si="57"/>
        <v>1</v>
      </c>
      <c r="AC105" s="139"/>
      <c r="AD105" s="139"/>
      <c r="AE105" s="37" t="str">
        <f t="shared" si="49"/>
        <v>-</v>
      </c>
      <c r="AF105" s="44" t="s">
        <v>19</v>
      </c>
      <c r="AG105" s="44" t="s">
        <v>19</v>
      </c>
      <c r="AH105" s="44" t="str">
        <f t="shared" si="50"/>
        <v>-</v>
      </c>
      <c r="AI105" s="139">
        <v>32833</v>
      </c>
      <c r="AJ105" s="139">
        <v>35029</v>
      </c>
      <c r="AK105" s="21">
        <f t="shared" si="56"/>
        <v>0.93730908675668734</v>
      </c>
      <c r="AL105" s="44" t="s">
        <v>19</v>
      </c>
      <c r="AM105" s="44" t="s">
        <v>19</v>
      </c>
      <c r="AN105" s="44" t="s">
        <v>19</v>
      </c>
      <c r="AO105" s="37" t="s">
        <v>19</v>
      </c>
      <c r="AP105" s="37" t="s">
        <v>19</v>
      </c>
      <c r="AQ105" s="37" t="str">
        <f t="shared" si="53"/>
        <v>-</v>
      </c>
      <c r="AR105" s="37" t="s">
        <v>19</v>
      </c>
      <c r="AS105" s="37" t="s">
        <v>19</v>
      </c>
      <c r="AT105" s="37" t="str">
        <f t="shared" si="54"/>
        <v>-</v>
      </c>
      <c r="AU105" s="70"/>
      <c r="AV105" s="70"/>
      <c r="AW105" s="37" t="str">
        <f t="shared" si="55"/>
        <v>-</v>
      </c>
      <c r="AX105" s="170"/>
      <c r="AY105" s="169"/>
      <c r="AZ105" s="169"/>
      <c r="BA105" s="169"/>
      <c r="BB105" s="169"/>
      <c r="BC105" s="169"/>
    </row>
    <row r="106" spans="1:55" ht="14.25" customHeight="1">
      <c r="A106" s="12" t="s">
        <v>65</v>
      </c>
      <c r="B106" s="199"/>
      <c r="C106" s="199"/>
      <c r="D106" s="80" t="str">
        <f t="shared" si="36"/>
        <v>-</v>
      </c>
      <c r="E106" s="83" t="s">
        <v>19</v>
      </c>
      <c r="F106" s="83" t="s">
        <v>19</v>
      </c>
      <c r="G106" s="83" t="str">
        <f>IFERROR(E106/F106,"-")</f>
        <v>-</v>
      </c>
      <c r="H106" s="64">
        <f>H98</f>
        <v>1090</v>
      </c>
      <c r="I106" s="64">
        <f>I98</f>
        <v>1322</v>
      </c>
      <c r="J106" s="65">
        <f t="shared" si="38"/>
        <v>0.82450832072617242</v>
      </c>
      <c r="K106" s="83" t="s">
        <v>19</v>
      </c>
      <c r="L106" s="83" t="s">
        <v>19</v>
      </c>
      <c r="M106" s="83" t="str">
        <f t="shared" si="40"/>
        <v>-</v>
      </c>
      <c r="N106" s="83" t="s">
        <v>19</v>
      </c>
      <c r="O106" s="83" t="s">
        <v>19</v>
      </c>
      <c r="P106" s="83" t="str">
        <f t="shared" si="42"/>
        <v>-</v>
      </c>
      <c r="Q106" s="83" t="s">
        <v>19</v>
      </c>
      <c r="R106" s="83" t="s">
        <v>19</v>
      </c>
      <c r="S106" s="83" t="str">
        <f t="shared" si="44"/>
        <v>-</v>
      </c>
      <c r="T106" s="80" t="s">
        <v>19</v>
      </c>
      <c r="U106" s="80" t="s">
        <v>19</v>
      </c>
      <c r="V106" s="80" t="str">
        <f t="shared" si="45"/>
        <v>-</v>
      </c>
      <c r="W106" s="80" t="s">
        <v>19</v>
      </c>
      <c r="X106" s="80" t="s">
        <v>19</v>
      </c>
      <c r="Y106" s="80" t="str">
        <f t="shared" si="46"/>
        <v>-</v>
      </c>
      <c r="Z106" s="80" t="s">
        <v>19</v>
      </c>
      <c r="AA106" s="80" t="s">
        <v>19</v>
      </c>
      <c r="AB106" s="80" t="str">
        <f t="shared" si="57"/>
        <v>-</v>
      </c>
      <c r="AC106" s="139"/>
      <c r="AD106" s="139"/>
      <c r="AE106" s="37" t="str">
        <f t="shared" si="49"/>
        <v>-</v>
      </c>
      <c r="AF106" s="44" t="s">
        <v>19</v>
      </c>
      <c r="AG106" s="44" t="s">
        <v>19</v>
      </c>
      <c r="AH106" s="44" t="str">
        <f t="shared" si="50"/>
        <v>-</v>
      </c>
      <c r="AI106" s="201">
        <v>5115</v>
      </c>
      <c r="AJ106" s="201">
        <v>8170</v>
      </c>
      <c r="AK106" s="21">
        <f t="shared" si="56"/>
        <v>0.62607099143206857</v>
      </c>
      <c r="AL106" s="44" t="s">
        <v>19</v>
      </c>
      <c r="AM106" s="44" t="s">
        <v>19</v>
      </c>
      <c r="AN106" s="44" t="s">
        <v>19</v>
      </c>
      <c r="AO106" s="37" t="s">
        <v>19</v>
      </c>
      <c r="AP106" s="37" t="s">
        <v>19</v>
      </c>
      <c r="AQ106" s="37" t="str">
        <f t="shared" si="53"/>
        <v>-</v>
      </c>
      <c r="AR106" s="37" t="s">
        <v>19</v>
      </c>
      <c r="AS106" s="37" t="s">
        <v>19</v>
      </c>
      <c r="AT106" s="37" t="str">
        <f t="shared" si="54"/>
        <v>-</v>
      </c>
      <c r="AU106" s="70"/>
      <c r="AV106" s="70"/>
      <c r="AW106" s="37" t="str">
        <f t="shared" si="55"/>
        <v>-</v>
      </c>
      <c r="AX106" s="170"/>
      <c r="AY106" s="169"/>
      <c r="AZ106" s="169"/>
      <c r="BA106" s="169"/>
      <c r="BB106" s="169"/>
      <c r="BC106" s="169"/>
    </row>
    <row r="107" spans="1:55" ht="14.25" customHeight="1">
      <c r="A107" s="12" t="s">
        <v>66</v>
      </c>
      <c r="B107" s="199"/>
      <c r="C107" s="199"/>
      <c r="D107" s="80" t="str">
        <f t="shared" si="36"/>
        <v>-</v>
      </c>
      <c r="E107" s="83" t="s">
        <v>19</v>
      </c>
      <c r="F107" s="83" t="s">
        <v>19</v>
      </c>
      <c r="G107" s="67"/>
      <c r="H107" s="80" t="s">
        <v>19</v>
      </c>
      <c r="I107" s="80" t="s">
        <v>19</v>
      </c>
      <c r="J107" s="80" t="str">
        <f t="shared" si="38"/>
        <v>-</v>
      </c>
      <c r="K107" s="83" t="s">
        <v>19</v>
      </c>
      <c r="L107" s="83" t="s">
        <v>19</v>
      </c>
      <c r="M107" s="83" t="str">
        <f t="shared" si="40"/>
        <v>-</v>
      </c>
      <c r="N107" s="83" t="s">
        <v>19</v>
      </c>
      <c r="O107" s="83" t="s">
        <v>19</v>
      </c>
      <c r="P107" s="83" t="str">
        <f t="shared" si="42"/>
        <v>-</v>
      </c>
      <c r="Q107" s="83" t="s">
        <v>19</v>
      </c>
      <c r="R107" s="83" t="s">
        <v>19</v>
      </c>
      <c r="S107" s="83" t="str">
        <f t="shared" si="44"/>
        <v>-</v>
      </c>
      <c r="T107" s="80" t="s">
        <v>19</v>
      </c>
      <c r="U107" s="80" t="s">
        <v>19</v>
      </c>
      <c r="V107" s="80" t="str">
        <f t="shared" si="45"/>
        <v>-</v>
      </c>
      <c r="W107" s="80" t="s">
        <v>19</v>
      </c>
      <c r="X107" s="80" t="s">
        <v>19</v>
      </c>
      <c r="Y107" s="80" t="str">
        <f t="shared" si="46"/>
        <v>-</v>
      </c>
      <c r="Z107" s="80" t="s">
        <v>19</v>
      </c>
      <c r="AA107" s="80" t="s">
        <v>19</v>
      </c>
      <c r="AB107" s="65"/>
      <c r="AC107" s="139"/>
      <c r="AD107" s="139"/>
      <c r="AE107" s="37" t="str">
        <f t="shared" si="49"/>
        <v>-</v>
      </c>
      <c r="AF107" s="44" t="s">
        <v>19</v>
      </c>
      <c r="AG107" s="44" t="s">
        <v>19</v>
      </c>
      <c r="AH107" s="44" t="str">
        <f t="shared" si="50"/>
        <v>-</v>
      </c>
      <c r="AI107" s="37" t="s">
        <v>19</v>
      </c>
      <c r="AJ107" s="37" t="s">
        <v>19</v>
      </c>
      <c r="AK107" s="37" t="s">
        <v>19</v>
      </c>
      <c r="AL107" s="44" t="s">
        <v>19</v>
      </c>
      <c r="AM107" s="44" t="s">
        <v>19</v>
      </c>
      <c r="AN107" s="44" t="s">
        <v>19</v>
      </c>
      <c r="AO107" s="37" t="s">
        <v>19</v>
      </c>
      <c r="AP107" s="37" t="s">
        <v>19</v>
      </c>
      <c r="AQ107" s="37" t="str">
        <f t="shared" si="53"/>
        <v>-</v>
      </c>
      <c r="AR107" s="37" t="s">
        <v>19</v>
      </c>
      <c r="AS107" s="37" t="s">
        <v>19</v>
      </c>
      <c r="AT107" s="37" t="str">
        <f t="shared" si="54"/>
        <v>-</v>
      </c>
      <c r="AU107" s="70"/>
      <c r="AV107" s="70"/>
      <c r="AW107" s="37" t="str">
        <f t="shared" si="55"/>
        <v>-</v>
      </c>
      <c r="AX107" s="170"/>
      <c r="AY107" s="169"/>
      <c r="AZ107" s="169"/>
      <c r="BA107" s="169"/>
      <c r="BB107" s="169"/>
      <c r="BC107" s="169"/>
    </row>
    <row r="108" spans="1:55" ht="14.25" customHeight="1">
      <c r="A108" s="12" t="s">
        <v>67</v>
      </c>
      <c r="B108" s="199"/>
      <c r="C108" s="199"/>
      <c r="D108" s="80" t="str">
        <f t="shared" si="36"/>
        <v>-</v>
      </c>
      <c r="E108" s="83" t="s">
        <v>19</v>
      </c>
      <c r="F108" s="83" t="s">
        <v>19</v>
      </c>
      <c r="G108" s="83" t="str">
        <f>IFERROR(E108/F108,"-")</f>
        <v>-</v>
      </c>
      <c r="H108" s="64">
        <f>H98</f>
        <v>1090</v>
      </c>
      <c r="I108" s="64">
        <f>I98</f>
        <v>1322</v>
      </c>
      <c r="J108" s="65">
        <f t="shared" si="38"/>
        <v>0.82450832072617242</v>
      </c>
      <c r="K108" s="66">
        <f>IFERROR(SUM(B232,K232,T232),"-")</f>
        <v>3607</v>
      </c>
      <c r="L108" s="66">
        <f>IFERROR(SUM(C232,L232,U232),"-")</f>
        <v>4060</v>
      </c>
      <c r="M108" s="67">
        <f t="shared" si="40"/>
        <v>0.88842364532019702</v>
      </c>
      <c r="N108" s="66">
        <f>IFERROR(SUM(E232,N232,W232),"-")</f>
        <v>3050</v>
      </c>
      <c r="O108" s="66">
        <f>IFERROR(SUM(F232,O232,X232),"-")</f>
        <v>3222</v>
      </c>
      <c r="P108" s="67">
        <f t="shared" si="42"/>
        <v>0.94661700806952198</v>
      </c>
      <c r="Q108" s="66">
        <f>IFERROR(SUM(H232,Q232,Z232),"-")</f>
        <v>6657</v>
      </c>
      <c r="R108" s="66">
        <f>IFERROR(SUM(I232,R232,AA232),"-")</f>
        <v>7282</v>
      </c>
      <c r="S108" s="67">
        <f t="shared" si="44"/>
        <v>0.91417193078824499</v>
      </c>
      <c r="T108" s="80" t="s">
        <v>19</v>
      </c>
      <c r="U108" s="80" t="s">
        <v>19</v>
      </c>
      <c r="V108" s="80" t="str">
        <f t="shared" si="45"/>
        <v>-</v>
      </c>
      <c r="W108" s="80" t="s">
        <v>19</v>
      </c>
      <c r="X108" s="80" t="s">
        <v>19</v>
      </c>
      <c r="Y108" s="80" t="str">
        <f t="shared" si="46"/>
        <v>-</v>
      </c>
      <c r="Z108" s="80" t="s">
        <v>19</v>
      </c>
      <c r="AA108" s="80" t="s">
        <v>19</v>
      </c>
      <c r="AB108" s="80" t="str">
        <f t="shared" ref="AB108:AB141" si="58">IFERROR(Z108/AA108,"-")</f>
        <v>-</v>
      </c>
      <c r="AC108" s="139"/>
      <c r="AD108" s="139"/>
      <c r="AE108" s="37" t="str">
        <f t="shared" si="49"/>
        <v>-</v>
      </c>
      <c r="AF108" s="44" t="s">
        <v>19</v>
      </c>
      <c r="AG108" s="44" t="s">
        <v>19</v>
      </c>
      <c r="AH108" s="44" t="str">
        <f t="shared" si="50"/>
        <v>-</v>
      </c>
      <c r="AI108" s="201">
        <v>2591</v>
      </c>
      <c r="AJ108" s="201">
        <v>3786</v>
      </c>
      <c r="AK108" s="21">
        <f>IFERROR(AI108/AJ108,"-")</f>
        <v>0.68436344426835716</v>
      </c>
      <c r="AL108" s="36">
        <f>W188</f>
        <v>0</v>
      </c>
      <c r="AM108" s="36">
        <f>X188</f>
        <v>0</v>
      </c>
      <c r="AN108" s="36">
        <f>Y188</f>
        <v>0</v>
      </c>
      <c r="AO108" s="37" t="s">
        <v>19</v>
      </c>
      <c r="AP108" s="37" t="s">
        <v>19</v>
      </c>
      <c r="AQ108" s="37" t="str">
        <f t="shared" si="53"/>
        <v>-</v>
      </c>
      <c r="AR108" s="37" t="s">
        <v>19</v>
      </c>
      <c r="AS108" s="37" t="s">
        <v>19</v>
      </c>
      <c r="AT108" s="37" t="str">
        <f t="shared" si="54"/>
        <v>-</v>
      </c>
      <c r="AU108" s="70"/>
      <c r="AV108" s="70"/>
      <c r="AW108" s="37" t="str">
        <f t="shared" si="55"/>
        <v>-</v>
      </c>
      <c r="AX108" s="170"/>
      <c r="AY108" s="169"/>
      <c r="AZ108" s="169"/>
      <c r="BA108" s="169"/>
      <c r="BB108" s="169"/>
      <c r="BC108" s="169"/>
    </row>
    <row r="109" spans="1:55" ht="14.25" customHeight="1">
      <c r="A109" s="12" t="s">
        <v>68</v>
      </c>
      <c r="B109" s="199"/>
      <c r="C109" s="199"/>
      <c r="D109" s="80" t="str">
        <f t="shared" si="36"/>
        <v>-</v>
      </c>
      <c r="E109" s="83" t="s">
        <v>19</v>
      </c>
      <c r="F109" s="83" t="s">
        <v>19</v>
      </c>
      <c r="G109" s="67"/>
      <c r="H109" s="80" t="s">
        <v>19</v>
      </c>
      <c r="I109" s="80" t="s">
        <v>19</v>
      </c>
      <c r="J109" s="80" t="str">
        <f t="shared" si="38"/>
        <v>-</v>
      </c>
      <c r="K109" s="83" t="s">
        <v>19</v>
      </c>
      <c r="L109" s="83" t="s">
        <v>19</v>
      </c>
      <c r="M109" s="83" t="str">
        <f t="shared" si="40"/>
        <v>-</v>
      </c>
      <c r="N109" s="83" t="s">
        <v>19</v>
      </c>
      <c r="O109" s="83" t="s">
        <v>19</v>
      </c>
      <c r="P109" s="83" t="str">
        <f t="shared" si="42"/>
        <v>-</v>
      </c>
      <c r="Q109" s="83" t="s">
        <v>19</v>
      </c>
      <c r="R109" s="83" t="s">
        <v>19</v>
      </c>
      <c r="S109" s="83" t="str">
        <f t="shared" si="44"/>
        <v>-</v>
      </c>
      <c r="T109" s="80" t="s">
        <v>19</v>
      </c>
      <c r="U109" s="80" t="s">
        <v>19</v>
      </c>
      <c r="V109" s="80" t="str">
        <f t="shared" si="45"/>
        <v>-</v>
      </c>
      <c r="W109" s="80" t="s">
        <v>19</v>
      </c>
      <c r="X109" s="80" t="s">
        <v>19</v>
      </c>
      <c r="Y109" s="80" t="str">
        <f t="shared" si="46"/>
        <v>-</v>
      </c>
      <c r="Z109" s="80" t="s">
        <v>19</v>
      </c>
      <c r="AA109" s="80" t="s">
        <v>19</v>
      </c>
      <c r="AB109" s="80" t="str">
        <f t="shared" si="58"/>
        <v>-</v>
      </c>
      <c r="AC109" s="139"/>
      <c r="AD109" s="139"/>
      <c r="AE109" s="37" t="str">
        <f t="shared" si="49"/>
        <v>-</v>
      </c>
      <c r="AF109" s="44" t="s">
        <v>19</v>
      </c>
      <c r="AG109" s="44" t="s">
        <v>19</v>
      </c>
      <c r="AH109" s="44" t="str">
        <f t="shared" si="50"/>
        <v>-</v>
      </c>
      <c r="AI109" s="37" t="s">
        <v>19</v>
      </c>
      <c r="AJ109" s="37" t="s">
        <v>19</v>
      </c>
      <c r="AK109" s="37" t="s">
        <v>19</v>
      </c>
      <c r="AL109" s="44" t="s">
        <v>19</v>
      </c>
      <c r="AM109" s="44" t="s">
        <v>19</v>
      </c>
      <c r="AN109" s="44" t="s">
        <v>19</v>
      </c>
      <c r="AO109" s="37" t="s">
        <v>19</v>
      </c>
      <c r="AP109" s="37" t="s">
        <v>19</v>
      </c>
      <c r="AQ109" s="37" t="str">
        <f t="shared" si="53"/>
        <v>-</v>
      </c>
      <c r="AR109" s="37" t="s">
        <v>19</v>
      </c>
      <c r="AS109" s="37" t="s">
        <v>19</v>
      </c>
      <c r="AT109" s="37" t="str">
        <f t="shared" si="54"/>
        <v>-</v>
      </c>
      <c r="AU109" s="70"/>
      <c r="AV109" s="70"/>
      <c r="AW109" s="37" t="str">
        <f t="shared" si="55"/>
        <v>-</v>
      </c>
      <c r="AX109" s="170"/>
      <c r="AY109" s="169"/>
      <c r="AZ109" s="169"/>
      <c r="BA109" s="169"/>
      <c r="BB109" s="169"/>
      <c r="BC109" s="169"/>
    </row>
    <row r="110" spans="1:55" ht="14.25" customHeight="1">
      <c r="A110" s="12" t="s">
        <v>69</v>
      </c>
      <c r="B110" s="98">
        <v>34</v>
      </c>
      <c r="C110" s="98">
        <v>37</v>
      </c>
      <c r="D110" s="65">
        <f t="shared" si="36"/>
        <v>0.91891891891891897</v>
      </c>
      <c r="E110" s="99">
        <v>32</v>
      </c>
      <c r="F110" s="99">
        <v>37</v>
      </c>
      <c r="G110" s="67">
        <f t="shared" ref="G110:G141" si="59">IFERROR(E110/F110,"-")</f>
        <v>0.86486486486486491</v>
      </c>
      <c r="H110" s="98">
        <v>44</v>
      </c>
      <c r="I110" s="98">
        <v>48</v>
      </c>
      <c r="J110" s="65">
        <f t="shared" si="38"/>
        <v>0.91666666666666663</v>
      </c>
      <c r="K110" s="66">
        <f t="shared" ref="K110:K141" si="60">IFERROR(SUM(B233,K233,T233),"-")</f>
        <v>192</v>
      </c>
      <c r="L110" s="66">
        <f t="shared" ref="L110:L141" si="61">IFERROR(SUM(C233,L233,U233),"-")</f>
        <v>220</v>
      </c>
      <c r="M110" s="67">
        <f t="shared" si="40"/>
        <v>0.87272727272727268</v>
      </c>
      <c r="N110" s="66">
        <f t="shared" ref="N110:N141" si="62">IFERROR(SUM(E233,N233,W233),"-")</f>
        <v>173</v>
      </c>
      <c r="O110" s="66">
        <f t="shared" ref="O110:O141" si="63">IFERROR(SUM(F233,O233,X233),"-")</f>
        <v>181</v>
      </c>
      <c r="P110" s="67">
        <f t="shared" si="42"/>
        <v>0.95580110497237569</v>
      </c>
      <c r="Q110" s="66">
        <f t="shared" ref="Q110:Q141" si="64">IFERROR(SUM(H233,Q233,Z233),"-")</f>
        <v>365</v>
      </c>
      <c r="R110" s="66">
        <f t="shared" ref="R110:R141" si="65">IFERROR(SUM(I233,R233,AA233),"-")</f>
        <v>401</v>
      </c>
      <c r="S110" s="67">
        <f t="shared" si="44"/>
        <v>0.91022443890274318</v>
      </c>
      <c r="T110" s="200">
        <v>2</v>
      </c>
      <c r="U110" s="200">
        <v>2</v>
      </c>
      <c r="V110" s="65">
        <f t="shared" si="45"/>
        <v>1</v>
      </c>
      <c r="W110" s="98">
        <v>45</v>
      </c>
      <c r="X110" s="98">
        <v>45</v>
      </c>
      <c r="Y110" s="65">
        <f t="shared" si="46"/>
        <v>1</v>
      </c>
      <c r="Z110" s="64">
        <f t="shared" ref="Z110:Z129" si="66">SUM(T110,W110)</f>
        <v>47</v>
      </c>
      <c r="AA110" s="64">
        <f t="shared" ref="AA110:AA129" si="67">SUM(U110,X110)</f>
        <v>47</v>
      </c>
      <c r="AB110" s="65">
        <f t="shared" si="58"/>
        <v>1</v>
      </c>
      <c r="AC110" s="139"/>
      <c r="AD110" s="139"/>
      <c r="AE110" s="37" t="str">
        <f t="shared" si="49"/>
        <v>-</v>
      </c>
      <c r="AF110" s="44" t="s">
        <v>19</v>
      </c>
      <c r="AG110" s="44" t="s">
        <v>19</v>
      </c>
      <c r="AH110" s="44" t="str">
        <f t="shared" si="50"/>
        <v>-</v>
      </c>
      <c r="AI110" s="201">
        <v>193</v>
      </c>
      <c r="AJ110" s="201">
        <v>244</v>
      </c>
      <c r="AK110" s="21">
        <f t="shared" ref="AK110:AK141" si="68">IFERROR(AI110/AJ110,"-")</f>
        <v>0.79098360655737709</v>
      </c>
      <c r="AL110" s="36">
        <f t="shared" ref="AL110:AN112" si="69">W189</f>
        <v>0</v>
      </c>
      <c r="AM110" s="36">
        <f t="shared" si="69"/>
        <v>0</v>
      </c>
      <c r="AN110" s="36">
        <f t="shared" si="69"/>
        <v>0</v>
      </c>
      <c r="AO110" s="201">
        <v>4</v>
      </c>
      <c r="AP110" s="201">
        <v>4</v>
      </c>
      <c r="AQ110" s="21">
        <f t="shared" si="53"/>
        <v>1</v>
      </c>
      <c r="AR110" s="201">
        <v>83</v>
      </c>
      <c r="AS110" s="201">
        <v>90</v>
      </c>
      <c r="AT110" s="21">
        <f t="shared" si="54"/>
        <v>0.92222222222222228</v>
      </c>
      <c r="AU110" s="70"/>
      <c r="AV110" s="70"/>
      <c r="AW110" s="37" t="str">
        <f t="shared" si="55"/>
        <v>-</v>
      </c>
      <c r="AX110" s="170"/>
      <c r="AY110" s="169"/>
      <c r="AZ110" s="169"/>
      <c r="BA110" s="169"/>
      <c r="BB110" s="169"/>
      <c r="BC110" s="169"/>
    </row>
    <row r="111" spans="1:55" ht="14.25" customHeight="1">
      <c r="A111" s="12" t="s">
        <v>70</v>
      </c>
      <c r="B111" s="98">
        <v>87</v>
      </c>
      <c r="C111" s="98">
        <v>89</v>
      </c>
      <c r="D111" s="65">
        <f t="shared" si="36"/>
        <v>0.97752808988764039</v>
      </c>
      <c r="E111" s="99">
        <v>81</v>
      </c>
      <c r="F111" s="99">
        <v>89</v>
      </c>
      <c r="G111" s="67">
        <f t="shared" si="59"/>
        <v>0.9101123595505618</v>
      </c>
      <c r="H111" s="98">
        <v>64</v>
      </c>
      <c r="I111" s="98">
        <v>76</v>
      </c>
      <c r="J111" s="65">
        <f t="shared" si="38"/>
        <v>0.84210526315789469</v>
      </c>
      <c r="K111" s="66">
        <f t="shared" si="60"/>
        <v>281</v>
      </c>
      <c r="L111" s="66">
        <f t="shared" si="61"/>
        <v>310</v>
      </c>
      <c r="M111" s="67">
        <f t="shared" si="40"/>
        <v>0.90645161290322585</v>
      </c>
      <c r="N111" s="66">
        <f t="shared" si="62"/>
        <v>363</v>
      </c>
      <c r="O111" s="66">
        <f t="shared" si="63"/>
        <v>381</v>
      </c>
      <c r="P111" s="67">
        <f t="shared" si="42"/>
        <v>0.952755905511811</v>
      </c>
      <c r="Q111" s="66">
        <f t="shared" si="64"/>
        <v>644</v>
      </c>
      <c r="R111" s="66">
        <f t="shared" si="65"/>
        <v>691</v>
      </c>
      <c r="S111" s="67">
        <f t="shared" si="44"/>
        <v>0.93198263386396529</v>
      </c>
      <c r="T111" s="98">
        <v>15</v>
      </c>
      <c r="U111" s="98">
        <v>15</v>
      </c>
      <c r="V111" s="65">
        <f t="shared" si="45"/>
        <v>1</v>
      </c>
      <c r="W111" s="98">
        <v>60</v>
      </c>
      <c r="X111" s="98">
        <v>60</v>
      </c>
      <c r="Y111" s="65">
        <f t="shared" si="46"/>
        <v>1</v>
      </c>
      <c r="Z111" s="64">
        <f t="shared" si="66"/>
        <v>75</v>
      </c>
      <c r="AA111" s="64">
        <f t="shared" si="67"/>
        <v>75</v>
      </c>
      <c r="AB111" s="65">
        <f t="shared" si="58"/>
        <v>1</v>
      </c>
      <c r="AC111" s="139"/>
      <c r="AD111" s="139"/>
      <c r="AE111" s="37" t="str">
        <f t="shared" si="49"/>
        <v>-</v>
      </c>
      <c r="AF111" s="44" t="s">
        <v>19</v>
      </c>
      <c r="AG111" s="44" t="s">
        <v>19</v>
      </c>
      <c r="AH111" s="44" t="str">
        <f t="shared" si="50"/>
        <v>-</v>
      </c>
      <c r="AI111" s="201">
        <v>226</v>
      </c>
      <c r="AJ111" s="201">
        <v>366</v>
      </c>
      <c r="AK111" s="21">
        <f t="shared" si="68"/>
        <v>0.61748633879781423</v>
      </c>
      <c r="AL111" s="36">
        <f t="shared" si="69"/>
        <v>0</v>
      </c>
      <c r="AM111" s="36">
        <f t="shared" si="69"/>
        <v>0</v>
      </c>
      <c r="AN111" s="36">
        <f t="shared" si="69"/>
        <v>0</v>
      </c>
      <c r="AO111" s="201">
        <v>19</v>
      </c>
      <c r="AP111" s="201">
        <v>30</v>
      </c>
      <c r="AQ111" s="21">
        <f t="shared" si="53"/>
        <v>0.6333333333333333</v>
      </c>
      <c r="AR111" s="201">
        <v>87</v>
      </c>
      <c r="AS111" s="201">
        <v>120</v>
      </c>
      <c r="AT111" s="21">
        <f t="shared" si="54"/>
        <v>0.72499999999999998</v>
      </c>
      <c r="AU111" s="70"/>
      <c r="AV111" s="70"/>
      <c r="AW111" s="37" t="str">
        <f t="shared" si="55"/>
        <v>-</v>
      </c>
      <c r="AX111" s="170"/>
      <c r="AY111" s="169"/>
      <c r="AZ111" s="169"/>
      <c r="BA111" s="169"/>
      <c r="BB111" s="169"/>
      <c r="BC111" s="169"/>
    </row>
    <row r="112" spans="1:55" ht="14.25" customHeight="1">
      <c r="A112" s="12" t="s">
        <v>71</v>
      </c>
      <c r="B112" s="98">
        <v>53</v>
      </c>
      <c r="C112" s="98">
        <v>57</v>
      </c>
      <c r="D112" s="65">
        <f t="shared" si="36"/>
        <v>0.92982456140350878</v>
      </c>
      <c r="E112" s="99">
        <v>42</v>
      </c>
      <c r="F112" s="99">
        <v>57</v>
      </c>
      <c r="G112" s="67">
        <f t="shared" si="59"/>
        <v>0.73684210526315785</v>
      </c>
      <c r="H112" s="98">
        <v>77</v>
      </c>
      <c r="I112" s="98">
        <v>89</v>
      </c>
      <c r="J112" s="65">
        <f t="shared" si="38"/>
        <v>0.8651685393258427</v>
      </c>
      <c r="K112" s="66">
        <f t="shared" si="60"/>
        <v>233</v>
      </c>
      <c r="L112" s="66">
        <f t="shared" si="61"/>
        <v>272</v>
      </c>
      <c r="M112" s="67">
        <f t="shared" si="40"/>
        <v>0.85661764705882348</v>
      </c>
      <c r="N112" s="66">
        <f t="shared" si="62"/>
        <v>283</v>
      </c>
      <c r="O112" s="66">
        <f t="shared" si="63"/>
        <v>307</v>
      </c>
      <c r="P112" s="67">
        <f t="shared" si="42"/>
        <v>0.92182410423452765</v>
      </c>
      <c r="Q112" s="66">
        <f t="shared" si="64"/>
        <v>516</v>
      </c>
      <c r="R112" s="66">
        <f t="shared" si="65"/>
        <v>579</v>
      </c>
      <c r="S112" s="67">
        <f t="shared" si="44"/>
        <v>0.89119170984455953</v>
      </c>
      <c r="T112" s="200">
        <v>2</v>
      </c>
      <c r="U112" s="200">
        <v>2</v>
      </c>
      <c r="V112" s="65">
        <f t="shared" si="45"/>
        <v>1</v>
      </c>
      <c r="W112" s="200">
        <v>41</v>
      </c>
      <c r="X112" s="200">
        <v>41</v>
      </c>
      <c r="Y112" s="65">
        <f t="shared" si="46"/>
        <v>1</v>
      </c>
      <c r="Z112" s="64">
        <f t="shared" si="66"/>
        <v>43</v>
      </c>
      <c r="AA112" s="64">
        <f t="shared" si="67"/>
        <v>43</v>
      </c>
      <c r="AB112" s="65">
        <f t="shared" si="58"/>
        <v>1</v>
      </c>
      <c r="AC112" s="139"/>
      <c r="AD112" s="139"/>
      <c r="AE112" s="37" t="str">
        <f t="shared" si="49"/>
        <v>-</v>
      </c>
      <c r="AF112" s="44" t="s">
        <v>19</v>
      </c>
      <c r="AG112" s="44" t="s">
        <v>19</v>
      </c>
      <c r="AH112" s="44" t="str">
        <f t="shared" si="50"/>
        <v>-</v>
      </c>
      <c r="AI112" s="201">
        <v>326</v>
      </c>
      <c r="AJ112" s="201">
        <v>452</v>
      </c>
      <c r="AK112" s="21">
        <f t="shared" si="68"/>
        <v>0.72123893805309736</v>
      </c>
      <c r="AL112" s="36">
        <f t="shared" si="69"/>
        <v>0</v>
      </c>
      <c r="AM112" s="36">
        <f t="shared" si="69"/>
        <v>0</v>
      </c>
      <c r="AN112" s="36">
        <f t="shared" si="69"/>
        <v>0</v>
      </c>
      <c r="AO112" s="139">
        <v>4</v>
      </c>
      <c r="AP112" s="139">
        <v>4</v>
      </c>
      <c r="AQ112" s="21">
        <f t="shared" si="53"/>
        <v>1</v>
      </c>
      <c r="AR112" s="201">
        <v>79</v>
      </c>
      <c r="AS112" s="201">
        <v>86</v>
      </c>
      <c r="AT112" s="21">
        <f t="shared" si="54"/>
        <v>0.91860465116279066</v>
      </c>
      <c r="AU112" s="70"/>
      <c r="AV112" s="70"/>
      <c r="AW112" s="37" t="str">
        <f t="shared" si="55"/>
        <v>-</v>
      </c>
      <c r="AX112" s="170"/>
      <c r="AY112" s="169"/>
      <c r="AZ112" s="169"/>
      <c r="BA112" s="169"/>
      <c r="BB112" s="169"/>
      <c r="BC112" s="169"/>
    </row>
    <row r="113" spans="1:55" ht="14.25" customHeight="1">
      <c r="A113" s="12" t="s">
        <v>72</v>
      </c>
      <c r="B113" s="98">
        <v>16</v>
      </c>
      <c r="C113" s="98">
        <v>20</v>
      </c>
      <c r="D113" s="65">
        <f t="shared" si="36"/>
        <v>0.8</v>
      </c>
      <c r="E113" s="99">
        <v>17</v>
      </c>
      <c r="F113" s="99">
        <v>20</v>
      </c>
      <c r="G113" s="67">
        <f t="shared" si="59"/>
        <v>0.85</v>
      </c>
      <c r="H113" s="98">
        <v>6</v>
      </c>
      <c r="I113" s="98">
        <v>11</v>
      </c>
      <c r="J113" s="65">
        <f t="shared" si="38"/>
        <v>0.54545454545454541</v>
      </c>
      <c r="K113" s="66">
        <f t="shared" si="60"/>
        <v>10</v>
      </c>
      <c r="L113" s="66">
        <f t="shared" si="61"/>
        <v>11</v>
      </c>
      <c r="M113" s="67">
        <f t="shared" si="40"/>
        <v>0.90909090909090906</v>
      </c>
      <c r="N113" s="66">
        <f t="shared" si="62"/>
        <v>17</v>
      </c>
      <c r="O113" s="66">
        <f t="shared" si="63"/>
        <v>21</v>
      </c>
      <c r="P113" s="67">
        <f t="shared" si="42"/>
        <v>0.80952380952380953</v>
      </c>
      <c r="Q113" s="66">
        <f t="shared" si="64"/>
        <v>27</v>
      </c>
      <c r="R113" s="66">
        <f t="shared" si="65"/>
        <v>32</v>
      </c>
      <c r="S113" s="67">
        <f t="shared" si="44"/>
        <v>0.84375</v>
      </c>
      <c r="T113" s="94" t="s">
        <v>19</v>
      </c>
      <c r="U113" s="94" t="s">
        <v>19</v>
      </c>
      <c r="V113" s="80" t="str">
        <f t="shared" si="45"/>
        <v>-</v>
      </c>
      <c r="W113" s="94" t="s">
        <v>19</v>
      </c>
      <c r="X113" s="94" t="s">
        <v>19</v>
      </c>
      <c r="Y113" s="80" t="str">
        <f t="shared" si="46"/>
        <v>-</v>
      </c>
      <c r="Z113" s="64">
        <f t="shared" si="66"/>
        <v>0</v>
      </c>
      <c r="AA113" s="64">
        <f t="shared" si="67"/>
        <v>0</v>
      </c>
      <c r="AB113" s="80" t="str">
        <f t="shared" si="58"/>
        <v>-</v>
      </c>
      <c r="AC113" s="139"/>
      <c r="AD113" s="139"/>
      <c r="AE113" s="37" t="str">
        <f t="shared" si="49"/>
        <v>-</v>
      </c>
      <c r="AF113" s="44" t="s">
        <v>19</v>
      </c>
      <c r="AG113" s="44" t="s">
        <v>19</v>
      </c>
      <c r="AH113" s="44" t="str">
        <f t="shared" si="50"/>
        <v>-</v>
      </c>
      <c r="AI113" s="201">
        <v>27</v>
      </c>
      <c r="AJ113" s="201">
        <v>29</v>
      </c>
      <c r="AK113" s="21">
        <f t="shared" si="68"/>
        <v>0.93103448275862066</v>
      </c>
      <c r="AL113" s="36">
        <f>W193</f>
        <v>0</v>
      </c>
      <c r="AM113" s="36">
        <f>X193</f>
        <v>0</v>
      </c>
      <c r="AN113" s="36">
        <f>Y193</f>
        <v>0</v>
      </c>
      <c r="AO113" s="81" t="s">
        <v>19</v>
      </c>
      <c r="AP113" s="81" t="s">
        <v>19</v>
      </c>
      <c r="AQ113" s="37" t="str">
        <f t="shared" si="53"/>
        <v>-</v>
      </c>
      <c r="AR113" s="121" t="s">
        <v>19</v>
      </c>
      <c r="AS113" s="121" t="s">
        <v>19</v>
      </c>
      <c r="AT113" s="37" t="str">
        <f t="shared" si="54"/>
        <v>-</v>
      </c>
      <c r="AU113" s="70"/>
      <c r="AV113" s="70"/>
      <c r="AW113" s="37" t="str">
        <f t="shared" si="55"/>
        <v>-</v>
      </c>
      <c r="AX113" s="170"/>
      <c r="AY113" s="169"/>
      <c r="AZ113" s="169"/>
      <c r="BA113" s="169"/>
      <c r="BB113" s="169"/>
      <c r="BC113" s="169"/>
    </row>
    <row r="114" spans="1:55" ht="14.25" customHeight="1">
      <c r="A114" s="12" t="s">
        <v>73</v>
      </c>
      <c r="B114" s="94" t="s">
        <v>19</v>
      </c>
      <c r="C114" s="94" t="s">
        <v>19</v>
      </c>
      <c r="D114" s="80" t="str">
        <f t="shared" si="36"/>
        <v>-</v>
      </c>
      <c r="E114" s="96" t="s">
        <v>19</v>
      </c>
      <c r="F114" s="96" t="s">
        <v>19</v>
      </c>
      <c r="G114" s="83" t="str">
        <f t="shared" si="59"/>
        <v>-</v>
      </c>
      <c r="H114" s="94" t="s">
        <v>19</v>
      </c>
      <c r="I114" s="94" t="s">
        <v>19</v>
      </c>
      <c r="J114" s="80" t="str">
        <f t="shared" si="38"/>
        <v>-</v>
      </c>
      <c r="K114" s="66">
        <f t="shared" si="60"/>
        <v>15</v>
      </c>
      <c r="L114" s="66">
        <f t="shared" si="61"/>
        <v>21</v>
      </c>
      <c r="M114" s="67">
        <f t="shared" si="40"/>
        <v>0.7142857142857143</v>
      </c>
      <c r="N114" s="66">
        <f t="shared" si="62"/>
        <v>12</v>
      </c>
      <c r="O114" s="66">
        <f t="shared" si="63"/>
        <v>12</v>
      </c>
      <c r="P114" s="67">
        <f t="shared" si="42"/>
        <v>1</v>
      </c>
      <c r="Q114" s="66">
        <f t="shared" si="64"/>
        <v>27</v>
      </c>
      <c r="R114" s="66">
        <f t="shared" si="65"/>
        <v>33</v>
      </c>
      <c r="S114" s="67">
        <f t="shared" si="44"/>
        <v>0.81818181818181823</v>
      </c>
      <c r="T114" s="98">
        <v>7</v>
      </c>
      <c r="U114" s="98">
        <v>7</v>
      </c>
      <c r="V114" s="65">
        <f t="shared" si="45"/>
        <v>1</v>
      </c>
      <c r="W114" s="98">
        <v>6</v>
      </c>
      <c r="X114" s="98">
        <v>6</v>
      </c>
      <c r="Y114" s="65">
        <f t="shared" si="46"/>
        <v>1</v>
      </c>
      <c r="Z114" s="64">
        <f t="shared" si="66"/>
        <v>13</v>
      </c>
      <c r="AA114" s="64">
        <f t="shared" si="67"/>
        <v>13</v>
      </c>
      <c r="AB114" s="65">
        <f t="shared" si="58"/>
        <v>1</v>
      </c>
      <c r="AC114" s="81" t="s">
        <v>19</v>
      </c>
      <c r="AD114" s="81" t="s">
        <v>19</v>
      </c>
      <c r="AE114" s="37" t="str">
        <f t="shared" si="49"/>
        <v>-</v>
      </c>
      <c r="AF114" s="44" t="s">
        <v>19</v>
      </c>
      <c r="AG114" s="44" t="s">
        <v>19</v>
      </c>
      <c r="AH114" s="44" t="str">
        <f t="shared" si="50"/>
        <v>-</v>
      </c>
      <c r="AI114" s="121" t="s">
        <v>19</v>
      </c>
      <c r="AJ114" s="121" t="s">
        <v>19</v>
      </c>
      <c r="AK114" s="37" t="str">
        <f t="shared" si="68"/>
        <v>-</v>
      </c>
      <c r="AL114" s="36">
        <f t="shared" ref="AL114:AL141" si="70">W193</f>
        <v>0</v>
      </c>
      <c r="AM114" s="36">
        <f t="shared" ref="AM114:AM141" si="71">X193</f>
        <v>0</v>
      </c>
      <c r="AN114" s="36">
        <f t="shared" ref="AN114:AN141" si="72">Y193</f>
        <v>0</v>
      </c>
      <c r="AO114" s="201">
        <v>12</v>
      </c>
      <c r="AP114" s="201">
        <v>14</v>
      </c>
      <c r="AQ114" s="21">
        <f t="shared" si="53"/>
        <v>0.8571428571428571</v>
      </c>
      <c r="AR114" s="201">
        <v>12</v>
      </c>
      <c r="AS114" s="201">
        <v>12</v>
      </c>
      <c r="AT114" s="21">
        <f t="shared" si="54"/>
        <v>1</v>
      </c>
      <c r="AU114" s="70"/>
      <c r="AV114" s="70"/>
      <c r="AW114" s="37" t="str">
        <f t="shared" si="55"/>
        <v>-</v>
      </c>
      <c r="AX114" s="170"/>
      <c r="AY114" s="169"/>
      <c r="AZ114" s="169"/>
      <c r="BA114" s="169"/>
      <c r="BB114" s="169"/>
      <c r="BC114" s="169"/>
    </row>
    <row r="115" spans="1:55" ht="14.25" customHeight="1">
      <c r="A115" s="12" t="s">
        <v>74</v>
      </c>
      <c r="B115" s="98">
        <v>47</v>
      </c>
      <c r="C115" s="98">
        <v>51</v>
      </c>
      <c r="D115" s="65">
        <f t="shared" si="36"/>
        <v>0.92156862745098034</v>
      </c>
      <c r="E115" s="99">
        <v>36</v>
      </c>
      <c r="F115" s="99">
        <v>51</v>
      </c>
      <c r="G115" s="67">
        <f t="shared" si="59"/>
        <v>0.70588235294117652</v>
      </c>
      <c r="H115" s="98">
        <v>33</v>
      </c>
      <c r="I115" s="98">
        <v>40</v>
      </c>
      <c r="J115" s="65">
        <f t="shared" si="38"/>
        <v>0.82499999999999996</v>
      </c>
      <c r="K115" s="66">
        <f t="shared" si="60"/>
        <v>174</v>
      </c>
      <c r="L115" s="66">
        <f t="shared" si="61"/>
        <v>189</v>
      </c>
      <c r="M115" s="67">
        <f t="shared" si="40"/>
        <v>0.92063492063492058</v>
      </c>
      <c r="N115" s="66">
        <f t="shared" si="62"/>
        <v>210</v>
      </c>
      <c r="O115" s="66">
        <f t="shared" si="63"/>
        <v>222</v>
      </c>
      <c r="P115" s="67">
        <f t="shared" si="42"/>
        <v>0.94594594594594594</v>
      </c>
      <c r="Q115" s="66">
        <f t="shared" si="64"/>
        <v>384</v>
      </c>
      <c r="R115" s="66">
        <f t="shared" si="65"/>
        <v>411</v>
      </c>
      <c r="S115" s="67">
        <f t="shared" si="44"/>
        <v>0.93430656934306566</v>
      </c>
      <c r="T115" s="94" t="s">
        <v>19</v>
      </c>
      <c r="U115" s="94" t="s">
        <v>19</v>
      </c>
      <c r="V115" s="80" t="str">
        <f t="shared" si="45"/>
        <v>-</v>
      </c>
      <c r="W115" s="200">
        <v>40</v>
      </c>
      <c r="X115" s="200">
        <v>40</v>
      </c>
      <c r="Y115" s="65">
        <f t="shared" si="46"/>
        <v>1</v>
      </c>
      <c r="Z115" s="64">
        <f t="shared" si="66"/>
        <v>40</v>
      </c>
      <c r="AA115" s="64">
        <f t="shared" si="67"/>
        <v>40</v>
      </c>
      <c r="AB115" s="65">
        <f t="shared" si="58"/>
        <v>1</v>
      </c>
      <c r="AC115" s="139"/>
      <c r="AD115" s="139"/>
      <c r="AE115" s="37" t="str">
        <f t="shared" si="49"/>
        <v>-</v>
      </c>
      <c r="AF115" s="44" t="s">
        <v>19</v>
      </c>
      <c r="AG115" s="44" t="s">
        <v>19</v>
      </c>
      <c r="AH115" s="44" t="str">
        <f t="shared" si="50"/>
        <v>-</v>
      </c>
      <c r="AI115" s="201">
        <v>127</v>
      </c>
      <c r="AJ115" s="201">
        <v>187</v>
      </c>
      <c r="AK115" s="21">
        <f t="shared" si="68"/>
        <v>0.67914438502673802</v>
      </c>
      <c r="AL115" s="36">
        <f t="shared" si="70"/>
        <v>0</v>
      </c>
      <c r="AM115" s="36">
        <f t="shared" si="71"/>
        <v>0</v>
      </c>
      <c r="AN115" s="36">
        <f t="shared" si="72"/>
        <v>0</v>
      </c>
      <c r="AO115" s="81" t="s">
        <v>19</v>
      </c>
      <c r="AP115" s="81" t="s">
        <v>19</v>
      </c>
      <c r="AQ115" s="37" t="str">
        <f t="shared" si="53"/>
        <v>-</v>
      </c>
      <c r="AR115" s="201">
        <v>64</v>
      </c>
      <c r="AS115" s="201">
        <v>80</v>
      </c>
      <c r="AT115" s="21">
        <f t="shared" si="54"/>
        <v>0.8</v>
      </c>
      <c r="AU115" s="70"/>
      <c r="AV115" s="70"/>
      <c r="AW115" s="37" t="str">
        <f t="shared" si="55"/>
        <v>-</v>
      </c>
      <c r="AX115" s="170"/>
      <c r="AY115" s="169"/>
      <c r="AZ115" s="169"/>
      <c r="BA115" s="169"/>
      <c r="BB115" s="169"/>
      <c r="BC115" s="169"/>
    </row>
    <row r="116" spans="1:55" ht="14.25" customHeight="1">
      <c r="A116" s="12" t="s">
        <v>75</v>
      </c>
      <c r="B116" s="98">
        <v>17</v>
      </c>
      <c r="C116" s="98">
        <v>18</v>
      </c>
      <c r="D116" s="65">
        <f t="shared" si="36"/>
        <v>0.94444444444444442</v>
      </c>
      <c r="E116" s="99">
        <v>18</v>
      </c>
      <c r="F116" s="99">
        <v>18</v>
      </c>
      <c r="G116" s="67">
        <f t="shared" si="59"/>
        <v>1</v>
      </c>
      <c r="H116" s="98">
        <v>22</v>
      </c>
      <c r="I116" s="98">
        <v>22</v>
      </c>
      <c r="J116" s="65">
        <f t="shared" si="38"/>
        <v>1</v>
      </c>
      <c r="K116" s="66">
        <f t="shared" si="60"/>
        <v>86</v>
      </c>
      <c r="L116" s="66">
        <f t="shared" si="61"/>
        <v>89</v>
      </c>
      <c r="M116" s="67">
        <f t="shared" si="40"/>
        <v>0.9662921348314607</v>
      </c>
      <c r="N116" s="66">
        <f t="shared" si="62"/>
        <v>79</v>
      </c>
      <c r="O116" s="66">
        <f t="shared" si="63"/>
        <v>87</v>
      </c>
      <c r="P116" s="67">
        <f t="shared" si="42"/>
        <v>0.90804597701149425</v>
      </c>
      <c r="Q116" s="66">
        <f t="shared" si="64"/>
        <v>165</v>
      </c>
      <c r="R116" s="66">
        <f t="shared" si="65"/>
        <v>176</v>
      </c>
      <c r="S116" s="67">
        <f t="shared" si="44"/>
        <v>0.9375</v>
      </c>
      <c r="T116" s="200">
        <v>1</v>
      </c>
      <c r="U116" s="200">
        <v>1</v>
      </c>
      <c r="V116" s="65">
        <f t="shared" si="45"/>
        <v>1</v>
      </c>
      <c r="W116" s="200">
        <v>11</v>
      </c>
      <c r="X116" s="200">
        <v>11</v>
      </c>
      <c r="Y116" s="65">
        <f t="shared" si="46"/>
        <v>1</v>
      </c>
      <c r="Z116" s="64">
        <f t="shared" si="66"/>
        <v>12</v>
      </c>
      <c r="AA116" s="64">
        <f t="shared" si="67"/>
        <v>12</v>
      </c>
      <c r="AB116" s="65">
        <f t="shared" si="58"/>
        <v>1</v>
      </c>
      <c r="AC116" s="139"/>
      <c r="AD116" s="139"/>
      <c r="AE116" s="37" t="str">
        <f t="shared" si="49"/>
        <v>-</v>
      </c>
      <c r="AF116" s="44" t="s">
        <v>19</v>
      </c>
      <c r="AG116" s="44" t="s">
        <v>19</v>
      </c>
      <c r="AH116" s="44" t="str">
        <f t="shared" si="50"/>
        <v>-</v>
      </c>
      <c r="AI116" s="201">
        <v>98</v>
      </c>
      <c r="AJ116" s="201">
        <v>122</v>
      </c>
      <c r="AK116" s="21">
        <f t="shared" si="68"/>
        <v>0.80327868852459017</v>
      </c>
      <c r="AL116" s="36">
        <f t="shared" si="70"/>
        <v>0</v>
      </c>
      <c r="AM116" s="36">
        <f t="shared" si="71"/>
        <v>0</v>
      </c>
      <c r="AN116" s="36">
        <f t="shared" si="72"/>
        <v>0</v>
      </c>
      <c r="AO116" s="139">
        <v>2</v>
      </c>
      <c r="AP116" s="139">
        <v>2</v>
      </c>
      <c r="AQ116" s="21">
        <f t="shared" si="53"/>
        <v>1</v>
      </c>
      <c r="AR116" s="201">
        <v>21</v>
      </c>
      <c r="AS116" s="201">
        <v>22</v>
      </c>
      <c r="AT116" s="21">
        <f t="shared" si="54"/>
        <v>0.95454545454545459</v>
      </c>
      <c r="AU116" s="70"/>
      <c r="AV116" s="70"/>
      <c r="AW116" s="37" t="str">
        <f t="shared" si="55"/>
        <v>-</v>
      </c>
      <c r="AX116" s="170"/>
      <c r="AY116" s="169"/>
      <c r="AZ116" s="169"/>
      <c r="BA116" s="169"/>
      <c r="BB116" s="169"/>
      <c r="BC116" s="169"/>
    </row>
    <row r="117" spans="1:55" ht="14.25" customHeight="1">
      <c r="A117" s="12" t="s">
        <v>76</v>
      </c>
      <c r="B117" s="98">
        <v>47</v>
      </c>
      <c r="C117" s="98">
        <v>49</v>
      </c>
      <c r="D117" s="65">
        <f t="shared" ref="D117:D141" si="73">IFERROR(B117/C117,"-")</f>
        <v>0.95918367346938771</v>
      </c>
      <c r="E117" s="99">
        <v>44</v>
      </c>
      <c r="F117" s="99">
        <v>49</v>
      </c>
      <c r="G117" s="67">
        <f t="shared" si="59"/>
        <v>0.89795918367346939</v>
      </c>
      <c r="H117" s="98">
        <v>51</v>
      </c>
      <c r="I117" s="98">
        <v>55</v>
      </c>
      <c r="J117" s="65">
        <f t="shared" ref="J117:J141" si="74">IFERROR(H117/I117,"-")</f>
        <v>0.92727272727272725</v>
      </c>
      <c r="K117" s="66">
        <f t="shared" si="60"/>
        <v>249</v>
      </c>
      <c r="L117" s="66">
        <f t="shared" si="61"/>
        <v>324</v>
      </c>
      <c r="M117" s="67">
        <f t="shared" ref="M117:M141" si="75">IFERROR(K117/L117,"-")</f>
        <v>0.76851851851851849</v>
      </c>
      <c r="N117" s="66">
        <f t="shared" si="62"/>
        <v>239</v>
      </c>
      <c r="O117" s="66">
        <f t="shared" si="63"/>
        <v>252</v>
      </c>
      <c r="P117" s="67">
        <f t="shared" ref="P117:P141" si="76">IFERROR(N117/O117,"-")</f>
        <v>0.94841269841269837</v>
      </c>
      <c r="Q117" s="66">
        <f t="shared" si="64"/>
        <v>488</v>
      </c>
      <c r="R117" s="66">
        <f t="shared" si="65"/>
        <v>576</v>
      </c>
      <c r="S117" s="67">
        <f t="shared" ref="S117:S141" si="77">IFERROR(Q117/R117,"-")</f>
        <v>0.84722222222222221</v>
      </c>
      <c r="T117" s="98">
        <v>1</v>
      </c>
      <c r="U117" s="98">
        <v>1</v>
      </c>
      <c r="V117" s="65">
        <f t="shared" ref="V117:V141" si="78">IFERROR(T117/U117,"-")</f>
        <v>1</v>
      </c>
      <c r="W117" s="98">
        <v>75</v>
      </c>
      <c r="X117" s="98">
        <v>75</v>
      </c>
      <c r="Y117" s="65">
        <f t="shared" ref="Y117:Y141" si="79">IFERROR(W117/X117,"-")</f>
        <v>1</v>
      </c>
      <c r="Z117" s="64">
        <f t="shared" si="66"/>
        <v>76</v>
      </c>
      <c r="AA117" s="64">
        <f t="shared" si="67"/>
        <v>76</v>
      </c>
      <c r="AB117" s="65">
        <f t="shared" si="58"/>
        <v>1</v>
      </c>
      <c r="AC117" s="139"/>
      <c r="AD117" s="139"/>
      <c r="AE117" s="37" t="str">
        <f t="shared" ref="AE117:AE141" si="80">IFERROR(AC117/AD117,"-")</f>
        <v>-</v>
      </c>
      <c r="AF117" s="44" t="s">
        <v>19</v>
      </c>
      <c r="AG117" s="44" t="s">
        <v>19</v>
      </c>
      <c r="AH117" s="44" t="str">
        <f t="shared" ref="AH117:AH141" si="81">IFERROR(AF117/AG117,"-")</f>
        <v>-</v>
      </c>
      <c r="AI117" s="201">
        <v>219</v>
      </c>
      <c r="AJ117" s="201">
        <v>291</v>
      </c>
      <c r="AK117" s="21">
        <f t="shared" si="68"/>
        <v>0.75257731958762886</v>
      </c>
      <c r="AL117" s="36">
        <f t="shared" si="70"/>
        <v>0</v>
      </c>
      <c r="AM117" s="36">
        <f t="shared" si="71"/>
        <v>0</v>
      </c>
      <c r="AN117" s="36">
        <f t="shared" si="72"/>
        <v>0</v>
      </c>
      <c r="AO117" s="139">
        <v>2</v>
      </c>
      <c r="AP117" s="139">
        <v>2</v>
      </c>
      <c r="AQ117" s="21">
        <f t="shared" ref="AQ117:AQ141" si="82">IFERROR(AO117/AP117,"-")</f>
        <v>1</v>
      </c>
      <c r="AR117" s="201">
        <v>126</v>
      </c>
      <c r="AS117" s="201">
        <v>150</v>
      </c>
      <c r="AT117" s="21">
        <f t="shared" ref="AT117:AT141" si="83">IFERROR(AR117/AS117,"-")</f>
        <v>0.84</v>
      </c>
      <c r="AU117" s="70"/>
      <c r="AV117" s="70"/>
      <c r="AW117" s="37" t="str">
        <f t="shared" ref="AW117:AW141" si="84">IFERROR(AU117/AV117,"-")</f>
        <v>-</v>
      </c>
      <c r="AX117" s="170"/>
      <c r="AY117" s="169"/>
      <c r="AZ117" s="169"/>
      <c r="BA117" s="169"/>
      <c r="BB117" s="169"/>
      <c r="BC117" s="169"/>
    </row>
    <row r="118" spans="1:55" ht="14.25" customHeight="1">
      <c r="A118" s="12" t="s">
        <v>77</v>
      </c>
      <c r="B118" s="98">
        <v>81</v>
      </c>
      <c r="C118" s="98">
        <v>87</v>
      </c>
      <c r="D118" s="65">
        <f t="shared" si="73"/>
        <v>0.93103448275862066</v>
      </c>
      <c r="E118" s="99">
        <v>73</v>
      </c>
      <c r="F118" s="99">
        <v>87</v>
      </c>
      <c r="G118" s="67">
        <f t="shared" si="59"/>
        <v>0.83908045977011492</v>
      </c>
      <c r="H118" s="98">
        <v>57</v>
      </c>
      <c r="I118" s="98">
        <v>68</v>
      </c>
      <c r="J118" s="65">
        <f t="shared" si="74"/>
        <v>0.83823529411764708</v>
      </c>
      <c r="K118" s="66">
        <f t="shared" si="60"/>
        <v>294</v>
      </c>
      <c r="L118" s="66">
        <f t="shared" si="61"/>
        <v>358</v>
      </c>
      <c r="M118" s="67">
        <f t="shared" si="75"/>
        <v>0.82122905027932958</v>
      </c>
      <c r="N118" s="66">
        <f t="shared" si="62"/>
        <v>371</v>
      </c>
      <c r="O118" s="66">
        <f t="shared" si="63"/>
        <v>393</v>
      </c>
      <c r="P118" s="67">
        <f t="shared" si="76"/>
        <v>0.94402035623409675</v>
      </c>
      <c r="Q118" s="66">
        <f t="shared" si="64"/>
        <v>665</v>
      </c>
      <c r="R118" s="66">
        <f t="shared" si="65"/>
        <v>751</v>
      </c>
      <c r="S118" s="67">
        <f t="shared" si="77"/>
        <v>0.88548601864181087</v>
      </c>
      <c r="T118" s="98">
        <v>5</v>
      </c>
      <c r="U118" s="98">
        <v>5</v>
      </c>
      <c r="V118" s="65">
        <f t="shared" si="78"/>
        <v>1</v>
      </c>
      <c r="W118" s="98">
        <v>77</v>
      </c>
      <c r="X118" s="98">
        <v>77</v>
      </c>
      <c r="Y118" s="65">
        <f t="shared" si="79"/>
        <v>1</v>
      </c>
      <c r="Z118" s="64">
        <f t="shared" si="66"/>
        <v>82</v>
      </c>
      <c r="AA118" s="64">
        <f t="shared" si="67"/>
        <v>82</v>
      </c>
      <c r="AB118" s="65">
        <f t="shared" si="58"/>
        <v>1</v>
      </c>
      <c r="AC118" s="139"/>
      <c r="AD118" s="139"/>
      <c r="AE118" s="37" t="str">
        <f t="shared" si="80"/>
        <v>-</v>
      </c>
      <c r="AF118" s="44" t="s">
        <v>19</v>
      </c>
      <c r="AG118" s="44" t="s">
        <v>19</v>
      </c>
      <c r="AH118" s="44" t="str">
        <f t="shared" si="81"/>
        <v>-</v>
      </c>
      <c r="AI118" s="121" t="s">
        <v>19</v>
      </c>
      <c r="AJ118" s="121" t="s">
        <v>19</v>
      </c>
      <c r="AK118" s="37" t="str">
        <f t="shared" si="68"/>
        <v>-</v>
      </c>
      <c r="AL118" s="36">
        <f t="shared" si="70"/>
        <v>0</v>
      </c>
      <c r="AM118" s="36">
        <f t="shared" si="71"/>
        <v>0</v>
      </c>
      <c r="AN118" s="36">
        <f t="shared" si="72"/>
        <v>0</v>
      </c>
      <c r="AO118" s="201">
        <v>4</v>
      </c>
      <c r="AP118" s="201">
        <v>10</v>
      </c>
      <c r="AQ118" s="21">
        <f t="shared" si="82"/>
        <v>0.4</v>
      </c>
      <c r="AR118" s="201">
        <v>139</v>
      </c>
      <c r="AS118" s="201">
        <v>154</v>
      </c>
      <c r="AT118" s="21">
        <f t="shared" si="83"/>
        <v>0.90259740259740262</v>
      </c>
      <c r="AU118" s="70"/>
      <c r="AV118" s="70"/>
      <c r="AW118" s="37" t="str">
        <f t="shared" si="84"/>
        <v>-</v>
      </c>
      <c r="AX118" s="170"/>
      <c r="AY118" s="169"/>
      <c r="AZ118" s="169"/>
      <c r="BA118" s="169"/>
      <c r="BB118" s="169"/>
      <c r="BC118" s="169"/>
    </row>
    <row r="119" spans="1:55" ht="14.25" customHeight="1">
      <c r="A119" s="12" t="s">
        <v>78</v>
      </c>
      <c r="B119" s="98">
        <v>396</v>
      </c>
      <c r="C119" s="98">
        <v>419</v>
      </c>
      <c r="D119" s="65">
        <f t="shared" si="73"/>
        <v>0.94510739856801906</v>
      </c>
      <c r="E119" s="99">
        <v>334</v>
      </c>
      <c r="F119" s="99">
        <v>419</v>
      </c>
      <c r="G119" s="67">
        <f t="shared" si="59"/>
        <v>0.79713603818615753</v>
      </c>
      <c r="H119" s="98">
        <v>341</v>
      </c>
      <c r="I119" s="98">
        <v>407</v>
      </c>
      <c r="J119" s="65">
        <f t="shared" si="74"/>
        <v>0.83783783783783783</v>
      </c>
      <c r="K119" s="66">
        <f t="shared" si="60"/>
        <v>1690</v>
      </c>
      <c r="L119" s="66">
        <f t="shared" si="61"/>
        <v>1932</v>
      </c>
      <c r="M119" s="67">
        <f t="shared" si="75"/>
        <v>0.87474120082815732</v>
      </c>
      <c r="N119" s="66">
        <f t="shared" si="62"/>
        <v>1821</v>
      </c>
      <c r="O119" s="66">
        <f t="shared" si="63"/>
        <v>1915</v>
      </c>
      <c r="P119" s="67">
        <f t="shared" si="76"/>
        <v>0.95091383812010444</v>
      </c>
      <c r="Q119" s="66">
        <f t="shared" si="64"/>
        <v>3511</v>
      </c>
      <c r="R119" s="66">
        <f t="shared" si="65"/>
        <v>3847</v>
      </c>
      <c r="S119" s="67">
        <f t="shared" si="77"/>
        <v>0.91265921497270597</v>
      </c>
      <c r="T119" s="98">
        <v>33</v>
      </c>
      <c r="U119" s="98">
        <v>33</v>
      </c>
      <c r="V119" s="65">
        <f t="shared" si="78"/>
        <v>1</v>
      </c>
      <c r="W119" s="98">
        <v>354</v>
      </c>
      <c r="X119" s="98">
        <v>354</v>
      </c>
      <c r="Y119" s="65">
        <f t="shared" si="79"/>
        <v>1</v>
      </c>
      <c r="Z119" s="64">
        <f t="shared" si="66"/>
        <v>387</v>
      </c>
      <c r="AA119" s="64">
        <f t="shared" si="67"/>
        <v>387</v>
      </c>
      <c r="AB119" s="65">
        <f t="shared" si="58"/>
        <v>1</v>
      </c>
      <c r="AC119" s="139"/>
      <c r="AD119" s="139"/>
      <c r="AE119" s="37" t="str">
        <f t="shared" si="80"/>
        <v>-</v>
      </c>
      <c r="AF119" s="44" t="s">
        <v>19</v>
      </c>
      <c r="AG119" s="44" t="s">
        <v>19</v>
      </c>
      <c r="AH119" s="44" t="str">
        <f t="shared" si="81"/>
        <v>-</v>
      </c>
      <c r="AI119" s="121" t="s">
        <v>19</v>
      </c>
      <c r="AJ119" s="121" t="s">
        <v>19</v>
      </c>
      <c r="AK119" s="37" t="str">
        <f t="shared" si="68"/>
        <v>-</v>
      </c>
      <c r="AL119" s="36">
        <f t="shared" si="70"/>
        <v>0</v>
      </c>
      <c r="AM119" s="36">
        <f t="shared" si="71"/>
        <v>0</v>
      </c>
      <c r="AN119" s="36">
        <f t="shared" si="72"/>
        <v>0</v>
      </c>
      <c r="AO119" s="201">
        <v>57</v>
      </c>
      <c r="AP119" s="201">
        <v>66</v>
      </c>
      <c r="AQ119" s="21">
        <f t="shared" si="82"/>
        <v>0.86363636363636365</v>
      </c>
      <c r="AR119" s="201">
        <v>666</v>
      </c>
      <c r="AS119" s="201">
        <v>712</v>
      </c>
      <c r="AT119" s="21">
        <f t="shared" si="83"/>
        <v>0.9353932584269663</v>
      </c>
      <c r="AU119" s="70"/>
      <c r="AV119" s="70"/>
      <c r="AW119" s="37" t="str">
        <f t="shared" si="84"/>
        <v>-</v>
      </c>
      <c r="AX119" s="170"/>
      <c r="AY119" s="169"/>
      <c r="AZ119" s="169"/>
      <c r="BA119" s="169"/>
      <c r="BB119" s="169"/>
      <c r="BC119" s="169"/>
    </row>
    <row r="120" spans="1:55" ht="14.25" customHeight="1">
      <c r="A120" s="12" t="s">
        <v>79</v>
      </c>
      <c r="B120" s="98">
        <v>57</v>
      </c>
      <c r="C120" s="98">
        <v>59</v>
      </c>
      <c r="D120" s="65">
        <f t="shared" si="73"/>
        <v>0.96610169491525422</v>
      </c>
      <c r="E120" s="99">
        <v>52</v>
      </c>
      <c r="F120" s="99">
        <v>59</v>
      </c>
      <c r="G120" s="67">
        <f t="shared" si="59"/>
        <v>0.88135593220338981</v>
      </c>
      <c r="H120" s="98">
        <v>46</v>
      </c>
      <c r="I120" s="98">
        <v>53</v>
      </c>
      <c r="J120" s="65">
        <f t="shared" si="74"/>
        <v>0.86792452830188682</v>
      </c>
      <c r="K120" s="66">
        <f t="shared" si="60"/>
        <v>219</v>
      </c>
      <c r="L120" s="66">
        <f t="shared" si="61"/>
        <v>242</v>
      </c>
      <c r="M120" s="67">
        <f t="shared" si="75"/>
        <v>0.9049586776859504</v>
      </c>
      <c r="N120" s="66">
        <f t="shared" si="62"/>
        <v>207</v>
      </c>
      <c r="O120" s="66">
        <f t="shared" si="63"/>
        <v>219</v>
      </c>
      <c r="P120" s="67">
        <f t="shared" si="76"/>
        <v>0.9452054794520548</v>
      </c>
      <c r="Q120" s="66">
        <f t="shared" si="64"/>
        <v>426</v>
      </c>
      <c r="R120" s="66">
        <f t="shared" si="65"/>
        <v>461</v>
      </c>
      <c r="S120" s="67">
        <f t="shared" si="77"/>
        <v>0.92407809110629069</v>
      </c>
      <c r="T120" s="98">
        <v>4</v>
      </c>
      <c r="U120" s="98">
        <v>4</v>
      </c>
      <c r="V120" s="65">
        <f t="shared" si="78"/>
        <v>1</v>
      </c>
      <c r="W120" s="98">
        <v>25</v>
      </c>
      <c r="X120" s="98">
        <v>25</v>
      </c>
      <c r="Y120" s="65">
        <f t="shared" si="79"/>
        <v>1</v>
      </c>
      <c r="Z120" s="64">
        <f t="shared" si="66"/>
        <v>29</v>
      </c>
      <c r="AA120" s="64">
        <f t="shared" si="67"/>
        <v>29</v>
      </c>
      <c r="AB120" s="65">
        <f t="shared" si="58"/>
        <v>1</v>
      </c>
      <c r="AC120" s="139"/>
      <c r="AD120" s="139"/>
      <c r="AE120" s="37" t="str">
        <f t="shared" si="80"/>
        <v>-</v>
      </c>
      <c r="AF120" s="44" t="s">
        <v>19</v>
      </c>
      <c r="AG120" s="44" t="s">
        <v>19</v>
      </c>
      <c r="AH120" s="44" t="str">
        <f t="shared" si="81"/>
        <v>-</v>
      </c>
      <c r="AI120" s="201">
        <v>189</v>
      </c>
      <c r="AJ120" s="201">
        <v>265</v>
      </c>
      <c r="AK120" s="21">
        <f t="shared" si="68"/>
        <v>0.71320754716981127</v>
      </c>
      <c r="AL120" s="36">
        <f t="shared" si="70"/>
        <v>0</v>
      </c>
      <c r="AM120" s="36">
        <f t="shared" si="71"/>
        <v>0</v>
      </c>
      <c r="AN120" s="36">
        <f t="shared" si="72"/>
        <v>0</v>
      </c>
      <c r="AO120" s="201">
        <v>6</v>
      </c>
      <c r="AP120" s="201">
        <v>8</v>
      </c>
      <c r="AQ120" s="21">
        <f t="shared" si="82"/>
        <v>0.75</v>
      </c>
      <c r="AR120" s="201">
        <v>46</v>
      </c>
      <c r="AS120" s="201">
        <v>50</v>
      </c>
      <c r="AT120" s="21">
        <f t="shared" si="83"/>
        <v>0.92</v>
      </c>
      <c r="AU120" s="70"/>
      <c r="AV120" s="70"/>
      <c r="AW120" s="37" t="str">
        <f t="shared" si="84"/>
        <v>-</v>
      </c>
      <c r="AX120" s="170"/>
      <c r="AY120" s="169"/>
      <c r="AZ120" s="169"/>
      <c r="BA120" s="169"/>
      <c r="BB120" s="169"/>
      <c r="BC120" s="169"/>
    </row>
    <row r="121" spans="1:55" ht="14.25" customHeight="1">
      <c r="A121" s="12" t="s">
        <v>80</v>
      </c>
      <c r="B121" s="98">
        <v>50</v>
      </c>
      <c r="C121" s="98">
        <v>55</v>
      </c>
      <c r="D121" s="65">
        <f t="shared" si="73"/>
        <v>0.90909090909090906</v>
      </c>
      <c r="E121" s="99">
        <v>47</v>
      </c>
      <c r="F121" s="99">
        <v>55</v>
      </c>
      <c r="G121" s="67">
        <f t="shared" si="59"/>
        <v>0.8545454545454545</v>
      </c>
      <c r="H121" s="98">
        <v>53</v>
      </c>
      <c r="I121" s="98">
        <v>59</v>
      </c>
      <c r="J121" s="65">
        <f t="shared" si="74"/>
        <v>0.89830508474576276</v>
      </c>
      <c r="K121" s="66">
        <f t="shared" si="60"/>
        <v>224</v>
      </c>
      <c r="L121" s="66">
        <f t="shared" si="61"/>
        <v>262</v>
      </c>
      <c r="M121" s="67">
        <f t="shared" si="75"/>
        <v>0.85496183206106868</v>
      </c>
      <c r="N121" s="66">
        <f t="shared" si="62"/>
        <v>239</v>
      </c>
      <c r="O121" s="66">
        <f t="shared" si="63"/>
        <v>254</v>
      </c>
      <c r="P121" s="67">
        <f t="shared" si="76"/>
        <v>0.94094488188976377</v>
      </c>
      <c r="Q121" s="66">
        <f t="shared" si="64"/>
        <v>463</v>
      </c>
      <c r="R121" s="66">
        <f t="shared" si="65"/>
        <v>516</v>
      </c>
      <c r="S121" s="67">
        <f t="shared" si="77"/>
        <v>0.8972868217054264</v>
      </c>
      <c r="T121" s="98">
        <v>1</v>
      </c>
      <c r="U121" s="98">
        <v>1</v>
      </c>
      <c r="V121" s="65">
        <f t="shared" si="78"/>
        <v>1</v>
      </c>
      <c r="W121" s="98">
        <v>44</v>
      </c>
      <c r="X121" s="98">
        <v>44</v>
      </c>
      <c r="Y121" s="65">
        <f t="shared" si="79"/>
        <v>1</v>
      </c>
      <c r="Z121" s="64">
        <f t="shared" si="66"/>
        <v>45</v>
      </c>
      <c r="AA121" s="64">
        <f t="shared" si="67"/>
        <v>45</v>
      </c>
      <c r="AB121" s="65">
        <f t="shared" si="58"/>
        <v>1</v>
      </c>
      <c r="AC121" s="139"/>
      <c r="AD121" s="139"/>
      <c r="AE121" s="37" t="str">
        <f t="shared" si="80"/>
        <v>-</v>
      </c>
      <c r="AF121" s="44" t="s">
        <v>19</v>
      </c>
      <c r="AG121" s="44" t="s">
        <v>19</v>
      </c>
      <c r="AH121" s="44" t="str">
        <f t="shared" si="81"/>
        <v>-</v>
      </c>
      <c r="AI121" s="201">
        <v>214</v>
      </c>
      <c r="AJ121" s="201">
        <v>298</v>
      </c>
      <c r="AK121" s="21">
        <f t="shared" si="68"/>
        <v>0.71812080536912748</v>
      </c>
      <c r="AL121" s="36">
        <f t="shared" si="70"/>
        <v>0</v>
      </c>
      <c r="AM121" s="36">
        <f t="shared" si="71"/>
        <v>0</v>
      </c>
      <c r="AN121" s="36">
        <f t="shared" si="72"/>
        <v>0</v>
      </c>
      <c r="AO121" s="201">
        <v>2</v>
      </c>
      <c r="AP121" s="201">
        <v>2</v>
      </c>
      <c r="AQ121" s="21">
        <f t="shared" si="82"/>
        <v>1</v>
      </c>
      <c r="AR121" s="201">
        <v>82</v>
      </c>
      <c r="AS121" s="201">
        <v>88</v>
      </c>
      <c r="AT121" s="21">
        <f t="shared" si="83"/>
        <v>0.93181818181818177</v>
      </c>
      <c r="AU121" s="70"/>
      <c r="AV121" s="70"/>
      <c r="AW121" s="37" t="str">
        <f t="shared" si="84"/>
        <v>-</v>
      </c>
      <c r="AX121" s="170"/>
      <c r="AY121" s="169"/>
      <c r="AZ121" s="169"/>
      <c r="BA121" s="169"/>
      <c r="BB121" s="169"/>
      <c r="BC121" s="169"/>
    </row>
    <row r="122" spans="1:55" ht="14.25" customHeight="1">
      <c r="A122" s="12" t="s">
        <v>81</v>
      </c>
      <c r="B122" s="98">
        <v>55</v>
      </c>
      <c r="C122" s="98">
        <v>61</v>
      </c>
      <c r="D122" s="65">
        <f t="shared" si="73"/>
        <v>0.90163934426229508</v>
      </c>
      <c r="E122" s="99">
        <v>44</v>
      </c>
      <c r="F122" s="99">
        <v>61</v>
      </c>
      <c r="G122" s="67">
        <f t="shared" si="59"/>
        <v>0.72131147540983609</v>
      </c>
      <c r="H122" s="98">
        <v>42</v>
      </c>
      <c r="I122" s="98">
        <v>44</v>
      </c>
      <c r="J122" s="65">
        <f t="shared" si="74"/>
        <v>0.95454545454545459</v>
      </c>
      <c r="K122" s="66">
        <f t="shared" si="60"/>
        <v>159</v>
      </c>
      <c r="L122" s="66">
        <f t="shared" si="61"/>
        <v>168</v>
      </c>
      <c r="M122" s="67">
        <f t="shared" si="75"/>
        <v>0.9464285714285714</v>
      </c>
      <c r="N122" s="66">
        <f t="shared" si="62"/>
        <v>157</v>
      </c>
      <c r="O122" s="66">
        <f t="shared" si="63"/>
        <v>163</v>
      </c>
      <c r="P122" s="67">
        <f t="shared" si="76"/>
        <v>0.96319018404907975</v>
      </c>
      <c r="Q122" s="66">
        <f t="shared" si="64"/>
        <v>316</v>
      </c>
      <c r="R122" s="66">
        <f t="shared" si="65"/>
        <v>331</v>
      </c>
      <c r="S122" s="67">
        <f t="shared" si="77"/>
        <v>0.9546827794561934</v>
      </c>
      <c r="T122" s="94" t="s">
        <v>19</v>
      </c>
      <c r="U122" s="94" t="s">
        <v>19</v>
      </c>
      <c r="V122" s="80" t="str">
        <f t="shared" si="78"/>
        <v>-</v>
      </c>
      <c r="W122" s="98">
        <v>11</v>
      </c>
      <c r="X122" s="98">
        <v>11</v>
      </c>
      <c r="Y122" s="65">
        <f t="shared" si="79"/>
        <v>1</v>
      </c>
      <c r="Z122" s="64">
        <f t="shared" si="66"/>
        <v>11</v>
      </c>
      <c r="AA122" s="64">
        <f t="shared" si="67"/>
        <v>11</v>
      </c>
      <c r="AB122" s="65">
        <f t="shared" si="58"/>
        <v>1</v>
      </c>
      <c r="AC122" s="139"/>
      <c r="AD122" s="139"/>
      <c r="AE122" s="37" t="str">
        <f t="shared" si="80"/>
        <v>-</v>
      </c>
      <c r="AF122" s="44" t="s">
        <v>19</v>
      </c>
      <c r="AG122" s="44" t="s">
        <v>19</v>
      </c>
      <c r="AH122" s="44" t="str">
        <f t="shared" si="81"/>
        <v>-</v>
      </c>
      <c r="AI122" s="201">
        <v>158</v>
      </c>
      <c r="AJ122" s="201">
        <v>240</v>
      </c>
      <c r="AK122" s="21">
        <f t="shared" si="68"/>
        <v>0.65833333333333333</v>
      </c>
      <c r="AL122" s="36">
        <f t="shared" si="70"/>
        <v>0</v>
      </c>
      <c r="AM122" s="36">
        <f t="shared" si="71"/>
        <v>0</v>
      </c>
      <c r="AN122" s="36">
        <f t="shared" si="72"/>
        <v>0</v>
      </c>
      <c r="AO122" s="81" t="s">
        <v>19</v>
      </c>
      <c r="AP122" s="81" t="s">
        <v>19</v>
      </c>
      <c r="AQ122" s="37" t="str">
        <f t="shared" si="82"/>
        <v>-</v>
      </c>
      <c r="AR122" s="201">
        <v>21</v>
      </c>
      <c r="AS122" s="201">
        <v>22</v>
      </c>
      <c r="AT122" s="21">
        <f t="shared" si="83"/>
        <v>0.95454545454545459</v>
      </c>
      <c r="AU122" s="70"/>
      <c r="AV122" s="70"/>
      <c r="AW122" s="37" t="str">
        <f t="shared" si="84"/>
        <v>-</v>
      </c>
      <c r="AX122" s="170"/>
      <c r="AY122" s="169"/>
      <c r="AZ122" s="169"/>
      <c r="BA122" s="169"/>
      <c r="BB122" s="169"/>
      <c r="BC122" s="169"/>
    </row>
    <row r="123" spans="1:55" ht="14.25" customHeight="1">
      <c r="A123" s="12" t="s">
        <v>82</v>
      </c>
      <c r="B123" s="94" t="s">
        <v>19</v>
      </c>
      <c r="C123" s="94" t="s">
        <v>19</v>
      </c>
      <c r="D123" s="80" t="str">
        <f t="shared" si="73"/>
        <v>-</v>
      </c>
      <c r="E123" s="96" t="s">
        <v>19</v>
      </c>
      <c r="F123" s="96" t="s">
        <v>19</v>
      </c>
      <c r="G123" s="83" t="str">
        <f t="shared" si="59"/>
        <v>-</v>
      </c>
      <c r="H123" s="94" t="s">
        <v>19</v>
      </c>
      <c r="I123" s="94" t="s">
        <v>19</v>
      </c>
      <c r="J123" s="80" t="str">
        <f t="shared" si="74"/>
        <v>-</v>
      </c>
      <c r="K123" s="66">
        <f t="shared" si="60"/>
        <v>0</v>
      </c>
      <c r="L123" s="66">
        <f t="shared" si="61"/>
        <v>0</v>
      </c>
      <c r="M123" s="83" t="str">
        <f t="shared" si="75"/>
        <v>-</v>
      </c>
      <c r="N123" s="66">
        <f t="shared" si="62"/>
        <v>0</v>
      </c>
      <c r="O123" s="66">
        <f t="shared" si="63"/>
        <v>0</v>
      </c>
      <c r="P123" s="83" t="str">
        <f t="shared" si="76"/>
        <v>-</v>
      </c>
      <c r="Q123" s="66">
        <f t="shared" si="64"/>
        <v>0</v>
      </c>
      <c r="R123" s="66">
        <f t="shared" si="65"/>
        <v>0</v>
      </c>
      <c r="S123" s="83" t="str">
        <f t="shared" si="77"/>
        <v>-</v>
      </c>
      <c r="T123" s="94" t="s">
        <v>19</v>
      </c>
      <c r="U123" s="94" t="s">
        <v>19</v>
      </c>
      <c r="V123" s="80" t="str">
        <f t="shared" si="78"/>
        <v>-</v>
      </c>
      <c r="W123" s="98">
        <v>1</v>
      </c>
      <c r="X123" s="98">
        <v>1</v>
      </c>
      <c r="Y123" s="65">
        <f t="shared" si="79"/>
        <v>1</v>
      </c>
      <c r="Z123" s="64">
        <f t="shared" si="66"/>
        <v>1</v>
      </c>
      <c r="AA123" s="64">
        <f t="shared" si="67"/>
        <v>1</v>
      </c>
      <c r="AB123" s="65">
        <f t="shared" si="58"/>
        <v>1</v>
      </c>
      <c r="AC123" s="81" t="s">
        <v>19</v>
      </c>
      <c r="AD123" s="81" t="s">
        <v>19</v>
      </c>
      <c r="AE123" s="37" t="str">
        <f t="shared" si="80"/>
        <v>-</v>
      </c>
      <c r="AF123" s="44" t="s">
        <v>19</v>
      </c>
      <c r="AG123" s="44" t="s">
        <v>19</v>
      </c>
      <c r="AH123" s="44" t="str">
        <f t="shared" si="81"/>
        <v>-</v>
      </c>
      <c r="AI123" s="121" t="s">
        <v>19</v>
      </c>
      <c r="AJ123" s="121" t="s">
        <v>19</v>
      </c>
      <c r="AK123" s="37" t="str">
        <f t="shared" si="68"/>
        <v>-</v>
      </c>
      <c r="AL123" s="36">
        <f t="shared" si="70"/>
        <v>0</v>
      </c>
      <c r="AM123" s="36">
        <f t="shared" si="71"/>
        <v>0</v>
      </c>
      <c r="AN123" s="36">
        <f t="shared" si="72"/>
        <v>0</v>
      </c>
      <c r="AO123" s="81" t="s">
        <v>19</v>
      </c>
      <c r="AP123" s="81" t="s">
        <v>19</v>
      </c>
      <c r="AQ123" s="37" t="str">
        <f t="shared" si="82"/>
        <v>-</v>
      </c>
      <c r="AR123" s="201">
        <v>2</v>
      </c>
      <c r="AS123" s="201">
        <v>2</v>
      </c>
      <c r="AT123" s="21">
        <f t="shared" si="83"/>
        <v>1</v>
      </c>
      <c r="AU123" s="70"/>
      <c r="AV123" s="70"/>
      <c r="AW123" s="37" t="str">
        <f t="shared" si="84"/>
        <v>-</v>
      </c>
      <c r="AX123" s="170"/>
      <c r="AY123" s="169"/>
      <c r="AZ123" s="169"/>
      <c r="BA123" s="169"/>
      <c r="BB123" s="169"/>
      <c r="BC123" s="169"/>
    </row>
    <row r="124" spans="1:55" ht="14.25" customHeight="1">
      <c r="A124" s="12" t="s">
        <v>83</v>
      </c>
      <c r="B124" s="98">
        <v>29</v>
      </c>
      <c r="C124" s="98">
        <v>41</v>
      </c>
      <c r="D124" s="65">
        <f t="shared" si="73"/>
        <v>0.70731707317073167</v>
      </c>
      <c r="E124" s="99">
        <v>30</v>
      </c>
      <c r="F124" s="99">
        <v>41</v>
      </c>
      <c r="G124" s="67">
        <f t="shared" si="59"/>
        <v>0.73170731707317072</v>
      </c>
      <c r="H124" s="98">
        <v>11</v>
      </c>
      <c r="I124" s="98">
        <v>39</v>
      </c>
      <c r="J124" s="65">
        <f t="shared" si="74"/>
        <v>0.28205128205128205</v>
      </c>
      <c r="K124" s="66">
        <f t="shared" si="60"/>
        <v>28</v>
      </c>
      <c r="L124" s="66">
        <f t="shared" si="61"/>
        <v>88</v>
      </c>
      <c r="M124" s="67">
        <f t="shared" si="75"/>
        <v>0.31818181818181818</v>
      </c>
      <c r="N124" s="66">
        <f t="shared" si="62"/>
        <v>26</v>
      </c>
      <c r="O124" s="66">
        <f t="shared" si="63"/>
        <v>87</v>
      </c>
      <c r="P124" s="67">
        <f t="shared" si="76"/>
        <v>0.2988505747126437</v>
      </c>
      <c r="Q124" s="66">
        <f t="shared" si="64"/>
        <v>54</v>
      </c>
      <c r="R124" s="66">
        <f t="shared" si="65"/>
        <v>175</v>
      </c>
      <c r="S124" s="67">
        <f t="shared" si="77"/>
        <v>0.30857142857142855</v>
      </c>
      <c r="T124" s="94" t="s">
        <v>19</v>
      </c>
      <c r="U124" s="94" t="s">
        <v>19</v>
      </c>
      <c r="V124" s="80" t="str">
        <f t="shared" si="78"/>
        <v>-</v>
      </c>
      <c r="W124" s="200">
        <v>35</v>
      </c>
      <c r="X124" s="200">
        <v>35</v>
      </c>
      <c r="Y124" s="65">
        <f t="shared" si="79"/>
        <v>1</v>
      </c>
      <c r="Z124" s="64">
        <f t="shared" si="66"/>
        <v>35</v>
      </c>
      <c r="AA124" s="64">
        <f t="shared" si="67"/>
        <v>35</v>
      </c>
      <c r="AB124" s="65">
        <f t="shared" si="58"/>
        <v>1</v>
      </c>
      <c r="AC124" s="139"/>
      <c r="AD124" s="139"/>
      <c r="AE124" s="37" t="str">
        <f t="shared" si="80"/>
        <v>-</v>
      </c>
      <c r="AF124" s="44" t="s">
        <v>19</v>
      </c>
      <c r="AG124" s="44" t="s">
        <v>19</v>
      </c>
      <c r="AH124" s="44" t="str">
        <f t="shared" si="81"/>
        <v>-</v>
      </c>
      <c r="AI124" s="201">
        <v>46</v>
      </c>
      <c r="AJ124" s="201">
        <v>64</v>
      </c>
      <c r="AK124" s="21">
        <f t="shared" si="68"/>
        <v>0.71875</v>
      </c>
      <c r="AL124" s="36">
        <f t="shared" si="70"/>
        <v>0</v>
      </c>
      <c r="AM124" s="36">
        <f t="shared" si="71"/>
        <v>0</v>
      </c>
      <c r="AN124" s="36">
        <f t="shared" si="72"/>
        <v>0</v>
      </c>
      <c r="AO124" s="81" t="s">
        <v>19</v>
      </c>
      <c r="AP124" s="81" t="s">
        <v>19</v>
      </c>
      <c r="AQ124" s="37" t="str">
        <f t="shared" si="82"/>
        <v>-</v>
      </c>
      <c r="AR124" s="201">
        <v>100</v>
      </c>
      <c r="AS124" s="201">
        <v>110</v>
      </c>
      <c r="AT124" s="21">
        <f t="shared" si="83"/>
        <v>0.90909090909090906</v>
      </c>
      <c r="AU124" s="70"/>
      <c r="AV124" s="70"/>
      <c r="AW124" s="37" t="str">
        <f t="shared" si="84"/>
        <v>-</v>
      </c>
      <c r="AX124" s="170"/>
      <c r="AY124" s="169"/>
      <c r="AZ124" s="169"/>
      <c r="BA124" s="169"/>
      <c r="BB124" s="169"/>
      <c r="BC124" s="169"/>
    </row>
    <row r="125" spans="1:55" ht="14.25" customHeight="1">
      <c r="A125" s="12" t="s">
        <v>84</v>
      </c>
      <c r="B125" s="98">
        <v>63</v>
      </c>
      <c r="C125" s="98">
        <v>68</v>
      </c>
      <c r="D125" s="65">
        <f t="shared" si="73"/>
        <v>0.92647058823529416</v>
      </c>
      <c r="E125" s="99">
        <v>62</v>
      </c>
      <c r="F125" s="99">
        <v>68</v>
      </c>
      <c r="G125" s="67">
        <f t="shared" si="59"/>
        <v>0.91176470588235292</v>
      </c>
      <c r="H125" s="98">
        <v>61</v>
      </c>
      <c r="I125" s="98">
        <v>68</v>
      </c>
      <c r="J125" s="65">
        <f t="shared" si="74"/>
        <v>0.8970588235294118</v>
      </c>
      <c r="K125" s="66">
        <f t="shared" si="60"/>
        <v>228</v>
      </c>
      <c r="L125" s="66">
        <f t="shared" si="61"/>
        <v>251</v>
      </c>
      <c r="M125" s="67">
        <f t="shared" si="75"/>
        <v>0.9083665338645418</v>
      </c>
      <c r="N125" s="66">
        <f t="shared" si="62"/>
        <v>218</v>
      </c>
      <c r="O125" s="66">
        <f t="shared" si="63"/>
        <v>226</v>
      </c>
      <c r="P125" s="67">
        <f t="shared" si="76"/>
        <v>0.96460176991150437</v>
      </c>
      <c r="Q125" s="66">
        <f t="shared" si="64"/>
        <v>446</v>
      </c>
      <c r="R125" s="66">
        <f t="shared" si="65"/>
        <v>477</v>
      </c>
      <c r="S125" s="67">
        <f t="shared" si="77"/>
        <v>0.93501048218029348</v>
      </c>
      <c r="T125" s="94" t="s">
        <v>19</v>
      </c>
      <c r="U125" s="94" t="s">
        <v>19</v>
      </c>
      <c r="V125" s="80" t="str">
        <f t="shared" si="78"/>
        <v>-</v>
      </c>
      <c r="W125" s="98">
        <v>28</v>
      </c>
      <c r="X125" s="98">
        <v>28</v>
      </c>
      <c r="Y125" s="65">
        <f t="shared" si="79"/>
        <v>1</v>
      </c>
      <c r="Z125" s="64">
        <f t="shared" si="66"/>
        <v>28</v>
      </c>
      <c r="AA125" s="64">
        <f t="shared" si="67"/>
        <v>28</v>
      </c>
      <c r="AB125" s="65">
        <f t="shared" si="58"/>
        <v>1</v>
      </c>
      <c r="AC125" s="139"/>
      <c r="AD125" s="139"/>
      <c r="AE125" s="37" t="str">
        <f t="shared" si="80"/>
        <v>-</v>
      </c>
      <c r="AF125" s="44" t="s">
        <v>19</v>
      </c>
      <c r="AG125" s="44" t="s">
        <v>19</v>
      </c>
      <c r="AH125" s="44" t="str">
        <f t="shared" si="81"/>
        <v>-</v>
      </c>
      <c r="AI125" s="201">
        <v>276</v>
      </c>
      <c r="AJ125" s="201">
        <v>348</v>
      </c>
      <c r="AK125" s="21">
        <f t="shared" si="68"/>
        <v>0.7931034482758621</v>
      </c>
      <c r="AL125" s="36">
        <f t="shared" si="70"/>
        <v>0</v>
      </c>
      <c r="AM125" s="36">
        <f t="shared" si="71"/>
        <v>0</v>
      </c>
      <c r="AN125" s="36">
        <f t="shared" si="72"/>
        <v>0</v>
      </c>
      <c r="AO125" s="81" t="s">
        <v>19</v>
      </c>
      <c r="AP125" s="81" t="s">
        <v>19</v>
      </c>
      <c r="AQ125" s="37" t="str">
        <f t="shared" si="82"/>
        <v>-</v>
      </c>
      <c r="AR125" s="201">
        <v>55</v>
      </c>
      <c r="AS125" s="201">
        <v>56</v>
      </c>
      <c r="AT125" s="21">
        <f t="shared" si="83"/>
        <v>0.9821428571428571</v>
      </c>
      <c r="AU125" s="70"/>
      <c r="AV125" s="70"/>
      <c r="AW125" s="37" t="str">
        <f t="shared" si="84"/>
        <v>-</v>
      </c>
      <c r="AX125" s="170"/>
      <c r="AY125" s="169"/>
      <c r="AZ125" s="169"/>
      <c r="BA125" s="169"/>
      <c r="BB125" s="169"/>
      <c r="BC125" s="169"/>
    </row>
    <row r="126" spans="1:55" ht="14.25" customHeight="1">
      <c r="A126" s="12" t="s">
        <v>85</v>
      </c>
      <c r="B126" s="98">
        <v>88</v>
      </c>
      <c r="C126" s="98">
        <v>121</v>
      </c>
      <c r="D126" s="65">
        <f t="shared" si="73"/>
        <v>0.72727272727272729</v>
      </c>
      <c r="E126" s="99">
        <v>106</v>
      </c>
      <c r="F126" s="99">
        <v>128</v>
      </c>
      <c r="G126" s="67">
        <f t="shared" si="59"/>
        <v>0.828125</v>
      </c>
      <c r="H126" s="98">
        <v>46</v>
      </c>
      <c r="I126" s="98">
        <v>84</v>
      </c>
      <c r="J126" s="65">
        <f t="shared" si="74"/>
        <v>0.54761904761904767</v>
      </c>
      <c r="K126" s="66">
        <f t="shared" si="60"/>
        <v>251</v>
      </c>
      <c r="L126" s="66">
        <f t="shared" si="61"/>
        <v>283</v>
      </c>
      <c r="M126" s="67">
        <f t="shared" si="75"/>
        <v>0.88692579505300351</v>
      </c>
      <c r="N126" s="66">
        <f t="shared" si="62"/>
        <v>293</v>
      </c>
      <c r="O126" s="66">
        <f t="shared" si="63"/>
        <v>335</v>
      </c>
      <c r="P126" s="67">
        <f t="shared" si="76"/>
        <v>0.87462686567164183</v>
      </c>
      <c r="Q126" s="66">
        <f t="shared" si="64"/>
        <v>544</v>
      </c>
      <c r="R126" s="66">
        <f t="shared" si="65"/>
        <v>618</v>
      </c>
      <c r="S126" s="67">
        <f t="shared" si="77"/>
        <v>0.88025889967637538</v>
      </c>
      <c r="T126" s="200">
        <v>45</v>
      </c>
      <c r="U126" s="200">
        <v>45</v>
      </c>
      <c r="V126" s="65">
        <f t="shared" si="78"/>
        <v>1</v>
      </c>
      <c r="W126" s="98">
        <v>60</v>
      </c>
      <c r="X126" s="98">
        <v>60</v>
      </c>
      <c r="Y126" s="65">
        <f t="shared" si="79"/>
        <v>1</v>
      </c>
      <c r="Z126" s="64">
        <f t="shared" si="66"/>
        <v>105</v>
      </c>
      <c r="AA126" s="64">
        <f t="shared" si="67"/>
        <v>105</v>
      </c>
      <c r="AB126" s="65">
        <f t="shared" si="58"/>
        <v>1</v>
      </c>
      <c r="AC126" s="139"/>
      <c r="AD126" s="139"/>
      <c r="AE126" s="37" t="str">
        <f t="shared" si="80"/>
        <v>-</v>
      </c>
      <c r="AF126" s="44" t="s">
        <v>19</v>
      </c>
      <c r="AG126" s="44" t="s">
        <v>19</v>
      </c>
      <c r="AH126" s="44" t="str">
        <f t="shared" si="81"/>
        <v>-</v>
      </c>
      <c r="AI126" s="201">
        <v>216</v>
      </c>
      <c r="AJ126" s="201">
        <v>252</v>
      </c>
      <c r="AK126" s="21">
        <f t="shared" si="68"/>
        <v>0.8571428571428571</v>
      </c>
      <c r="AL126" s="36">
        <f t="shared" si="70"/>
        <v>0</v>
      </c>
      <c r="AM126" s="36">
        <f t="shared" si="71"/>
        <v>0</v>
      </c>
      <c r="AN126" s="36">
        <f t="shared" si="72"/>
        <v>0</v>
      </c>
      <c r="AO126" s="201">
        <v>83</v>
      </c>
      <c r="AP126" s="201">
        <v>90</v>
      </c>
      <c r="AQ126" s="21">
        <f t="shared" si="82"/>
        <v>0.92222222222222228</v>
      </c>
      <c r="AR126" s="201">
        <v>114</v>
      </c>
      <c r="AS126" s="201">
        <v>120</v>
      </c>
      <c r="AT126" s="21">
        <f t="shared" si="83"/>
        <v>0.95</v>
      </c>
      <c r="AU126" s="70"/>
      <c r="AV126" s="70"/>
      <c r="AW126" s="37" t="str">
        <f t="shared" si="84"/>
        <v>-</v>
      </c>
      <c r="AX126" s="170"/>
      <c r="AY126" s="169"/>
      <c r="AZ126" s="169"/>
      <c r="BA126" s="169"/>
      <c r="BB126" s="169"/>
      <c r="BC126" s="169"/>
    </row>
    <row r="127" spans="1:55" ht="14.25" customHeight="1">
      <c r="A127" s="12" t="s">
        <v>86</v>
      </c>
      <c r="B127" s="94" t="s">
        <v>19</v>
      </c>
      <c r="C127" s="94" t="s">
        <v>19</v>
      </c>
      <c r="D127" s="80" t="str">
        <f t="shared" si="73"/>
        <v>-</v>
      </c>
      <c r="E127" s="96" t="s">
        <v>19</v>
      </c>
      <c r="F127" s="96" t="s">
        <v>19</v>
      </c>
      <c r="G127" s="83" t="str">
        <f t="shared" si="59"/>
        <v>-</v>
      </c>
      <c r="H127" s="94" t="s">
        <v>19</v>
      </c>
      <c r="I127" s="94" t="s">
        <v>19</v>
      </c>
      <c r="J127" s="80" t="str">
        <f t="shared" si="74"/>
        <v>-</v>
      </c>
      <c r="K127" s="66">
        <f t="shared" si="60"/>
        <v>3</v>
      </c>
      <c r="L127" s="66">
        <f t="shared" si="61"/>
        <v>3</v>
      </c>
      <c r="M127" s="67">
        <f t="shared" si="75"/>
        <v>1</v>
      </c>
      <c r="N127" s="66">
        <f t="shared" si="62"/>
        <v>2</v>
      </c>
      <c r="O127" s="66">
        <f t="shared" si="63"/>
        <v>2</v>
      </c>
      <c r="P127" s="67">
        <f t="shared" si="76"/>
        <v>1</v>
      </c>
      <c r="Q127" s="66">
        <f t="shared" si="64"/>
        <v>5</v>
      </c>
      <c r="R127" s="66">
        <f t="shared" si="65"/>
        <v>5</v>
      </c>
      <c r="S127" s="67">
        <f t="shared" si="77"/>
        <v>1</v>
      </c>
      <c r="T127" s="94" t="s">
        <v>19</v>
      </c>
      <c r="U127" s="94" t="s">
        <v>19</v>
      </c>
      <c r="V127" s="80" t="str">
        <f t="shared" si="78"/>
        <v>-</v>
      </c>
      <c r="W127" s="200">
        <v>1</v>
      </c>
      <c r="X127" s="200">
        <v>1</v>
      </c>
      <c r="Y127" s="65">
        <f t="shared" si="79"/>
        <v>1</v>
      </c>
      <c r="Z127" s="64">
        <f t="shared" si="66"/>
        <v>1</v>
      </c>
      <c r="AA127" s="64">
        <f t="shared" si="67"/>
        <v>1</v>
      </c>
      <c r="AB127" s="65">
        <f t="shared" si="58"/>
        <v>1</v>
      </c>
      <c r="AC127" s="81" t="s">
        <v>19</v>
      </c>
      <c r="AD127" s="81" t="s">
        <v>19</v>
      </c>
      <c r="AE127" s="37" t="str">
        <f t="shared" si="80"/>
        <v>-</v>
      </c>
      <c r="AF127" s="44" t="s">
        <v>19</v>
      </c>
      <c r="AG127" s="44" t="s">
        <v>19</v>
      </c>
      <c r="AH127" s="44" t="str">
        <f t="shared" si="81"/>
        <v>-</v>
      </c>
      <c r="AI127" s="121" t="s">
        <v>19</v>
      </c>
      <c r="AJ127" s="121" t="s">
        <v>19</v>
      </c>
      <c r="AK127" s="37" t="str">
        <f t="shared" si="68"/>
        <v>-</v>
      </c>
      <c r="AL127" s="36">
        <f t="shared" si="70"/>
        <v>0</v>
      </c>
      <c r="AM127" s="36">
        <f t="shared" si="71"/>
        <v>0</v>
      </c>
      <c r="AN127" s="36">
        <f t="shared" si="72"/>
        <v>0</v>
      </c>
      <c r="AO127" s="121" t="s">
        <v>19</v>
      </c>
      <c r="AP127" s="121" t="s">
        <v>19</v>
      </c>
      <c r="AQ127" s="37" t="str">
        <f t="shared" si="82"/>
        <v>-</v>
      </c>
      <c r="AR127" s="201">
        <v>2</v>
      </c>
      <c r="AS127" s="201">
        <v>2</v>
      </c>
      <c r="AT127" s="21">
        <f t="shared" si="83"/>
        <v>1</v>
      </c>
      <c r="AU127" s="70"/>
      <c r="AV127" s="70"/>
      <c r="AW127" s="37" t="str">
        <f t="shared" si="84"/>
        <v>-</v>
      </c>
      <c r="AX127" s="170"/>
      <c r="AY127" s="169"/>
      <c r="AZ127" s="169"/>
      <c r="BA127" s="169"/>
      <c r="BB127" s="169"/>
      <c r="BC127" s="169"/>
    </row>
    <row r="128" spans="1:55" ht="14.25" customHeight="1">
      <c r="A128" s="12" t="s">
        <v>87</v>
      </c>
      <c r="B128" s="98">
        <v>52</v>
      </c>
      <c r="C128" s="98">
        <v>57</v>
      </c>
      <c r="D128" s="65">
        <f t="shared" si="73"/>
        <v>0.91228070175438591</v>
      </c>
      <c r="E128" s="99">
        <v>43</v>
      </c>
      <c r="F128" s="99">
        <v>57</v>
      </c>
      <c r="G128" s="67">
        <f t="shared" si="59"/>
        <v>0.75438596491228072</v>
      </c>
      <c r="H128" s="98">
        <v>48</v>
      </c>
      <c r="I128" s="98">
        <v>54</v>
      </c>
      <c r="J128" s="65">
        <f t="shared" si="74"/>
        <v>0.88888888888888884</v>
      </c>
      <c r="K128" s="66">
        <f t="shared" si="60"/>
        <v>171</v>
      </c>
      <c r="L128" s="66">
        <f t="shared" si="61"/>
        <v>201</v>
      </c>
      <c r="M128" s="67">
        <f t="shared" si="75"/>
        <v>0.85074626865671643</v>
      </c>
      <c r="N128" s="66">
        <f t="shared" si="62"/>
        <v>191</v>
      </c>
      <c r="O128" s="66">
        <f t="shared" si="63"/>
        <v>200</v>
      </c>
      <c r="P128" s="67">
        <f t="shared" si="76"/>
        <v>0.95499999999999996</v>
      </c>
      <c r="Q128" s="66">
        <f t="shared" si="64"/>
        <v>362</v>
      </c>
      <c r="R128" s="66">
        <f t="shared" si="65"/>
        <v>401</v>
      </c>
      <c r="S128" s="67">
        <f t="shared" si="77"/>
        <v>0.90274314214463836</v>
      </c>
      <c r="T128" s="94" t="s">
        <v>19</v>
      </c>
      <c r="U128" s="94" t="s">
        <v>19</v>
      </c>
      <c r="V128" s="80" t="str">
        <f t="shared" si="78"/>
        <v>-</v>
      </c>
      <c r="W128" s="98">
        <v>28</v>
      </c>
      <c r="X128" s="98">
        <v>28</v>
      </c>
      <c r="Y128" s="65">
        <f t="shared" si="79"/>
        <v>1</v>
      </c>
      <c r="Z128" s="64">
        <f t="shared" si="66"/>
        <v>28</v>
      </c>
      <c r="AA128" s="64">
        <f t="shared" si="67"/>
        <v>28</v>
      </c>
      <c r="AB128" s="65">
        <f t="shared" si="58"/>
        <v>1</v>
      </c>
      <c r="AC128" s="139"/>
      <c r="AD128" s="139"/>
      <c r="AE128" s="37" t="str">
        <f t="shared" si="80"/>
        <v>-</v>
      </c>
      <c r="AF128" s="44" t="s">
        <v>19</v>
      </c>
      <c r="AG128" s="44" t="s">
        <v>19</v>
      </c>
      <c r="AH128" s="44" t="str">
        <f t="shared" si="81"/>
        <v>-</v>
      </c>
      <c r="AI128" s="201">
        <v>226</v>
      </c>
      <c r="AJ128" s="201">
        <v>278</v>
      </c>
      <c r="AK128" s="21">
        <f t="shared" si="68"/>
        <v>0.81294964028776984</v>
      </c>
      <c r="AL128" s="36">
        <f t="shared" si="70"/>
        <v>0</v>
      </c>
      <c r="AM128" s="36">
        <f t="shared" si="71"/>
        <v>0</v>
      </c>
      <c r="AN128" s="36">
        <f t="shared" si="72"/>
        <v>0</v>
      </c>
      <c r="AO128" s="121" t="s">
        <v>19</v>
      </c>
      <c r="AP128" s="121" t="s">
        <v>19</v>
      </c>
      <c r="AQ128" s="37" t="str">
        <f t="shared" si="82"/>
        <v>-</v>
      </c>
      <c r="AR128" s="201">
        <v>52</v>
      </c>
      <c r="AS128" s="201">
        <v>56</v>
      </c>
      <c r="AT128" s="21">
        <f t="shared" si="83"/>
        <v>0.9285714285714286</v>
      </c>
      <c r="AU128" s="70"/>
      <c r="AV128" s="70"/>
      <c r="AW128" s="37" t="str">
        <f t="shared" si="84"/>
        <v>-</v>
      </c>
      <c r="AX128" s="170"/>
      <c r="AY128" s="169"/>
      <c r="AZ128" s="169"/>
      <c r="BA128" s="169"/>
      <c r="BB128" s="169"/>
      <c r="BC128" s="169"/>
    </row>
    <row r="129" spans="1:55" ht="14.25" customHeight="1">
      <c r="A129" s="12" t="s">
        <v>88</v>
      </c>
      <c r="B129" s="98">
        <v>107</v>
      </c>
      <c r="C129" s="98">
        <v>109</v>
      </c>
      <c r="D129" s="65">
        <f t="shared" si="73"/>
        <v>0.98165137614678899</v>
      </c>
      <c r="E129" s="99">
        <v>88</v>
      </c>
      <c r="F129" s="99">
        <v>109</v>
      </c>
      <c r="G129" s="67">
        <f t="shared" si="59"/>
        <v>0.80733944954128445</v>
      </c>
      <c r="H129" s="98">
        <v>88</v>
      </c>
      <c r="I129" s="98">
        <v>105</v>
      </c>
      <c r="J129" s="65">
        <f t="shared" si="74"/>
        <v>0.83809523809523812</v>
      </c>
      <c r="K129" s="66">
        <f t="shared" si="60"/>
        <v>311</v>
      </c>
      <c r="L129" s="66">
        <f t="shared" si="61"/>
        <v>355</v>
      </c>
      <c r="M129" s="67">
        <f t="shared" si="75"/>
        <v>0.87605633802816907</v>
      </c>
      <c r="N129" s="66">
        <f t="shared" si="62"/>
        <v>352</v>
      </c>
      <c r="O129" s="66">
        <f t="shared" si="63"/>
        <v>371</v>
      </c>
      <c r="P129" s="67">
        <f t="shared" si="76"/>
        <v>0.94878706199460916</v>
      </c>
      <c r="Q129" s="66">
        <f t="shared" si="64"/>
        <v>663</v>
      </c>
      <c r="R129" s="66">
        <f t="shared" si="65"/>
        <v>726</v>
      </c>
      <c r="S129" s="67">
        <f t="shared" si="77"/>
        <v>0.91322314049586772</v>
      </c>
      <c r="T129" s="200">
        <v>5</v>
      </c>
      <c r="U129" s="200">
        <v>5</v>
      </c>
      <c r="V129" s="65">
        <f t="shared" si="78"/>
        <v>1</v>
      </c>
      <c r="W129" s="98">
        <v>45</v>
      </c>
      <c r="X129" s="98">
        <v>45</v>
      </c>
      <c r="Y129" s="65">
        <f t="shared" si="79"/>
        <v>1</v>
      </c>
      <c r="Z129" s="64">
        <f t="shared" si="66"/>
        <v>50</v>
      </c>
      <c r="AA129" s="64">
        <f t="shared" si="67"/>
        <v>50</v>
      </c>
      <c r="AB129" s="65">
        <f t="shared" si="58"/>
        <v>1</v>
      </c>
      <c r="AC129" s="139"/>
      <c r="AD129" s="139"/>
      <c r="AE129" s="37" t="str">
        <f t="shared" si="80"/>
        <v>-</v>
      </c>
      <c r="AF129" s="44" t="s">
        <v>19</v>
      </c>
      <c r="AG129" s="44" t="s">
        <v>19</v>
      </c>
      <c r="AH129" s="44" t="str">
        <f t="shared" si="81"/>
        <v>-</v>
      </c>
      <c r="AI129" s="201">
        <v>346</v>
      </c>
      <c r="AJ129" s="201">
        <v>509</v>
      </c>
      <c r="AK129" s="21">
        <f t="shared" si="68"/>
        <v>0.67976424361493126</v>
      </c>
      <c r="AL129" s="36">
        <f t="shared" si="70"/>
        <v>0</v>
      </c>
      <c r="AM129" s="36">
        <f t="shared" si="71"/>
        <v>0</v>
      </c>
      <c r="AN129" s="36">
        <f t="shared" si="72"/>
        <v>0</v>
      </c>
      <c r="AO129" s="201">
        <v>7</v>
      </c>
      <c r="AP129" s="201">
        <v>10</v>
      </c>
      <c r="AQ129" s="21">
        <f t="shared" si="82"/>
        <v>0.7</v>
      </c>
      <c r="AR129" s="201">
        <v>81</v>
      </c>
      <c r="AS129" s="201">
        <v>90</v>
      </c>
      <c r="AT129" s="21">
        <f t="shared" si="83"/>
        <v>0.9</v>
      </c>
      <c r="AU129" s="70"/>
      <c r="AV129" s="70"/>
      <c r="AW129" s="37" t="str">
        <f t="shared" si="84"/>
        <v>-</v>
      </c>
      <c r="AX129" s="170"/>
      <c r="AY129" s="169"/>
      <c r="AZ129" s="169"/>
      <c r="BA129" s="169"/>
      <c r="BB129" s="169"/>
      <c r="BC129" s="169"/>
    </row>
    <row r="130" spans="1:55" ht="14.25" customHeight="1">
      <c r="A130" s="12" t="s">
        <v>89</v>
      </c>
      <c r="B130" s="64">
        <f>SUM(B129,B114)</f>
        <v>107</v>
      </c>
      <c r="C130" s="64">
        <f>SUM(C129,C114)</f>
        <v>109</v>
      </c>
      <c r="D130" s="65">
        <f t="shared" si="73"/>
        <v>0.98165137614678899</v>
      </c>
      <c r="E130" s="66">
        <f>SUM(E129,E114)</f>
        <v>88</v>
      </c>
      <c r="F130" s="66">
        <f>SUM(F129,F114)</f>
        <v>109</v>
      </c>
      <c r="G130" s="67">
        <f t="shared" si="59"/>
        <v>0.80733944954128445</v>
      </c>
      <c r="H130" s="64">
        <f>SUM(H129,H114)</f>
        <v>88</v>
      </c>
      <c r="I130" s="64">
        <f>SUM(I129,I114)</f>
        <v>105</v>
      </c>
      <c r="J130" s="65">
        <f t="shared" si="74"/>
        <v>0.83809523809523812</v>
      </c>
      <c r="K130" s="66">
        <f t="shared" si="60"/>
        <v>326</v>
      </c>
      <c r="L130" s="66">
        <f t="shared" si="61"/>
        <v>376</v>
      </c>
      <c r="M130" s="67">
        <f t="shared" si="75"/>
        <v>0.86702127659574468</v>
      </c>
      <c r="N130" s="66">
        <f t="shared" si="62"/>
        <v>364</v>
      </c>
      <c r="O130" s="66">
        <f t="shared" si="63"/>
        <v>383</v>
      </c>
      <c r="P130" s="67">
        <f t="shared" si="76"/>
        <v>0.95039164490861616</v>
      </c>
      <c r="Q130" s="66">
        <f t="shared" si="64"/>
        <v>690</v>
      </c>
      <c r="R130" s="66">
        <f t="shared" si="65"/>
        <v>759</v>
      </c>
      <c r="S130" s="67">
        <f t="shared" si="77"/>
        <v>0.90909090909090906</v>
      </c>
      <c r="T130" s="64">
        <f>SUM(T129,T114)</f>
        <v>12</v>
      </c>
      <c r="U130" s="64">
        <f>SUM(U129,U114)</f>
        <v>12</v>
      </c>
      <c r="V130" s="65">
        <f t="shared" si="78"/>
        <v>1</v>
      </c>
      <c r="W130" s="64">
        <f>SUM(W129,W114)</f>
        <v>51</v>
      </c>
      <c r="X130" s="64">
        <f>SUM(X129,X114)</f>
        <v>51</v>
      </c>
      <c r="Y130" s="65">
        <f t="shared" si="79"/>
        <v>1</v>
      </c>
      <c r="Z130" s="64">
        <f>SUM(Z129,Z114)</f>
        <v>63</v>
      </c>
      <c r="AA130" s="64">
        <f>SUM(AA129,AA114)</f>
        <v>63</v>
      </c>
      <c r="AB130" s="65">
        <f t="shared" si="58"/>
        <v>1</v>
      </c>
      <c r="AC130" s="70">
        <f>SUM(AC129,AC114)</f>
        <v>0</v>
      </c>
      <c r="AD130" s="70">
        <f>SUM(AD129,AD114)</f>
        <v>0</v>
      </c>
      <c r="AE130" s="37" t="str">
        <f t="shared" si="80"/>
        <v>-</v>
      </c>
      <c r="AF130" s="69">
        <f>SUM(AF129,AF114)</f>
        <v>0</v>
      </c>
      <c r="AG130" s="69">
        <f>SUM(AG129,AG114)</f>
        <v>0</v>
      </c>
      <c r="AH130" s="44" t="str">
        <f t="shared" si="81"/>
        <v>-</v>
      </c>
      <c r="AI130" s="70">
        <f>SUM(AI129,AI114)</f>
        <v>346</v>
      </c>
      <c r="AJ130" s="70">
        <f>SUM(AJ129,AJ114)</f>
        <v>509</v>
      </c>
      <c r="AK130" s="21">
        <f t="shared" si="68"/>
        <v>0.67976424361493126</v>
      </c>
      <c r="AL130" s="36">
        <f t="shared" si="70"/>
        <v>0</v>
      </c>
      <c r="AM130" s="36">
        <f t="shared" si="71"/>
        <v>0</v>
      </c>
      <c r="AN130" s="36">
        <f t="shared" si="72"/>
        <v>0</v>
      </c>
      <c r="AO130" s="70">
        <f>SUM(AO129,AO114)</f>
        <v>19</v>
      </c>
      <c r="AP130" s="70">
        <f>SUM(AP129,AP114)</f>
        <v>24</v>
      </c>
      <c r="AQ130" s="21">
        <f t="shared" si="82"/>
        <v>0.79166666666666663</v>
      </c>
      <c r="AR130" s="70">
        <f>SUM(AR129,AR114)</f>
        <v>93</v>
      </c>
      <c r="AS130" s="70">
        <f>SUM(AS129,AS114)</f>
        <v>102</v>
      </c>
      <c r="AT130" s="21">
        <f t="shared" si="83"/>
        <v>0.91176470588235292</v>
      </c>
      <c r="AU130" s="70"/>
      <c r="AV130" s="70"/>
      <c r="AW130" s="37" t="str">
        <f t="shared" si="84"/>
        <v>-</v>
      </c>
      <c r="AX130" s="170"/>
      <c r="AY130" s="169"/>
      <c r="AZ130" s="169"/>
      <c r="BA130" s="169"/>
      <c r="BB130" s="169"/>
      <c r="BC130" s="169"/>
    </row>
    <row r="131" spans="1:55" ht="14.25" customHeight="1">
      <c r="A131" s="12" t="s">
        <v>90</v>
      </c>
      <c r="B131" s="64">
        <f>SUM(B120,B127)</f>
        <v>57</v>
      </c>
      <c r="C131" s="64">
        <f>SUM(C120,C127)</f>
        <v>59</v>
      </c>
      <c r="D131" s="65">
        <f t="shared" si="73"/>
        <v>0.96610169491525422</v>
      </c>
      <c r="E131" s="66">
        <f>SUM(E120,E127)</f>
        <v>52</v>
      </c>
      <c r="F131" s="66">
        <f>SUM(F120,F127)</f>
        <v>59</v>
      </c>
      <c r="G131" s="67">
        <f t="shared" si="59"/>
        <v>0.88135593220338981</v>
      </c>
      <c r="H131" s="64">
        <f>SUM(H120,H127)</f>
        <v>46</v>
      </c>
      <c r="I131" s="64">
        <f>SUM(I120,I127)</f>
        <v>53</v>
      </c>
      <c r="J131" s="65">
        <f t="shared" si="74"/>
        <v>0.86792452830188682</v>
      </c>
      <c r="K131" s="66">
        <f t="shared" si="60"/>
        <v>222</v>
      </c>
      <c r="L131" s="66">
        <f t="shared" si="61"/>
        <v>245</v>
      </c>
      <c r="M131" s="67">
        <f t="shared" si="75"/>
        <v>0.90612244897959182</v>
      </c>
      <c r="N131" s="66">
        <f t="shared" si="62"/>
        <v>209</v>
      </c>
      <c r="O131" s="66">
        <f t="shared" si="63"/>
        <v>221</v>
      </c>
      <c r="P131" s="67">
        <f t="shared" si="76"/>
        <v>0.94570135746606332</v>
      </c>
      <c r="Q131" s="66">
        <f t="shared" si="64"/>
        <v>431</v>
      </c>
      <c r="R131" s="66">
        <f t="shared" si="65"/>
        <v>466</v>
      </c>
      <c r="S131" s="67">
        <f t="shared" si="77"/>
        <v>0.92489270386266098</v>
      </c>
      <c r="T131" s="64">
        <f>SUM(T120,T127)</f>
        <v>4</v>
      </c>
      <c r="U131" s="64">
        <f>SUM(U120,U127)</f>
        <v>4</v>
      </c>
      <c r="V131" s="65">
        <f t="shared" si="78"/>
        <v>1</v>
      </c>
      <c r="W131" s="64">
        <f>SUM(W120,W127)</f>
        <v>26</v>
      </c>
      <c r="X131" s="64">
        <f>SUM(X120,X127)</f>
        <v>26</v>
      </c>
      <c r="Y131" s="65">
        <f t="shared" si="79"/>
        <v>1</v>
      </c>
      <c r="Z131" s="64">
        <f>SUM(Z120,Z127)</f>
        <v>30</v>
      </c>
      <c r="AA131" s="64">
        <f>SUM(AA120,AA127)</f>
        <v>30</v>
      </c>
      <c r="AB131" s="65">
        <f t="shared" si="58"/>
        <v>1</v>
      </c>
      <c r="AC131" s="70">
        <f>SUM(AC120,AC127)</f>
        <v>0</v>
      </c>
      <c r="AD131" s="70">
        <f>SUM(AD120,AD127)</f>
        <v>0</v>
      </c>
      <c r="AE131" s="37" t="str">
        <f t="shared" si="80"/>
        <v>-</v>
      </c>
      <c r="AF131" s="69">
        <f>SUM(AF120,AF127)</f>
        <v>0</v>
      </c>
      <c r="AG131" s="69">
        <f>SUM(AG120,AG127)</f>
        <v>0</v>
      </c>
      <c r="AH131" s="44" t="str">
        <f t="shared" si="81"/>
        <v>-</v>
      </c>
      <c r="AI131" s="70">
        <f>SUM(AI120,AI127)</f>
        <v>189</v>
      </c>
      <c r="AJ131" s="70">
        <f>SUM(AJ120,AJ127)</f>
        <v>265</v>
      </c>
      <c r="AK131" s="21">
        <f t="shared" si="68"/>
        <v>0.71320754716981127</v>
      </c>
      <c r="AL131" s="36">
        <f t="shared" si="70"/>
        <v>0</v>
      </c>
      <c r="AM131" s="36">
        <f t="shared" si="71"/>
        <v>0</v>
      </c>
      <c r="AN131" s="36">
        <f t="shared" si="72"/>
        <v>0</v>
      </c>
      <c r="AO131" s="70">
        <f>SUM(AO120,AO127)</f>
        <v>6</v>
      </c>
      <c r="AP131" s="70">
        <f>SUM(AP120,AP127)</f>
        <v>8</v>
      </c>
      <c r="AQ131" s="21">
        <f t="shared" si="82"/>
        <v>0.75</v>
      </c>
      <c r="AR131" s="70">
        <f>SUM(AR120,AR127)</f>
        <v>48</v>
      </c>
      <c r="AS131" s="70">
        <f>SUM(AS120,AS127)</f>
        <v>52</v>
      </c>
      <c r="AT131" s="21">
        <f t="shared" si="83"/>
        <v>0.92307692307692313</v>
      </c>
      <c r="AU131" s="70"/>
      <c r="AV131" s="70"/>
      <c r="AW131" s="37" t="str">
        <f t="shared" si="84"/>
        <v>-</v>
      </c>
      <c r="AX131" s="170"/>
      <c r="AY131" s="169"/>
      <c r="AZ131" s="169"/>
      <c r="BA131" s="169"/>
      <c r="BB131" s="169"/>
      <c r="BC131" s="169"/>
    </row>
    <row r="132" spans="1:55" ht="14.25" customHeight="1">
      <c r="A132" s="12" t="s">
        <v>91</v>
      </c>
      <c r="B132" s="64">
        <f>SUM(B118,B119,B123)</f>
        <v>477</v>
      </c>
      <c r="C132" s="64">
        <f>SUM(C118,C119,C123)</f>
        <v>506</v>
      </c>
      <c r="D132" s="65">
        <f t="shared" si="73"/>
        <v>0.94268774703557312</v>
      </c>
      <c r="E132" s="66">
        <f>SUM(E118:E119,E123)</f>
        <v>407</v>
      </c>
      <c r="F132" s="66">
        <f>SUM(F118:F119,F123)</f>
        <v>506</v>
      </c>
      <c r="G132" s="67">
        <f t="shared" si="59"/>
        <v>0.80434782608695654</v>
      </c>
      <c r="H132" s="64">
        <f>SUM(H118,H119,H123)</f>
        <v>398</v>
      </c>
      <c r="I132" s="64">
        <f>SUM(I118,I119,I123)</f>
        <v>475</v>
      </c>
      <c r="J132" s="65">
        <f t="shared" si="74"/>
        <v>0.83789473684210525</v>
      </c>
      <c r="K132" s="66">
        <f t="shared" si="60"/>
        <v>1984</v>
      </c>
      <c r="L132" s="66">
        <f t="shared" si="61"/>
        <v>2290</v>
      </c>
      <c r="M132" s="67">
        <f t="shared" si="75"/>
        <v>0.86637554585152843</v>
      </c>
      <c r="N132" s="66">
        <f t="shared" si="62"/>
        <v>2192</v>
      </c>
      <c r="O132" s="66">
        <f t="shared" si="63"/>
        <v>2308</v>
      </c>
      <c r="P132" s="67">
        <f t="shared" si="76"/>
        <v>0.94974003466204504</v>
      </c>
      <c r="Q132" s="66">
        <f t="shared" si="64"/>
        <v>4176</v>
      </c>
      <c r="R132" s="66">
        <f t="shared" si="65"/>
        <v>4598</v>
      </c>
      <c r="S132" s="67">
        <f t="shared" si="77"/>
        <v>0.90822096563723353</v>
      </c>
      <c r="T132" s="64">
        <f>SUM(T118:T119,T123)</f>
        <v>38</v>
      </c>
      <c r="U132" s="64">
        <f>SUM(U118:U119,U123)</f>
        <v>38</v>
      </c>
      <c r="V132" s="65">
        <f t="shared" si="78"/>
        <v>1</v>
      </c>
      <c r="W132" s="64">
        <f>SUM(W118:W119,W123)</f>
        <v>432</v>
      </c>
      <c r="X132" s="64">
        <f>SUM(X118:X119,X123)</f>
        <v>432</v>
      </c>
      <c r="Y132" s="65">
        <f t="shared" si="79"/>
        <v>1</v>
      </c>
      <c r="Z132" s="64">
        <f>SUM(Z118:Z119,Z123)</f>
        <v>470</v>
      </c>
      <c r="AA132" s="64">
        <f>SUM(AA118:AA119,AA123)</f>
        <v>470</v>
      </c>
      <c r="AB132" s="65">
        <f t="shared" si="58"/>
        <v>1</v>
      </c>
      <c r="AC132" s="70">
        <f>SUM(AC118:AC119,AC123)</f>
        <v>0</v>
      </c>
      <c r="AD132" s="70">
        <f>SUM(AD118:AD119,AD123)</f>
        <v>0</v>
      </c>
      <c r="AE132" s="37" t="str">
        <f t="shared" si="80"/>
        <v>-</v>
      </c>
      <c r="AF132" s="69">
        <f>SUM(AF118,AF119,AF123)</f>
        <v>0</v>
      </c>
      <c r="AG132" s="69">
        <f>SUM(AG118,AG119,AG123)</f>
        <v>0</v>
      </c>
      <c r="AH132" s="44" t="str">
        <f t="shared" si="81"/>
        <v>-</v>
      </c>
      <c r="AI132" s="70">
        <f>SUM(AI118,AI119,AI123)</f>
        <v>0</v>
      </c>
      <c r="AJ132" s="70">
        <f>SUM(AJ118,AJ119,AJ123)</f>
        <v>0</v>
      </c>
      <c r="AK132" s="37" t="str">
        <f t="shared" si="68"/>
        <v>-</v>
      </c>
      <c r="AL132" s="36">
        <f t="shared" si="70"/>
        <v>0</v>
      </c>
      <c r="AM132" s="36">
        <f t="shared" si="71"/>
        <v>0</v>
      </c>
      <c r="AN132" s="36">
        <f t="shared" si="72"/>
        <v>0</v>
      </c>
      <c r="AO132" s="70">
        <f>SUM(AO118,AO119,AO123)</f>
        <v>61</v>
      </c>
      <c r="AP132" s="70">
        <f>SUM(AP118,AP119,AP123)</f>
        <v>76</v>
      </c>
      <c r="AQ132" s="21">
        <f t="shared" si="82"/>
        <v>0.80263157894736847</v>
      </c>
      <c r="AR132" s="70">
        <f>SUM(AR118,AR119,AR123)</f>
        <v>807</v>
      </c>
      <c r="AS132" s="70">
        <f>SUM(AS118,AS119,AS123)</f>
        <v>868</v>
      </c>
      <c r="AT132" s="21">
        <f t="shared" si="83"/>
        <v>0.92972350230414746</v>
      </c>
      <c r="AU132" s="70"/>
      <c r="AV132" s="70"/>
      <c r="AW132" s="37" t="str">
        <f t="shared" si="84"/>
        <v>-</v>
      </c>
      <c r="AX132" s="170"/>
      <c r="AY132" s="169"/>
      <c r="AZ132" s="169"/>
      <c r="BA132" s="169"/>
      <c r="BB132" s="169"/>
      <c r="BC132" s="169"/>
    </row>
    <row r="133" spans="1:55" ht="14.25" customHeight="1">
      <c r="A133" s="12" t="s">
        <v>93</v>
      </c>
      <c r="B133" s="84">
        <f>SUM(B111,B117)</f>
        <v>134</v>
      </c>
      <c r="C133" s="84">
        <f>SUM(C111,C117)</f>
        <v>138</v>
      </c>
      <c r="D133" s="65">
        <f t="shared" si="73"/>
        <v>0.97101449275362317</v>
      </c>
      <c r="E133" s="66">
        <f>SUM(E111,E117)</f>
        <v>125</v>
      </c>
      <c r="F133" s="66">
        <f>SUM(F111,F117)</f>
        <v>138</v>
      </c>
      <c r="G133" s="67">
        <f t="shared" si="59"/>
        <v>0.90579710144927539</v>
      </c>
      <c r="H133" s="84">
        <f>SUM(H111,H117)</f>
        <v>115</v>
      </c>
      <c r="I133" s="84">
        <f>SUM(I111,I117)</f>
        <v>131</v>
      </c>
      <c r="J133" s="65">
        <f t="shared" si="74"/>
        <v>0.87786259541984735</v>
      </c>
      <c r="K133" s="66">
        <f t="shared" si="60"/>
        <v>530</v>
      </c>
      <c r="L133" s="66">
        <f t="shared" si="61"/>
        <v>634</v>
      </c>
      <c r="M133" s="67">
        <f t="shared" si="75"/>
        <v>0.83596214511041012</v>
      </c>
      <c r="N133" s="66">
        <f t="shared" si="62"/>
        <v>602</v>
      </c>
      <c r="O133" s="66">
        <f t="shared" si="63"/>
        <v>633</v>
      </c>
      <c r="P133" s="67">
        <f t="shared" si="76"/>
        <v>0.95102685624012639</v>
      </c>
      <c r="Q133" s="66">
        <f t="shared" si="64"/>
        <v>1132</v>
      </c>
      <c r="R133" s="66">
        <f t="shared" si="65"/>
        <v>1267</v>
      </c>
      <c r="S133" s="67">
        <f t="shared" si="77"/>
        <v>0.89344909234411996</v>
      </c>
      <c r="T133" s="64">
        <f>SUM(T111,T117)</f>
        <v>16</v>
      </c>
      <c r="U133" s="64">
        <f>SUM(U111,U117)</f>
        <v>16</v>
      </c>
      <c r="V133" s="65">
        <f t="shared" si="78"/>
        <v>1</v>
      </c>
      <c r="W133" s="64">
        <f>SUM(W111,W117)</f>
        <v>135</v>
      </c>
      <c r="X133" s="64">
        <f>SUM(X111,X117)</f>
        <v>135</v>
      </c>
      <c r="Y133" s="65">
        <f t="shared" si="79"/>
        <v>1</v>
      </c>
      <c r="Z133" s="64">
        <f>SUM(Z111,Z117)</f>
        <v>151</v>
      </c>
      <c r="AA133" s="64">
        <f>SUM(AA111,AA117)</f>
        <v>151</v>
      </c>
      <c r="AB133" s="65">
        <f t="shared" si="58"/>
        <v>1</v>
      </c>
      <c r="AC133" s="70">
        <f>SUM(AC111,AC117)</f>
        <v>0</v>
      </c>
      <c r="AD133" s="70">
        <f>SUM(AD111,AD117)</f>
        <v>0</v>
      </c>
      <c r="AE133" s="37" t="str">
        <f t="shared" si="80"/>
        <v>-</v>
      </c>
      <c r="AF133" s="69">
        <f>SUM(AF111,AF117)</f>
        <v>0</v>
      </c>
      <c r="AG133" s="69">
        <f>SUM(AG111,AG117)</f>
        <v>0</v>
      </c>
      <c r="AH133" s="44" t="str">
        <f t="shared" si="81"/>
        <v>-</v>
      </c>
      <c r="AI133" s="70">
        <f>SUM(AI111,AI117)</f>
        <v>445</v>
      </c>
      <c r="AJ133" s="70">
        <f>SUM(AJ111,AJ117)</f>
        <v>657</v>
      </c>
      <c r="AK133" s="21">
        <f t="shared" si="68"/>
        <v>0.67732115677321159</v>
      </c>
      <c r="AL133" s="36">
        <f t="shared" si="70"/>
        <v>0</v>
      </c>
      <c r="AM133" s="36">
        <f t="shared" si="71"/>
        <v>0</v>
      </c>
      <c r="AN133" s="36">
        <f t="shared" si="72"/>
        <v>0</v>
      </c>
      <c r="AO133" s="70">
        <f>SUM(AO111,AO117)</f>
        <v>21</v>
      </c>
      <c r="AP133" s="70">
        <f>SUM(AP111,AP117)</f>
        <v>32</v>
      </c>
      <c r="AQ133" s="21">
        <f t="shared" si="82"/>
        <v>0.65625</v>
      </c>
      <c r="AR133" s="70">
        <f>SUM(AR111,AR117)</f>
        <v>213</v>
      </c>
      <c r="AS133" s="70">
        <f>SUM(AS111,AS117)</f>
        <v>270</v>
      </c>
      <c r="AT133" s="21">
        <f t="shared" si="83"/>
        <v>0.78888888888888886</v>
      </c>
      <c r="AU133" s="70"/>
      <c r="AV133" s="70"/>
      <c r="AW133" s="37" t="str">
        <f t="shared" si="84"/>
        <v>-</v>
      </c>
      <c r="AX133" s="170"/>
      <c r="AY133" s="169"/>
      <c r="AZ133" s="169"/>
      <c r="BA133" s="169"/>
      <c r="BB133" s="169"/>
      <c r="BC133" s="169"/>
    </row>
    <row r="134" spans="1:55" ht="14.25" customHeight="1">
      <c r="A134" s="12" t="s">
        <v>94</v>
      </c>
      <c r="B134" s="64">
        <f>SUM(B112,B123)</f>
        <v>53</v>
      </c>
      <c r="C134" s="64">
        <f>SUM(C112,C123)</f>
        <v>57</v>
      </c>
      <c r="D134" s="65">
        <f t="shared" si="73"/>
        <v>0.92982456140350878</v>
      </c>
      <c r="E134" s="66">
        <f>SUM(E112,E123)</f>
        <v>42</v>
      </c>
      <c r="F134" s="66">
        <f>SUM(F112,F123)</f>
        <v>57</v>
      </c>
      <c r="G134" s="67">
        <f t="shared" si="59"/>
        <v>0.73684210526315785</v>
      </c>
      <c r="H134" s="64">
        <f>SUM(H112,H123)</f>
        <v>77</v>
      </c>
      <c r="I134" s="64">
        <f>SUM(I112,I123)</f>
        <v>89</v>
      </c>
      <c r="J134" s="65">
        <f t="shared" si="74"/>
        <v>0.8651685393258427</v>
      </c>
      <c r="K134" s="66">
        <f t="shared" si="60"/>
        <v>233</v>
      </c>
      <c r="L134" s="66">
        <f t="shared" si="61"/>
        <v>272</v>
      </c>
      <c r="M134" s="67">
        <f t="shared" si="75"/>
        <v>0.85661764705882348</v>
      </c>
      <c r="N134" s="66">
        <f t="shared" si="62"/>
        <v>283</v>
      </c>
      <c r="O134" s="66">
        <f t="shared" si="63"/>
        <v>307</v>
      </c>
      <c r="P134" s="67">
        <f t="shared" si="76"/>
        <v>0.92182410423452765</v>
      </c>
      <c r="Q134" s="66">
        <f t="shared" si="64"/>
        <v>516</v>
      </c>
      <c r="R134" s="66">
        <f t="shared" si="65"/>
        <v>579</v>
      </c>
      <c r="S134" s="67">
        <f t="shared" si="77"/>
        <v>0.89119170984455953</v>
      </c>
      <c r="T134" s="64">
        <f>SUM(T112,T123)</f>
        <v>2</v>
      </c>
      <c r="U134" s="64">
        <f>SUM(U112,U123)</f>
        <v>2</v>
      </c>
      <c r="V134" s="65">
        <f t="shared" si="78"/>
        <v>1</v>
      </c>
      <c r="W134" s="64">
        <f>SUM(W112,W123)</f>
        <v>42</v>
      </c>
      <c r="X134" s="64">
        <f>SUM(X112,X123)</f>
        <v>42</v>
      </c>
      <c r="Y134" s="65">
        <f t="shared" si="79"/>
        <v>1</v>
      </c>
      <c r="Z134" s="64">
        <f>SUM(Z112,Z123)</f>
        <v>44</v>
      </c>
      <c r="AA134" s="64">
        <f>SUM(AA112,AA123)</f>
        <v>44</v>
      </c>
      <c r="AB134" s="65">
        <f t="shared" si="58"/>
        <v>1</v>
      </c>
      <c r="AC134" s="70">
        <f>SUM(AC112,AC123)</f>
        <v>0</v>
      </c>
      <c r="AD134" s="70">
        <f>SUM(AD112,AD123)</f>
        <v>0</v>
      </c>
      <c r="AE134" s="37" t="str">
        <f t="shared" si="80"/>
        <v>-</v>
      </c>
      <c r="AF134" s="69">
        <f>SUM(AF112,AF123)</f>
        <v>0</v>
      </c>
      <c r="AG134" s="69">
        <f>SUM(AG112,AG123)</f>
        <v>0</v>
      </c>
      <c r="AH134" s="44" t="str">
        <f t="shared" si="81"/>
        <v>-</v>
      </c>
      <c r="AI134" s="70">
        <f>SUM(AI112,AI123)</f>
        <v>326</v>
      </c>
      <c r="AJ134" s="70">
        <f>SUM(AJ112,AJ123)</f>
        <v>452</v>
      </c>
      <c r="AK134" s="21">
        <f t="shared" si="68"/>
        <v>0.72123893805309736</v>
      </c>
      <c r="AL134" s="36">
        <f t="shared" si="70"/>
        <v>0</v>
      </c>
      <c r="AM134" s="36">
        <f t="shared" si="71"/>
        <v>0</v>
      </c>
      <c r="AN134" s="36">
        <f t="shared" si="72"/>
        <v>0</v>
      </c>
      <c r="AO134" s="70">
        <f>SUM(AO112,AO123)</f>
        <v>4</v>
      </c>
      <c r="AP134" s="70">
        <f>SUM(AP112,AP123)</f>
        <v>4</v>
      </c>
      <c r="AQ134" s="21">
        <f t="shared" si="82"/>
        <v>1</v>
      </c>
      <c r="AR134" s="97">
        <f>SUM(AR112,AR123)</f>
        <v>81</v>
      </c>
      <c r="AS134" s="97">
        <f>SUM(AS112,AS123)</f>
        <v>88</v>
      </c>
      <c r="AT134" s="21">
        <f t="shared" si="83"/>
        <v>0.92045454545454541</v>
      </c>
      <c r="AU134" s="70"/>
      <c r="AV134" s="70"/>
      <c r="AW134" s="37" t="str">
        <f t="shared" si="84"/>
        <v>-</v>
      </c>
      <c r="AX134" s="170"/>
      <c r="AY134" s="169"/>
      <c r="AZ134" s="169"/>
      <c r="BA134" s="169"/>
      <c r="BB134" s="169"/>
      <c r="BC134" s="169"/>
    </row>
    <row r="135" spans="1:55" ht="14.25" customHeight="1">
      <c r="A135" s="12" t="s">
        <v>95</v>
      </c>
      <c r="B135" s="64">
        <f>SUM(B114:B115)</f>
        <v>47</v>
      </c>
      <c r="C135" s="64">
        <f>SUM(C114:C115)</f>
        <v>51</v>
      </c>
      <c r="D135" s="65">
        <f t="shared" si="73"/>
        <v>0.92156862745098034</v>
      </c>
      <c r="E135" s="66">
        <f>SUM(E114,E115)</f>
        <v>36</v>
      </c>
      <c r="F135" s="66">
        <f>SUM(F114,F115)</f>
        <v>51</v>
      </c>
      <c r="G135" s="67">
        <f t="shared" si="59"/>
        <v>0.70588235294117652</v>
      </c>
      <c r="H135" s="64">
        <f>SUM(H114:H115)</f>
        <v>33</v>
      </c>
      <c r="I135" s="64">
        <f>SUM(I114:I115)</f>
        <v>40</v>
      </c>
      <c r="J135" s="65">
        <f t="shared" si="74"/>
        <v>0.82499999999999996</v>
      </c>
      <c r="K135" s="66">
        <f t="shared" si="60"/>
        <v>189</v>
      </c>
      <c r="L135" s="66">
        <f t="shared" si="61"/>
        <v>210</v>
      </c>
      <c r="M135" s="67">
        <f t="shared" si="75"/>
        <v>0.9</v>
      </c>
      <c r="N135" s="66">
        <f t="shared" si="62"/>
        <v>222</v>
      </c>
      <c r="O135" s="66">
        <f t="shared" si="63"/>
        <v>234</v>
      </c>
      <c r="P135" s="67">
        <f t="shared" si="76"/>
        <v>0.94871794871794868</v>
      </c>
      <c r="Q135" s="66">
        <f t="shared" si="64"/>
        <v>411</v>
      </c>
      <c r="R135" s="66">
        <f t="shared" si="65"/>
        <v>444</v>
      </c>
      <c r="S135" s="67">
        <f t="shared" si="77"/>
        <v>0.92567567567567566</v>
      </c>
      <c r="T135" s="64">
        <f>SUM(T114,T115)</f>
        <v>7</v>
      </c>
      <c r="U135" s="64">
        <f>SUM(U114,U115)</f>
        <v>7</v>
      </c>
      <c r="V135" s="65">
        <f t="shared" si="78"/>
        <v>1</v>
      </c>
      <c r="W135" s="64">
        <f>SUM(W114,W115)</f>
        <v>46</v>
      </c>
      <c r="X135" s="64">
        <f>SUM(X114,X115)</f>
        <v>46</v>
      </c>
      <c r="Y135" s="65">
        <f t="shared" si="79"/>
        <v>1</v>
      </c>
      <c r="Z135" s="64">
        <f>SUM(Z114,Z115)</f>
        <v>53</v>
      </c>
      <c r="AA135" s="64">
        <f>SUM(AA114,AA115)</f>
        <v>53</v>
      </c>
      <c r="AB135" s="65">
        <f t="shared" si="58"/>
        <v>1</v>
      </c>
      <c r="AC135" s="70">
        <f>SUM(AC114,AC115)</f>
        <v>0</v>
      </c>
      <c r="AD135" s="70">
        <f>SUM(AD114,AD115)</f>
        <v>0</v>
      </c>
      <c r="AE135" s="37" t="str">
        <f t="shared" si="80"/>
        <v>-</v>
      </c>
      <c r="AF135" s="69">
        <f>SUM(AF114,AF115)</f>
        <v>0</v>
      </c>
      <c r="AG135" s="69">
        <f>SUM(AG114,AG115)</f>
        <v>0</v>
      </c>
      <c r="AH135" s="44" t="str">
        <f t="shared" si="81"/>
        <v>-</v>
      </c>
      <c r="AI135" s="70">
        <f>SUM(AI114,AI115)</f>
        <v>127</v>
      </c>
      <c r="AJ135" s="70">
        <f>SUM(AJ114,AJ115)</f>
        <v>187</v>
      </c>
      <c r="AK135" s="21">
        <f t="shared" si="68"/>
        <v>0.67914438502673802</v>
      </c>
      <c r="AL135" s="36">
        <f t="shared" si="70"/>
        <v>0</v>
      </c>
      <c r="AM135" s="36">
        <f t="shared" si="71"/>
        <v>0</v>
      </c>
      <c r="AN135" s="36">
        <f t="shared" si="72"/>
        <v>0</v>
      </c>
      <c r="AO135" s="70">
        <f>SUM(AO114,AO115)</f>
        <v>12</v>
      </c>
      <c r="AP135" s="70">
        <f>SUM(AP114,AP115)</f>
        <v>14</v>
      </c>
      <c r="AQ135" s="21">
        <f t="shared" si="82"/>
        <v>0.8571428571428571</v>
      </c>
      <c r="AR135" s="97">
        <f>SUM(AR114,AR115)</f>
        <v>76</v>
      </c>
      <c r="AS135" s="97">
        <f>SUM(AS114,AS115)</f>
        <v>92</v>
      </c>
      <c r="AT135" s="21">
        <f t="shared" si="83"/>
        <v>0.82608695652173914</v>
      </c>
      <c r="AU135" s="70"/>
      <c r="AV135" s="70"/>
      <c r="AW135" s="37" t="str">
        <f t="shared" si="84"/>
        <v>-</v>
      </c>
      <c r="AX135" s="170"/>
      <c r="AY135" s="169"/>
      <c r="AZ135" s="169"/>
      <c r="BA135" s="169"/>
      <c r="BB135" s="169"/>
      <c r="BC135" s="169"/>
    </row>
    <row r="136" spans="1:55" ht="14.25" customHeight="1">
      <c r="A136" s="12" t="s">
        <v>96</v>
      </c>
      <c r="B136" s="64">
        <f>SUM(B127,B122)</f>
        <v>55</v>
      </c>
      <c r="C136" s="64">
        <f>SUM(C127,C122)</f>
        <v>61</v>
      </c>
      <c r="D136" s="65">
        <f t="shared" si="73"/>
        <v>0.90163934426229508</v>
      </c>
      <c r="E136" s="66">
        <f>SUM(E122,E127)</f>
        <v>44</v>
      </c>
      <c r="F136" s="66">
        <f>SUM(F122,F127)</f>
        <v>61</v>
      </c>
      <c r="G136" s="67">
        <f t="shared" si="59"/>
        <v>0.72131147540983609</v>
      </c>
      <c r="H136" s="64">
        <f>SUM(H127,H122)</f>
        <v>42</v>
      </c>
      <c r="I136" s="64">
        <f>SUM(I127,I122)</f>
        <v>44</v>
      </c>
      <c r="J136" s="65">
        <f t="shared" si="74"/>
        <v>0.95454545454545459</v>
      </c>
      <c r="K136" s="66">
        <f t="shared" si="60"/>
        <v>162</v>
      </c>
      <c r="L136" s="66">
        <f t="shared" si="61"/>
        <v>171</v>
      </c>
      <c r="M136" s="67">
        <f t="shared" si="75"/>
        <v>0.94736842105263153</v>
      </c>
      <c r="N136" s="66">
        <f t="shared" si="62"/>
        <v>159</v>
      </c>
      <c r="O136" s="66">
        <f t="shared" si="63"/>
        <v>165</v>
      </c>
      <c r="P136" s="67">
        <f t="shared" si="76"/>
        <v>0.96363636363636362</v>
      </c>
      <c r="Q136" s="66">
        <f t="shared" si="64"/>
        <v>321</v>
      </c>
      <c r="R136" s="66">
        <f t="shared" si="65"/>
        <v>336</v>
      </c>
      <c r="S136" s="67">
        <f t="shared" si="77"/>
        <v>0.9553571428571429</v>
      </c>
      <c r="T136" s="64">
        <f>SUM(T122,T127)</f>
        <v>0</v>
      </c>
      <c r="U136" s="64">
        <f>SUM(U122,U127)</f>
        <v>0</v>
      </c>
      <c r="V136" s="80" t="str">
        <f t="shared" si="78"/>
        <v>-</v>
      </c>
      <c r="W136" s="64">
        <f>SUM(W122,W127)</f>
        <v>12</v>
      </c>
      <c r="X136" s="64">
        <f>SUM(X122,X127)</f>
        <v>12</v>
      </c>
      <c r="Y136" s="65">
        <f t="shared" si="79"/>
        <v>1</v>
      </c>
      <c r="Z136" s="64">
        <f>SUM(Z122,Z127)</f>
        <v>12</v>
      </c>
      <c r="AA136" s="64">
        <f>SUM(AA122,AA127)</f>
        <v>12</v>
      </c>
      <c r="AB136" s="65">
        <f t="shared" si="58"/>
        <v>1</v>
      </c>
      <c r="AC136" s="70">
        <f>SUM(AC122,AC127)</f>
        <v>0</v>
      </c>
      <c r="AD136" s="70">
        <f>SUM(AD122,AD127)</f>
        <v>0</v>
      </c>
      <c r="AE136" s="37" t="str">
        <f t="shared" si="80"/>
        <v>-</v>
      </c>
      <c r="AF136" s="69">
        <f>SUM(AF122,AF127)</f>
        <v>0</v>
      </c>
      <c r="AG136" s="69">
        <f>SUM(AG122,AG127)</f>
        <v>0</v>
      </c>
      <c r="AH136" s="44" t="str">
        <f t="shared" si="81"/>
        <v>-</v>
      </c>
      <c r="AI136" s="70">
        <f>SUM(AI122,AI127)</f>
        <v>158</v>
      </c>
      <c r="AJ136" s="70">
        <f>SUM(AJ122,AJ127)</f>
        <v>240</v>
      </c>
      <c r="AK136" s="21">
        <f t="shared" si="68"/>
        <v>0.65833333333333333</v>
      </c>
      <c r="AL136" s="36">
        <f t="shared" si="70"/>
        <v>0</v>
      </c>
      <c r="AM136" s="36">
        <f t="shared" si="71"/>
        <v>0</v>
      </c>
      <c r="AN136" s="36">
        <f t="shared" si="72"/>
        <v>0</v>
      </c>
      <c r="AO136" s="70">
        <f>SUM(AO122,AO127)</f>
        <v>0</v>
      </c>
      <c r="AP136" s="70">
        <f>SUM(AP122,AP127)</f>
        <v>0</v>
      </c>
      <c r="AQ136" s="37" t="str">
        <f t="shared" si="82"/>
        <v>-</v>
      </c>
      <c r="AR136" s="97">
        <f>SUM(AR122,AR127)</f>
        <v>23</v>
      </c>
      <c r="AS136" s="97">
        <f>SUM(AS122,AS127)</f>
        <v>24</v>
      </c>
      <c r="AT136" s="21">
        <f t="shared" si="83"/>
        <v>0.95833333333333337</v>
      </c>
      <c r="AU136" s="70"/>
      <c r="AV136" s="70"/>
      <c r="AW136" s="37" t="str">
        <f t="shared" si="84"/>
        <v>-</v>
      </c>
      <c r="AX136" s="170"/>
      <c r="AY136" s="169"/>
      <c r="AZ136" s="169"/>
      <c r="BA136" s="169"/>
      <c r="BB136" s="169"/>
      <c r="BC136" s="169"/>
    </row>
    <row r="137" spans="1:55" ht="14.25" customHeight="1">
      <c r="A137" s="43" t="s">
        <v>97</v>
      </c>
      <c r="B137" s="98">
        <v>43</v>
      </c>
      <c r="C137" s="98">
        <v>54</v>
      </c>
      <c r="D137" s="65">
        <f t="shared" si="73"/>
        <v>0.79629629629629628</v>
      </c>
      <c r="E137" s="99">
        <v>43</v>
      </c>
      <c r="F137" s="99">
        <v>54</v>
      </c>
      <c r="G137" s="67">
        <f t="shared" si="59"/>
        <v>0.79629629629629628</v>
      </c>
      <c r="H137" s="94" t="s">
        <v>19</v>
      </c>
      <c r="I137" s="94" t="s">
        <v>19</v>
      </c>
      <c r="J137" s="80" t="str">
        <f t="shared" si="74"/>
        <v>-</v>
      </c>
      <c r="K137" s="66">
        <f t="shared" si="60"/>
        <v>19</v>
      </c>
      <c r="L137" s="66">
        <f t="shared" si="61"/>
        <v>26</v>
      </c>
      <c r="M137" s="67">
        <f t="shared" si="75"/>
        <v>0.73076923076923073</v>
      </c>
      <c r="N137" s="66">
        <f t="shared" si="62"/>
        <v>37</v>
      </c>
      <c r="O137" s="66">
        <f t="shared" si="63"/>
        <v>53</v>
      </c>
      <c r="P137" s="67">
        <f t="shared" si="76"/>
        <v>0.69811320754716977</v>
      </c>
      <c r="Q137" s="66">
        <f t="shared" si="64"/>
        <v>56</v>
      </c>
      <c r="R137" s="66">
        <f t="shared" si="65"/>
        <v>79</v>
      </c>
      <c r="S137" s="67">
        <f t="shared" si="77"/>
        <v>0.70886075949367089</v>
      </c>
      <c r="T137" s="94" t="s">
        <v>19</v>
      </c>
      <c r="U137" s="94" t="s">
        <v>19</v>
      </c>
      <c r="V137" s="80" t="str">
        <f t="shared" si="78"/>
        <v>-</v>
      </c>
      <c r="W137" s="94" t="s">
        <v>19</v>
      </c>
      <c r="X137" s="94" t="s">
        <v>19</v>
      </c>
      <c r="Y137" s="80" t="str">
        <f t="shared" si="79"/>
        <v>-</v>
      </c>
      <c r="Z137" s="64">
        <f t="shared" ref="Z137:AA141" si="85">SUM(T137,W137)</f>
        <v>0</v>
      </c>
      <c r="AA137" s="64">
        <f t="shared" si="85"/>
        <v>0</v>
      </c>
      <c r="AB137" s="80" t="str">
        <f t="shared" si="58"/>
        <v>-</v>
      </c>
      <c r="AC137" s="139">
        <v>17</v>
      </c>
      <c r="AD137" s="139">
        <v>43</v>
      </c>
      <c r="AE137" s="21">
        <f t="shared" si="80"/>
        <v>0.39534883720930231</v>
      </c>
      <c r="AF137" s="44" t="s">
        <v>19</v>
      </c>
      <c r="AG137" s="44" t="s">
        <v>19</v>
      </c>
      <c r="AH137" s="44" t="str">
        <f t="shared" si="81"/>
        <v>-</v>
      </c>
      <c r="AI137" s="171"/>
      <c r="AJ137" s="171"/>
      <c r="AK137" s="37" t="str">
        <f t="shared" si="68"/>
        <v>-</v>
      </c>
      <c r="AL137" s="36">
        <f t="shared" si="70"/>
        <v>0</v>
      </c>
      <c r="AM137" s="36">
        <f t="shared" si="71"/>
        <v>0</v>
      </c>
      <c r="AN137" s="36">
        <f t="shared" si="72"/>
        <v>0</v>
      </c>
      <c r="AO137" s="121" t="s">
        <v>19</v>
      </c>
      <c r="AP137" s="121" t="s">
        <v>19</v>
      </c>
      <c r="AQ137" s="37" t="str">
        <f t="shared" si="82"/>
        <v>-</v>
      </c>
      <c r="AR137" s="121" t="s">
        <v>19</v>
      </c>
      <c r="AS137" s="121" t="s">
        <v>19</v>
      </c>
      <c r="AT137" s="37" t="str">
        <f t="shared" si="83"/>
        <v>-</v>
      </c>
      <c r="AU137" s="70"/>
      <c r="AV137" s="70"/>
      <c r="AW137" s="37" t="str">
        <f t="shared" si="84"/>
        <v>-</v>
      </c>
      <c r="AX137" s="170"/>
      <c r="AY137" s="169"/>
      <c r="AZ137" s="169"/>
      <c r="BA137" s="169"/>
      <c r="BB137" s="169"/>
      <c r="BC137" s="169"/>
    </row>
    <row r="138" spans="1:55" ht="14.25" customHeight="1">
      <c r="A138" s="43" t="s">
        <v>98</v>
      </c>
      <c r="B138" s="98">
        <v>16</v>
      </c>
      <c r="C138" s="98">
        <v>22</v>
      </c>
      <c r="D138" s="65">
        <f t="shared" si="73"/>
        <v>0.72727272727272729</v>
      </c>
      <c r="E138" s="99">
        <v>18</v>
      </c>
      <c r="F138" s="99">
        <v>22</v>
      </c>
      <c r="G138" s="67">
        <f t="shared" si="59"/>
        <v>0.81818181818181823</v>
      </c>
      <c r="H138" s="94" t="s">
        <v>19</v>
      </c>
      <c r="I138" s="94" t="s">
        <v>19</v>
      </c>
      <c r="J138" s="80" t="str">
        <f t="shared" si="74"/>
        <v>-</v>
      </c>
      <c r="K138" s="66">
        <f t="shared" si="60"/>
        <v>6</v>
      </c>
      <c r="L138" s="66">
        <f t="shared" si="61"/>
        <v>10</v>
      </c>
      <c r="M138" s="67">
        <f t="shared" si="75"/>
        <v>0.6</v>
      </c>
      <c r="N138" s="66">
        <f t="shared" si="62"/>
        <v>11</v>
      </c>
      <c r="O138" s="66">
        <f t="shared" si="63"/>
        <v>18</v>
      </c>
      <c r="P138" s="67">
        <f t="shared" si="76"/>
        <v>0.61111111111111116</v>
      </c>
      <c r="Q138" s="66">
        <f t="shared" si="64"/>
        <v>17</v>
      </c>
      <c r="R138" s="66">
        <f t="shared" si="65"/>
        <v>28</v>
      </c>
      <c r="S138" s="67">
        <f t="shared" si="77"/>
        <v>0.6071428571428571</v>
      </c>
      <c r="T138" s="94" t="s">
        <v>19</v>
      </c>
      <c r="U138" s="94" t="s">
        <v>19</v>
      </c>
      <c r="V138" s="80" t="str">
        <f t="shared" si="78"/>
        <v>-</v>
      </c>
      <c r="W138" s="94" t="s">
        <v>19</v>
      </c>
      <c r="X138" s="94" t="s">
        <v>19</v>
      </c>
      <c r="Y138" s="80" t="str">
        <f t="shared" si="79"/>
        <v>-</v>
      </c>
      <c r="Z138" s="64">
        <f t="shared" si="85"/>
        <v>0</v>
      </c>
      <c r="AA138" s="64">
        <f t="shared" si="85"/>
        <v>0</v>
      </c>
      <c r="AB138" s="80" t="str">
        <f t="shared" si="58"/>
        <v>-</v>
      </c>
      <c r="AC138" s="139">
        <v>10</v>
      </c>
      <c r="AD138" s="139">
        <v>16</v>
      </c>
      <c r="AE138" s="21">
        <f t="shared" si="80"/>
        <v>0.625</v>
      </c>
      <c r="AF138" s="44" t="s">
        <v>19</v>
      </c>
      <c r="AG138" s="44" t="s">
        <v>19</v>
      </c>
      <c r="AH138" s="44" t="str">
        <f t="shared" si="81"/>
        <v>-</v>
      </c>
      <c r="AI138" s="171"/>
      <c r="AJ138" s="171"/>
      <c r="AK138" s="37" t="str">
        <f t="shared" si="68"/>
        <v>-</v>
      </c>
      <c r="AL138" s="36">
        <f t="shared" si="70"/>
        <v>0</v>
      </c>
      <c r="AM138" s="36">
        <f t="shared" si="71"/>
        <v>0</v>
      </c>
      <c r="AN138" s="36">
        <f t="shared" si="72"/>
        <v>0</v>
      </c>
      <c r="AO138" s="121" t="s">
        <v>19</v>
      </c>
      <c r="AP138" s="121" t="s">
        <v>19</v>
      </c>
      <c r="AQ138" s="37" t="str">
        <f t="shared" si="82"/>
        <v>-</v>
      </c>
      <c r="AR138" s="121" t="s">
        <v>19</v>
      </c>
      <c r="AS138" s="121" t="s">
        <v>19</v>
      </c>
      <c r="AT138" s="37" t="str">
        <f t="shared" si="83"/>
        <v>-</v>
      </c>
      <c r="AU138" s="70"/>
      <c r="AV138" s="70"/>
      <c r="AW138" s="37" t="str">
        <f t="shared" si="84"/>
        <v>-</v>
      </c>
      <c r="AX138" s="170"/>
      <c r="AY138" s="169"/>
      <c r="AZ138" s="169"/>
      <c r="BA138" s="169"/>
      <c r="BB138" s="169"/>
      <c r="BC138" s="169"/>
    </row>
    <row r="139" spans="1:55" ht="14.25" customHeight="1">
      <c r="A139" s="43" t="s">
        <v>99</v>
      </c>
      <c r="B139" s="98">
        <v>59</v>
      </c>
      <c r="C139" s="98">
        <v>71</v>
      </c>
      <c r="D139" s="65">
        <f t="shared" si="73"/>
        <v>0.83098591549295775</v>
      </c>
      <c r="E139" s="99">
        <v>63</v>
      </c>
      <c r="F139" s="99">
        <v>71</v>
      </c>
      <c r="G139" s="67">
        <f t="shared" si="59"/>
        <v>0.88732394366197187</v>
      </c>
      <c r="H139" s="94" t="s">
        <v>19</v>
      </c>
      <c r="I139" s="94" t="s">
        <v>19</v>
      </c>
      <c r="J139" s="80" t="str">
        <f t="shared" si="74"/>
        <v>-</v>
      </c>
      <c r="K139" s="66">
        <f t="shared" si="60"/>
        <v>24</v>
      </c>
      <c r="L139" s="66">
        <f t="shared" si="61"/>
        <v>29</v>
      </c>
      <c r="M139" s="67">
        <f t="shared" si="75"/>
        <v>0.82758620689655171</v>
      </c>
      <c r="N139" s="66">
        <f t="shared" si="62"/>
        <v>58</v>
      </c>
      <c r="O139" s="66">
        <f t="shared" si="63"/>
        <v>67</v>
      </c>
      <c r="P139" s="67">
        <f t="shared" si="76"/>
        <v>0.86567164179104472</v>
      </c>
      <c r="Q139" s="66">
        <f t="shared" si="64"/>
        <v>82</v>
      </c>
      <c r="R139" s="66">
        <f t="shared" si="65"/>
        <v>96</v>
      </c>
      <c r="S139" s="67">
        <f t="shared" si="77"/>
        <v>0.85416666666666663</v>
      </c>
      <c r="T139" s="94" t="s">
        <v>19</v>
      </c>
      <c r="U139" s="94" t="s">
        <v>19</v>
      </c>
      <c r="V139" s="80" t="str">
        <f t="shared" si="78"/>
        <v>-</v>
      </c>
      <c r="W139" s="94" t="s">
        <v>19</v>
      </c>
      <c r="X139" s="94" t="s">
        <v>19</v>
      </c>
      <c r="Y139" s="80" t="str">
        <f t="shared" si="79"/>
        <v>-</v>
      </c>
      <c r="Z139" s="64">
        <f t="shared" si="85"/>
        <v>0</v>
      </c>
      <c r="AA139" s="64">
        <f t="shared" si="85"/>
        <v>0</v>
      </c>
      <c r="AB139" s="80" t="str">
        <f t="shared" si="58"/>
        <v>-</v>
      </c>
      <c r="AC139" s="139">
        <v>38</v>
      </c>
      <c r="AD139" s="139">
        <v>59</v>
      </c>
      <c r="AE139" s="21">
        <f t="shared" si="80"/>
        <v>0.64406779661016944</v>
      </c>
      <c r="AF139" s="44" t="s">
        <v>19</v>
      </c>
      <c r="AG139" s="44" t="s">
        <v>19</v>
      </c>
      <c r="AH139" s="44" t="str">
        <f t="shared" si="81"/>
        <v>-</v>
      </c>
      <c r="AI139" s="171"/>
      <c r="AJ139" s="171"/>
      <c r="AK139" s="37" t="str">
        <f t="shared" si="68"/>
        <v>-</v>
      </c>
      <c r="AL139" s="36">
        <f t="shared" si="70"/>
        <v>0</v>
      </c>
      <c r="AM139" s="36">
        <f t="shared" si="71"/>
        <v>0</v>
      </c>
      <c r="AN139" s="36">
        <f t="shared" si="72"/>
        <v>0</v>
      </c>
      <c r="AO139" s="121" t="s">
        <v>19</v>
      </c>
      <c r="AP139" s="121" t="s">
        <v>19</v>
      </c>
      <c r="AQ139" s="37" t="str">
        <f t="shared" si="82"/>
        <v>-</v>
      </c>
      <c r="AR139" s="121" t="s">
        <v>19</v>
      </c>
      <c r="AS139" s="121" t="s">
        <v>19</v>
      </c>
      <c r="AT139" s="37" t="str">
        <f t="shared" si="83"/>
        <v>-</v>
      </c>
      <c r="AU139" s="70"/>
      <c r="AV139" s="70"/>
      <c r="AW139" s="37" t="str">
        <f t="shared" si="84"/>
        <v>-</v>
      </c>
      <c r="AX139" s="170"/>
      <c r="AY139" s="169"/>
      <c r="AZ139" s="169"/>
      <c r="BA139" s="169"/>
      <c r="BB139" s="169"/>
      <c r="BC139" s="169"/>
    </row>
    <row r="140" spans="1:55" ht="14.25" customHeight="1">
      <c r="A140" s="45" t="s">
        <v>100</v>
      </c>
      <c r="B140" s="98">
        <f t="shared" ref="B140:B621" si="86">4+9</f>
        <v>13</v>
      </c>
      <c r="C140" s="98">
        <f t="shared" ref="C140:C621" si="87">5+9</f>
        <v>14</v>
      </c>
      <c r="D140" s="65">
        <f t="shared" si="73"/>
        <v>0.9285714285714286</v>
      </c>
      <c r="E140" s="99">
        <v>13</v>
      </c>
      <c r="F140" s="99">
        <v>14</v>
      </c>
      <c r="G140" s="67">
        <f t="shared" si="59"/>
        <v>0.9285714285714286</v>
      </c>
      <c r="H140" s="98">
        <v>14</v>
      </c>
      <c r="I140" s="98">
        <v>14</v>
      </c>
      <c r="J140" s="65">
        <f t="shared" si="74"/>
        <v>1</v>
      </c>
      <c r="K140" s="66">
        <f t="shared" si="60"/>
        <v>14</v>
      </c>
      <c r="L140" s="66">
        <f t="shared" si="61"/>
        <v>14</v>
      </c>
      <c r="M140" s="67">
        <f t="shared" si="75"/>
        <v>1</v>
      </c>
      <c r="N140" s="66">
        <f t="shared" si="62"/>
        <v>14</v>
      </c>
      <c r="O140" s="66">
        <f t="shared" si="63"/>
        <v>14</v>
      </c>
      <c r="P140" s="67">
        <f t="shared" si="76"/>
        <v>1</v>
      </c>
      <c r="Q140" s="66">
        <f t="shared" si="64"/>
        <v>28</v>
      </c>
      <c r="R140" s="66">
        <f t="shared" si="65"/>
        <v>28</v>
      </c>
      <c r="S140" s="67">
        <f t="shared" si="77"/>
        <v>1</v>
      </c>
      <c r="T140" s="94" t="s">
        <v>19</v>
      </c>
      <c r="U140" s="94" t="s">
        <v>19</v>
      </c>
      <c r="V140" s="80" t="str">
        <f t="shared" si="78"/>
        <v>-</v>
      </c>
      <c r="W140" s="94" t="s">
        <v>19</v>
      </c>
      <c r="X140" s="94" t="s">
        <v>19</v>
      </c>
      <c r="Y140" s="80" t="str">
        <f t="shared" si="79"/>
        <v>-</v>
      </c>
      <c r="Z140" s="64">
        <f t="shared" si="85"/>
        <v>0</v>
      </c>
      <c r="AA140" s="64">
        <f t="shared" si="85"/>
        <v>0</v>
      </c>
      <c r="AB140" s="80" t="str">
        <f t="shared" si="58"/>
        <v>-</v>
      </c>
      <c r="AC140" s="139"/>
      <c r="AD140" s="139"/>
      <c r="AE140" s="37" t="str">
        <f t="shared" si="80"/>
        <v>-</v>
      </c>
      <c r="AF140" s="44" t="s">
        <v>19</v>
      </c>
      <c r="AG140" s="44" t="s">
        <v>19</v>
      </c>
      <c r="AH140" s="44" t="str">
        <f t="shared" si="81"/>
        <v>-</v>
      </c>
      <c r="AI140" s="171"/>
      <c r="AJ140" s="171"/>
      <c r="AK140" s="37" t="str">
        <f t="shared" si="68"/>
        <v>-</v>
      </c>
      <c r="AL140" s="36">
        <f t="shared" si="70"/>
        <v>0</v>
      </c>
      <c r="AM140" s="36">
        <f t="shared" si="71"/>
        <v>0</v>
      </c>
      <c r="AN140" s="36">
        <f t="shared" si="72"/>
        <v>0</v>
      </c>
      <c r="AO140" s="121" t="s">
        <v>19</v>
      </c>
      <c r="AP140" s="121" t="s">
        <v>19</v>
      </c>
      <c r="AQ140" s="37" t="str">
        <f t="shared" si="82"/>
        <v>-</v>
      </c>
      <c r="AR140" s="121" t="s">
        <v>19</v>
      </c>
      <c r="AS140" s="121" t="s">
        <v>19</v>
      </c>
      <c r="AT140" s="37" t="str">
        <f t="shared" si="83"/>
        <v>-</v>
      </c>
      <c r="AU140" s="70"/>
      <c r="AV140" s="70"/>
      <c r="AW140" s="37" t="str">
        <f t="shared" si="84"/>
        <v>-</v>
      </c>
      <c r="AX140" s="170"/>
      <c r="AY140" s="169"/>
      <c r="AZ140" s="169"/>
      <c r="BA140" s="169"/>
      <c r="BB140" s="169"/>
      <c r="BC140" s="169"/>
    </row>
    <row r="141" spans="1:55" ht="14.25" customHeight="1">
      <c r="A141" s="45" t="s">
        <v>101</v>
      </c>
      <c r="B141" s="98">
        <f t="shared" ref="B141:B622" si="88">7+6+4</f>
        <v>17</v>
      </c>
      <c r="C141" s="98">
        <f t="shared" ref="C141:C622" si="89">9+6+4</f>
        <v>19</v>
      </c>
      <c r="D141" s="65">
        <f t="shared" si="73"/>
        <v>0.89473684210526316</v>
      </c>
      <c r="E141" s="99">
        <v>18</v>
      </c>
      <c r="F141" s="99">
        <v>19</v>
      </c>
      <c r="G141" s="67">
        <f t="shared" si="59"/>
        <v>0.94736842105263153</v>
      </c>
      <c r="H141" s="98">
        <v>23</v>
      </c>
      <c r="I141" s="98">
        <v>23</v>
      </c>
      <c r="J141" s="65">
        <f t="shared" si="74"/>
        <v>1</v>
      </c>
      <c r="K141" s="66">
        <f t="shared" si="60"/>
        <v>21</v>
      </c>
      <c r="L141" s="66">
        <f t="shared" si="61"/>
        <v>23</v>
      </c>
      <c r="M141" s="67">
        <f t="shared" si="75"/>
        <v>0.91304347826086951</v>
      </c>
      <c r="N141" s="66">
        <f t="shared" si="62"/>
        <v>22</v>
      </c>
      <c r="O141" s="66">
        <f t="shared" si="63"/>
        <v>22</v>
      </c>
      <c r="P141" s="67">
        <f t="shared" si="76"/>
        <v>1</v>
      </c>
      <c r="Q141" s="66">
        <f t="shared" si="64"/>
        <v>43</v>
      </c>
      <c r="R141" s="66">
        <f t="shared" si="65"/>
        <v>45</v>
      </c>
      <c r="S141" s="67">
        <f t="shared" si="77"/>
        <v>0.9555555555555556</v>
      </c>
      <c r="T141" s="94" t="s">
        <v>19</v>
      </c>
      <c r="U141" s="94" t="s">
        <v>19</v>
      </c>
      <c r="V141" s="80" t="str">
        <f t="shared" si="78"/>
        <v>-</v>
      </c>
      <c r="W141" s="94" t="s">
        <v>19</v>
      </c>
      <c r="X141" s="94" t="s">
        <v>19</v>
      </c>
      <c r="Y141" s="80" t="str">
        <f t="shared" si="79"/>
        <v>-</v>
      </c>
      <c r="Z141" s="64">
        <f t="shared" si="85"/>
        <v>0</v>
      </c>
      <c r="AA141" s="64">
        <f t="shared" si="85"/>
        <v>0</v>
      </c>
      <c r="AB141" s="80" t="str">
        <f t="shared" si="58"/>
        <v>-</v>
      </c>
      <c r="AC141" s="139"/>
      <c r="AD141" s="139"/>
      <c r="AE141" s="37" t="str">
        <f t="shared" si="80"/>
        <v>-</v>
      </c>
      <c r="AF141" s="44" t="s">
        <v>19</v>
      </c>
      <c r="AG141" s="44" t="s">
        <v>19</v>
      </c>
      <c r="AH141" s="44" t="str">
        <f t="shared" si="81"/>
        <v>-</v>
      </c>
      <c r="AI141" s="171"/>
      <c r="AJ141" s="171"/>
      <c r="AK141" s="37" t="str">
        <f t="shared" si="68"/>
        <v>-</v>
      </c>
      <c r="AL141" s="36">
        <f t="shared" si="70"/>
        <v>0</v>
      </c>
      <c r="AM141" s="36">
        <f t="shared" si="71"/>
        <v>0</v>
      </c>
      <c r="AN141" s="36">
        <f t="shared" si="72"/>
        <v>0</v>
      </c>
      <c r="AO141" s="121" t="s">
        <v>19</v>
      </c>
      <c r="AP141" s="121" t="s">
        <v>19</v>
      </c>
      <c r="AQ141" s="37" t="str">
        <f t="shared" si="82"/>
        <v>-</v>
      </c>
      <c r="AR141" s="121" t="s">
        <v>19</v>
      </c>
      <c r="AS141" s="121" t="s">
        <v>19</v>
      </c>
      <c r="AT141" s="37" t="str">
        <f t="shared" si="83"/>
        <v>-</v>
      </c>
      <c r="AU141" s="70"/>
      <c r="AV141" s="70"/>
      <c r="AW141" s="37" t="str">
        <f t="shared" si="84"/>
        <v>-</v>
      </c>
      <c r="AX141" s="170"/>
      <c r="AY141" s="169"/>
      <c r="AZ141" s="169"/>
      <c r="BA141" s="169"/>
      <c r="BB141" s="169"/>
      <c r="BC141" s="169"/>
    </row>
    <row r="142" spans="1:55" ht="14.25" customHeight="1">
      <c r="A142" s="177"/>
      <c r="B142" s="177"/>
      <c r="C142" s="177"/>
      <c r="D142" s="177"/>
      <c r="E142" s="177"/>
      <c r="F142" s="177"/>
      <c r="G142" s="177"/>
      <c r="H142" s="177"/>
      <c r="I142" s="177"/>
      <c r="J142" s="177"/>
      <c r="K142" s="177"/>
      <c r="L142" s="177"/>
      <c r="M142" s="177"/>
      <c r="N142" s="177"/>
      <c r="O142" s="177"/>
      <c r="P142" s="177"/>
      <c r="Q142" s="177"/>
      <c r="R142" s="177"/>
      <c r="S142" s="177"/>
      <c r="T142" s="177"/>
      <c r="U142" s="177"/>
      <c r="V142" s="177"/>
      <c r="W142" s="177"/>
      <c r="X142" s="177"/>
      <c r="Y142" s="177"/>
      <c r="Z142" s="177"/>
      <c r="AA142" s="177"/>
      <c r="AB142" s="177"/>
      <c r="AC142" s="177"/>
      <c r="AD142" s="177"/>
      <c r="AE142" s="177"/>
      <c r="AF142" s="177"/>
      <c r="AG142" s="177"/>
      <c r="AH142" s="177"/>
      <c r="AI142" s="177"/>
      <c r="AJ142" s="177"/>
      <c r="AK142" s="177"/>
      <c r="AL142" s="177"/>
      <c r="AM142" s="177"/>
      <c r="AN142" s="177"/>
      <c r="AO142" s="177"/>
      <c r="AP142" s="177"/>
      <c r="AQ142" s="177"/>
      <c r="AR142" s="177"/>
      <c r="AS142" s="177"/>
      <c r="AT142" s="177"/>
      <c r="AU142" s="177"/>
      <c r="AV142" s="177"/>
      <c r="AW142" s="177"/>
      <c r="AX142" s="169"/>
      <c r="AY142" s="169"/>
      <c r="AZ142" s="169"/>
      <c r="BA142" s="169"/>
      <c r="BB142" s="169"/>
      <c r="BC142" s="169"/>
    </row>
    <row r="143" spans="1:55" ht="14.25" customHeight="1">
      <c r="A143" s="169"/>
      <c r="B143" s="169"/>
      <c r="C143" s="169"/>
      <c r="D143" s="169"/>
      <c r="E143" s="203"/>
      <c r="F143" s="169"/>
      <c r="G143" s="169"/>
      <c r="H143" s="169"/>
      <c r="I143" s="16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row>
    <row r="144" spans="1:55" ht="14.25" customHeight="1">
      <c r="A144" s="179"/>
      <c r="B144" s="179"/>
      <c r="C144" s="179"/>
      <c r="D144" s="179"/>
      <c r="E144" s="179"/>
      <c r="F144" s="179"/>
      <c r="G144" s="179"/>
      <c r="H144" s="179"/>
      <c r="I144" s="179"/>
      <c r="J144" s="179"/>
      <c r="K144" s="179"/>
      <c r="L144" s="179"/>
      <c r="M144" s="179"/>
      <c r="N144" s="179"/>
      <c r="O144" s="179"/>
      <c r="P144" s="179"/>
      <c r="Q144" s="179"/>
      <c r="R144" s="179"/>
      <c r="S144" s="179"/>
      <c r="T144" s="179"/>
      <c r="U144" s="17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row>
    <row r="145" spans="1:55" ht="14.25" customHeight="1">
      <c r="A145" s="180" t="s">
        <v>36</v>
      </c>
      <c r="B145" s="181"/>
      <c r="C145" s="182"/>
      <c r="D145" s="182"/>
      <c r="E145" s="182"/>
      <c r="F145" s="182"/>
      <c r="G145" s="182"/>
      <c r="H145" s="182"/>
      <c r="I145" s="182"/>
      <c r="J145" s="182"/>
      <c r="K145" s="182"/>
      <c r="L145" s="29" t="s">
        <v>17</v>
      </c>
      <c r="M145" s="183"/>
      <c r="N145" s="184"/>
      <c r="O145" s="184"/>
      <c r="P145" s="184"/>
      <c r="Q145" s="184"/>
      <c r="R145" s="184"/>
      <c r="S145" s="184"/>
      <c r="T145" s="184"/>
      <c r="U145" s="184"/>
      <c r="V145" s="185"/>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row>
    <row r="146" spans="1:55" ht="15" customHeight="1">
      <c r="A146" s="511" t="s">
        <v>112</v>
      </c>
      <c r="B146" s="511" t="s">
        <v>38</v>
      </c>
      <c r="C146" s="511" t="s">
        <v>18</v>
      </c>
      <c r="D146" s="32" t="s">
        <v>20</v>
      </c>
      <c r="E146" s="502" t="s">
        <v>21</v>
      </c>
      <c r="F146" s="503"/>
      <c r="G146" s="505"/>
      <c r="H146" s="502" t="s">
        <v>25</v>
      </c>
      <c r="I146" s="503"/>
      <c r="J146" s="505"/>
      <c r="K146" s="511" t="s">
        <v>39</v>
      </c>
      <c r="L146" s="511" t="s">
        <v>38</v>
      </c>
      <c r="M146" s="511" t="s">
        <v>18</v>
      </c>
      <c r="N146" s="32" t="s">
        <v>20</v>
      </c>
      <c r="O146" s="502" t="s">
        <v>21</v>
      </c>
      <c r="P146" s="503"/>
      <c r="Q146" s="505"/>
      <c r="R146" s="502" t="s">
        <v>25</v>
      </c>
      <c r="S146" s="503"/>
      <c r="T146" s="505"/>
      <c r="U146" s="511" t="s">
        <v>39</v>
      </c>
      <c r="V146" s="170"/>
      <c r="W146" s="169"/>
      <c r="X146" s="169"/>
      <c r="Y146" s="20"/>
      <c r="Z146" s="20"/>
      <c r="AA146" s="20"/>
      <c r="AB146" s="20"/>
      <c r="AC146" s="20"/>
      <c r="AD146" s="20"/>
      <c r="AE146" s="20"/>
      <c r="AF146" s="20"/>
      <c r="AG146" s="20"/>
      <c r="AH146" s="20"/>
      <c r="AI146" s="20"/>
      <c r="AJ146" s="20"/>
      <c r="AK146" s="20"/>
      <c r="AL146" s="203"/>
      <c r="AM146" s="203"/>
      <c r="AN146" s="20"/>
      <c r="AO146" s="20"/>
      <c r="AP146" s="169"/>
      <c r="AQ146" s="169"/>
      <c r="AR146" s="169"/>
      <c r="AS146" s="169"/>
      <c r="AT146" s="169"/>
      <c r="AU146" s="169"/>
      <c r="AV146" s="169"/>
      <c r="AW146" s="169"/>
      <c r="AX146" s="169"/>
      <c r="AY146" s="169"/>
      <c r="AZ146" s="169"/>
      <c r="BA146" s="169"/>
      <c r="BB146" s="169"/>
      <c r="BC146" s="169"/>
    </row>
    <row r="147" spans="1:55" ht="30" customHeight="1">
      <c r="A147" s="521"/>
      <c r="B147" s="521"/>
      <c r="C147" s="521"/>
      <c r="D147" s="32" t="s">
        <v>240</v>
      </c>
      <c r="E147" s="32" t="s">
        <v>238</v>
      </c>
      <c r="F147" s="32" t="s">
        <v>239</v>
      </c>
      <c r="G147" s="32" t="s">
        <v>240</v>
      </c>
      <c r="H147" s="32" t="s">
        <v>238</v>
      </c>
      <c r="I147" s="32" t="s">
        <v>239</v>
      </c>
      <c r="J147" s="32" t="s">
        <v>240</v>
      </c>
      <c r="K147" s="521"/>
      <c r="L147" s="521"/>
      <c r="M147" s="521"/>
      <c r="N147" s="32" t="s">
        <v>240</v>
      </c>
      <c r="O147" s="32" t="s">
        <v>238</v>
      </c>
      <c r="P147" s="32" t="s">
        <v>239</v>
      </c>
      <c r="Q147" s="32" t="s">
        <v>240</v>
      </c>
      <c r="R147" s="32" t="s">
        <v>238</v>
      </c>
      <c r="S147" s="32" t="s">
        <v>239</v>
      </c>
      <c r="T147" s="32" t="s">
        <v>240</v>
      </c>
      <c r="U147" s="521"/>
      <c r="V147" s="170"/>
      <c r="W147" s="169"/>
      <c r="X147" s="169"/>
      <c r="Y147" s="20"/>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row>
    <row r="148" spans="1:55" ht="14.25" customHeight="1">
      <c r="A148" s="12" t="s">
        <v>67</v>
      </c>
      <c r="B148" s="44" t="str">
        <f t="shared" ref="B148:B159" si="90">D165</f>
        <v>-</v>
      </c>
      <c r="C148" s="44" t="str">
        <f t="shared" ref="C148:C159" si="91">G165</f>
        <v>-</v>
      </c>
      <c r="D148" s="36">
        <f t="shared" ref="D148:D159" si="92">J165</f>
        <v>0.82450832072617242</v>
      </c>
      <c r="E148" s="36">
        <f t="shared" ref="E148:E159" si="93">K271</f>
        <v>0.88842364532019702</v>
      </c>
      <c r="F148" s="36">
        <f t="shared" ref="F148:F159" si="94">L271</f>
        <v>0.94661700806952198</v>
      </c>
      <c r="G148" s="36">
        <f t="shared" ref="G148:G159" si="95">M271</f>
        <v>0.91417193078824499</v>
      </c>
      <c r="H148" s="44" t="str">
        <f t="shared" ref="H148:H159" si="96">V165</f>
        <v>-</v>
      </c>
      <c r="I148" s="44" t="str">
        <f t="shared" ref="I148:I159" si="97">Y165</f>
        <v>-</v>
      </c>
      <c r="J148" s="44" t="str">
        <f t="shared" ref="J148:J159" si="98">AB165</f>
        <v>-</v>
      </c>
      <c r="K148" s="36">
        <f t="shared" ref="K148:K159" si="99">AVERAGE(C148,D148,G148,J148)</f>
        <v>0.86934012575720865</v>
      </c>
      <c r="L148" s="37" t="str">
        <f t="shared" ref="L148:L159" si="100">AE165</f>
        <v>-</v>
      </c>
      <c r="M148" s="37" t="str">
        <f>M45</f>
        <v>-</v>
      </c>
      <c r="N148" s="21">
        <f t="shared" ref="N148:N159" si="101">AK165</f>
        <v>0.68436344426835716</v>
      </c>
      <c r="O148" s="21">
        <f t="shared" ref="O148:O159" si="102">W271</f>
        <v>0</v>
      </c>
      <c r="P148" s="21">
        <f t="shared" ref="P148:P159" si="103">X271</f>
        <v>0</v>
      </c>
      <c r="Q148" s="21">
        <f t="shared" ref="Q148:Q159" si="104">Y271</f>
        <v>0</v>
      </c>
      <c r="R148" s="37" t="str">
        <f>R45</f>
        <v>-</v>
      </c>
      <c r="S148" s="37" t="str">
        <f>S45</f>
        <v>-</v>
      </c>
      <c r="T148" s="37" t="str">
        <f>T45</f>
        <v>-</v>
      </c>
      <c r="U148" s="21">
        <f t="shared" ref="U148:U159" si="105">AVERAGE(T148,Q148,N148,M148)</f>
        <v>0.34218172213417858</v>
      </c>
      <c r="V148" s="170"/>
      <c r="W148" s="20"/>
      <c r="X148" s="20"/>
      <c r="Y148" s="20"/>
      <c r="Z148" s="20"/>
      <c r="AA148" s="20"/>
      <c r="AB148" s="20"/>
      <c r="AC148" s="20"/>
      <c r="AD148" s="20"/>
      <c r="AE148" s="20"/>
      <c r="AF148" s="169"/>
      <c r="AG148" s="169"/>
      <c r="AH148" s="204" t="s">
        <v>119</v>
      </c>
      <c r="AI148" s="205">
        <v>2229</v>
      </c>
      <c r="AJ148" s="205">
        <v>2835</v>
      </c>
      <c r="AK148" s="20">
        <f t="shared" ref="AK148:AK154" si="106">IFERROR(AI148/AJ148,"-")</f>
        <v>0.78624338624338619</v>
      </c>
      <c r="AL148" s="169"/>
      <c r="AM148" s="169"/>
      <c r="AN148" s="169"/>
      <c r="AO148" s="169"/>
      <c r="AP148" s="169"/>
      <c r="AQ148" s="169"/>
      <c r="AR148" s="169"/>
      <c r="AS148" s="169"/>
      <c r="AT148" s="169"/>
      <c r="AU148" s="169"/>
      <c r="AV148" s="169"/>
      <c r="AW148" s="169"/>
      <c r="AX148" s="169"/>
      <c r="AY148" s="169"/>
      <c r="AZ148" s="169"/>
      <c r="BA148" s="169"/>
      <c r="BB148" s="169"/>
      <c r="BC148" s="169"/>
    </row>
    <row r="149" spans="1:55" ht="14.25" customHeight="1">
      <c r="A149" s="12" t="s">
        <v>119</v>
      </c>
      <c r="B149" s="36">
        <f t="shared" si="90"/>
        <v>0.89912280701754388</v>
      </c>
      <c r="C149" s="36">
        <f t="shared" si="91"/>
        <v>0.81331403762662813</v>
      </c>
      <c r="D149" s="36">
        <f t="shared" si="92"/>
        <v>0.79935275080906154</v>
      </c>
      <c r="E149" s="36">
        <f t="shared" si="93"/>
        <v>0.86942561541205854</v>
      </c>
      <c r="F149" s="36">
        <f t="shared" si="94"/>
        <v>0.94024604569420034</v>
      </c>
      <c r="G149" s="36">
        <f t="shared" si="95"/>
        <v>0.90509915014164311</v>
      </c>
      <c r="H149" s="36">
        <f t="shared" si="96"/>
        <v>1</v>
      </c>
      <c r="I149" s="36">
        <f t="shared" si="97"/>
        <v>1</v>
      </c>
      <c r="J149" s="36">
        <f t="shared" si="98"/>
        <v>1</v>
      </c>
      <c r="K149" s="36">
        <f t="shared" si="99"/>
        <v>0.87944148464433314</v>
      </c>
      <c r="L149" s="37" t="str">
        <f t="shared" si="100"/>
        <v>-</v>
      </c>
      <c r="M149" s="37" t="str">
        <f t="shared" ref="M149:M159" si="107">AH166</f>
        <v>-</v>
      </c>
      <c r="N149" s="21">
        <f t="shared" si="101"/>
        <v>0.83047619047619048</v>
      </c>
      <c r="O149" s="21">
        <f t="shared" si="102"/>
        <v>0</v>
      </c>
      <c r="P149" s="21">
        <f t="shared" si="103"/>
        <v>0</v>
      </c>
      <c r="Q149" s="21">
        <f t="shared" si="104"/>
        <v>0</v>
      </c>
      <c r="R149" s="21">
        <f t="shared" ref="R149:R159" si="108">AQ166</f>
        <v>0.87058823529411766</v>
      </c>
      <c r="S149" s="21">
        <f t="shared" ref="S149:S159" si="109">AT166</f>
        <v>0.93122676579925645</v>
      </c>
      <c r="T149" s="37" t="str">
        <f t="shared" ref="T149:T159" si="110">AW166</f>
        <v>-</v>
      </c>
      <c r="U149" s="21">
        <f t="shared" si="105"/>
        <v>0.41523809523809524</v>
      </c>
      <c r="V149" s="170"/>
      <c r="W149" s="20"/>
      <c r="X149" s="169"/>
      <c r="Y149" s="20"/>
      <c r="Z149" s="169"/>
      <c r="AA149" s="169"/>
      <c r="AB149" s="169"/>
      <c r="AC149" s="169"/>
      <c r="AD149" s="169"/>
      <c r="AE149" s="169"/>
      <c r="AF149" s="169"/>
      <c r="AG149" s="169"/>
      <c r="AH149" s="204" t="s">
        <v>120</v>
      </c>
      <c r="AI149" s="205">
        <v>687</v>
      </c>
      <c r="AJ149" s="205">
        <v>994</v>
      </c>
      <c r="AK149" s="20">
        <f t="shared" si="106"/>
        <v>0.69114688128772639</v>
      </c>
      <c r="AL149" s="169"/>
      <c r="AM149" s="169"/>
      <c r="AN149" s="169"/>
      <c r="AO149" s="169"/>
      <c r="AP149" s="169"/>
      <c r="AQ149" s="169"/>
      <c r="AR149" s="169"/>
      <c r="AS149" s="169"/>
      <c r="AT149" s="169"/>
      <c r="AU149" s="169"/>
      <c r="AV149" s="169"/>
      <c r="AW149" s="169"/>
      <c r="AX149" s="169"/>
      <c r="AY149" s="169"/>
      <c r="AZ149" s="169"/>
      <c r="BA149" s="169"/>
      <c r="BB149" s="169"/>
      <c r="BC149" s="169"/>
    </row>
    <row r="150" spans="1:55" ht="14.25" customHeight="1">
      <c r="A150" s="12" t="s">
        <v>120</v>
      </c>
      <c r="B150" s="36">
        <f t="shared" si="90"/>
        <v>0.94883720930232562</v>
      </c>
      <c r="C150" s="36">
        <f t="shared" si="91"/>
        <v>0.79534883720930227</v>
      </c>
      <c r="D150" s="36">
        <f t="shared" si="92"/>
        <v>0.8529411764705882</v>
      </c>
      <c r="E150" s="36">
        <f t="shared" si="93"/>
        <v>0.87484662576687111</v>
      </c>
      <c r="F150" s="36">
        <f t="shared" si="94"/>
        <v>0.9464493597206054</v>
      </c>
      <c r="G150" s="36">
        <f t="shared" si="95"/>
        <v>0.91158900836320189</v>
      </c>
      <c r="H150" s="36">
        <f t="shared" si="96"/>
        <v>1</v>
      </c>
      <c r="I150" s="36">
        <f t="shared" si="97"/>
        <v>1</v>
      </c>
      <c r="J150" s="36">
        <f t="shared" si="98"/>
        <v>1</v>
      </c>
      <c r="K150" s="36">
        <f t="shared" si="99"/>
        <v>0.88996975551077306</v>
      </c>
      <c r="L150" s="37" t="str">
        <f t="shared" si="100"/>
        <v>-</v>
      </c>
      <c r="M150" s="37" t="str">
        <f t="shared" si="107"/>
        <v>-</v>
      </c>
      <c r="N150" s="21">
        <f t="shared" si="101"/>
        <v>0.69114688128772639</v>
      </c>
      <c r="O150" s="21">
        <f t="shared" si="102"/>
        <v>0</v>
      </c>
      <c r="P150" s="21">
        <f t="shared" si="103"/>
        <v>0</v>
      </c>
      <c r="Q150" s="21">
        <f t="shared" si="104"/>
        <v>0</v>
      </c>
      <c r="R150" s="21">
        <f t="shared" si="108"/>
        <v>0.80769230769230771</v>
      </c>
      <c r="S150" s="21">
        <f t="shared" si="109"/>
        <v>0.88518518518518519</v>
      </c>
      <c r="T150" s="37" t="str">
        <f t="shared" si="110"/>
        <v>-</v>
      </c>
      <c r="U150" s="21">
        <f t="shared" si="105"/>
        <v>0.34557344064386319</v>
      </c>
      <c r="V150" s="170"/>
      <c r="W150" s="20"/>
      <c r="X150" s="169"/>
      <c r="Y150" s="20"/>
      <c r="Z150" s="169"/>
      <c r="AA150" s="169"/>
      <c r="AB150" s="169"/>
      <c r="AC150" s="169"/>
      <c r="AD150" s="169"/>
      <c r="AE150" s="169"/>
      <c r="AF150" s="169"/>
      <c r="AG150" s="169"/>
      <c r="AH150" s="204" t="s">
        <v>121</v>
      </c>
      <c r="AI150" s="205">
        <v>347</v>
      </c>
      <c r="AJ150" s="205">
        <v>505</v>
      </c>
      <c r="AK150" s="20">
        <f t="shared" si="106"/>
        <v>0.68712871287128718</v>
      </c>
      <c r="AL150" s="169"/>
      <c r="AM150" s="169"/>
      <c r="AN150" s="169"/>
      <c r="AO150" s="169"/>
      <c r="AP150" s="169"/>
      <c r="AQ150" s="169"/>
      <c r="AR150" s="169"/>
      <c r="AS150" s="169"/>
      <c r="AT150" s="169"/>
      <c r="AU150" s="169"/>
      <c r="AV150" s="169"/>
      <c r="AW150" s="169"/>
      <c r="AX150" s="169"/>
      <c r="AY150" s="169"/>
      <c r="AZ150" s="169"/>
      <c r="BA150" s="169"/>
      <c r="BB150" s="169"/>
      <c r="BC150" s="169"/>
    </row>
    <row r="151" spans="1:55" ht="14.25" customHeight="1">
      <c r="A151" s="12" t="s">
        <v>121</v>
      </c>
      <c r="B151" s="36">
        <f t="shared" si="90"/>
        <v>0.93333333333333335</v>
      </c>
      <c r="C151" s="36">
        <f t="shared" si="91"/>
        <v>0.8</v>
      </c>
      <c r="D151" s="36">
        <f t="shared" si="92"/>
        <v>0.90721649484536082</v>
      </c>
      <c r="E151" s="36">
        <f t="shared" si="93"/>
        <v>0.92233009708737868</v>
      </c>
      <c r="F151" s="36">
        <f t="shared" si="94"/>
        <v>0.953125</v>
      </c>
      <c r="G151" s="36">
        <f t="shared" si="95"/>
        <v>0.93718592964824121</v>
      </c>
      <c r="H151" s="36">
        <f t="shared" si="96"/>
        <v>1</v>
      </c>
      <c r="I151" s="36">
        <f t="shared" si="97"/>
        <v>1</v>
      </c>
      <c r="J151" s="36">
        <f t="shared" si="98"/>
        <v>1</v>
      </c>
      <c r="K151" s="36">
        <f t="shared" si="99"/>
        <v>0.9111006061234006</v>
      </c>
      <c r="L151" s="37" t="str">
        <f t="shared" si="100"/>
        <v>-</v>
      </c>
      <c r="M151" s="37" t="str">
        <f t="shared" si="107"/>
        <v>-</v>
      </c>
      <c r="N151" s="21">
        <f t="shared" si="101"/>
        <v>0.68712871287128718</v>
      </c>
      <c r="O151" s="21">
        <f t="shared" si="102"/>
        <v>0</v>
      </c>
      <c r="P151" s="21">
        <f t="shared" si="103"/>
        <v>0</v>
      </c>
      <c r="Q151" s="21">
        <f t="shared" si="104"/>
        <v>0</v>
      </c>
      <c r="R151" s="21">
        <f t="shared" si="108"/>
        <v>0.75</v>
      </c>
      <c r="S151" s="21">
        <f t="shared" si="109"/>
        <v>0.93243243243243246</v>
      </c>
      <c r="T151" s="37" t="str">
        <f t="shared" si="110"/>
        <v>-</v>
      </c>
      <c r="U151" s="21">
        <f t="shared" si="105"/>
        <v>0.34356435643564359</v>
      </c>
      <c r="V151" s="170"/>
      <c r="W151" s="20"/>
      <c r="X151" s="169"/>
      <c r="Y151" s="20"/>
      <c r="Z151" s="169"/>
      <c r="AA151" s="169"/>
      <c r="AB151" s="169"/>
      <c r="AC151" s="169"/>
      <c r="AD151" s="169"/>
      <c r="AE151" s="169"/>
      <c r="AF151" s="169"/>
      <c r="AG151" s="169"/>
      <c r="AH151" s="204" t="s">
        <v>122</v>
      </c>
      <c r="AI151" s="205">
        <v>326</v>
      </c>
      <c r="AJ151" s="205">
        <v>452</v>
      </c>
      <c r="AK151" s="20">
        <f t="shared" si="106"/>
        <v>0.72123893805309736</v>
      </c>
      <c r="AL151" s="169"/>
      <c r="AM151" s="169"/>
      <c r="AN151" s="169"/>
      <c r="AO151" s="169"/>
      <c r="AP151" s="169"/>
      <c r="AQ151" s="169"/>
      <c r="AR151" s="169"/>
      <c r="AS151" s="169"/>
      <c r="AT151" s="169"/>
      <c r="AU151" s="169"/>
      <c r="AV151" s="169"/>
      <c r="AW151" s="169"/>
      <c r="AX151" s="169"/>
      <c r="AY151" s="169"/>
      <c r="AZ151" s="169"/>
      <c r="BA151" s="169"/>
      <c r="BB151" s="169"/>
      <c r="BC151" s="169"/>
    </row>
    <row r="152" spans="1:55" ht="14.25" customHeight="1">
      <c r="A152" s="12" t="s">
        <v>122</v>
      </c>
      <c r="B152" s="36">
        <f t="shared" si="90"/>
        <v>0.92982456140350878</v>
      </c>
      <c r="C152" s="36">
        <f t="shared" si="91"/>
        <v>0.73684210526315785</v>
      </c>
      <c r="D152" s="36">
        <f t="shared" si="92"/>
        <v>0.8651685393258427</v>
      </c>
      <c r="E152" s="36">
        <f t="shared" si="93"/>
        <v>0.85661764705882348</v>
      </c>
      <c r="F152" s="36">
        <f t="shared" si="94"/>
        <v>0.92182410423452765</v>
      </c>
      <c r="G152" s="36">
        <f t="shared" si="95"/>
        <v>0.89119170984455953</v>
      </c>
      <c r="H152" s="36">
        <f t="shared" si="96"/>
        <v>1</v>
      </c>
      <c r="I152" s="36">
        <f t="shared" si="97"/>
        <v>1</v>
      </c>
      <c r="J152" s="36">
        <f t="shared" si="98"/>
        <v>1</v>
      </c>
      <c r="K152" s="36">
        <f t="shared" si="99"/>
        <v>0.87330058860838999</v>
      </c>
      <c r="L152" s="37" t="str">
        <f t="shared" si="100"/>
        <v>-</v>
      </c>
      <c r="M152" s="37" t="str">
        <f t="shared" si="107"/>
        <v>-</v>
      </c>
      <c r="N152" s="21">
        <f t="shared" si="101"/>
        <v>0.72123893805309736</v>
      </c>
      <c r="O152" s="21">
        <f t="shared" si="102"/>
        <v>0</v>
      </c>
      <c r="P152" s="21">
        <f t="shared" si="103"/>
        <v>0</v>
      </c>
      <c r="Q152" s="21">
        <f t="shared" si="104"/>
        <v>0</v>
      </c>
      <c r="R152" s="21">
        <f t="shared" si="108"/>
        <v>1</v>
      </c>
      <c r="S152" s="21">
        <f t="shared" si="109"/>
        <v>0.92045454545454541</v>
      </c>
      <c r="T152" s="37" t="str">
        <f t="shared" si="110"/>
        <v>-</v>
      </c>
      <c r="U152" s="21">
        <f t="shared" si="105"/>
        <v>0.36061946902654868</v>
      </c>
      <c r="V152" s="170"/>
      <c r="W152" s="20"/>
      <c r="X152" s="169"/>
      <c r="Y152" s="20"/>
      <c r="Z152" s="169"/>
      <c r="AA152" s="169"/>
      <c r="AB152" s="169"/>
      <c r="AC152" s="169"/>
      <c r="AD152" s="169"/>
      <c r="AE152" s="169"/>
      <c r="AF152" s="169"/>
      <c r="AG152" s="169"/>
      <c r="AH152" s="204" t="s">
        <v>123</v>
      </c>
      <c r="AI152" s="205">
        <v>322</v>
      </c>
      <c r="AJ152" s="205">
        <v>412</v>
      </c>
      <c r="AK152" s="20">
        <f t="shared" si="106"/>
        <v>0.78155339805825241</v>
      </c>
      <c r="AL152" s="205">
        <v>4264</v>
      </c>
      <c r="AM152" s="205">
        <v>5733</v>
      </c>
      <c r="AN152" s="20">
        <f>IFERROR(AL152/AM152,"-")</f>
        <v>0.74376417233560088</v>
      </c>
      <c r="AO152" s="169"/>
      <c r="AP152" s="169"/>
      <c r="AQ152" s="169"/>
      <c r="AR152" s="169"/>
      <c r="AS152" s="169"/>
      <c r="AT152" s="169"/>
      <c r="AU152" s="169"/>
      <c r="AV152" s="169"/>
      <c r="AW152" s="169"/>
      <c r="AX152" s="169"/>
      <c r="AY152" s="169"/>
      <c r="AZ152" s="169"/>
      <c r="BA152" s="169"/>
      <c r="BB152" s="169"/>
      <c r="BC152" s="169"/>
    </row>
    <row r="153" spans="1:55" ht="14.25" customHeight="1">
      <c r="A153" s="12" t="s">
        <v>123</v>
      </c>
      <c r="B153" s="36">
        <f t="shared" si="90"/>
        <v>0.84403669724770647</v>
      </c>
      <c r="C153" s="36">
        <f t="shared" si="91"/>
        <v>0.84403669724770647</v>
      </c>
      <c r="D153" s="36">
        <f t="shared" si="92"/>
        <v>0.67289719626168221</v>
      </c>
      <c r="E153" s="36">
        <f t="shared" si="93"/>
        <v>0.75516224188790559</v>
      </c>
      <c r="F153" s="36">
        <f t="shared" si="94"/>
        <v>0.7795527156549521</v>
      </c>
      <c r="G153" s="36">
        <f t="shared" si="95"/>
        <v>0.76687116564417179</v>
      </c>
      <c r="H153" s="44" t="str">
        <f t="shared" si="96"/>
        <v>-</v>
      </c>
      <c r="I153" s="36">
        <f t="shared" si="97"/>
        <v>1</v>
      </c>
      <c r="J153" s="36">
        <f t="shared" si="98"/>
        <v>1</v>
      </c>
      <c r="K153" s="36">
        <f t="shared" si="99"/>
        <v>0.82095126478839009</v>
      </c>
      <c r="L153" s="37" t="str">
        <f t="shared" si="100"/>
        <v>-</v>
      </c>
      <c r="M153" s="37" t="str">
        <f t="shared" si="107"/>
        <v>-</v>
      </c>
      <c r="N153" s="21">
        <f t="shared" si="101"/>
        <v>0.74348801104019324</v>
      </c>
      <c r="O153" s="21">
        <f t="shared" si="102"/>
        <v>0</v>
      </c>
      <c r="P153" s="21">
        <f t="shared" si="103"/>
        <v>0</v>
      </c>
      <c r="Q153" s="21">
        <f t="shared" si="104"/>
        <v>0</v>
      </c>
      <c r="R153" s="37" t="str">
        <f t="shared" si="108"/>
        <v>-</v>
      </c>
      <c r="S153" s="21">
        <f t="shared" si="109"/>
        <v>0.9337349397590361</v>
      </c>
      <c r="T153" s="37" t="str">
        <f t="shared" si="110"/>
        <v>-</v>
      </c>
      <c r="U153" s="21">
        <f t="shared" si="105"/>
        <v>0.37174400552009662</v>
      </c>
      <c r="V153" s="170"/>
      <c r="W153" s="20"/>
      <c r="X153" s="169"/>
      <c r="Y153" s="20"/>
      <c r="Z153" s="169"/>
      <c r="AA153" s="169"/>
      <c r="AB153" s="169"/>
      <c r="AC153" s="169"/>
      <c r="AD153" s="169"/>
      <c r="AE153" s="169"/>
      <c r="AF153" s="169"/>
      <c r="AG153" s="169"/>
      <c r="AH153" s="204" t="s">
        <v>124</v>
      </c>
      <c r="AI153" s="205">
        <v>226</v>
      </c>
      <c r="AJ153" s="205">
        <v>278</v>
      </c>
      <c r="AK153" s="20">
        <f t="shared" si="106"/>
        <v>0.81294964028776984</v>
      </c>
      <c r="AL153" s="169"/>
      <c r="AM153" s="169"/>
      <c r="AN153" s="169"/>
      <c r="AO153" s="169"/>
      <c r="AP153" s="169"/>
      <c r="AQ153" s="169"/>
      <c r="AR153" s="169"/>
      <c r="AS153" s="169"/>
      <c r="AT153" s="169"/>
      <c r="AU153" s="169"/>
      <c r="AV153" s="169"/>
      <c r="AW153" s="169"/>
      <c r="AX153" s="169"/>
      <c r="AY153" s="169"/>
      <c r="AZ153" s="169"/>
      <c r="BA153" s="169"/>
      <c r="BB153" s="169"/>
      <c r="BC153" s="169"/>
    </row>
    <row r="154" spans="1:55" ht="14.25" customHeight="1">
      <c r="A154" s="12" t="s">
        <v>124</v>
      </c>
      <c r="B154" s="36">
        <f t="shared" si="90"/>
        <v>0.91228070175438591</v>
      </c>
      <c r="C154" s="36">
        <f t="shared" si="91"/>
        <v>0.75438596491228072</v>
      </c>
      <c r="D154" s="36">
        <f t="shared" si="92"/>
        <v>0.88888888888888884</v>
      </c>
      <c r="E154" s="36">
        <f t="shared" si="93"/>
        <v>0.85074626865671643</v>
      </c>
      <c r="F154" s="36">
        <f t="shared" si="94"/>
        <v>0.95499999999999996</v>
      </c>
      <c r="G154" s="36">
        <f t="shared" si="95"/>
        <v>0.90274314214463836</v>
      </c>
      <c r="H154" s="44" t="str">
        <f t="shared" si="96"/>
        <v>-</v>
      </c>
      <c r="I154" s="36">
        <f t="shared" si="97"/>
        <v>1</v>
      </c>
      <c r="J154" s="36">
        <f t="shared" si="98"/>
        <v>1</v>
      </c>
      <c r="K154" s="36">
        <f t="shared" si="99"/>
        <v>0.88650449898645201</v>
      </c>
      <c r="L154" s="37" t="str">
        <f t="shared" si="100"/>
        <v>-</v>
      </c>
      <c r="M154" s="37" t="str">
        <f t="shared" si="107"/>
        <v>-</v>
      </c>
      <c r="N154" s="21">
        <f t="shared" si="101"/>
        <v>0.81294964028776984</v>
      </c>
      <c r="O154" s="21">
        <f t="shared" si="102"/>
        <v>0</v>
      </c>
      <c r="P154" s="21">
        <f t="shared" si="103"/>
        <v>0</v>
      </c>
      <c r="Q154" s="21">
        <f t="shared" si="104"/>
        <v>0</v>
      </c>
      <c r="R154" s="37" t="str">
        <f t="shared" si="108"/>
        <v>-</v>
      </c>
      <c r="S154" s="21">
        <f t="shared" si="109"/>
        <v>0.9285714285714286</v>
      </c>
      <c r="T154" s="37" t="str">
        <f t="shared" si="110"/>
        <v>-</v>
      </c>
      <c r="U154" s="21">
        <f t="shared" si="105"/>
        <v>0.40647482014388492</v>
      </c>
      <c r="V154" s="170"/>
      <c r="W154" s="20"/>
      <c r="X154" s="169"/>
      <c r="Y154" s="20"/>
      <c r="Z154" s="169"/>
      <c r="AA154" s="169"/>
      <c r="AB154" s="169"/>
      <c r="AC154" s="169"/>
      <c r="AD154" s="169"/>
      <c r="AE154" s="169"/>
      <c r="AF154" s="169"/>
      <c r="AG154" s="169"/>
      <c r="AH154" s="204" t="s">
        <v>125</v>
      </c>
      <c r="AI154" s="205">
        <v>543</v>
      </c>
      <c r="AJ154" s="205">
        <v>779</v>
      </c>
      <c r="AK154" s="20">
        <f t="shared" si="106"/>
        <v>0.69704749679075739</v>
      </c>
      <c r="AL154" s="169"/>
      <c r="AM154" s="169"/>
      <c r="AN154" s="169"/>
      <c r="AO154" s="169"/>
      <c r="AP154" s="169"/>
      <c r="AQ154" s="169"/>
      <c r="AR154" s="169"/>
      <c r="AS154" s="169"/>
      <c r="AT154" s="169"/>
      <c r="AU154" s="169"/>
      <c r="AV154" s="169"/>
      <c r="AW154" s="169"/>
      <c r="AX154" s="169"/>
      <c r="AY154" s="169"/>
      <c r="AZ154" s="169"/>
      <c r="BA154" s="169"/>
      <c r="BB154" s="169"/>
      <c r="BC154" s="169"/>
    </row>
    <row r="155" spans="1:55" ht="14.25" customHeight="1">
      <c r="A155" s="12" t="s">
        <v>125</v>
      </c>
      <c r="B155" s="36">
        <f t="shared" si="90"/>
        <v>0.96794871794871795</v>
      </c>
      <c r="C155" s="36">
        <f t="shared" si="91"/>
        <v>0.91666666666666663</v>
      </c>
      <c r="D155" s="36">
        <f t="shared" si="92"/>
        <v>0.89542483660130723</v>
      </c>
      <c r="E155" s="36">
        <f t="shared" si="93"/>
        <v>0.85200553250345779</v>
      </c>
      <c r="F155" s="36">
        <f t="shared" si="94"/>
        <v>0.9458333333333333</v>
      </c>
      <c r="G155" s="36">
        <f t="shared" si="95"/>
        <v>0.89882189882189878</v>
      </c>
      <c r="H155" s="36">
        <f t="shared" si="96"/>
        <v>1</v>
      </c>
      <c r="I155" s="36">
        <f t="shared" si="97"/>
        <v>1</v>
      </c>
      <c r="J155" s="36">
        <f t="shared" si="98"/>
        <v>1</v>
      </c>
      <c r="K155" s="36">
        <f t="shared" si="99"/>
        <v>0.92772835052246816</v>
      </c>
      <c r="L155" s="37" t="str">
        <f t="shared" si="100"/>
        <v>-</v>
      </c>
      <c r="M155" s="37" t="str">
        <f t="shared" si="107"/>
        <v>-</v>
      </c>
      <c r="N155" s="21">
        <f t="shared" si="101"/>
        <v>0.69704749679075739</v>
      </c>
      <c r="O155" s="21">
        <f t="shared" si="102"/>
        <v>0</v>
      </c>
      <c r="P155" s="21">
        <f t="shared" si="103"/>
        <v>0</v>
      </c>
      <c r="Q155" s="21">
        <f t="shared" si="104"/>
        <v>0</v>
      </c>
      <c r="R155" s="21">
        <f t="shared" si="108"/>
        <v>0.67647058823529416</v>
      </c>
      <c r="S155" s="21">
        <f t="shared" si="109"/>
        <v>0.80136986301369861</v>
      </c>
      <c r="T155" s="37" t="str">
        <f t="shared" si="110"/>
        <v>-</v>
      </c>
      <c r="U155" s="21">
        <f t="shared" si="105"/>
        <v>0.3485237483953787</v>
      </c>
      <c r="V155" s="170"/>
      <c r="W155" s="20"/>
      <c r="X155" s="169"/>
      <c r="Y155" s="20"/>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row>
    <row r="156" spans="1:55" ht="14.25" customHeight="1">
      <c r="A156" s="12" t="s">
        <v>244</v>
      </c>
      <c r="B156" s="36">
        <f t="shared" si="90"/>
        <v>0.81599999999999995</v>
      </c>
      <c r="C156" s="36">
        <f t="shared" si="91"/>
        <v>0.84799999999999998</v>
      </c>
      <c r="D156" s="44" t="str">
        <f t="shared" si="92"/>
        <v>-</v>
      </c>
      <c r="E156" s="36">
        <f t="shared" si="93"/>
        <v>0.78181818181818186</v>
      </c>
      <c r="F156" s="36">
        <f t="shared" si="94"/>
        <v>0.79166666666666663</v>
      </c>
      <c r="G156" s="36">
        <f t="shared" si="95"/>
        <v>0.78857142857142859</v>
      </c>
      <c r="H156" s="44" t="str">
        <f t="shared" si="96"/>
        <v>-</v>
      </c>
      <c r="I156" s="44" t="str">
        <f t="shared" si="97"/>
        <v>-</v>
      </c>
      <c r="J156" s="44" t="str">
        <f t="shared" si="98"/>
        <v>-</v>
      </c>
      <c r="K156" s="36">
        <f t="shared" si="99"/>
        <v>0.81828571428571428</v>
      </c>
      <c r="L156" s="21">
        <f t="shared" si="100"/>
        <v>0.53921568627450978</v>
      </c>
      <c r="M156" s="37" t="str">
        <f t="shared" si="107"/>
        <v>-</v>
      </c>
      <c r="N156" s="37" t="str">
        <f t="shared" si="101"/>
        <v>-</v>
      </c>
      <c r="O156" s="21">
        <f t="shared" si="102"/>
        <v>0</v>
      </c>
      <c r="P156" s="21">
        <f t="shared" si="103"/>
        <v>0</v>
      </c>
      <c r="Q156" s="21">
        <f t="shared" si="104"/>
        <v>0</v>
      </c>
      <c r="R156" s="37" t="str">
        <f t="shared" si="108"/>
        <v>-</v>
      </c>
      <c r="S156" s="37" t="str">
        <f t="shared" si="109"/>
        <v>-</v>
      </c>
      <c r="T156" s="37" t="str">
        <f t="shared" si="110"/>
        <v>-</v>
      </c>
      <c r="U156" s="21">
        <f t="shared" si="105"/>
        <v>0</v>
      </c>
      <c r="V156" s="170"/>
      <c r="W156" s="20"/>
      <c r="X156" s="169"/>
      <c r="Y156" s="20"/>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row>
    <row r="157" spans="1:55" ht="14.25" customHeight="1">
      <c r="A157" s="12" t="s">
        <v>245</v>
      </c>
      <c r="B157" s="36">
        <f t="shared" si="90"/>
        <v>0.72727272727272729</v>
      </c>
      <c r="C157" s="36">
        <f t="shared" si="91"/>
        <v>0.81818181818181823</v>
      </c>
      <c r="D157" s="44" t="str">
        <f t="shared" si="92"/>
        <v>-</v>
      </c>
      <c r="E157" s="36">
        <f t="shared" si="93"/>
        <v>0.6</v>
      </c>
      <c r="F157" s="36">
        <f t="shared" si="94"/>
        <v>0.61111111111111116</v>
      </c>
      <c r="G157" s="36">
        <f t="shared" si="95"/>
        <v>0.6071428571428571</v>
      </c>
      <c r="H157" s="44" t="str">
        <f t="shared" si="96"/>
        <v>-</v>
      </c>
      <c r="I157" s="44" t="str">
        <f t="shared" si="97"/>
        <v>-</v>
      </c>
      <c r="J157" s="44" t="str">
        <f t="shared" si="98"/>
        <v>-</v>
      </c>
      <c r="K157" s="36">
        <f t="shared" si="99"/>
        <v>0.71266233766233766</v>
      </c>
      <c r="L157" s="21">
        <f t="shared" si="100"/>
        <v>0.625</v>
      </c>
      <c r="M157" s="37" t="str">
        <f t="shared" si="107"/>
        <v>-</v>
      </c>
      <c r="N157" s="37" t="str">
        <f t="shared" si="101"/>
        <v>-</v>
      </c>
      <c r="O157" s="21">
        <f t="shared" si="102"/>
        <v>0</v>
      </c>
      <c r="P157" s="21">
        <f t="shared" si="103"/>
        <v>0</v>
      </c>
      <c r="Q157" s="21">
        <f t="shared" si="104"/>
        <v>0</v>
      </c>
      <c r="R157" s="37" t="str">
        <f t="shared" si="108"/>
        <v>-</v>
      </c>
      <c r="S157" s="37" t="str">
        <f t="shared" si="109"/>
        <v>-</v>
      </c>
      <c r="T157" s="37" t="str">
        <f t="shared" si="110"/>
        <v>-</v>
      </c>
      <c r="U157" s="21">
        <f t="shared" si="105"/>
        <v>0</v>
      </c>
      <c r="V157" s="170"/>
      <c r="W157" s="20"/>
      <c r="X157" s="169"/>
      <c r="Y157" s="20"/>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row>
    <row r="158" spans="1:55" ht="14.25" customHeight="1">
      <c r="A158" s="12" t="s">
        <v>246</v>
      </c>
      <c r="B158" s="36">
        <f t="shared" si="90"/>
        <v>0.88627935723114959</v>
      </c>
      <c r="C158" s="36">
        <f t="shared" si="91"/>
        <v>0.81862745098039214</v>
      </c>
      <c r="D158" s="36">
        <f t="shared" si="92"/>
        <v>0.79935275080906154</v>
      </c>
      <c r="E158" s="36">
        <f t="shared" si="93"/>
        <v>0.86773967809657104</v>
      </c>
      <c r="F158" s="36">
        <f t="shared" si="94"/>
        <v>0.93423271500843175</v>
      </c>
      <c r="G158" s="36">
        <f t="shared" si="95"/>
        <v>0.90159711488923233</v>
      </c>
      <c r="H158" s="36">
        <f t="shared" si="96"/>
        <v>1</v>
      </c>
      <c r="I158" s="36">
        <f t="shared" si="97"/>
        <v>1</v>
      </c>
      <c r="J158" s="36">
        <f t="shared" si="98"/>
        <v>1</v>
      </c>
      <c r="K158" s="36">
        <f t="shared" si="99"/>
        <v>0.87989432916967147</v>
      </c>
      <c r="L158" s="21">
        <f t="shared" si="100"/>
        <v>0.53921568627450978</v>
      </c>
      <c r="M158" s="37" t="str">
        <f t="shared" si="107"/>
        <v>-</v>
      </c>
      <c r="N158" s="21">
        <f t="shared" si="101"/>
        <v>0.83047619047619048</v>
      </c>
      <c r="O158" s="21">
        <f t="shared" si="102"/>
        <v>0</v>
      </c>
      <c r="P158" s="21">
        <f t="shared" si="103"/>
        <v>0</v>
      </c>
      <c r="Q158" s="21">
        <f t="shared" si="104"/>
        <v>0</v>
      </c>
      <c r="R158" s="21">
        <f t="shared" si="108"/>
        <v>0.87058823529411766</v>
      </c>
      <c r="S158" s="21">
        <f t="shared" si="109"/>
        <v>0.93122676579925645</v>
      </c>
      <c r="T158" s="37" t="str">
        <f t="shared" si="110"/>
        <v>-</v>
      </c>
      <c r="U158" s="21">
        <f t="shared" si="105"/>
        <v>0.41523809523809524</v>
      </c>
      <c r="V158" s="170"/>
      <c r="W158" s="20"/>
      <c r="X158" s="169"/>
      <c r="Y158" s="20"/>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row>
    <row r="159" spans="1:55" ht="14.25" customHeight="1">
      <c r="A159" s="12" t="s">
        <v>247</v>
      </c>
      <c r="B159" s="36">
        <f t="shared" si="90"/>
        <v>0.90140845070422537</v>
      </c>
      <c r="C159" s="36">
        <f t="shared" si="91"/>
        <v>0.80281690140845074</v>
      </c>
      <c r="D159" s="36">
        <f t="shared" si="92"/>
        <v>0.90721649484536082</v>
      </c>
      <c r="E159" s="36">
        <f t="shared" si="93"/>
        <v>0.91469194312796209</v>
      </c>
      <c r="F159" s="36">
        <f t="shared" si="94"/>
        <v>0.93781094527363185</v>
      </c>
      <c r="G159" s="36">
        <f t="shared" si="95"/>
        <v>0.92597087378640774</v>
      </c>
      <c r="H159" s="36">
        <f t="shared" si="96"/>
        <v>1</v>
      </c>
      <c r="I159" s="36">
        <f t="shared" si="97"/>
        <v>1</v>
      </c>
      <c r="J159" s="36">
        <f t="shared" si="98"/>
        <v>1</v>
      </c>
      <c r="K159" s="36">
        <f t="shared" si="99"/>
        <v>0.90900106751005483</v>
      </c>
      <c r="L159" s="21">
        <f t="shared" si="100"/>
        <v>0.625</v>
      </c>
      <c r="M159" s="37" t="str">
        <f t="shared" si="107"/>
        <v>-</v>
      </c>
      <c r="N159" s="21">
        <f t="shared" si="101"/>
        <v>0.68712871287128718</v>
      </c>
      <c r="O159" s="21">
        <f t="shared" si="102"/>
        <v>0</v>
      </c>
      <c r="P159" s="21">
        <f t="shared" si="103"/>
        <v>0</v>
      </c>
      <c r="Q159" s="21">
        <f t="shared" si="104"/>
        <v>0</v>
      </c>
      <c r="R159" s="21">
        <f t="shared" si="108"/>
        <v>0.75</v>
      </c>
      <c r="S159" s="21">
        <f t="shared" si="109"/>
        <v>0.93243243243243246</v>
      </c>
      <c r="T159" s="37" t="str">
        <f t="shared" si="110"/>
        <v>-</v>
      </c>
      <c r="U159" s="21">
        <f t="shared" si="105"/>
        <v>0.34356435643564359</v>
      </c>
      <c r="V159" s="170"/>
      <c r="W159" s="20"/>
      <c r="X159" s="169"/>
      <c r="Y159" s="20"/>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row>
    <row r="160" spans="1:55" ht="14.25" customHeight="1">
      <c r="A160" s="177"/>
      <c r="B160" s="177"/>
      <c r="C160" s="177"/>
      <c r="D160" s="177"/>
      <c r="E160" s="177"/>
      <c r="F160" s="177"/>
      <c r="G160" s="177"/>
      <c r="H160" s="177"/>
      <c r="I160" s="177"/>
      <c r="J160" s="177"/>
      <c r="K160" s="177"/>
      <c r="L160" s="177"/>
      <c r="M160" s="177"/>
      <c r="N160" s="177"/>
      <c r="O160" s="177"/>
      <c r="P160" s="177"/>
      <c r="Q160" s="177"/>
      <c r="R160" s="177"/>
      <c r="S160" s="177"/>
      <c r="T160" s="177"/>
      <c r="U160" s="177"/>
      <c r="V160" s="169"/>
      <c r="W160" s="20"/>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row>
    <row r="161" spans="1:55" ht="14.25" customHeight="1">
      <c r="A161" s="179"/>
      <c r="B161" s="179"/>
      <c r="C161" s="179"/>
      <c r="D161" s="179"/>
      <c r="E161" s="179"/>
      <c r="F161" s="179"/>
      <c r="G161" s="179"/>
      <c r="H161" s="179"/>
      <c r="I161" s="179"/>
      <c r="J161" s="179"/>
      <c r="K161" s="179"/>
      <c r="L161" s="179"/>
      <c r="M161" s="179"/>
      <c r="N161" s="179"/>
      <c r="O161" s="179"/>
      <c r="P161" s="179"/>
      <c r="Q161" s="179"/>
      <c r="R161" s="179"/>
      <c r="S161" s="179"/>
      <c r="T161" s="179"/>
      <c r="U161" s="179"/>
      <c r="V161" s="179"/>
      <c r="W161" s="191"/>
      <c r="X161" s="179"/>
      <c r="Y161" s="179"/>
      <c r="Z161" s="179"/>
      <c r="AA161" s="179"/>
      <c r="AB161" s="179"/>
      <c r="AC161" s="179"/>
      <c r="AD161" s="179"/>
      <c r="AE161" s="179"/>
      <c r="AF161" s="179"/>
      <c r="AG161" s="179"/>
      <c r="AH161" s="179"/>
      <c r="AI161" s="179"/>
      <c r="AJ161" s="179"/>
      <c r="AK161" s="179"/>
      <c r="AL161" s="179"/>
      <c r="AM161" s="179"/>
      <c r="AN161" s="179"/>
      <c r="AO161" s="179"/>
      <c r="AP161" s="179"/>
      <c r="AQ161" s="179"/>
      <c r="AR161" s="179"/>
      <c r="AS161" s="179"/>
      <c r="AT161" s="179"/>
      <c r="AU161" s="179"/>
      <c r="AV161" s="179"/>
      <c r="AW161" s="179"/>
      <c r="AX161" s="169"/>
      <c r="AY161" s="169"/>
      <c r="AZ161" s="169"/>
      <c r="BA161" s="169"/>
      <c r="BB161" s="169"/>
      <c r="BC161" s="169"/>
    </row>
    <row r="162" spans="1:55" ht="14.25" customHeight="1">
      <c r="A162" s="192"/>
      <c r="B162" s="59" t="s">
        <v>102</v>
      </c>
      <c r="C162" s="193"/>
      <c r="D162" s="193"/>
      <c r="E162" s="194" t="s">
        <v>103</v>
      </c>
      <c r="F162" s="195"/>
      <c r="G162" s="195"/>
      <c r="H162" s="59" t="s">
        <v>104</v>
      </c>
      <c r="I162" s="193"/>
      <c r="J162" s="196"/>
      <c r="K162" s="194" t="s">
        <v>105</v>
      </c>
      <c r="L162" s="195"/>
      <c r="M162" s="195"/>
      <c r="N162" s="195"/>
      <c r="O162" s="195"/>
      <c r="P162" s="195"/>
      <c r="Q162" s="195"/>
      <c r="R162" s="195"/>
      <c r="S162" s="195"/>
      <c r="T162" s="59" t="s">
        <v>106</v>
      </c>
      <c r="U162" s="196"/>
      <c r="V162" s="196"/>
      <c r="W162" s="196"/>
      <c r="X162" s="196"/>
      <c r="Y162" s="196"/>
      <c r="Z162" s="196"/>
      <c r="AA162" s="196"/>
      <c r="AB162" s="196"/>
      <c r="AC162" s="29" t="s">
        <v>107</v>
      </c>
      <c r="AD162" s="184"/>
      <c r="AE162" s="184"/>
      <c r="AF162" s="27" t="s">
        <v>108</v>
      </c>
      <c r="AG162" s="181"/>
      <c r="AH162" s="182"/>
      <c r="AI162" s="29" t="s">
        <v>109</v>
      </c>
      <c r="AJ162" s="184"/>
      <c r="AK162" s="184"/>
      <c r="AL162" s="27" t="s">
        <v>110</v>
      </c>
      <c r="AM162" s="181"/>
      <c r="AN162" s="182"/>
      <c r="AO162" s="29" t="s">
        <v>111</v>
      </c>
      <c r="AP162" s="184"/>
      <c r="AQ162" s="184"/>
      <c r="AR162" s="184"/>
      <c r="AS162" s="184"/>
      <c r="AT162" s="184"/>
      <c r="AU162" s="184"/>
      <c r="AV162" s="184"/>
      <c r="AW162" s="184"/>
      <c r="AX162" s="185"/>
      <c r="AY162" s="169"/>
      <c r="AZ162" s="169"/>
      <c r="BA162" s="169"/>
      <c r="BB162" s="169"/>
      <c r="BC162" s="169"/>
    </row>
    <row r="163" spans="1:55" ht="15" customHeight="1">
      <c r="A163" s="511" t="s">
        <v>112</v>
      </c>
      <c r="B163" s="502" t="s">
        <v>240</v>
      </c>
      <c r="C163" s="503"/>
      <c r="D163" s="505"/>
      <c r="E163" s="502" t="s">
        <v>240</v>
      </c>
      <c r="F163" s="503"/>
      <c r="G163" s="505"/>
      <c r="H163" s="502" t="s">
        <v>240</v>
      </c>
      <c r="I163" s="503"/>
      <c r="J163" s="505"/>
      <c r="K163" s="502" t="s">
        <v>238</v>
      </c>
      <c r="L163" s="503"/>
      <c r="M163" s="505"/>
      <c r="N163" s="502" t="s">
        <v>239</v>
      </c>
      <c r="O163" s="503"/>
      <c r="P163" s="505"/>
      <c r="Q163" s="502" t="s">
        <v>240</v>
      </c>
      <c r="R163" s="503"/>
      <c r="S163" s="505"/>
      <c r="T163" s="502" t="s">
        <v>238</v>
      </c>
      <c r="U163" s="503"/>
      <c r="V163" s="505"/>
      <c r="W163" s="502" t="s">
        <v>239</v>
      </c>
      <c r="X163" s="503"/>
      <c r="Y163" s="505"/>
      <c r="Z163" s="502" t="s">
        <v>240</v>
      </c>
      <c r="AA163" s="503"/>
      <c r="AB163" s="505"/>
      <c r="AC163" s="502" t="s">
        <v>240</v>
      </c>
      <c r="AD163" s="503"/>
      <c r="AE163" s="505"/>
      <c r="AF163" s="502" t="s">
        <v>240</v>
      </c>
      <c r="AG163" s="503"/>
      <c r="AH163" s="505"/>
      <c r="AI163" s="502" t="s">
        <v>240</v>
      </c>
      <c r="AJ163" s="503"/>
      <c r="AK163" s="505"/>
      <c r="AL163" s="514" t="s">
        <v>238</v>
      </c>
      <c r="AM163" s="530" t="s">
        <v>239</v>
      </c>
      <c r="AN163" s="514" t="s">
        <v>240</v>
      </c>
      <c r="AO163" s="537" t="s">
        <v>238</v>
      </c>
      <c r="AP163" s="503"/>
      <c r="AQ163" s="505"/>
      <c r="AR163" s="502" t="s">
        <v>239</v>
      </c>
      <c r="AS163" s="503"/>
      <c r="AT163" s="505"/>
      <c r="AU163" s="502" t="s">
        <v>240</v>
      </c>
      <c r="AV163" s="503"/>
      <c r="AW163" s="505"/>
      <c r="AX163" s="170"/>
      <c r="AY163" s="169"/>
      <c r="AZ163" s="169"/>
      <c r="BA163" s="169"/>
      <c r="BB163" s="169"/>
      <c r="BC163" s="169"/>
    </row>
    <row r="164" spans="1:55" ht="30" customHeight="1">
      <c r="A164" s="521"/>
      <c r="B164" s="32" t="s">
        <v>113</v>
      </c>
      <c r="C164" s="32" t="s">
        <v>114</v>
      </c>
      <c r="D164" s="32" t="s">
        <v>14</v>
      </c>
      <c r="E164" s="32" t="s">
        <v>113</v>
      </c>
      <c r="F164" s="32" t="s">
        <v>114</v>
      </c>
      <c r="G164" s="32" t="s">
        <v>14</v>
      </c>
      <c r="H164" s="32" t="s">
        <v>113</v>
      </c>
      <c r="I164" s="32" t="s">
        <v>114</v>
      </c>
      <c r="J164" s="32" t="s">
        <v>14</v>
      </c>
      <c r="K164" s="32" t="s">
        <v>113</v>
      </c>
      <c r="L164" s="32" t="s">
        <v>114</v>
      </c>
      <c r="M164" s="32" t="s">
        <v>14</v>
      </c>
      <c r="N164" s="32" t="s">
        <v>113</v>
      </c>
      <c r="O164" s="32" t="s">
        <v>114</v>
      </c>
      <c r="P164" s="32" t="s">
        <v>14</v>
      </c>
      <c r="Q164" s="32" t="s">
        <v>113</v>
      </c>
      <c r="R164" s="32" t="s">
        <v>114</v>
      </c>
      <c r="S164" s="32" t="s">
        <v>14</v>
      </c>
      <c r="T164" s="32" t="s">
        <v>113</v>
      </c>
      <c r="U164" s="32" t="s">
        <v>114</v>
      </c>
      <c r="V164" s="32" t="s">
        <v>14</v>
      </c>
      <c r="W164" s="32" t="s">
        <v>113</v>
      </c>
      <c r="X164" s="32" t="s">
        <v>114</v>
      </c>
      <c r="Y164" s="32" t="s">
        <v>14</v>
      </c>
      <c r="Z164" s="32" t="s">
        <v>113</v>
      </c>
      <c r="AA164" s="32" t="s">
        <v>114</v>
      </c>
      <c r="AB164" s="32" t="s">
        <v>14</v>
      </c>
      <c r="AC164" s="32" t="s">
        <v>115</v>
      </c>
      <c r="AD164" s="32" t="s">
        <v>116</v>
      </c>
      <c r="AE164" s="32" t="s">
        <v>17</v>
      </c>
      <c r="AF164" s="32" t="s">
        <v>117</v>
      </c>
      <c r="AG164" s="32" t="s">
        <v>118</v>
      </c>
      <c r="AH164" s="32" t="s">
        <v>17</v>
      </c>
      <c r="AI164" s="32" t="s">
        <v>117</v>
      </c>
      <c r="AJ164" s="32" t="s">
        <v>118</v>
      </c>
      <c r="AK164" s="32" t="s">
        <v>17</v>
      </c>
      <c r="AL164" s="523"/>
      <c r="AM164" s="531"/>
      <c r="AN164" s="539"/>
      <c r="AO164" s="103" t="s">
        <v>117</v>
      </c>
      <c r="AP164" s="32" t="s">
        <v>118</v>
      </c>
      <c r="AQ164" s="32" t="s">
        <v>17</v>
      </c>
      <c r="AR164" s="32" t="s">
        <v>117</v>
      </c>
      <c r="AS164" s="32" t="s">
        <v>118</v>
      </c>
      <c r="AT164" s="32" t="s">
        <v>17</v>
      </c>
      <c r="AU164" s="32" t="s">
        <v>117</v>
      </c>
      <c r="AV164" s="32" t="s">
        <v>118</v>
      </c>
      <c r="AW164" s="32" t="s">
        <v>17</v>
      </c>
      <c r="AX164" s="170"/>
      <c r="AY164" s="169"/>
      <c r="AZ164" s="169"/>
      <c r="BA164" s="169"/>
      <c r="BB164" s="169"/>
      <c r="BC164" s="169"/>
    </row>
    <row r="165" spans="1:55" ht="14.25" customHeight="1">
      <c r="A165" s="12" t="s">
        <v>67</v>
      </c>
      <c r="B165" s="206">
        <f>B108</f>
        <v>0</v>
      </c>
      <c r="C165" s="206">
        <f>C108</f>
        <v>0</v>
      </c>
      <c r="D165" s="80" t="str">
        <f t="shared" ref="D165:D176" si="111">IFERROR(B165/C165,"-")</f>
        <v>-</v>
      </c>
      <c r="E165" s="96" t="str">
        <f>E108</f>
        <v>-</v>
      </c>
      <c r="F165" s="96" t="str">
        <f>F108</f>
        <v>-</v>
      </c>
      <c r="G165" s="83" t="str">
        <f t="shared" ref="G165:G176" si="112">IFERROR(E165/F165,"-")</f>
        <v>-</v>
      </c>
      <c r="H165" s="108">
        <f>H108</f>
        <v>1090</v>
      </c>
      <c r="I165" s="108">
        <f>I108</f>
        <v>1322</v>
      </c>
      <c r="J165" s="65">
        <f t="shared" ref="J165:J176" si="113">IFERROR(H165/I165,"-")</f>
        <v>0.82450832072617242</v>
      </c>
      <c r="K165" s="66">
        <f t="shared" ref="K165:L172" si="114">IFERROR(SUM(B288,K288,T288),"-")</f>
        <v>3607</v>
      </c>
      <c r="L165" s="66">
        <f t="shared" si="114"/>
        <v>4060</v>
      </c>
      <c r="M165" s="67">
        <f t="shared" ref="M165:M176" si="115">IFERROR(K165/L165,"-")</f>
        <v>0.88842364532019702</v>
      </c>
      <c r="N165" s="66">
        <f t="shared" ref="N165:O172" si="116">IFERROR(SUM(E288,N288,W288),"-")</f>
        <v>3050</v>
      </c>
      <c r="O165" s="66">
        <f t="shared" si="116"/>
        <v>3222</v>
      </c>
      <c r="P165" s="67">
        <f t="shared" ref="P165:P176" si="117">IFERROR(N165/O165,"-")</f>
        <v>0.94661700806952198</v>
      </c>
      <c r="Q165" s="66">
        <f t="shared" ref="Q165:R172" si="118">IFERROR(SUM(H288,Q288,Z288),"-")</f>
        <v>6657</v>
      </c>
      <c r="R165" s="66">
        <f t="shared" si="118"/>
        <v>7282</v>
      </c>
      <c r="S165" s="67">
        <f t="shared" ref="S165:S176" si="119">IFERROR(Q165/R165,"-")</f>
        <v>0.91417193078824499</v>
      </c>
      <c r="T165" s="80" t="str">
        <f>T108</f>
        <v>-</v>
      </c>
      <c r="U165" s="80" t="str">
        <f>U108</f>
        <v>-</v>
      </c>
      <c r="V165" s="80" t="str">
        <f t="shared" ref="V165:V176" si="120">IFERROR(T165/U165,"-")</f>
        <v>-</v>
      </c>
      <c r="W165" s="80" t="str">
        <f>W108</f>
        <v>-</v>
      </c>
      <c r="X165" s="80" t="str">
        <f>X108</f>
        <v>-</v>
      </c>
      <c r="Y165" s="80" t="str">
        <f t="shared" ref="Y165:Y176" si="121">IFERROR(W165/X165,"-")</f>
        <v>-</v>
      </c>
      <c r="Z165" s="80" t="str">
        <f>Z108</f>
        <v>-</v>
      </c>
      <c r="AA165" s="80" t="str">
        <f>AA108</f>
        <v>-</v>
      </c>
      <c r="AB165" s="80" t="str">
        <f t="shared" ref="AB165:AB176" si="122">IFERROR(Z165/AA165,"-")</f>
        <v>-</v>
      </c>
      <c r="AC165" s="70">
        <f>AC108</f>
        <v>0</v>
      </c>
      <c r="AD165" s="70">
        <f>AD108</f>
        <v>0</v>
      </c>
      <c r="AE165" s="37" t="str">
        <f t="shared" ref="AE165:AE176" si="123">IFERROR(AC165/AD165,"-")</f>
        <v>-</v>
      </c>
      <c r="AF165" s="104" t="s">
        <v>19</v>
      </c>
      <c r="AG165" s="104" t="s">
        <v>19</v>
      </c>
      <c r="AH165" s="44" t="str">
        <f t="shared" ref="AH165:AH176" si="124">IFERROR(AF165/AG165,"-")</f>
        <v>-</v>
      </c>
      <c r="AI165" s="105">
        <f>AI108</f>
        <v>2591</v>
      </c>
      <c r="AJ165" s="105">
        <f>AJ108</f>
        <v>3786</v>
      </c>
      <c r="AK165" s="21">
        <f t="shared" ref="AK165:AK176" si="125">IFERROR(AI165/AJ165,"-")</f>
        <v>0.68436344426835716</v>
      </c>
      <c r="AL165" s="36">
        <f t="shared" ref="AL165:AL176" si="126">W271</f>
        <v>0</v>
      </c>
      <c r="AM165" s="36">
        <f t="shared" ref="AM165:AM176" si="127">X271</f>
        <v>0</v>
      </c>
      <c r="AN165" s="36">
        <f t="shared" ref="AN165:AN176" si="128">Y271</f>
        <v>0</v>
      </c>
      <c r="AO165" s="37" t="str">
        <f>AO108</f>
        <v>-</v>
      </c>
      <c r="AP165" s="37" t="str">
        <f>AP108</f>
        <v>-</v>
      </c>
      <c r="AQ165" s="37" t="str">
        <f t="shared" ref="AQ165:AQ176" si="129">IFERROR(AO165/AP165,"-")</f>
        <v>-</v>
      </c>
      <c r="AR165" s="37" t="str">
        <f>AR108</f>
        <v>-</v>
      </c>
      <c r="AS165" s="37" t="str">
        <f>AS108</f>
        <v>-</v>
      </c>
      <c r="AT165" s="37" t="str">
        <f t="shared" ref="AT165:AT176" si="130">IFERROR(AR165/AS165,"-")</f>
        <v>-</v>
      </c>
      <c r="AU165" s="70"/>
      <c r="AV165" s="70"/>
      <c r="AW165" s="37" t="str">
        <f t="shared" ref="AW165:AW176" si="131">IFERROR(AU165/AV165,"-")</f>
        <v>-</v>
      </c>
      <c r="AX165" s="170"/>
      <c r="AY165" s="169"/>
      <c r="AZ165" s="169"/>
      <c r="BA165" s="169"/>
      <c r="BB165" s="169"/>
      <c r="BC165" s="169"/>
    </row>
    <row r="166" spans="1:55" ht="14.25" customHeight="1">
      <c r="A166" s="12" t="s">
        <v>119</v>
      </c>
      <c r="B166" s="106">
        <f>SUM(B110,B118,B119,B126,B113)</f>
        <v>615</v>
      </c>
      <c r="C166" s="106">
        <f>SUM(C110,C118,C119,C126,C113)</f>
        <v>684</v>
      </c>
      <c r="D166" s="65">
        <f t="shared" si="111"/>
        <v>0.89912280701754388</v>
      </c>
      <c r="E166" s="107">
        <f>SUM(E110,E118,E119,E126,E113)</f>
        <v>562</v>
      </c>
      <c r="F166" s="107">
        <f>SUM(F110,F118,F119,F126,F113)</f>
        <v>691</v>
      </c>
      <c r="G166" s="67">
        <f t="shared" si="112"/>
        <v>0.81331403762662813</v>
      </c>
      <c r="H166" s="108">
        <f>SUM(H110,H118,H119,H126,H113)</f>
        <v>494</v>
      </c>
      <c r="I166" s="108">
        <f>SUM(I110,I118,I119,I126,I113)</f>
        <v>618</v>
      </c>
      <c r="J166" s="65">
        <f t="shared" si="113"/>
        <v>0.79935275080906154</v>
      </c>
      <c r="K166" s="66">
        <f t="shared" si="114"/>
        <v>2437</v>
      </c>
      <c r="L166" s="66">
        <f t="shared" si="114"/>
        <v>2803</v>
      </c>
      <c r="M166" s="67">
        <f t="shared" si="115"/>
        <v>0.86942561541205854</v>
      </c>
      <c r="N166" s="66">
        <f t="shared" si="116"/>
        <v>2675</v>
      </c>
      <c r="O166" s="66">
        <f t="shared" si="116"/>
        <v>2845</v>
      </c>
      <c r="P166" s="67">
        <f t="shared" si="117"/>
        <v>0.94024604569420034</v>
      </c>
      <c r="Q166" s="66">
        <f t="shared" si="118"/>
        <v>5112</v>
      </c>
      <c r="R166" s="66">
        <f t="shared" si="118"/>
        <v>5648</v>
      </c>
      <c r="S166" s="67">
        <f t="shared" si="119"/>
        <v>0.90509915014164311</v>
      </c>
      <c r="T166" s="108">
        <f>SUM(T110,T118,T119,T126,T113)</f>
        <v>85</v>
      </c>
      <c r="U166" s="108">
        <f>SUM(U110,U118,U119,U126,U113)</f>
        <v>85</v>
      </c>
      <c r="V166" s="65">
        <f t="shared" si="120"/>
        <v>1</v>
      </c>
      <c r="W166" s="108">
        <f>SUM(W110,W118,W119,W126,W113)</f>
        <v>536</v>
      </c>
      <c r="X166" s="108">
        <f>SUM(X110,X118,X119,X126,X113)</f>
        <v>536</v>
      </c>
      <c r="Y166" s="65">
        <f t="shared" si="121"/>
        <v>1</v>
      </c>
      <c r="Z166" s="108">
        <f>SUM(Z110,Z118,Z119,Z126,Z123,Z113)</f>
        <v>622</v>
      </c>
      <c r="AA166" s="108">
        <f>SUM(AA110,AA118,AA119,AA126,AA123,AA113)</f>
        <v>622</v>
      </c>
      <c r="AB166" s="65">
        <f t="shared" si="122"/>
        <v>1</v>
      </c>
      <c r="AC166" s="139"/>
      <c r="AD166" s="139"/>
      <c r="AE166" s="37" t="str">
        <f t="shared" si="123"/>
        <v>-</v>
      </c>
      <c r="AF166" s="109">
        <f>SUM(AF110,AF118,AF119,AF126,AF113)</f>
        <v>0</v>
      </c>
      <c r="AG166" s="109">
        <f>SUM(AG110,AG118,AG119,AG126,AG113)</f>
        <v>0</v>
      </c>
      <c r="AH166" s="44" t="str">
        <f t="shared" si="124"/>
        <v>-</v>
      </c>
      <c r="AI166" s="110">
        <f>SUM(AI110,AI118,AI119,AI126,AI113)</f>
        <v>436</v>
      </c>
      <c r="AJ166" s="110">
        <f>SUM(AJ110,AJ118,AJ119,AJ126,AJ113)</f>
        <v>525</v>
      </c>
      <c r="AK166" s="21">
        <f t="shared" si="125"/>
        <v>0.83047619047619048</v>
      </c>
      <c r="AL166" s="36">
        <f t="shared" si="126"/>
        <v>0</v>
      </c>
      <c r="AM166" s="36">
        <f t="shared" si="127"/>
        <v>0</v>
      </c>
      <c r="AN166" s="36">
        <f t="shared" si="128"/>
        <v>0</v>
      </c>
      <c r="AO166" s="110">
        <f>SUM(AO110,AO118,AO119,AO126,AO113)</f>
        <v>148</v>
      </c>
      <c r="AP166" s="110">
        <f>SUM(AP110,AP118,AP119,AP126,AP113)</f>
        <v>170</v>
      </c>
      <c r="AQ166" s="21">
        <f t="shared" si="129"/>
        <v>0.87058823529411766</v>
      </c>
      <c r="AR166" s="110">
        <f>SUM(AR110,AR118,AR119,AR126,AR113)</f>
        <v>1002</v>
      </c>
      <c r="AS166" s="110">
        <f>SUM(AS110,AS118,AS119,AS126,AS113)</f>
        <v>1076</v>
      </c>
      <c r="AT166" s="21">
        <f t="shared" si="130"/>
        <v>0.93122676579925645</v>
      </c>
      <c r="AU166" s="70"/>
      <c r="AV166" s="70"/>
      <c r="AW166" s="37" t="str">
        <f t="shared" si="131"/>
        <v>-</v>
      </c>
      <c r="AX166" s="170"/>
      <c r="AY166" s="169"/>
      <c r="AZ166" s="169"/>
      <c r="BA166" s="169"/>
      <c r="BB166" s="169"/>
      <c r="BC166" s="169"/>
    </row>
    <row r="167" spans="1:55" ht="14.25" customHeight="1">
      <c r="A167" s="12" t="s">
        <v>120</v>
      </c>
      <c r="B167" s="111">
        <f>SUM(B114,B115,B121,B129)</f>
        <v>204</v>
      </c>
      <c r="C167" s="111">
        <f>SUM(C114,C115,C121,C129)</f>
        <v>215</v>
      </c>
      <c r="D167" s="65">
        <f t="shared" si="111"/>
        <v>0.94883720930232562</v>
      </c>
      <c r="E167" s="107">
        <f>SUM(E114,E115,E121,E129)</f>
        <v>171</v>
      </c>
      <c r="F167" s="107">
        <f>SUM(F114,F115,F121,F129)</f>
        <v>215</v>
      </c>
      <c r="G167" s="67">
        <f t="shared" si="112"/>
        <v>0.79534883720930227</v>
      </c>
      <c r="H167" s="108">
        <f>SUM(H114,H115,H121,H129)</f>
        <v>174</v>
      </c>
      <c r="I167" s="108">
        <f>SUM(I114,I115,I121,I129)</f>
        <v>204</v>
      </c>
      <c r="J167" s="65">
        <f t="shared" si="113"/>
        <v>0.8529411764705882</v>
      </c>
      <c r="K167" s="66">
        <f t="shared" si="114"/>
        <v>713</v>
      </c>
      <c r="L167" s="66">
        <f t="shared" si="114"/>
        <v>815</v>
      </c>
      <c r="M167" s="67">
        <f t="shared" si="115"/>
        <v>0.87484662576687111</v>
      </c>
      <c r="N167" s="66">
        <f t="shared" si="116"/>
        <v>813</v>
      </c>
      <c r="O167" s="66">
        <f t="shared" si="116"/>
        <v>859</v>
      </c>
      <c r="P167" s="67">
        <f t="shared" si="117"/>
        <v>0.9464493597206054</v>
      </c>
      <c r="Q167" s="66">
        <f t="shared" si="118"/>
        <v>1526</v>
      </c>
      <c r="R167" s="66">
        <f t="shared" si="118"/>
        <v>1674</v>
      </c>
      <c r="S167" s="67">
        <f t="shared" si="119"/>
        <v>0.91158900836320189</v>
      </c>
      <c r="T167" s="108">
        <f>SUM(T114,T115,T121,T129)</f>
        <v>13</v>
      </c>
      <c r="U167" s="108">
        <f>SUM(U114,U115,U121,U129)</f>
        <v>13</v>
      </c>
      <c r="V167" s="65">
        <f t="shared" si="120"/>
        <v>1</v>
      </c>
      <c r="W167" s="108">
        <f>SUM(W114,W115,W121,W129)</f>
        <v>135</v>
      </c>
      <c r="X167" s="108">
        <f>SUM(X114,X115,X121,X129)</f>
        <v>135</v>
      </c>
      <c r="Y167" s="65">
        <f t="shared" si="121"/>
        <v>1</v>
      </c>
      <c r="Z167" s="108">
        <f>SUM(Z114,Z115,Z121,Z129)</f>
        <v>148</v>
      </c>
      <c r="AA167" s="108">
        <f>SUM(AA114,AA115,AA121,AA129)</f>
        <v>148</v>
      </c>
      <c r="AB167" s="65">
        <f t="shared" si="122"/>
        <v>1</v>
      </c>
      <c r="AC167" s="139"/>
      <c r="AD167" s="139"/>
      <c r="AE167" s="37" t="str">
        <f t="shared" si="123"/>
        <v>-</v>
      </c>
      <c r="AF167" s="109">
        <f>SUM(AF114,AF115,AF121,AF129)</f>
        <v>0</v>
      </c>
      <c r="AG167" s="109">
        <f>SUM(AG114,AG115,AG121,AG129)</f>
        <v>0</v>
      </c>
      <c r="AH167" s="44" t="str">
        <f t="shared" si="124"/>
        <v>-</v>
      </c>
      <c r="AI167" s="110">
        <f>SUM(AI114,AI115,AI121,AI129)</f>
        <v>687</v>
      </c>
      <c r="AJ167" s="110">
        <f>SUM(AJ114,AJ115,AJ121,AJ129)</f>
        <v>994</v>
      </c>
      <c r="AK167" s="21">
        <f t="shared" si="125"/>
        <v>0.69114688128772639</v>
      </c>
      <c r="AL167" s="36">
        <f t="shared" si="126"/>
        <v>0</v>
      </c>
      <c r="AM167" s="36">
        <f t="shared" si="127"/>
        <v>0</v>
      </c>
      <c r="AN167" s="36">
        <f t="shared" si="128"/>
        <v>0</v>
      </c>
      <c r="AO167" s="110">
        <f>SUM(AO114,AO115,AO121,AO129)</f>
        <v>21</v>
      </c>
      <c r="AP167" s="110">
        <f>SUM(AP114,AP115,AP121,AP129)</f>
        <v>26</v>
      </c>
      <c r="AQ167" s="21">
        <f t="shared" si="129"/>
        <v>0.80769230769230771</v>
      </c>
      <c r="AR167" s="110">
        <f>SUM(AR114,AR115,AR121,AR129)</f>
        <v>239</v>
      </c>
      <c r="AS167" s="110">
        <f>SUM(AS114,AS115,AS121,AS129)</f>
        <v>270</v>
      </c>
      <c r="AT167" s="21">
        <f t="shared" si="130"/>
        <v>0.88518518518518519</v>
      </c>
      <c r="AU167" s="70"/>
      <c r="AV167" s="70"/>
      <c r="AW167" s="37" t="str">
        <f t="shared" si="131"/>
        <v>-</v>
      </c>
      <c r="AX167" s="170"/>
      <c r="AY167" s="169"/>
      <c r="AZ167" s="169"/>
      <c r="BA167" s="169"/>
      <c r="BB167" s="169"/>
      <c r="BC167" s="169"/>
    </row>
    <row r="168" spans="1:55" ht="14.25" customHeight="1">
      <c r="A168" s="12" t="s">
        <v>121</v>
      </c>
      <c r="B168" s="111">
        <f>SUM(B120,B122,B127)</f>
        <v>112</v>
      </c>
      <c r="C168" s="111">
        <f>SUM(C120,C122,C127)</f>
        <v>120</v>
      </c>
      <c r="D168" s="65">
        <f t="shared" si="111"/>
        <v>0.93333333333333335</v>
      </c>
      <c r="E168" s="107">
        <f>SUM(E120,E122,E127)</f>
        <v>96</v>
      </c>
      <c r="F168" s="107">
        <f>SUM(F120,F122,F127)</f>
        <v>120</v>
      </c>
      <c r="G168" s="67">
        <f t="shared" si="112"/>
        <v>0.8</v>
      </c>
      <c r="H168" s="108">
        <f>SUM(H120,H122,H127)</f>
        <v>88</v>
      </c>
      <c r="I168" s="108">
        <f>SUM(I120,I122,I127)</f>
        <v>97</v>
      </c>
      <c r="J168" s="65">
        <f t="shared" si="113"/>
        <v>0.90721649484536082</v>
      </c>
      <c r="K168" s="66">
        <f t="shared" si="114"/>
        <v>380</v>
      </c>
      <c r="L168" s="66">
        <f t="shared" si="114"/>
        <v>412</v>
      </c>
      <c r="M168" s="67">
        <f t="shared" si="115"/>
        <v>0.92233009708737868</v>
      </c>
      <c r="N168" s="66">
        <f t="shared" si="116"/>
        <v>366</v>
      </c>
      <c r="O168" s="66">
        <f t="shared" si="116"/>
        <v>384</v>
      </c>
      <c r="P168" s="67">
        <f t="shared" si="117"/>
        <v>0.953125</v>
      </c>
      <c r="Q168" s="66">
        <f t="shared" si="118"/>
        <v>746</v>
      </c>
      <c r="R168" s="66">
        <f t="shared" si="118"/>
        <v>796</v>
      </c>
      <c r="S168" s="67">
        <f t="shared" si="119"/>
        <v>0.93718592964824121</v>
      </c>
      <c r="T168" s="108">
        <f>SUM(T120,T122,T127)</f>
        <v>4</v>
      </c>
      <c r="U168" s="108">
        <f>SUM(U120,U122,U127)</f>
        <v>4</v>
      </c>
      <c r="V168" s="65">
        <f t="shared" si="120"/>
        <v>1</v>
      </c>
      <c r="W168" s="108">
        <f>SUM(W120,W122,W127)</f>
        <v>37</v>
      </c>
      <c r="X168" s="108">
        <f>SUM(X120,X122,X127)</f>
        <v>37</v>
      </c>
      <c r="Y168" s="65">
        <f t="shared" si="121"/>
        <v>1</v>
      </c>
      <c r="Z168" s="108">
        <f>SUM(Z120,Z122,Z127)</f>
        <v>41</v>
      </c>
      <c r="AA168" s="108">
        <f>SUM(AA120,AA122,AA127)</f>
        <v>41</v>
      </c>
      <c r="AB168" s="65">
        <f t="shared" si="122"/>
        <v>1</v>
      </c>
      <c r="AC168" s="139"/>
      <c r="AD168" s="139"/>
      <c r="AE168" s="37" t="str">
        <f t="shared" si="123"/>
        <v>-</v>
      </c>
      <c r="AF168" s="109">
        <f>SUM(AF120,AF122,AF127)</f>
        <v>0</v>
      </c>
      <c r="AG168" s="109">
        <f>SUM(AG120,AG122,AG127)</f>
        <v>0</v>
      </c>
      <c r="AH168" s="44" t="str">
        <f t="shared" si="124"/>
        <v>-</v>
      </c>
      <c r="AI168" s="110">
        <f>SUM(AI120,AI122,AI127)</f>
        <v>347</v>
      </c>
      <c r="AJ168" s="110">
        <f>SUM(AJ120,AJ122,AJ127)</f>
        <v>505</v>
      </c>
      <c r="AK168" s="21">
        <f t="shared" si="125"/>
        <v>0.68712871287128718</v>
      </c>
      <c r="AL168" s="36">
        <f t="shared" si="126"/>
        <v>0</v>
      </c>
      <c r="AM168" s="36">
        <f t="shared" si="127"/>
        <v>0</v>
      </c>
      <c r="AN168" s="36">
        <f t="shared" si="128"/>
        <v>0</v>
      </c>
      <c r="AO168" s="110">
        <f>SUM(AO120,AO122,AO127)</f>
        <v>6</v>
      </c>
      <c r="AP168" s="110">
        <f>SUM(AP120,AP122,AP127)</f>
        <v>8</v>
      </c>
      <c r="AQ168" s="21">
        <f t="shared" si="129"/>
        <v>0.75</v>
      </c>
      <c r="AR168" s="110">
        <f>SUM(AR120,AR122,AR127)</f>
        <v>69</v>
      </c>
      <c r="AS168" s="110">
        <f>SUM(AS120,AS122,AS127)</f>
        <v>74</v>
      </c>
      <c r="AT168" s="21">
        <f t="shared" si="130"/>
        <v>0.93243243243243246</v>
      </c>
      <c r="AU168" s="70"/>
      <c r="AV168" s="70"/>
      <c r="AW168" s="37" t="str">
        <f t="shared" si="131"/>
        <v>-</v>
      </c>
      <c r="AX168" s="170"/>
      <c r="AY168" s="169"/>
      <c r="AZ168" s="169"/>
      <c r="BA168" s="169"/>
      <c r="BB168" s="169"/>
      <c r="BC168" s="169"/>
    </row>
    <row r="169" spans="1:55" ht="14.25" customHeight="1">
      <c r="A169" s="12" t="s">
        <v>122</v>
      </c>
      <c r="B169" s="111">
        <f>SUM(B112,B123)</f>
        <v>53</v>
      </c>
      <c r="C169" s="111">
        <f>SUM(C112,C123)</f>
        <v>57</v>
      </c>
      <c r="D169" s="65">
        <f t="shared" si="111"/>
        <v>0.92982456140350878</v>
      </c>
      <c r="E169" s="107">
        <f>SUM(E112,E123)</f>
        <v>42</v>
      </c>
      <c r="F169" s="107">
        <f>SUM(F112,F123)</f>
        <v>57</v>
      </c>
      <c r="G169" s="67">
        <f t="shared" si="112"/>
        <v>0.73684210526315785</v>
      </c>
      <c r="H169" s="108">
        <f>SUM(H112,H123)</f>
        <v>77</v>
      </c>
      <c r="I169" s="108">
        <f>SUM(I112,I123)</f>
        <v>89</v>
      </c>
      <c r="J169" s="65">
        <f t="shared" si="113"/>
        <v>0.8651685393258427</v>
      </c>
      <c r="K169" s="66">
        <f t="shared" si="114"/>
        <v>233</v>
      </c>
      <c r="L169" s="66">
        <f t="shared" si="114"/>
        <v>272</v>
      </c>
      <c r="M169" s="67">
        <f t="shared" si="115"/>
        <v>0.85661764705882348</v>
      </c>
      <c r="N169" s="66">
        <f t="shared" si="116"/>
        <v>283</v>
      </c>
      <c r="O169" s="66">
        <f t="shared" si="116"/>
        <v>307</v>
      </c>
      <c r="P169" s="67">
        <f t="shared" si="117"/>
        <v>0.92182410423452765</v>
      </c>
      <c r="Q169" s="66">
        <f t="shared" si="118"/>
        <v>516</v>
      </c>
      <c r="R169" s="66">
        <f t="shared" si="118"/>
        <v>579</v>
      </c>
      <c r="S169" s="67">
        <f t="shared" si="119"/>
        <v>0.89119170984455953</v>
      </c>
      <c r="T169" s="108">
        <f>SUM(T112,T123)</f>
        <v>2</v>
      </c>
      <c r="U169" s="108">
        <f>SUM(U112,U123)</f>
        <v>2</v>
      </c>
      <c r="V169" s="65">
        <f t="shared" si="120"/>
        <v>1</v>
      </c>
      <c r="W169" s="108">
        <f>SUM(W112,W123)</f>
        <v>42</v>
      </c>
      <c r="X169" s="108">
        <f>SUM(X112,X123)</f>
        <v>42</v>
      </c>
      <c r="Y169" s="65">
        <f t="shared" si="121"/>
        <v>1</v>
      </c>
      <c r="Z169" s="108">
        <f>SUM(Z112)</f>
        <v>43</v>
      </c>
      <c r="AA169" s="108">
        <f>SUM(AA112)</f>
        <v>43</v>
      </c>
      <c r="AB169" s="65">
        <f t="shared" si="122"/>
        <v>1</v>
      </c>
      <c r="AC169" s="139"/>
      <c r="AD169" s="139"/>
      <c r="AE169" s="37" t="str">
        <f t="shared" si="123"/>
        <v>-</v>
      </c>
      <c r="AF169" s="109">
        <f>SUM(AF112,AF123)</f>
        <v>0</v>
      </c>
      <c r="AG169" s="109">
        <f>SUM(AG112,AG123)</f>
        <v>0</v>
      </c>
      <c r="AH169" s="44" t="str">
        <f t="shared" si="124"/>
        <v>-</v>
      </c>
      <c r="AI169" s="110">
        <f>SUM(AI112,AI123)</f>
        <v>326</v>
      </c>
      <c r="AJ169" s="110">
        <f>SUM(AJ112,AJ123)</f>
        <v>452</v>
      </c>
      <c r="AK169" s="21">
        <f t="shared" si="125"/>
        <v>0.72123893805309736</v>
      </c>
      <c r="AL169" s="36">
        <f t="shared" si="126"/>
        <v>0</v>
      </c>
      <c r="AM169" s="36">
        <f t="shared" si="127"/>
        <v>0</v>
      </c>
      <c r="AN169" s="36">
        <f t="shared" si="128"/>
        <v>0</v>
      </c>
      <c r="AO169" s="110">
        <f>SUM(AO112,AO123)</f>
        <v>4</v>
      </c>
      <c r="AP169" s="110">
        <f>SUM(AP112,AP123)</f>
        <v>4</v>
      </c>
      <c r="AQ169" s="21">
        <f t="shared" si="129"/>
        <v>1</v>
      </c>
      <c r="AR169" s="110">
        <f>SUM(AR112,AR123)</f>
        <v>81</v>
      </c>
      <c r="AS169" s="110">
        <f>SUM(AS112,AS123)</f>
        <v>88</v>
      </c>
      <c r="AT169" s="21">
        <f t="shared" si="130"/>
        <v>0.92045454545454541</v>
      </c>
      <c r="AU169" s="70"/>
      <c r="AV169" s="70"/>
      <c r="AW169" s="37" t="str">
        <f t="shared" si="131"/>
        <v>-</v>
      </c>
      <c r="AX169" s="170"/>
      <c r="AY169" s="169"/>
      <c r="AZ169" s="169"/>
      <c r="BA169" s="169"/>
      <c r="BB169" s="169"/>
      <c r="BC169" s="169"/>
    </row>
    <row r="170" spans="1:55" ht="14.25" customHeight="1">
      <c r="A170" s="12" t="s">
        <v>123</v>
      </c>
      <c r="B170" s="106">
        <f>SUM(B124,B125)</f>
        <v>92</v>
      </c>
      <c r="C170" s="106">
        <f>SUM(C124,C125)</f>
        <v>109</v>
      </c>
      <c r="D170" s="65">
        <f t="shared" si="111"/>
        <v>0.84403669724770647</v>
      </c>
      <c r="E170" s="107">
        <f>SUM(E124,E125)</f>
        <v>92</v>
      </c>
      <c r="F170" s="107">
        <f>SUM(F124,F125)</f>
        <v>109</v>
      </c>
      <c r="G170" s="67">
        <f t="shared" si="112"/>
        <v>0.84403669724770647</v>
      </c>
      <c r="H170" s="108">
        <f>SUM(H124,H125)</f>
        <v>72</v>
      </c>
      <c r="I170" s="108">
        <f>SUM(I124,I125)</f>
        <v>107</v>
      </c>
      <c r="J170" s="65">
        <f t="shared" si="113"/>
        <v>0.67289719626168221</v>
      </c>
      <c r="K170" s="66">
        <f t="shared" si="114"/>
        <v>256</v>
      </c>
      <c r="L170" s="66">
        <f t="shared" si="114"/>
        <v>339</v>
      </c>
      <c r="M170" s="67">
        <f t="shared" si="115"/>
        <v>0.75516224188790559</v>
      </c>
      <c r="N170" s="66">
        <f t="shared" si="116"/>
        <v>244</v>
      </c>
      <c r="O170" s="66">
        <f t="shared" si="116"/>
        <v>313</v>
      </c>
      <c r="P170" s="67">
        <f t="shared" si="117"/>
        <v>0.7795527156549521</v>
      </c>
      <c r="Q170" s="66">
        <f t="shared" si="118"/>
        <v>500</v>
      </c>
      <c r="R170" s="66">
        <f t="shared" si="118"/>
        <v>652</v>
      </c>
      <c r="S170" s="67">
        <f t="shared" si="119"/>
        <v>0.76687116564417179</v>
      </c>
      <c r="T170" s="108">
        <f>SUM(T124,T125)</f>
        <v>0</v>
      </c>
      <c r="U170" s="108">
        <f>SUM(U124,U125)</f>
        <v>0</v>
      </c>
      <c r="V170" s="80" t="str">
        <f t="shared" si="120"/>
        <v>-</v>
      </c>
      <c r="W170" s="108">
        <f>SUM(W124,W125)</f>
        <v>63</v>
      </c>
      <c r="X170" s="108">
        <f>SUM(X124,X125)</f>
        <v>63</v>
      </c>
      <c r="Y170" s="65">
        <f t="shared" si="121"/>
        <v>1</v>
      </c>
      <c r="Z170" s="108">
        <f>SUM(Z124,Z125)</f>
        <v>63</v>
      </c>
      <c r="AA170" s="108">
        <f>SUM(AA124,AA125)</f>
        <v>63</v>
      </c>
      <c r="AB170" s="65">
        <f t="shared" si="122"/>
        <v>1</v>
      </c>
      <c r="AC170" s="139"/>
      <c r="AD170" s="139"/>
      <c r="AE170" s="37" t="str">
        <f t="shared" si="123"/>
        <v>-</v>
      </c>
      <c r="AF170" s="109">
        <f>SUM(AF124,AF125)</f>
        <v>0</v>
      </c>
      <c r="AG170" s="109">
        <f>SUM(AG124,AG125)</f>
        <v>0</v>
      </c>
      <c r="AH170" s="44" t="str">
        <f t="shared" si="124"/>
        <v>-</v>
      </c>
      <c r="AI170" s="207">
        <f>SUM(AI124:AI125)+3988</f>
        <v>4310</v>
      </c>
      <c r="AJ170" s="207">
        <f>SUM(AJ124:AJ125)+5385</f>
        <v>5797</v>
      </c>
      <c r="AK170" s="21">
        <f t="shared" si="125"/>
        <v>0.74348801104019324</v>
      </c>
      <c r="AL170" s="36">
        <f t="shared" si="126"/>
        <v>0</v>
      </c>
      <c r="AM170" s="36">
        <f t="shared" si="127"/>
        <v>0</v>
      </c>
      <c r="AN170" s="36">
        <f t="shared" si="128"/>
        <v>0</v>
      </c>
      <c r="AO170" s="110">
        <f>SUM(AO124,AO125)</f>
        <v>0</v>
      </c>
      <c r="AP170" s="110">
        <f>SUM(AP124,AP125)</f>
        <v>0</v>
      </c>
      <c r="AQ170" s="37" t="str">
        <f t="shared" si="129"/>
        <v>-</v>
      </c>
      <c r="AR170" s="110">
        <f>SUM(AR124,AR125)</f>
        <v>155</v>
      </c>
      <c r="AS170" s="110">
        <f>SUM(AS124,AS125)</f>
        <v>166</v>
      </c>
      <c r="AT170" s="21">
        <f t="shared" si="130"/>
        <v>0.9337349397590361</v>
      </c>
      <c r="AU170" s="70"/>
      <c r="AV170" s="70"/>
      <c r="AW170" s="37" t="str">
        <f t="shared" si="131"/>
        <v>-</v>
      </c>
      <c r="AX170" s="170"/>
      <c r="AY170" s="169"/>
      <c r="AZ170" s="169"/>
      <c r="BA170" s="169"/>
      <c r="BB170" s="169"/>
      <c r="BC170" s="169"/>
    </row>
    <row r="171" spans="1:55" ht="14.25" customHeight="1">
      <c r="A171" s="12" t="s">
        <v>124</v>
      </c>
      <c r="B171" s="106">
        <f>SUM(B128)</f>
        <v>52</v>
      </c>
      <c r="C171" s="106">
        <f>SUM(C128)</f>
        <v>57</v>
      </c>
      <c r="D171" s="65">
        <f t="shared" si="111"/>
        <v>0.91228070175438591</v>
      </c>
      <c r="E171" s="114">
        <f>SUM(E128)</f>
        <v>43</v>
      </c>
      <c r="F171" s="114">
        <f>SUM(F128)</f>
        <v>57</v>
      </c>
      <c r="G171" s="67">
        <f t="shared" si="112"/>
        <v>0.75438596491228072</v>
      </c>
      <c r="H171" s="115">
        <f>SUM(H128)</f>
        <v>48</v>
      </c>
      <c r="I171" s="115">
        <f>SUM(I128)</f>
        <v>54</v>
      </c>
      <c r="J171" s="65">
        <f t="shared" si="113"/>
        <v>0.88888888888888884</v>
      </c>
      <c r="K171" s="66">
        <f t="shared" si="114"/>
        <v>171</v>
      </c>
      <c r="L171" s="66">
        <f t="shared" si="114"/>
        <v>201</v>
      </c>
      <c r="M171" s="67">
        <f t="shared" si="115"/>
        <v>0.85074626865671643</v>
      </c>
      <c r="N171" s="66">
        <f t="shared" si="116"/>
        <v>191</v>
      </c>
      <c r="O171" s="66">
        <f t="shared" si="116"/>
        <v>200</v>
      </c>
      <c r="P171" s="67">
        <f t="shared" si="117"/>
        <v>0.95499999999999996</v>
      </c>
      <c r="Q171" s="66">
        <f t="shared" si="118"/>
        <v>362</v>
      </c>
      <c r="R171" s="66">
        <f t="shared" si="118"/>
        <v>401</v>
      </c>
      <c r="S171" s="67">
        <f t="shared" si="119"/>
        <v>0.90274314214463836</v>
      </c>
      <c r="T171" s="108">
        <f>SUM(T128)</f>
        <v>0</v>
      </c>
      <c r="U171" s="108">
        <f>SUM(U128)</f>
        <v>0</v>
      </c>
      <c r="V171" s="80" t="str">
        <f t="shared" si="120"/>
        <v>-</v>
      </c>
      <c r="W171" s="115">
        <f>SUM(W128)</f>
        <v>28</v>
      </c>
      <c r="X171" s="115">
        <f>SUM(X128)</f>
        <v>28</v>
      </c>
      <c r="Y171" s="65">
        <f t="shared" si="121"/>
        <v>1</v>
      </c>
      <c r="Z171" s="108">
        <f>SUM(Z128)</f>
        <v>28</v>
      </c>
      <c r="AA171" s="108">
        <f>SUM(AA128)</f>
        <v>28</v>
      </c>
      <c r="AB171" s="65">
        <f t="shared" si="122"/>
        <v>1</v>
      </c>
      <c r="AC171" s="139"/>
      <c r="AD171" s="139"/>
      <c r="AE171" s="37" t="str">
        <f t="shared" si="123"/>
        <v>-</v>
      </c>
      <c r="AF171" s="109">
        <f>SUM(AF128)</f>
        <v>0</v>
      </c>
      <c r="AG171" s="109">
        <f>SUM(AG128)</f>
        <v>0</v>
      </c>
      <c r="AH171" s="44" t="str">
        <f t="shared" si="124"/>
        <v>-</v>
      </c>
      <c r="AI171" s="105">
        <f>SUM(AI128)</f>
        <v>226</v>
      </c>
      <c r="AJ171" s="105">
        <f>SUM(AJ128)</f>
        <v>278</v>
      </c>
      <c r="AK171" s="21">
        <f t="shared" si="125"/>
        <v>0.81294964028776984</v>
      </c>
      <c r="AL171" s="36">
        <f t="shared" si="126"/>
        <v>0</v>
      </c>
      <c r="AM171" s="36">
        <f t="shared" si="127"/>
        <v>0</v>
      </c>
      <c r="AN171" s="36">
        <f t="shared" si="128"/>
        <v>0</v>
      </c>
      <c r="AO171" s="105">
        <f>SUM(AO128)</f>
        <v>0</v>
      </c>
      <c r="AP171" s="105">
        <f>SUM(AP128)</f>
        <v>0</v>
      </c>
      <c r="AQ171" s="37" t="str">
        <f t="shared" si="129"/>
        <v>-</v>
      </c>
      <c r="AR171" s="105">
        <f>SUM(AR128)</f>
        <v>52</v>
      </c>
      <c r="AS171" s="105">
        <f>SUM(AS128)</f>
        <v>56</v>
      </c>
      <c r="AT171" s="21">
        <f t="shared" si="130"/>
        <v>0.9285714285714286</v>
      </c>
      <c r="AU171" s="70"/>
      <c r="AV171" s="70"/>
      <c r="AW171" s="37" t="str">
        <f t="shared" si="131"/>
        <v>-</v>
      </c>
      <c r="AX171" s="170"/>
      <c r="AY171" s="169"/>
      <c r="AZ171" s="169"/>
      <c r="BA171" s="169"/>
      <c r="BB171" s="169"/>
      <c r="BC171" s="169"/>
    </row>
    <row r="172" spans="1:55" ht="14.25" customHeight="1">
      <c r="A172" s="12" t="s">
        <v>125</v>
      </c>
      <c r="B172" s="106">
        <f>SUM(B111,B116,B117)</f>
        <v>151</v>
      </c>
      <c r="C172" s="106">
        <f>SUM(C111,C116,C117)</f>
        <v>156</v>
      </c>
      <c r="D172" s="65">
        <f t="shared" si="111"/>
        <v>0.96794871794871795</v>
      </c>
      <c r="E172" s="114">
        <f>SUM(E111,E116,E117)</f>
        <v>143</v>
      </c>
      <c r="F172" s="114">
        <f>SUM(F111,F116,F117)</f>
        <v>156</v>
      </c>
      <c r="G172" s="67">
        <f t="shared" si="112"/>
        <v>0.91666666666666663</v>
      </c>
      <c r="H172" s="115">
        <f>SUM(H111,H116,H117)</f>
        <v>137</v>
      </c>
      <c r="I172" s="115">
        <f>SUM(I111,I116,I117)</f>
        <v>153</v>
      </c>
      <c r="J172" s="65">
        <f t="shared" si="113"/>
        <v>0.89542483660130723</v>
      </c>
      <c r="K172" s="66">
        <f t="shared" si="114"/>
        <v>616</v>
      </c>
      <c r="L172" s="66">
        <f t="shared" si="114"/>
        <v>723</v>
      </c>
      <c r="M172" s="67">
        <f t="shared" si="115"/>
        <v>0.85200553250345779</v>
      </c>
      <c r="N172" s="66">
        <f t="shared" si="116"/>
        <v>681</v>
      </c>
      <c r="O172" s="66">
        <f t="shared" si="116"/>
        <v>720</v>
      </c>
      <c r="P172" s="67">
        <f t="shared" si="117"/>
        <v>0.9458333333333333</v>
      </c>
      <c r="Q172" s="66">
        <f t="shared" si="118"/>
        <v>1297</v>
      </c>
      <c r="R172" s="66">
        <f t="shared" si="118"/>
        <v>1443</v>
      </c>
      <c r="S172" s="67">
        <f t="shared" si="119"/>
        <v>0.89882189882189878</v>
      </c>
      <c r="T172" s="108">
        <f>SUM(T111,T116,T117)</f>
        <v>17</v>
      </c>
      <c r="U172" s="108">
        <f>SUM(U111,U116,U117)</f>
        <v>17</v>
      </c>
      <c r="V172" s="65">
        <f t="shared" si="120"/>
        <v>1</v>
      </c>
      <c r="W172" s="108">
        <f>SUM(W111,W116,W117)</f>
        <v>146</v>
      </c>
      <c r="X172" s="108">
        <f>SUM(X111,X116,X117)</f>
        <v>146</v>
      </c>
      <c r="Y172" s="65">
        <f t="shared" si="121"/>
        <v>1</v>
      </c>
      <c r="Z172" s="108">
        <f>SUM(Z111,Z116,Z117)</f>
        <v>163</v>
      </c>
      <c r="AA172" s="108">
        <f>SUM(AA111,AA116,AA117)</f>
        <v>163</v>
      </c>
      <c r="AB172" s="65">
        <f t="shared" si="122"/>
        <v>1</v>
      </c>
      <c r="AC172" s="139"/>
      <c r="AD172" s="139"/>
      <c r="AE172" s="37" t="str">
        <f t="shared" si="123"/>
        <v>-</v>
      </c>
      <c r="AF172" s="109">
        <f>SUM(AF111,AF116,AF117)</f>
        <v>0</v>
      </c>
      <c r="AG172" s="109">
        <f>SUM(AG111,AG116,AG117)</f>
        <v>0</v>
      </c>
      <c r="AH172" s="44" t="str">
        <f t="shared" si="124"/>
        <v>-</v>
      </c>
      <c r="AI172" s="105">
        <f>SUM(AI111,AI116,AI117)</f>
        <v>543</v>
      </c>
      <c r="AJ172" s="105">
        <f>SUM(AJ111,AJ116,AJ117)</f>
        <v>779</v>
      </c>
      <c r="AK172" s="21">
        <f t="shared" si="125"/>
        <v>0.69704749679075739</v>
      </c>
      <c r="AL172" s="36">
        <f t="shared" si="126"/>
        <v>0</v>
      </c>
      <c r="AM172" s="36">
        <f t="shared" si="127"/>
        <v>0</v>
      </c>
      <c r="AN172" s="36">
        <f t="shared" si="128"/>
        <v>0</v>
      </c>
      <c r="AO172" s="110">
        <f>SUM(AO111,AO116,AO117)</f>
        <v>23</v>
      </c>
      <c r="AP172" s="110">
        <f>SUM(AP111,AP116,AP117)</f>
        <v>34</v>
      </c>
      <c r="AQ172" s="21">
        <f t="shared" si="129"/>
        <v>0.67647058823529416</v>
      </c>
      <c r="AR172" s="105">
        <f>SUM(AR111,AR116,AR117)</f>
        <v>234</v>
      </c>
      <c r="AS172" s="105">
        <f>SUM(AS111,AS116,AS117)</f>
        <v>292</v>
      </c>
      <c r="AT172" s="21">
        <f t="shared" si="130"/>
        <v>0.80136986301369861</v>
      </c>
      <c r="AU172" s="70"/>
      <c r="AV172" s="70"/>
      <c r="AW172" s="37" t="str">
        <f t="shared" si="131"/>
        <v>-</v>
      </c>
      <c r="AX172" s="170"/>
      <c r="AY172" s="169"/>
      <c r="AZ172" s="169"/>
      <c r="BA172" s="169"/>
      <c r="BB172" s="169"/>
      <c r="BC172" s="169"/>
    </row>
    <row r="173" spans="1:55" ht="14.25" customHeight="1">
      <c r="A173" s="12" t="s">
        <v>244</v>
      </c>
      <c r="B173" s="106">
        <f>SUM(B137,B139)</f>
        <v>102</v>
      </c>
      <c r="C173" s="106">
        <f>SUM(C137,C139)</f>
        <v>125</v>
      </c>
      <c r="D173" s="65">
        <f t="shared" si="111"/>
        <v>0.81599999999999995</v>
      </c>
      <c r="E173" s="114">
        <f>SUM(E137,E139)</f>
        <v>106</v>
      </c>
      <c r="F173" s="114">
        <f>SUM(F137,F139)</f>
        <v>125</v>
      </c>
      <c r="G173" s="67">
        <f t="shared" si="112"/>
        <v>0.84799999999999998</v>
      </c>
      <c r="H173" s="115">
        <f>SUM(H137,H139)</f>
        <v>0</v>
      </c>
      <c r="I173" s="115">
        <f>SUM(I137,I139)</f>
        <v>0</v>
      </c>
      <c r="J173" s="80" t="str">
        <f t="shared" si="113"/>
        <v>-</v>
      </c>
      <c r="K173" s="66">
        <f>SUM(K137,K139)</f>
        <v>43</v>
      </c>
      <c r="L173" s="66">
        <f>SUM(L137,L139)</f>
        <v>55</v>
      </c>
      <c r="M173" s="67">
        <f t="shared" si="115"/>
        <v>0.78181818181818186</v>
      </c>
      <c r="N173" s="66">
        <f>SUM(N137,N139)</f>
        <v>95</v>
      </c>
      <c r="O173" s="66">
        <f>SUM(O137,O139)</f>
        <v>120</v>
      </c>
      <c r="P173" s="67">
        <f t="shared" si="117"/>
        <v>0.79166666666666663</v>
      </c>
      <c r="Q173" s="66">
        <f>SUM(Q137,Q139)</f>
        <v>138</v>
      </c>
      <c r="R173" s="66">
        <f>SUM(R137,R139)</f>
        <v>175</v>
      </c>
      <c r="S173" s="67">
        <f t="shared" si="119"/>
        <v>0.78857142857142859</v>
      </c>
      <c r="T173" s="108">
        <f>SUM(T137,T139)</f>
        <v>0</v>
      </c>
      <c r="U173" s="108">
        <f>SUM(U137,U139)</f>
        <v>0</v>
      </c>
      <c r="V173" s="80" t="str">
        <f t="shared" si="120"/>
        <v>-</v>
      </c>
      <c r="W173" s="108">
        <f>SUM(W137,W139)</f>
        <v>0</v>
      </c>
      <c r="X173" s="108">
        <f>SUM(X137,X139)</f>
        <v>0</v>
      </c>
      <c r="Y173" s="80" t="str">
        <f t="shared" si="121"/>
        <v>-</v>
      </c>
      <c r="Z173" s="108">
        <f>SUM(Z137,Z139)</f>
        <v>0</v>
      </c>
      <c r="AA173" s="108">
        <f>SUM(AA137,AA139)</f>
        <v>0</v>
      </c>
      <c r="AB173" s="80" t="str">
        <f t="shared" si="122"/>
        <v>-</v>
      </c>
      <c r="AC173" s="139">
        <v>55</v>
      </c>
      <c r="AD173" s="139">
        <v>102</v>
      </c>
      <c r="AE173" s="21">
        <f t="shared" si="123"/>
        <v>0.53921568627450978</v>
      </c>
      <c r="AF173" s="109">
        <f>SUM(AF137,AF139)</f>
        <v>0</v>
      </c>
      <c r="AG173" s="109">
        <f>SUM(AG137,AG139)</f>
        <v>0</v>
      </c>
      <c r="AH173" s="44" t="str">
        <f t="shared" si="124"/>
        <v>-</v>
      </c>
      <c r="AI173" s="105">
        <f>SUM(AI137,AI139)</f>
        <v>0</v>
      </c>
      <c r="AJ173" s="105">
        <f>SUM(AJ137,AJ139)</f>
        <v>0</v>
      </c>
      <c r="AK173" s="37" t="str">
        <f t="shared" si="125"/>
        <v>-</v>
      </c>
      <c r="AL173" s="36">
        <f t="shared" si="126"/>
        <v>0</v>
      </c>
      <c r="AM173" s="36">
        <f t="shared" si="127"/>
        <v>0</v>
      </c>
      <c r="AN173" s="36">
        <f t="shared" si="128"/>
        <v>0</v>
      </c>
      <c r="AO173" s="105">
        <f>SUM(AO137,AO139)</f>
        <v>0</v>
      </c>
      <c r="AP173" s="105">
        <f>SUM(AP137,AP139)</f>
        <v>0</v>
      </c>
      <c r="AQ173" s="37" t="str">
        <f t="shared" si="129"/>
        <v>-</v>
      </c>
      <c r="AR173" s="105">
        <f>SUM(AR137,AR139)</f>
        <v>0</v>
      </c>
      <c r="AS173" s="105">
        <f>SUM(AS137,AS139)</f>
        <v>0</v>
      </c>
      <c r="AT173" s="37" t="str">
        <f t="shared" si="130"/>
        <v>-</v>
      </c>
      <c r="AU173" s="70"/>
      <c r="AV173" s="70"/>
      <c r="AW173" s="37" t="str">
        <f t="shared" si="131"/>
        <v>-</v>
      </c>
      <c r="AX173" s="170"/>
      <c r="AY173" s="169"/>
      <c r="AZ173" s="169"/>
      <c r="BA173" s="169"/>
      <c r="BB173" s="169"/>
      <c r="BC173" s="169"/>
    </row>
    <row r="174" spans="1:55" ht="14.25" customHeight="1">
      <c r="A174" s="12" t="s">
        <v>245</v>
      </c>
      <c r="B174" s="106">
        <f>B138</f>
        <v>16</v>
      </c>
      <c r="C174" s="106">
        <f>C138</f>
        <v>22</v>
      </c>
      <c r="D174" s="65">
        <f t="shared" si="111"/>
        <v>0.72727272727272729</v>
      </c>
      <c r="E174" s="114">
        <f>SUM(E138)</f>
        <v>18</v>
      </c>
      <c r="F174" s="114">
        <f>SUM(F138)</f>
        <v>22</v>
      </c>
      <c r="G174" s="67">
        <f t="shared" si="112"/>
        <v>0.81818181818181823</v>
      </c>
      <c r="H174" s="115">
        <f>SUM(H138)</f>
        <v>0</v>
      </c>
      <c r="I174" s="115">
        <f>SUM(I138)</f>
        <v>0</v>
      </c>
      <c r="J174" s="80" t="str">
        <f t="shared" si="113"/>
        <v>-</v>
      </c>
      <c r="K174" s="66">
        <f>SUM(K138)</f>
        <v>6</v>
      </c>
      <c r="L174" s="66">
        <f>SUM(L138)</f>
        <v>10</v>
      </c>
      <c r="M174" s="67">
        <f t="shared" si="115"/>
        <v>0.6</v>
      </c>
      <c r="N174" s="66">
        <f>SUM(N138)</f>
        <v>11</v>
      </c>
      <c r="O174" s="66">
        <f>SUM(O138)</f>
        <v>18</v>
      </c>
      <c r="P174" s="67">
        <f t="shared" si="117"/>
        <v>0.61111111111111116</v>
      </c>
      <c r="Q174" s="66">
        <f>SUM(Q138)</f>
        <v>17</v>
      </c>
      <c r="R174" s="66">
        <f>SUM(R138)</f>
        <v>28</v>
      </c>
      <c r="S174" s="67">
        <f t="shared" si="119"/>
        <v>0.6071428571428571</v>
      </c>
      <c r="T174" s="117" t="str">
        <f>T138</f>
        <v>-</v>
      </c>
      <c r="U174" s="117" t="str">
        <f>U138</f>
        <v>-</v>
      </c>
      <c r="V174" s="80" t="str">
        <f t="shared" si="120"/>
        <v>-</v>
      </c>
      <c r="W174" s="117" t="str">
        <f>W138</f>
        <v>-</v>
      </c>
      <c r="X174" s="117" t="str">
        <f>X138</f>
        <v>-</v>
      </c>
      <c r="Y174" s="80" t="str">
        <f t="shared" si="121"/>
        <v>-</v>
      </c>
      <c r="Z174" s="108">
        <f>SUM(Z138)</f>
        <v>0</v>
      </c>
      <c r="AA174" s="108">
        <f>SUM(AA138)</f>
        <v>0</v>
      </c>
      <c r="AB174" s="80" t="str">
        <f t="shared" si="122"/>
        <v>-</v>
      </c>
      <c r="AC174" s="139">
        <v>10</v>
      </c>
      <c r="AD174" s="139">
        <v>16</v>
      </c>
      <c r="AE174" s="21">
        <f t="shared" si="123"/>
        <v>0.625</v>
      </c>
      <c r="AF174" s="119" t="str">
        <f>AF138</f>
        <v>-</v>
      </c>
      <c r="AG174" s="119" t="str">
        <f>AG138</f>
        <v>-</v>
      </c>
      <c r="AH174" s="44" t="str">
        <f t="shared" si="124"/>
        <v>-</v>
      </c>
      <c r="AI174" s="105">
        <f>AI138</f>
        <v>0</v>
      </c>
      <c r="AJ174" s="105">
        <f>AJ138</f>
        <v>0</v>
      </c>
      <c r="AK174" s="37" t="str">
        <f t="shared" si="125"/>
        <v>-</v>
      </c>
      <c r="AL174" s="36">
        <f t="shared" si="126"/>
        <v>0</v>
      </c>
      <c r="AM174" s="36">
        <f t="shared" si="127"/>
        <v>0</v>
      </c>
      <c r="AN174" s="36">
        <f t="shared" si="128"/>
        <v>0</v>
      </c>
      <c r="AO174" s="121" t="str">
        <f>AO138</f>
        <v>-</v>
      </c>
      <c r="AP174" s="121" t="str">
        <f>AP138</f>
        <v>-</v>
      </c>
      <c r="AQ174" s="37" t="str">
        <f t="shared" si="129"/>
        <v>-</v>
      </c>
      <c r="AR174" s="121" t="str">
        <f>AR138</f>
        <v>-</v>
      </c>
      <c r="AS174" s="121" t="str">
        <f>AS138</f>
        <v>-</v>
      </c>
      <c r="AT174" s="37" t="str">
        <f t="shared" si="130"/>
        <v>-</v>
      </c>
      <c r="AU174" s="70"/>
      <c r="AV174" s="70"/>
      <c r="AW174" s="37" t="str">
        <f t="shared" si="131"/>
        <v>-</v>
      </c>
      <c r="AX174" s="170"/>
      <c r="AY174" s="169"/>
      <c r="AZ174" s="169"/>
      <c r="BA174" s="169"/>
      <c r="BB174" s="169"/>
      <c r="BC174" s="169"/>
    </row>
    <row r="175" spans="1:55" ht="14.25" customHeight="1">
      <c r="A175" s="12" t="s">
        <v>246</v>
      </c>
      <c r="B175" s="106">
        <f>SUM(B166,B173)</f>
        <v>717</v>
      </c>
      <c r="C175" s="106">
        <f>SUM(C166,C173)</f>
        <v>809</v>
      </c>
      <c r="D175" s="65">
        <f t="shared" si="111"/>
        <v>0.88627935723114959</v>
      </c>
      <c r="E175" s="107">
        <f>SUM(E166,E173)</f>
        <v>668</v>
      </c>
      <c r="F175" s="107">
        <f>SUM(F166,F173)</f>
        <v>816</v>
      </c>
      <c r="G175" s="67">
        <f t="shared" si="112"/>
        <v>0.81862745098039214</v>
      </c>
      <c r="H175" s="108">
        <f>SUM(H166,H173)</f>
        <v>494</v>
      </c>
      <c r="I175" s="108">
        <f>SUM(I166,I173)</f>
        <v>618</v>
      </c>
      <c r="J175" s="65">
        <f t="shared" si="113"/>
        <v>0.79935275080906154</v>
      </c>
      <c r="K175" s="66">
        <f>IFERROR(SUM(B298,K298,T298),"-")</f>
        <v>2480</v>
      </c>
      <c r="L175" s="66">
        <f>IFERROR(SUM(C298,L298,U298),"-")</f>
        <v>2858</v>
      </c>
      <c r="M175" s="67">
        <f t="shared" si="115"/>
        <v>0.86773967809657104</v>
      </c>
      <c r="N175" s="66">
        <f>IFERROR(SUM(E298,N298,W298),"-")</f>
        <v>2770</v>
      </c>
      <c r="O175" s="66">
        <f>IFERROR(SUM(F298,O298,X298),"-")</f>
        <v>2965</v>
      </c>
      <c r="P175" s="67">
        <f t="shared" si="117"/>
        <v>0.93423271500843175</v>
      </c>
      <c r="Q175" s="66">
        <f>IFERROR(SUM(H298,Q298,Z298),"-")</f>
        <v>5250</v>
      </c>
      <c r="R175" s="66">
        <f>IFERROR(SUM(I298,R298,AA298),"-")</f>
        <v>5823</v>
      </c>
      <c r="S175" s="67">
        <f t="shared" si="119"/>
        <v>0.90159711488923233</v>
      </c>
      <c r="T175" s="108">
        <f>SUM(T166,T173)</f>
        <v>85</v>
      </c>
      <c r="U175" s="108">
        <f>SUM(U166,U173)</f>
        <v>85</v>
      </c>
      <c r="V175" s="65">
        <f t="shared" si="120"/>
        <v>1</v>
      </c>
      <c r="W175" s="108">
        <f>SUM(W166,W173)</f>
        <v>536</v>
      </c>
      <c r="X175" s="108">
        <f>SUM(X166,X173)</f>
        <v>536</v>
      </c>
      <c r="Y175" s="65">
        <f t="shared" si="121"/>
        <v>1</v>
      </c>
      <c r="Z175" s="108">
        <f>SUM(Z114,Z119,Z120)</f>
        <v>429</v>
      </c>
      <c r="AA175" s="108">
        <f>SUM(AA114,AA119,AA120)</f>
        <v>429</v>
      </c>
      <c r="AB175" s="65">
        <f t="shared" si="122"/>
        <v>1</v>
      </c>
      <c r="AC175" s="70">
        <f>SUM(AC166,AC173)</f>
        <v>55</v>
      </c>
      <c r="AD175" s="70">
        <f>SUM(AD166,AD173)</f>
        <v>102</v>
      </c>
      <c r="AE175" s="21">
        <f t="shared" si="123"/>
        <v>0.53921568627450978</v>
      </c>
      <c r="AF175" s="109">
        <f>SUM(AF166,AF173)</f>
        <v>0</v>
      </c>
      <c r="AG175" s="109">
        <f>SUM(AG166,AG173)</f>
        <v>0</v>
      </c>
      <c r="AH175" s="44" t="str">
        <f t="shared" si="124"/>
        <v>-</v>
      </c>
      <c r="AI175" s="110">
        <f>SUM(AI166,AI173)</f>
        <v>436</v>
      </c>
      <c r="AJ175" s="110">
        <f>SUM(AJ166,AJ173)</f>
        <v>525</v>
      </c>
      <c r="AK175" s="21">
        <f t="shared" si="125"/>
        <v>0.83047619047619048</v>
      </c>
      <c r="AL175" s="36">
        <f t="shared" si="126"/>
        <v>0</v>
      </c>
      <c r="AM175" s="36">
        <f t="shared" si="127"/>
        <v>0</v>
      </c>
      <c r="AN175" s="36">
        <f t="shared" si="128"/>
        <v>0</v>
      </c>
      <c r="AO175" s="110">
        <f>SUM(AO166,AO173)</f>
        <v>148</v>
      </c>
      <c r="AP175" s="110">
        <f>SUM(AP166,AP173)</f>
        <v>170</v>
      </c>
      <c r="AQ175" s="21">
        <f t="shared" si="129"/>
        <v>0.87058823529411766</v>
      </c>
      <c r="AR175" s="110">
        <f>SUM(AR166,AR173)</f>
        <v>1002</v>
      </c>
      <c r="AS175" s="110">
        <f>SUM(AS166,AS173)</f>
        <v>1076</v>
      </c>
      <c r="AT175" s="21">
        <f t="shared" si="130"/>
        <v>0.93122676579925645</v>
      </c>
      <c r="AU175" s="70"/>
      <c r="AV175" s="70"/>
      <c r="AW175" s="37" t="str">
        <f t="shared" si="131"/>
        <v>-</v>
      </c>
      <c r="AX175" s="170"/>
      <c r="AY175" s="169"/>
      <c r="AZ175" s="169"/>
      <c r="BA175" s="169"/>
      <c r="BB175" s="169"/>
      <c r="BC175" s="169"/>
    </row>
    <row r="176" spans="1:55" ht="14.25" customHeight="1">
      <c r="A176" s="12" t="s">
        <v>247</v>
      </c>
      <c r="B176" s="111">
        <f>SUM(B168,B174)</f>
        <v>128</v>
      </c>
      <c r="C176" s="111">
        <f>SUM(C168,C174)</f>
        <v>142</v>
      </c>
      <c r="D176" s="65">
        <f t="shared" si="111"/>
        <v>0.90140845070422537</v>
      </c>
      <c r="E176" s="107">
        <f>SUM(E168,E174)</f>
        <v>114</v>
      </c>
      <c r="F176" s="107">
        <f>SUM(F168,F174)</f>
        <v>142</v>
      </c>
      <c r="G176" s="67">
        <f t="shared" si="112"/>
        <v>0.80281690140845074</v>
      </c>
      <c r="H176" s="108">
        <f>SUM(H168,H174)</f>
        <v>88</v>
      </c>
      <c r="I176" s="108">
        <f>SUM(I168,I174)</f>
        <v>97</v>
      </c>
      <c r="J176" s="65">
        <f t="shared" si="113"/>
        <v>0.90721649484536082</v>
      </c>
      <c r="K176" s="66">
        <f>IFERROR(SUM(B299,K299,T299),"-")</f>
        <v>386</v>
      </c>
      <c r="L176" s="66">
        <f>IFERROR(SUM(C299,L299,U299),"-")</f>
        <v>422</v>
      </c>
      <c r="M176" s="67">
        <f t="shared" si="115"/>
        <v>0.91469194312796209</v>
      </c>
      <c r="N176" s="66">
        <f>IFERROR(SUM(E299,N299,W299),"-")</f>
        <v>377</v>
      </c>
      <c r="O176" s="66">
        <f>IFERROR(SUM(F299,O299,X299),"-")</f>
        <v>402</v>
      </c>
      <c r="P176" s="67">
        <f t="shared" si="117"/>
        <v>0.93781094527363185</v>
      </c>
      <c r="Q176" s="66">
        <f>IFERROR(SUM(H299,Q299,Z299),"-")</f>
        <v>763</v>
      </c>
      <c r="R176" s="66">
        <f>IFERROR(SUM(I299,R299,AA299),"-")</f>
        <v>824</v>
      </c>
      <c r="S176" s="67">
        <f t="shared" si="119"/>
        <v>0.92597087378640774</v>
      </c>
      <c r="T176" s="108">
        <f>SUM(T168,T174)</f>
        <v>4</v>
      </c>
      <c r="U176" s="108">
        <f>SUM(U168,U174)</f>
        <v>4</v>
      </c>
      <c r="V176" s="65">
        <f t="shared" si="120"/>
        <v>1</v>
      </c>
      <c r="W176" s="108">
        <f>SUM(W168,W174)</f>
        <v>37</v>
      </c>
      <c r="X176" s="108">
        <f>SUM(X168,X174)</f>
        <v>37</v>
      </c>
      <c r="Y176" s="65">
        <f t="shared" si="121"/>
        <v>1</v>
      </c>
      <c r="Z176" s="108">
        <f>SUM(Z115,Z120,Z121)</f>
        <v>114</v>
      </c>
      <c r="AA176" s="108">
        <f>SUM(AA115,AA120,AA121)</f>
        <v>114</v>
      </c>
      <c r="AB176" s="65">
        <f t="shared" si="122"/>
        <v>1</v>
      </c>
      <c r="AC176" s="70">
        <f>SUM(AC168,AC174)</f>
        <v>10</v>
      </c>
      <c r="AD176" s="70">
        <f>SUM(AD168,AD174)</f>
        <v>16</v>
      </c>
      <c r="AE176" s="21">
        <f t="shared" si="123"/>
        <v>0.625</v>
      </c>
      <c r="AF176" s="109">
        <f>SUM(AF168,AF174)</f>
        <v>0</v>
      </c>
      <c r="AG176" s="109">
        <f>SUM(AG168,AG174)</f>
        <v>0</v>
      </c>
      <c r="AH176" s="44" t="str">
        <f t="shared" si="124"/>
        <v>-</v>
      </c>
      <c r="AI176" s="110">
        <f>SUM(AI168,AI174)</f>
        <v>347</v>
      </c>
      <c r="AJ176" s="110">
        <f>SUM(AJ168,AJ174)</f>
        <v>505</v>
      </c>
      <c r="AK176" s="21">
        <f t="shared" si="125"/>
        <v>0.68712871287128718</v>
      </c>
      <c r="AL176" s="36">
        <f t="shared" si="126"/>
        <v>0</v>
      </c>
      <c r="AM176" s="36">
        <f t="shared" si="127"/>
        <v>0</v>
      </c>
      <c r="AN176" s="36">
        <f t="shared" si="128"/>
        <v>0</v>
      </c>
      <c r="AO176" s="110">
        <f>SUM(AO168,AO174)</f>
        <v>6</v>
      </c>
      <c r="AP176" s="110">
        <f>SUM(AP168,AP174)</f>
        <v>8</v>
      </c>
      <c r="AQ176" s="21">
        <f t="shared" si="129"/>
        <v>0.75</v>
      </c>
      <c r="AR176" s="110">
        <f>SUM(AR168,AR174)</f>
        <v>69</v>
      </c>
      <c r="AS176" s="110">
        <f>SUM(AS168,AS174)</f>
        <v>74</v>
      </c>
      <c r="AT176" s="21">
        <f t="shared" si="130"/>
        <v>0.93243243243243246</v>
      </c>
      <c r="AU176" s="70"/>
      <c r="AV176" s="70"/>
      <c r="AW176" s="37" t="str">
        <f t="shared" si="131"/>
        <v>-</v>
      </c>
      <c r="AX176" s="170"/>
      <c r="AY176" s="169"/>
      <c r="AZ176" s="169"/>
      <c r="BA176" s="169"/>
      <c r="BB176" s="169"/>
      <c r="BC176" s="169"/>
    </row>
    <row r="177" spans="1:55" ht="14.25" customHeight="1">
      <c r="A177" s="177"/>
      <c r="B177" s="177"/>
      <c r="C177" s="177"/>
      <c r="D177" s="208"/>
      <c r="E177" s="177"/>
      <c r="F177" s="177"/>
      <c r="G177" s="188"/>
      <c r="H177" s="177"/>
      <c r="I177" s="177"/>
      <c r="J177" s="208"/>
      <c r="K177" s="189"/>
      <c r="L177" s="189"/>
      <c r="M177" s="188"/>
      <c r="N177" s="189"/>
      <c r="O177" s="189"/>
      <c r="P177" s="188"/>
      <c r="Q177" s="189"/>
      <c r="R177" s="189"/>
      <c r="S177" s="188"/>
      <c r="T177" s="177"/>
      <c r="U177" s="177"/>
      <c r="V177" s="208"/>
      <c r="W177" s="177"/>
      <c r="X177" s="177"/>
      <c r="Y177" s="208"/>
      <c r="Z177" s="177"/>
      <c r="AA177" s="177"/>
      <c r="AB177" s="208"/>
      <c r="AC177" s="189"/>
      <c r="AD177" s="189"/>
      <c r="AE177" s="208"/>
      <c r="AF177" s="189"/>
      <c r="AG177" s="189"/>
      <c r="AH177" s="208"/>
      <c r="AI177" s="177"/>
      <c r="AJ177" s="177"/>
      <c r="AK177" s="188"/>
      <c r="AL177" s="208"/>
      <c r="AM177" s="208"/>
      <c r="AN177" s="208"/>
      <c r="AO177" s="177"/>
      <c r="AP177" s="177"/>
      <c r="AQ177" s="188"/>
      <c r="AR177" s="177"/>
      <c r="AS177" s="177"/>
      <c r="AT177" s="188"/>
      <c r="AU177" s="189"/>
      <c r="AV177" s="189"/>
      <c r="AW177" s="188"/>
      <c r="AX177" s="169"/>
      <c r="AY177" s="169"/>
      <c r="AZ177" s="169"/>
      <c r="BA177" s="169"/>
      <c r="BB177" s="169"/>
      <c r="BC177" s="169"/>
    </row>
    <row r="178" spans="1:55" ht="14.25" customHeight="1">
      <c r="A178" s="169"/>
      <c r="B178" s="169"/>
      <c r="C178" s="169"/>
      <c r="D178" s="203"/>
      <c r="E178" s="169"/>
      <c r="F178" s="169"/>
      <c r="G178" s="20"/>
      <c r="H178" s="169"/>
      <c r="I178" s="169"/>
      <c r="J178" s="203"/>
      <c r="K178" s="190"/>
      <c r="L178" s="190"/>
      <c r="M178" s="20"/>
      <c r="N178" s="190"/>
      <c r="O178" s="190"/>
      <c r="P178" s="20"/>
      <c r="Q178" s="190"/>
      <c r="R178" s="190"/>
      <c r="S178" s="20"/>
      <c r="T178" s="169"/>
      <c r="U178" s="169"/>
      <c r="V178" s="203"/>
      <c r="W178" s="169"/>
      <c r="X178" s="169"/>
      <c r="Y178" s="203"/>
      <c r="Z178" s="169"/>
      <c r="AA178" s="169"/>
      <c r="AB178" s="203"/>
      <c r="AC178" s="169"/>
      <c r="AD178" s="190"/>
      <c r="AE178" s="203"/>
      <c r="AF178" s="190"/>
      <c r="AG178" s="190"/>
      <c r="AH178" s="203"/>
      <c r="AI178" s="169"/>
      <c r="AJ178" s="169"/>
      <c r="AK178" s="20"/>
      <c r="AL178" s="203"/>
      <c r="AM178" s="203"/>
      <c r="AN178" s="203"/>
      <c r="AO178" s="169"/>
      <c r="AP178" s="169"/>
      <c r="AQ178" s="20"/>
      <c r="AR178" s="169"/>
      <c r="AS178" s="169"/>
      <c r="AT178" s="20"/>
      <c r="AU178" s="190"/>
      <c r="AV178" s="190"/>
      <c r="AW178" s="20"/>
      <c r="AX178" s="169"/>
      <c r="AY178" s="169"/>
      <c r="AZ178" s="169"/>
      <c r="BA178" s="169"/>
      <c r="BB178" s="169"/>
      <c r="BC178" s="169"/>
    </row>
    <row r="179" spans="1:55" ht="14.25" customHeight="1">
      <c r="A179" s="178" t="s">
        <v>134</v>
      </c>
      <c r="B179" s="179"/>
      <c r="C179" s="179"/>
      <c r="D179" s="179"/>
      <c r="E179" s="179"/>
      <c r="F179" s="179"/>
      <c r="G179" s="179"/>
      <c r="H179" s="179"/>
      <c r="I179" s="179"/>
      <c r="J179" s="179"/>
      <c r="K179" s="179"/>
      <c r="L179" s="179"/>
      <c r="M179" s="179"/>
      <c r="N179" s="179"/>
      <c r="O179" s="179"/>
      <c r="P179" s="179"/>
      <c r="Q179" s="179"/>
      <c r="R179" s="179"/>
      <c r="S179" s="179"/>
      <c r="T179" s="179"/>
      <c r="U179" s="179"/>
      <c r="V179" s="179"/>
      <c r="W179" s="179"/>
      <c r="X179" s="179"/>
      <c r="Y179" s="179"/>
      <c r="Z179" s="169"/>
      <c r="AA179" s="203"/>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row>
    <row r="180" spans="1:55" ht="14.25" customHeight="1">
      <c r="A180" s="209" t="s">
        <v>36</v>
      </c>
      <c r="B180" s="196"/>
      <c r="C180" s="196"/>
      <c r="D180" s="196"/>
      <c r="E180" s="196"/>
      <c r="F180" s="196"/>
      <c r="G180" s="196"/>
      <c r="H180" s="196"/>
      <c r="I180" s="196"/>
      <c r="J180" s="196"/>
      <c r="K180" s="196"/>
      <c r="L180" s="196"/>
      <c r="M180" s="196"/>
      <c r="N180" s="125" t="s">
        <v>17</v>
      </c>
      <c r="O180" s="210"/>
      <c r="P180" s="210"/>
      <c r="Q180" s="210"/>
      <c r="R180" s="210"/>
      <c r="S180" s="210"/>
      <c r="T180" s="210"/>
      <c r="U180" s="210"/>
      <c r="V180" s="210"/>
      <c r="W180" s="210"/>
      <c r="X180" s="210"/>
      <c r="Y180" s="210"/>
      <c r="Z180" s="185"/>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row>
    <row r="181" spans="1:55" ht="15" customHeight="1">
      <c r="A181" s="511" t="s">
        <v>37</v>
      </c>
      <c r="B181" s="502" t="s">
        <v>135</v>
      </c>
      <c r="C181" s="503"/>
      <c r="D181" s="505"/>
      <c r="E181" s="502" t="s">
        <v>23</v>
      </c>
      <c r="F181" s="503"/>
      <c r="G181" s="505"/>
      <c r="H181" s="502" t="s">
        <v>136</v>
      </c>
      <c r="I181" s="503"/>
      <c r="J181" s="505"/>
      <c r="K181" s="502" t="s">
        <v>21</v>
      </c>
      <c r="L181" s="503"/>
      <c r="M181" s="505"/>
      <c r="N181" s="502" t="s">
        <v>137</v>
      </c>
      <c r="O181" s="503"/>
      <c r="P181" s="505"/>
      <c r="Q181" s="502" t="s">
        <v>138</v>
      </c>
      <c r="R181" s="503"/>
      <c r="S181" s="505"/>
      <c r="T181" s="502" t="s">
        <v>139</v>
      </c>
      <c r="U181" s="503"/>
      <c r="V181" s="505"/>
      <c r="W181" s="502" t="s">
        <v>21</v>
      </c>
      <c r="X181" s="503"/>
      <c r="Y181" s="505"/>
      <c r="Z181" s="170"/>
      <c r="AA181" s="169"/>
      <c r="AB181" s="20"/>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row>
    <row r="182" spans="1:55" ht="30" customHeight="1">
      <c r="A182" s="521"/>
      <c r="B182" s="32" t="s">
        <v>238</v>
      </c>
      <c r="C182" s="32" t="s">
        <v>239</v>
      </c>
      <c r="D182" s="32" t="s">
        <v>240</v>
      </c>
      <c r="E182" s="32" t="s">
        <v>238</v>
      </c>
      <c r="F182" s="32" t="s">
        <v>239</v>
      </c>
      <c r="G182" s="32" t="s">
        <v>240</v>
      </c>
      <c r="H182" s="32" t="s">
        <v>238</v>
      </c>
      <c r="I182" s="32" t="s">
        <v>239</v>
      </c>
      <c r="J182" s="32" t="s">
        <v>240</v>
      </c>
      <c r="K182" s="32" t="s">
        <v>238</v>
      </c>
      <c r="L182" s="32" t="s">
        <v>239</v>
      </c>
      <c r="M182" s="32" t="s">
        <v>240</v>
      </c>
      <c r="N182" s="32" t="s">
        <v>238</v>
      </c>
      <c r="O182" s="32" t="s">
        <v>239</v>
      </c>
      <c r="P182" s="32" t="s">
        <v>240</v>
      </c>
      <c r="Q182" s="32" t="s">
        <v>238</v>
      </c>
      <c r="R182" s="32" t="s">
        <v>239</v>
      </c>
      <c r="S182" s="32" t="s">
        <v>240</v>
      </c>
      <c r="T182" s="32" t="s">
        <v>238</v>
      </c>
      <c r="U182" s="32" t="s">
        <v>239</v>
      </c>
      <c r="V182" s="32" t="s">
        <v>240</v>
      </c>
      <c r="W182" s="32" t="s">
        <v>238</v>
      </c>
      <c r="X182" s="32" t="s">
        <v>239</v>
      </c>
      <c r="Y182" s="32" t="s">
        <v>240</v>
      </c>
      <c r="Z182" s="170"/>
      <c r="AA182" s="169"/>
      <c r="AB182" s="20"/>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row>
    <row r="183" spans="1:55" ht="14.25" customHeight="1">
      <c r="A183" s="43" t="s">
        <v>241</v>
      </c>
      <c r="B183" s="65">
        <f t="shared" ref="B183:B220" si="132">D227</f>
        <v>0.7857142857142857</v>
      </c>
      <c r="C183" s="65">
        <f t="shared" ref="C183:C220" si="133">G227</f>
        <v>0.76691729323308266</v>
      </c>
      <c r="D183" s="65">
        <f t="shared" ref="D183:D220" si="134">J227</f>
        <v>0.77248677248677244</v>
      </c>
      <c r="E183" s="80" t="str">
        <f t="shared" ref="E183:E220" si="135">M227</f>
        <v>-</v>
      </c>
      <c r="F183" s="80" t="str">
        <f t="shared" ref="F183:F220" si="136">P227</f>
        <v>-</v>
      </c>
      <c r="G183" s="80" t="str">
        <f t="shared" ref="G183:G220" si="137">S227</f>
        <v>-</v>
      </c>
      <c r="H183" s="80" t="str">
        <f t="shared" ref="H183:H220" si="138">V227</f>
        <v>-</v>
      </c>
      <c r="I183" s="80" t="str">
        <f t="shared" ref="I183:I220" si="139">Y227</f>
        <v>-</v>
      </c>
      <c r="J183" s="80" t="str">
        <f t="shared" ref="J183:J220" si="140">AB227</f>
        <v>-</v>
      </c>
      <c r="K183" s="65">
        <f t="shared" ref="K183:K220" si="141">IFERROR(SUM(B227,K227,T227)/SUM(C227,L227,U227),"-")</f>
        <v>0.7857142857142857</v>
      </c>
      <c r="L183" s="65">
        <f t="shared" ref="L183:L220" si="142">IFERROR(SUM(E227,N227,W227)/SUM(F227,O227,X227),"-")</f>
        <v>0.76691729323308266</v>
      </c>
      <c r="M183" s="65">
        <f t="shared" ref="M183:M220" si="143">IFERROR(SUM(H227,Q227,Z227)/SUM(I227,R227,AA227),"-")</f>
        <v>0.77248677248677244</v>
      </c>
      <c r="N183" s="127">
        <f t="shared" ref="N183:N220" si="144">AE227</f>
        <v>0.82281553398058249</v>
      </c>
      <c r="O183" s="127">
        <f t="shared" ref="O183:O220" si="145">AH227</f>
        <v>0.87614237614237611</v>
      </c>
      <c r="P183" s="128" t="str">
        <f t="shared" ref="P183:P220" si="146">AK227</f>
        <v>-</v>
      </c>
      <c r="Q183" s="128" t="str">
        <f t="shared" ref="Q183:Q220" si="147">AN227</f>
        <v>-</v>
      </c>
      <c r="R183" s="128" t="str">
        <f t="shared" ref="R183:R220" si="148">AQ227</f>
        <v>-</v>
      </c>
      <c r="S183" s="128" t="str">
        <f t="shared" ref="S183:S220" si="149">AT227</f>
        <v>-</v>
      </c>
      <c r="T183" s="128" t="str">
        <f t="shared" ref="T183:T220" si="150">AW227</f>
        <v>-</v>
      </c>
      <c r="U183" s="128" t="str">
        <f t="shared" ref="U183:U220" si="151">AZ227</f>
        <v>-</v>
      </c>
      <c r="V183" s="128" t="str">
        <f t="shared" ref="V183:V220" si="152">BC227</f>
        <v>-</v>
      </c>
      <c r="W183" s="127"/>
      <c r="X183" s="127"/>
      <c r="Y183" s="127"/>
      <c r="Z183" s="170"/>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row>
    <row r="184" spans="1:55" ht="14.25" customHeight="1">
      <c r="A184" s="45" t="s">
        <v>47</v>
      </c>
      <c r="B184" s="65">
        <f t="shared" si="132"/>
        <v>0.94594594594594594</v>
      </c>
      <c r="C184" s="65">
        <f t="shared" si="133"/>
        <v>1</v>
      </c>
      <c r="D184" s="65">
        <f t="shared" si="134"/>
        <v>0.9726027397260274</v>
      </c>
      <c r="E184" s="80" t="str">
        <f t="shared" si="135"/>
        <v>-</v>
      </c>
      <c r="F184" s="65">
        <f t="shared" si="136"/>
        <v>0</v>
      </c>
      <c r="G184" s="80" t="str">
        <f t="shared" si="137"/>
        <v>-</v>
      </c>
      <c r="H184" s="80" t="str">
        <f t="shared" si="138"/>
        <v>-</v>
      </c>
      <c r="I184" s="80" t="str">
        <f t="shared" si="139"/>
        <v>-</v>
      </c>
      <c r="J184" s="80" t="str">
        <f t="shared" si="140"/>
        <v>-</v>
      </c>
      <c r="K184" s="65">
        <f t="shared" si="141"/>
        <v>0.94594594594594594</v>
      </c>
      <c r="L184" s="65">
        <f t="shared" si="142"/>
        <v>1</v>
      </c>
      <c r="M184" s="65">
        <f t="shared" si="143"/>
        <v>0.9726027397260274</v>
      </c>
      <c r="N184" s="127">
        <f t="shared" si="144"/>
        <v>0.89516635279347145</v>
      </c>
      <c r="O184" s="127">
        <f t="shared" si="145"/>
        <v>0.88543465745538286</v>
      </c>
      <c r="P184" s="128" t="str">
        <f t="shared" si="146"/>
        <v>-</v>
      </c>
      <c r="Q184" s="128" t="str">
        <f t="shared" si="147"/>
        <v>-</v>
      </c>
      <c r="R184" s="128" t="str">
        <f t="shared" si="148"/>
        <v>-</v>
      </c>
      <c r="S184" s="128" t="str">
        <f t="shared" si="149"/>
        <v>-</v>
      </c>
      <c r="T184" s="128" t="str">
        <f t="shared" si="150"/>
        <v>-</v>
      </c>
      <c r="U184" s="128" t="str">
        <f t="shared" si="151"/>
        <v>-</v>
      </c>
      <c r="V184" s="128" t="str">
        <f t="shared" si="152"/>
        <v>-</v>
      </c>
      <c r="W184" s="127"/>
      <c r="X184" s="127"/>
      <c r="Y184" s="127"/>
      <c r="Z184" s="170"/>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row>
    <row r="185" spans="1:55" ht="14.25" customHeight="1">
      <c r="A185" s="12" t="s">
        <v>242</v>
      </c>
      <c r="B185" s="65">
        <f t="shared" si="132"/>
        <v>0.86576542269611578</v>
      </c>
      <c r="C185" s="65">
        <f t="shared" si="133"/>
        <v>0.92341678939617089</v>
      </c>
      <c r="D185" s="65">
        <f t="shared" si="134"/>
        <v>0.89315342328835579</v>
      </c>
      <c r="E185" s="65">
        <f t="shared" si="135"/>
        <v>0.76634214186369953</v>
      </c>
      <c r="F185" s="65">
        <f t="shared" si="136"/>
        <v>0.82183908045977017</v>
      </c>
      <c r="G185" s="65">
        <f t="shared" si="137"/>
        <v>0.77715565509518481</v>
      </c>
      <c r="H185" s="65">
        <f t="shared" si="138"/>
        <v>0.7767857142857143</v>
      </c>
      <c r="I185" s="65">
        <f t="shared" si="139"/>
        <v>0.97441601779755282</v>
      </c>
      <c r="J185" s="65">
        <f t="shared" si="140"/>
        <v>0.93499554764024928</v>
      </c>
      <c r="K185" s="65">
        <f t="shared" si="141"/>
        <v>0.85100887812752224</v>
      </c>
      <c r="L185" s="65">
        <f t="shared" si="142"/>
        <v>0.92825266048747002</v>
      </c>
      <c r="M185" s="65">
        <f t="shared" si="143"/>
        <v>0.88844522086348887</v>
      </c>
      <c r="N185" s="127">
        <f t="shared" si="144"/>
        <v>0.87513179277815212</v>
      </c>
      <c r="O185" s="127">
        <f t="shared" si="145"/>
        <v>0.85541502406817016</v>
      </c>
      <c r="P185" s="128" t="str">
        <f t="shared" si="146"/>
        <v>-</v>
      </c>
      <c r="Q185" s="127">
        <f t="shared" si="147"/>
        <v>0.84310618066561016</v>
      </c>
      <c r="R185" s="127">
        <f t="shared" si="148"/>
        <v>0.87323943661971826</v>
      </c>
      <c r="S185" s="128" t="str">
        <f t="shared" si="149"/>
        <v>-</v>
      </c>
      <c r="T185" s="127">
        <f t="shared" si="150"/>
        <v>0.9325</v>
      </c>
      <c r="U185" s="127">
        <f t="shared" si="151"/>
        <v>0.93807934742306265</v>
      </c>
      <c r="V185" s="128" t="str">
        <f t="shared" si="152"/>
        <v>-</v>
      </c>
      <c r="W185" s="127"/>
      <c r="X185" s="127"/>
      <c r="Y185" s="127"/>
      <c r="Z185" s="170"/>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row>
    <row r="186" spans="1:55" ht="14.25" customHeight="1">
      <c r="A186" s="12" t="s">
        <v>243</v>
      </c>
      <c r="B186" s="65">
        <f t="shared" si="132"/>
        <v>0.86519654841802496</v>
      </c>
      <c r="C186" s="65">
        <f t="shared" si="133"/>
        <v>0.92283230867076527</v>
      </c>
      <c r="D186" s="65">
        <f t="shared" si="134"/>
        <v>0.89256947241240436</v>
      </c>
      <c r="E186" s="65">
        <f t="shared" si="135"/>
        <v>0.76634214186369953</v>
      </c>
      <c r="F186" s="65">
        <f t="shared" si="136"/>
        <v>0.82183908045977017</v>
      </c>
      <c r="G186" s="65">
        <f t="shared" si="137"/>
        <v>0.77715565509518481</v>
      </c>
      <c r="H186" s="65">
        <f t="shared" si="138"/>
        <v>0.7767857142857143</v>
      </c>
      <c r="I186" s="65">
        <f t="shared" si="139"/>
        <v>0.97441601779755282</v>
      </c>
      <c r="J186" s="65">
        <f t="shared" si="140"/>
        <v>0.93499554764024928</v>
      </c>
      <c r="K186" s="65">
        <f t="shared" si="141"/>
        <v>0.85043845404352059</v>
      </c>
      <c r="L186" s="65">
        <f t="shared" si="142"/>
        <v>0.92780656303972364</v>
      </c>
      <c r="M186" s="65">
        <f t="shared" si="143"/>
        <v>0.88793103448275867</v>
      </c>
      <c r="N186" s="127">
        <f t="shared" si="144"/>
        <v>0.87500448748888104</v>
      </c>
      <c r="O186" s="127">
        <f t="shared" si="145"/>
        <v>0.85519496961512487</v>
      </c>
      <c r="P186" s="128" t="str">
        <f t="shared" si="146"/>
        <v>-</v>
      </c>
      <c r="Q186" s="127">
        <f t="shared" si="147"/>
        <v>0.84310618066561016</v>
      </c>
      <c r="R186" s="127">
        <f t="shared" si="148"/>
        <v>0.87323943661971826</v>
      </c>
      <c r="S186" s="128" t="str">
        <f t="shared" si="149"/>
        <v>-</v>
      </c>
      <c r="T186" s="127">
        <f t="shared" si="150"/>
        <v>0.9325</v>
      </c>
      <c r="U186" s="127">
        <f t="shared" si="151"/>
        <v>0.93807934742306265</v>
      </c>
      <c r="V186" s="128" t="str">
        <f t="shared" si="152"/>
        <v>-</v>
      </c>
      <c r="W186" s="127"/>
      <c r="X186" s="127"/>
      <c r="Y186" s="211"/>
      <c r="Z186" s="170"/>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row>
    <row r="187" spans="1:55" ht="14.25" customHeight="1">
      <c r="A187" s="38" t="s">
        <v>44</v>
      </c>
      <c r="B187" s="65">
        <f t="shared" si="132"/>
        <v>0.86605931382050783</v>
      </c>
      <c r="C187" s="65">
        <f t="shared" si="133"/>
        <v>0.92735602094240843</v>
      </c>
      <c r="D187" s="65">
        <f t="shared" si="134"/>
        <v>0.8948989017756338</v>
      </c>
      <c r="E187" s="65">
        <f t="shared" si="135"/>
        <v>0.76634214186369953</v>
      </c>
      <c r="F187" s="65">
        <f t="shared" si="136"/>
        <v>0.82183908045977017</v>
      </c>
      <c r="G187" s="65">
        <f t="shared" si="137"/>
        <v>0.77715565509518481</v>
      </c>
      <c r="H187" s="65">
        <f t="shared" si="138"/>
        <v>0.7767857142857143</v>
      </c>
      <c r="I187" s="65">
        <f t="shared" si="139"/>
        <v>0.97441601779755282</v>
      </c>
      <c r="J187" s="65">
        <f t="shared" si="140"/>
        <v>0.93499554764024928</v>
      </c>
      <c r="K187" s="65">
        <f t="shared" si="141"/>
        <v>0.85103244837758107</v>
      </c>
      <c r="L187" s="65">
        <f t="shared" si="142"/>
        <v>0.93158918154498849</v>
      </c>
      <c r="M187" s="65">
        <f t="shared" si="143"/>
        <v>0.88978654647504041</v>
      </c>
      <c r="N187" s="127">
        <f t="shared" si="144"/>
        <v>0.87543688188000979</v>
      </c>
      <c r="O187" s="127">
        <f t="shared" si="145"/>
        <v>0.85482083487255267</v>
      </c>
      <c r="P187" s="128" t="str">
        <f t="shared" si="146"/>
        <v>-</v>
      </c>
      <c r="Q187" s="127">
        <f t="shared" si="147"/>
        <v>0.84310618066561016</v>
      </c>
      <c r="R187" s="127">
        <f t="shared" si="148"/>
        <v>0.87323943661971826</v>
      </c>
      <c r="S187" s="128" t="str">
        <f t="shared" si="149"/>
        <v>-</v>
      </c>
      <c r="T187" s="127">
        <f t="shared" si="150"/>
        <v>0.9325</v>
      </c>
      <c r="U187" s="127">
        <f t="shared" si="151"/>
        <v>0.93807934742306265</v>
      </c>
      <c r="V187" s="128" t="str">
        <f t="shared" si="152"/>
        <v>-</v>
      </c>
      <c r="W187" s="127"/>
      <c r="X187" s="127"/>
      <c r="Y187" s="211"/>
      <c r="Z187" s="170"/>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row>
    <row r="188" spans="1:55" ht="14.25" customHeight="1">
      <c r="A188" s="12" t="s">
        <v>67</v>
      </c>
      <c r="B188" s="65">
        <f t="shared" si="132"/>
        <v>0.88842364532019702</v>
      </c>
      <c r="C188" s="65">
        <f t="shared" si="133"/>
        <v>0.94661700806952198</v>
      </c>
      <c r="D188" s="65">
        <f t="shared" si="134"/>
        <v>0.91417193078824499</v>
      </c>
      <c r="E188" s="80" t="str">
        <f t="shared" si="135"/>
        <v>-</v>
      </c>
      <c r="F188" s="80" t="str">
        <f t="shared" si="136"/>
        <v>-</v>
      </c>
      <c r="G188" s="80" t="str">
        <f t="shared" si="137"/>
        <v>-</v>
      </c>
      <c r="H188" s="80" t="str">
        <f t="shared" si="138"/>
        <v>-</v>
      </c>
      <c r="I188" s="80" t="str">
        <f t="shared" si="139"/>
        <v>-</v>
      </c>
      <c r="J188" s="80" t="str">
        <f t="shared" si="140"/>
        <v>-</v>
      </c>
      <c r="K188" s="65">
        <f t="shared" si="141"/>
        <v>0.88842364532019702</v>
      </c>
      <c r="L188" s="65">
        <f t="shared" si="142"/>
        <v>0.94661700806952198</v>
      </c>
      <c r="M188" s="65">
        <f t="shared" si="143"/>
        <v>0.91417193078824499</v>
      </c>
      <c r="N188" s="127">
        <f t="shared" si="144"/>
        <v>0.85999022344166387</v>
      </c>
      <c r="O188" s="127">
        <f t="shared" si="145"/>
        <v>0.82294137580481197</v>
      </c>
      <c r="P188" s="128" t="str">
        <f t="shared" si="146"/>
        <v>-</v>
      </c>
      <c r="Q188" s="128" t="str">
        <f t="shared" si="147"/>
        <v>-</v>
      </c>
      <c r="R188" s="128" t="str">
        <f t="shared" si="148"/>
        <v>-</v>
      </c>
      <c r="S188" s="128" t="str">
        <f t="shared" si="149"/>
        <v>-</v>
      </c>
      <c r="T188" s="128" t="str">
        <f t="shared" si="150"/>
        <v>-</v>
      </c>
      <c r="U188" s="128" t="str">
        <f t="shared" si="151"/>
        <v>-</v>
      </c>
      <c r="V188" s="128" t="str">
        <f t="shared" si="152"/>
        <v>-</v>
      </c>
      <c r="W188" s="127"/>
      <c r="X188" s="127"/>
      <c r="Y188" s="127"/>
      <c r="Z188" s="170"/>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row>
    <row r="189" spans="1:55" ht="14.25" customHeight="1">
      <c r="A189" s="12" t="s">
        <v>69</v>
      </c>
      <c r="B189" s="65">
        <f t="shared" si="132"/>
        <v>0.90751445086705207</v>
      </c>
      <c r="C189" s="65">
        <f t="shared" si="133"/>
        <v>0.96212121212121215</v>
      </c>
      <c r="D189" s="65">
        <f t="shared" si="134"/>
        <v>0.93114754098360653</v>
      </c>
      <c r="E189" s="65">
        <f t="shared" si="135"/>
        <v>0.75</v>
      </c>
      <c r="F189" s="65">
        <f t="shared" si="136"/>
        <v>0.5</v>
      </c>
      <c r="G189" s="65">
        <f t="shared" si="137"/>
        <v>0.73913043478260865</v>
      </c>
      <c r="H189" s="65">
        <f t="shared" si="138"/>
        <v>0.66666666666666663</v>
      </c>
      <c r="I189" s="65">
        <f t="shared" si="139"/>
        <v>0.95744680851063835</v>
      </c>
      <c r="J189" s="65">
        <f t="shared" si="140"/>
        <v>0.94</v>
      </c>
      <c r="K189" s="65">
        <f t="shared" si="141"/>
        <v>0.87272727272727268</v>
      </c>
      <c r="L189" s="65">
        <f t="shared" si="142"/>
        <v>0.95580110497237569</v>
      </c>
      <c r="M189" s="65">
        <f t="shared" si="143"/>
        <v>0.91022443890274318</v>
      </c>
      <c r="N189" s="127">
        <f t="shared" si="144"/>
        <v>0.87845567206863684</v>
      </c>
      <c r="O189" s="127">
        <f t="shared" si="145"/>
        <v>0.8484489231377198</v>
      </c>
      <c r="P189" s="128" t="str">
        <f t="shared" si="146"/>
        <v>-</v>
      </c>
      <c r="Q189" s="127">
        <f t="shared" si="147"/>
        <v>0.86363636363636365</v>
      </c>
      <c r="R189" s="127">
        <f t="shared" si="148"/>
        <v>1</v>
      </c>
      <c r="S189" s="128" t="str">
        <f t="shared" si="149"/>
        <v>-</v>
      </c>
      <c r="T189" s="127">
        <f t="shared" si="150"/>
        <v>1</v>
      </c>
      <c r="U189" s="127">
        <f t="shared" si="151"/>
        <v>0.95408163265306123</v>
      </c>
      <c r="V189" s="128" t="str">
        <f t="shared" si="152"/>
        <v>-</v>
      </c>
      <c r="W189" s="127"/>
      <c r="X189" s="127"/>
      <c r="Y189" s="127"/>
      <c r="Z189" s="170"/>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row>
    <row r="190" spans="1:55" ht="14.25" customHeight="1">
      <c r="A190" s="12" t="s">
        <v>70</v>
      </c>
      <c r="B190" s="65">
        <f t="shared" si="132"/>
        <v>0.91044776119402981</v>
      </c>
      <c r="C190" s="65">
        <f t="shared" si="133"/>
        <v>0.95597484276729561</v>
      </c>
      <c r="D190" s="65">
        <f t="shared" si="134"/>
        <v>0.93515358361774747</v>
      </c>
      <c r="E190" s="65">
        <f t="shared" si="135"/>
        <v>0.91304347826086951</v>
      </c>
      <c r="F190" s="65">
        <f t="shared" si="136"/>
        <v>0.5</v>
      </c>
      <c r="G190" s="65">
        <f t="shared" si="137"/>
        <v>0.88</v>
      </c>
      <c r="H190" s="65">
        <f t="shared" si="138"/>
        <v>0.84210526315789469</v>
      </c>
      <c r="I190" s="65">
        <f t="shared" si="139"/>
        <v>0.95081967213114749</v>
      </c>
      <c r="J190" s="65">
        <f t="shared" si="140"/>
        <v>0.92500000000000004</v>
      </c>
      <c r="K190" s="65">
        <f t="shared" si="141"/>
        <v>0.90645161290322585</v>
      </c>
      <c r="L190" s="65">
        <f t="shared" si="142"/>
        <v>0.952755905511811</v>
      </c>
      <c r="M190" s="65">
        <f t="shared" si="143"/>
        <v>0.93198263386396529</v>
      </c>
      <c r="N190" s="127">
        <f t="shared" si="144"/>
        <v>0.8750106428267348</v>
      </c>
      <c r="O190" s="127">
        <f t="shared" si="145"/>
        <v>0.77432179607109453</v>
      </c>
      <c r="P190" s="128" t="str">
        <f t="shared" si="146"/>
        <v>-</v>
      </c>
      <c r="Q190" s="127">
        <f t="shared" si="147"/>
        <v>0.65079365079365081</v>
      </c>
      <c r="R190" s="127">
        <f t="shared" si="148"/>
        <v>1</v>
      </c>
      <c r="S190" s="128" t="str">
        <f t="shared" si="149"/>
        <v>-</v>
      </c>
      <c r="T190" s="127">
        <f t="shared" si="150"/>
        <v>0.890625</v>
      </c>
      <c r="U190" s="127">
        <f t="shared" si="151"/>
        <v>0.8433908045977011</v>
      </c>
      <c r="V190" s="128" t="str">
        <f t="shared" si="152"/>
        <v>-</v>
      </c>
      <c r="W190" s="127"/>
      <c r="X190" s="127"/>
      <c r="Y190" s="127"/>
      <c r="Z190" s="170"/>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row>
    <row r="191" spans="1:55" ht="14.25" customHeight="1">
      <c r="A191" s="12" t="s">
        <v>71</v>
      </c>
      <c r="B191" s="65">
        <f t="shared" si="132"/>
        <v>0.85555555555555551</v>
      </c>
      <c r="C191" s="65">
        <f t="shared" si="133"/>
        <v>0.94312796208530802</v>
      </c>
      <c r="D191" s="65">
        <f t="shared" si="134"/>
        <v>0.89397089397089402</v>
      </c>
      <c r="E191" s="80" t="str">
        <f t="shared" si="135"/>
        <v>-</v>
      </c>
      <c r="F191" s="65">
        <f t="shared" si="136"/>
        <v>0.78846153846153844</v>
      </c>
      <c r="G191" s="65">
        <f t="shared" si="137"/>
        <v>0.78846153846153844</v>
      </c>
      <c r="H191" s="65">
        <f t="shared" si="138"/>
        <v>1</v>
      </c>
      <c r="I191" s="65">
        <f t="shared" si="139"/>
        <v>0.97727272727272729</v>
      </c>
      <c r="J191" s="65">
        <f t="shared" si="140"/>
        <v>0.97826086956521741</v>
      </c>
      <c r="K191" s="65">
        <f t="shared" si="141"/>
        <v>0.85661764705882348</v>
      </c>
      <c r="L191" s="65">
        <f t="shared" si="142"/>
        <v>0.92182410423452765</v>
      </c>
      <c r="M191" s="65">
        <f t="shared" si="143"/>
        <v>0.89119170984455953</v>
      </c>
      <c r="N191" s="127">
        <f t="shared" si="144"/>
        <v>0.86474973375931841</v>
      </c>
      <c r="O191" s="127">
        <f t="shared" si="145"/>
        <v>0.82033096926713944</v>
      </c>
      <c r="P191" s="128" t="str">
        <f t="shared" si="146"/>
        <v>-</v>
      </c>
      <c r="Q191" s="128" t="str">
        <f t="shared" si="147"/>
        <v>-</v>
      </c>
      <c r="R191" s="127">
        <f t="shared" si="148"/>
        <v>0.91463414634146345</v>
      </c>
      <c r="S191" s="128" t="str">
        <f t="shared" si="149"/>
        <v>-</v>
      </c>
      <c r="T191" s="127">
        <f t="shared" si="150"/>
        <v>0.79166666666666663</v>
      </c>
      <c r="U191" s="127">
        <f t="shared" si="151"/>
        <v>0.8972868217054264</v>
      </c>
      <c r="V191" s="128" t="str">
        <f t="shared" si="152"/>
        <v>-</v>
      </c>
      <c r="W191" s="127"/>
      <c r="X191" s="127"/>
      <c r="Y191" s="127"/>
      <c r="Z191" s="170"/>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row>
    <row r="192" spans="1:55" ht="14.25" customHeight="1">
      <c r="A192" s="12" t="s">
        <v>72</v>
      </c>
      <c r="B192" s="65">
        <f t="shared" si="132"/>
        <v>0.90909090909090906</v>
      </c>
      <c r="C192" s="65">
        <f t="shared" si="133"/>
        <v>0.80952380952380953</v>
      </c>
      <c r="D192" s="65">
        <f t="shared" si="134"/>
        <v>0.84375</v>
      </c>
      <c r="E192" s="80" t="str">
        <f t="shared" si="135"/>
        <v>-</v>
      </c>
      <c r="F192" s="80" t="str">
        <f t="shared" si="136"/>
        <v>-</v>
      </c>
      <c r="G192" s="80" t="str">
        <f t="shared" si="137"/>
        <v>-</v>
      </c>
      <c r="H192" s="80" t="str">
        <f t="shared" si="138"/>
        <v>-</v>
      </c>
      <c r="I192" s="80" t="str">
        <f t="shared" si="139"/>
        <v>-</v>
      </c>
      <c r="J192" s="80" t="str">
        <f t="shared" si="140"/>
        <v>-</v>
      </c>
      <c r="K192" s="65">
        <f t="shared" si="141"/>
        <v>0.90909090909090906</v>
      </c>
      <c r="L192" s="65">
        <f t="shared" si="142"/>
        <v>0.80952380952380953</v>
      </c>
      <c r="M192" s="65">
        <f t="shared" si="143"/>
        <v>0.84375</v>
      </c>
      <c r="N192" s="127">
        <f t="shared" si="144"/>
        <v>0.98809523809523814</v>
      </c>
      <c r="O192" s="127">
        <f t="shared" si="145"/>
        <v>0.97272727272727277</v>
      </c>
      <c r="P192" s="128" t="str">
        <f t="shared" si="146"/>
        <v>-</v>
      </c>
      <c r="Q192" s="128" t="str">
        <f t="shared" si="147"/>
        <v>-</v>
      </c>
      <c r="R192" s="128" t="str">
        <f t="shared" si="148"/>
        <v>-</v>
      </c>
      <c r="S192" s="128" t="str">
        <f t="shared" si="149"/>
        <v>-</v>
      </c>
      <c r="T192" s="128" t="str">
        <f t="shared" si="150"/>
        <v>-</v>
      </c>
      <c r="U192" s="128" t="str">
        <f t="shared" si="151"/>
        <v>-</v>
      </c>
      <c r="V192" s="128" t="str">
        <f t="shared" si="152"/>
        <v>-</v>
      </c>
      <c r="W192" s="127"/>
      <c r="X192" s="127"/>
      <c r="Y192" s="127"/>
      <c r="Z192" s="170"/>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row>
    <row r="193" spans="1:55" ht="14.25" customHeight="1">
      <c r="A193" s="12" t="s">
        <v>73</v>
      </c>
      <c r="B193" s="65">
        <f t="shared" si="132"/>
        <v>0.8</v>
      </c>
      <c r="C193" s="65">
        <f t="shared" si="133"/>
        <v>1</v>
      </c>
      <c r="D193" s="65">
        <f t="shared" si="134"/>
        <v>0.8666666666666667</v>
      </c>
      <c r="E193" s="65">
        <f t="shared" si="135"/>
        <v>0.5</v>
      </c>
      <c r="F193" s="65">
        <f t="shared" si="136"/>
        <v>1</v>
      </c>
      <c r="G193" s="65">
        <f t="shared" si="137"/>
        <v>0.66666666666666663</v>
      </c>
      <c r="H193" s="65">
        <f t="shared" si="138"/>
        <v>0.66666666666666663</v>
      </c>
      <c r="I193" s="65">
        <f t="shared" si="139"/>
        <v>1</v>
      </c>
      <c r="J193" s="65">
        <f t="shared" si="140"/>
        <v>0.8</v>
      </c>
      <c r="K193" s="65">
        <f t="shared" si="141"/>
        <v>0.7142857142857143</v>
      </c>
      <c r="L193" s="65">
        <f t="shared" si="142"/>
        <v>1</v>
      </c>
      <c r="M193" s="65">
        <f t="shared" si="143"/>
        <v>0.81818181818181823</v>
      </c>
      <c r="N193" s="127">
        <f t="shared" si="144"/>
        <v>0.87943262411347523</v>
      </c>
      <c r="O193" s="127">
        <f t="shared" si="145"/>
        <v>0.91176470588235292</v>
      </c>
      <c r="P193" s="128" t="str">
        <f t="shared" si="146"/>
        <v>-</v>
      </c>
      <c r="Q193" s="127">
        <f t="shared" si="147"/>
        <v>1</v>
      </c>
      <c r="R193" s="127">
        <f t="shared" si="148"/>
        <v>0.5</v>
      </c>
      <c r="S193" s="128" t="str">
        <f t="shared" si="149"/>
        <v>-</v>
      </c>
      <c r="T193" s="127">
        <f t="shared" si="150"/>
        <v>0.84722222222222221</v>
      </c>
      <c r="U193" s="127">
        <f t="shared" si="151"/>
        <v>1</v>
      </c>
      <c r="V193" s="128" t="str">
        <f t="shared" si="152"/>
        <v>-</v>
      </c>
      <c r="W193" s="127"/>
      <c r="X193" s="127"/>
      <c r="Y193" s="127"/>
      <c r="Z193" s="170"/>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row>
    <row r="194" spans="1:55" ht="14.25" customHeight="1">
      <c r="A194" s="12" t="s">
        <v>74</v>
      </c>
      <c r="B194" s="65">
        <f t="shared" si="132"/>
        <v>0.92063492063492058</v>
      </c>
      <c r="C194" s="65">
        <f t="shared" si="133"/>
        <v>0.93406593406593408</v>
      </c>
      <c r="D194" s="65">
        <f t="shared" si="134"/>
        <v>0.92722371967654982</v>
      </c>
      <c r="E194" s="80" t="str">
        <f t="shared" si="135"/>
        <v>-</v>
      </c>
      <c r="F194" s="80" t="str">
        <f t="shared" si="136"/>
        <v>-</v>
      </c>
      <c r="G194" s="80" t="str">
        <f t="shared" si="137"/>
        <v>-</v>
      </c>
      <c r="H194" s="80" t="str">
        <f t="shared" si="138"/>
        <v>-</v>
      </c>
      <c r="I194" s="65">
        <f t="shared" si="139"/>
        <v>1</v>
      </c>
      <c r="J194" s="65">
        <f t="shared" si="140"/>
        <v>1</v>
      </c>
      <c r="K194" s="65">
        <f t="shared" si="141"/>
        <v>0.92063492063492058</v>
      </c>
      <c r="L194" s="65">
        <f t="shared" si="142"/>
        <v>0.94594594594594594</v>
      </c>
      <c r="M194" s="65">
        <f t="shared" si="143"/>
        <v>0.93430656934306566</v>
      </c>
      <c r="N194" s="127">
        <f t="shared" si="144"/>
        <v>0.86374085684430513</v>
      </c>
      <c r="O194" s="127">
        <f t="shared" si="145"/>
        <v>0.88475177304964536</v>
      </c>
      <c r="P194" s="128" t="str">
        <f t="shared" si="146"/>
        <v>-</v>
      </c>
      <c r="Q194" s="128" t="str">
        <f t="shared" si="147"/>
        <v>-</v>
      </c>
      <c r="R194" s="128" t="str">
        <f t="shared" si="148"/>
        <v>-</v>
      </c>
      <c r="S194" s="128" t="str">
        <f t="shared" si="149"/>
        <v>-</v>
      </c>
      <c r="T194" s="128" t="str">
        <f t="shared" si="150"/>
        <v>-</v>
      </c>
      <c r="U194" s="127">
        <f t="shared" si="151"/>
        <v>0.9</v>
      </c>
      <c r="V194" s="128" t="str">
        <f t="shared" si="152"/>
        <v>-</v>
      </c>
      <c r="W194" s="127"/>
      <c r="X194" s="127"/>
      <c r="Y194" s="127"/>
      <c r="Z194" s="170"/>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row>
    <row r="195" spans="1:55" ht="14.25" customHeight="1">
      <c r="A195" s="12" t="s">
        <v>75</v>
      </c>
      <c r="B195" s="65">
        <f t="shared" si="132"/>
        <v>0.97297297297297303</v>
      </c>
      <c r="C195" s="65">
        <f t="shared" si="133"/>
        <v>0.93150684931506844</v>
      </c>
      <c r="D195" s="65">
        <f t="shared" si="134"/>
        <v>0.95238095238095233</v>
      </c>
      <c r="E195" s="65">
        <f t="shared" si="135"/>
        <v>0.9285714285714286</v>
      </c>
      <c r="F195" s="65">
        <f t="shared" si="136"/>
        <v>0</v>
      </c>
      <c r="G195" s="65">
        <f t="shared" si="137"/>
        <v>0.8666666666666667</v>
      </c>
      <c r="H195" s="65">
        <f t="shared" si="138"/>
        <v>1</v>
      </c>
      <c r="I195" s="65">
        <f t="shared" si="139"/>
        <v>0.84615384615384615</v>
      </c>
      <c r="J195" s="65">
        <f t="shared" si="140"/>
        <v>0.8571428571428571</v>
      </c>
      <c r="K195" s="65">
        <f t="shared" si="141"/>
        <v>0.9662921348314607</v>
      </c>
      <c r="L195" s="65">
        <f t="shared" si="142"/>
        <v>0.90804597701149425</v>
      </c>
      <c r="M195" s="65">
        <f t="shared" si="143"/>
        <v>0.9375</v>
      </c>
      <c r="N195" s="127">
        <f t="shared" si="144"/>
        <v>0.87323537885335634</v>
      </c>
      <c r="O195" s="127">
        <f t="shared" si="145"/>
        <v>0.81186440677966099</v>
      </c>
      <c r="P195" s="128" t="str">
        <f t="shared" si="146"/>
        <v>-</v>
      </c>
      <c r="Q195" s="127">
        <f t="shared" si="147"/>
        <v>0.88461538461538458</v>
      </c>
      <c r="R195" s="128" t="str">
        <f t="shared" si="148"/>
        <v>-</v>
      </c>
      <c r="S195" s="128" t="str">
        <f t="shared" si="149"/>
        <v>-</v>
      </c>
      <c r="T195" s="127">
        <f t="shared" si="150"/>
        <v>0.75</v>
      </c>
      <c r="U195" s="127">
        <f t="shared" si="151"/>
        <v>0.86742424242424243</v>
      </c>
      <c r="V195" s="128" t="str">
        <f t="shared" si="152"/>
        <v>-</v>
      </c>
      <c r="W195" s="127"/>
      <c r="X195" s="127"/>
      <c r="Y195" s="127"/>
      <c r="Z195" s="170"/>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row>
    <row r="196" spans="1:55" ht="14.25" customHeight="1">
      <c r="A196" s="12" t="s">
        <v>76</v>
      </c>
      <c r="B196" s="65">
        <f t="shared" si="132"/>
        <v>0.81376518218623484</v>
      </c>
      <c r="C196" s="65">
        <f t="shared" si="133"/>
        <v>0.98245614035087714</v>
      </c>
      <c r="D196" s="65">
        <f t="shared" si="134"/>
        <v>0.88277511961722488</v>
      </c>
      <c r="E196" s="65">
        <f t="shared" si="135"/>
        <v>0.4</v>
      </c>
      <c r="F196" s="65">
        <f t="shared" si="136"/>
        <v>0.875</v>
      </c>
      <c r="G196" s="65">
        <f t="shared" si="137"/>
        <v>0.84705882352941175</v>
      </c>
      <c r="H196" s="65">
        <f t="shared" si="138"/>
        <v>0.63888888888888884</v>
      </c>
      <c r="I196" s="65">
        <f t="shared" si="139"/>
        <v>1</v>
      </c>
      <c r="J196" s="65">
        <f t="shared" si="140"/>
        <v>0.64383561643835618</v>
      </c>
      <c r="K196" s="65">
        <f t="shared" si="141"/>
        <v>0.76851851851851849</v>
      </c>
      <c r="L196" s="65">
        <f t="shared" si="142"/>
        <v>0.94841269841269837</v>
      </c>
      <c r="M196" s="65">
        <f t="shared" si="143"/>
        <v>0.84722222222222221</v>
      </c>
      <c r="N196" s="127">
        <f t="shared" si="144"/>
        <v>0.84771518506458265</v>
      </c>
      <c r="O196" s="127">
        <f t="shared" si="145"/>
        <v>0.80864855265494584</v>
      </c>
      <c r="P196" s="128" t="str">
        <f t="shared" si="146"/>
        <v>-</v>
      </c>
      <c r="Q196" s="127">
        <f t="shared" si="147"/>
        <v>1</v>
      </c>
      <c r="R196" s="127">
        <f t="shared" si="148"/>
        <v>0.86330935251798557</v>
      </c>
      <c r="S196" s="128" t="str">
        <f t="shared" si="149"/>
        <v>-</v>
      </c>
      <c r="T196" s="127">
        <f t="shared" si="150"/>
        <v>0.93840579710144922</v>
      </c>
      <c r="U196" s="127">
        <f t="shared" si="151"/>
        <v>0.83333333333333337</v>
      </c>
      <c r="V196" s="128" t="str">
        <f t="shared" si="152"/>
        <v>-</v>
      </c>
      <c r="W196" s="127"/>
      <c r="X196" s="127"/>
      <c r="Y196" s="127"/>
      <c r="Z196" s="170"/>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row>
    <row r="197" spans="1:55" ht="14.25" customHeight="1">
      <c r="A197" s="12" t="s">
        <v>77</v>
      </c>
      <c r="B197" s="65">
        <f t="shared" si="132"/>
        <v>0.87096774193548387</v>
      </c>
      <c r="C197" s="65">
        <f t="shared" si="133"/>
        <v>0.93442622950819676</v>
      </c>
      <c r="D197" s="65">
        <f t="shared" si="134"/>
        <v>0.90410958904109584</v>
      </c>
      <c r="E197" s="65">
        <f t="shared" si="135"/>
        <v>0.63636363636363635</v>
      </c>
      <c r="F197" s="65">
        <f t="shared" si="136"/>
        <v>0.8</v>
      </c>
      <c r="G197" s="65">
        <f t="shared" si="137"/>
        <v>0.64634146341463417</v>
      </c>
      <c r="H197" s="65">
        <f t="shared" si="138"/>
        <v>1</v>
      </c>
      <c r="I197" s="65">
        <f t="shared" si="139"/>
        <v>0.98795180722891562</v>
      </c>
      <c r="J197" s="65">
        <f t="shared" si="140"/>
        <v>0.9882352941176471</v>
      </c>
      <c r="K197" s="65">
        <f t="shared" si="141"/>
        <v>0.82122905027932958</v>
      </c>
      <c r="L197" s="65">
        <f t="shared" si="142"/>
        <v>0.94402035623409675</v>
      </c>
      <c r="M197" s="65">
        <f t="shared" si="143"/>
        <v>0.88548601864181087</v>
      </c>
      <c r="N197" s="127">
        <f t="shared" si="144"/>
        <v>0.87102633969118981</v>
      </c>
      <c r="O197" s="127">
        <f t="shared" si="145"/>
        <v>0.84309113085903464</v>
      </c>
      <c r="P197" s="128" t="str">
        <f t="shared" si="146"/>
        <v>-</v>
      </c>
      <c r="Q197" s="127">
        <f t="shared" si="147"/>
        <v>0.865979381443299</v>
      </c>
      <c r="R197" s="127">
        <f t="shared" si="148"/>
        <v>0.625</v>
      </c>
      <c r="S197" s="128" t="str">
        <f t="shared" si="149"/>
        <v>-</v>
      </c>
      <c r="T197" s="127">
        <f t="shared" si="150"/>
        <v>1</v>
      </c>
      <c r="U197" s="127">
        <f t="shared" si="151"/>
        <v>0.9684959349593496</v>
      </c>
      <c r="V197" s="128" t="str">
        <f t="shared" si="152"/>
        <v>-</v>
      </c>
      <c r="W197" s="127"/>
      <c r="X197" s="127"/>
      <c r="Y197" s="127"/>
      <c r="Z197" s="170"/>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row>
    <row r="198" spans="1:55" ht="14.25" customHeight="1">
      <c r="A198" s="12" t="s">
        <v>78</v>
      </c>
      <c r="B198" s="65">
        <f t="shared" si="132"/>
        <v>0.90138067061143989</v>
      </c>
      <c r="C198" s="65">
        <f t="shared" si="133"/>
        <v>0.94382756368386678</v>
      </c>
      <c r="D198" s="65">
        <f t="shared" si="134"/>
        <v>0.92267365661861078</v>
      </c>
      <c r="E198" s="65">
        <f t="shared" si="135"/>
        <v>0.77427821522309714</v>
      </c>
      <c r="F198" s="65">
        <f t="shared" si="136"/>
        <v>0.76190476190476186</v>
      </c>
      <c r="G198" s="65">
        <f t="shared" si="137"/>
        <v>0.77363184079601988</v>
      </c>
      <c r="H198" s="65">
        <f t="shared" si="138"/>
        <v>0.8</v>
      </c>
      <c r="I198" s="65">
        <f t="shared" si="139"/>
        <v>0.99173553719008267</v>
      </c>
      <c r="J198" s="65">
        <f t="shared" si="140"/>
        <v>0.97709923664122134</v>
      </c>
      <c r="K198" s="65">
        <f t="shared" si="141"/>
        <v>0.87474120082815732</v>
      </c>
      <c r="L198" s="65">
        <f t="shared" si="142"/>
        <v>0.95091383812010444</v>
      </c>
      <c r="M198" s="65">
        <f t="shared" si="143"/>
        <v>0.91265921497270597</v>
      </c>
      <c r="N198" s="127">
        <f t="shared" si="144"/>
        <v>0.89550767497535555</v>
      </c>
      <c r="O198" s="127">
        <f t="shared" si="145"/>
        <v>0.88993967697995724</v>
      </c>
      <c r="P198" s="128" t="str">
        <f t="shared" si="146"/>
        <v>-</v>
      </c>
      <c r="Q198" s="127">
        <f t="shared" si="147"/>
        <v>0.86463620981387479</v>
      </c>
      <c r="R198" s="127">
        <f t="shared" si="148"/>
        <v>0.90322580645161288</v>
      </c>
      <c r="S198" s="128" t="str">
        <f t="shared" si="149"/>
        <v>-</v>
      </c>
      <c r="T198" s="127">
        <f t="shared" si="150"/>
        <v>0.94097222222222221</v>
      </c>
      <c r="U198" s="127">
        <f t="shared" si="151"/>
        <v>0.939623507805326</v>
      </c>
      <c r="V198" s="128" t="str">
        <f t="shared" si="152"/>
        <v>-</v>
      </c>
      <c r="W198" s="127"/>
      <c r="X198" s="127"/>
      <c r="Y198" s="127"/>
      <c r="Z198" s="170"/>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row>
    <row r="199" spans="1:55" ht="14.25" customHeight="1">
      <c r="A199" s="12" t="s">
        <v>79</v>
      </c>
      <c r="B199" s="65">
        <f t="shared" si="132"/>
        <v>0.93069306930693074</v>
      </c>
      <c r="C199" s="65">
        <f t="shared" si="133"/>
        <v>0.94179894179894175</v>
      </c>
      <c r="D199" s="65">
        <f t="shared" si="134"/>
        <v>0.93606138107416881</v>
      </c>
      <c r="E199" s="65">
        <f t="shared" si="135"/>
        <v>0.82758620689655171</v>
      </c>
      <c r="F199" s="65">
        <f t="shared" si="136"/>
        <v>1</v>
      </c>
      <c r="G199" s="65">
        <f t="shared" si="137"/>
        <v>0.83870967741935487</v>
      </c>
      <c r="H199" s="65">
        <f t="shared" si="138"/>
        <v>0.63636363636363635</v>
      </c>
      <c r="I199" s="65">
        <f t="shared" si="139"/>
        <v>0.9642857142857143</v>
      </c>
      <c r="J199" s="65">
        <f t="shared" si="140"/>
        <v>0.87179487179487181</v>
      </c>
      <c r="K199" s="65">
        <f t="shared" si="141"/>
        <v>0.9049586776859504</v>
      </c>
      <c r="L199" s="65">
        <f t="shared" si="142"/>
        <v>0.9452054794520548</v>
      </c>
      <c r="M199" s="65">
        <f t="shared" si="143"/>
        <v>0.92407809110629069</v>
      </c>
      <c r="N199" s="127">
        <f t="shared" si="144"/>
        <v>0.8170524388649143</v>
      </c>
      <c r="O199" s="127">
        <f t="shared" si="145"/>
        <v>0.78915014599661903</v>
      </c>
      <c r="P199" s="128" t="str">
        <f t="shared" si="146"/>
        <v>-</v>
      </c>
      <c r="Q199" s="127">
        <f t="shared" si="147"/>
        <v>0.80281690140845074</v>
      </c>
      <c r="R199" s="127">
        <f t="shared" si="148"/>
        <v>1</v>
      </c>
      <c r="S199" s="128" t="str">
        <f t="shared" si="149"/>
        <v>-</v>
      </c>
      <c r="T199" s="127">
        <f t="shared" si="150"/>
        <v>0.91666666666666663</v>
      </c>
      <c r="U199" s="127">
        <f t="shared" si="151"/>
        <v>0.97839506172839508</v>
      </c>
      <c r="V199" s="128" t="str">
        <f t="shared" si="152"/>
        <v>-</v>
      </c>
      <c r="W199" s="127"/>
      <c r="X199" s="127"/>
      <c r="Y199" s="127"/>
      <c r="Z199" s="170"/>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row>
    <row r="200" spans="1:55" ht="14.25" customHeight="1">
      <c r="A200" s="12" t="s">
        <v>80</v>
      </c>
      <c r="B200" s="65">
        <f t="shared" si="132"/>
        <v>0.86915887850467288</v>
      </c>
      <c r="C200" s="65">
        <f t="shared" si="133"/>
        <v>0.93658536585365859</v>
      </c>
      <c r="D200" s="65">
        <f t="shared" si="134"/>
        <v>0.90214797136038183</v>
      </c>
      <c r="E200" s="65">
        <f t="shared" si="135"/>
        <v>0.78723404255319152</v>
      </c>
      <c r="F200" s="65">
        <f t="shared" si="136"/>
        <v>0.75</v>
      </c>
      <c r="G200" s="65">
        <f t="shared" si="137"/>
        <v>0.78431372549019607</v>
      </c>
      <c r="H200" s="65">
        <f t="shared" si="138"/>
        <v>1</v>
      </c>
      <c r="I200" s="65">
        <f t="shared" si="139"/>
        <v>0.97777777777777775</v>
      </c>
      <c r="J200" s="65">
        <f t="shared" si="140"/>
        <v>0.97826086956521741</v>
      </c>
      <c r="K200" s="65">
        <f t="shared" si="141"/>
        <v>0.85496183206106868</v>
      </c>
      <c r="L200" s="65">
        <f t="shared" si="142"/>
        <v>0.94094488188976377</v>
      </c>
      <c r="M200" s="65">
        <f t="shared" si="143"/>
        <v>0.8972868217054264</v>
      </c>
      <c r="N200" s="127">
        <f t="shared" si="144"/>
        <v>0.87307501241927477</v>
      </c>
      <c r="O200" s="127">
        <f t="shared" si="145"/>
        <v>0.82202170785929118</v>
      </c>
      <c r="P200" s="128" t="str">
        <f t="shared" si="146"/>
        <v>-</v>
      </c>
      <c r="Q200" s="127">
        <f t="shared" si="147"/>
        <v>0.74545454545454548</v>
      </c>
      <c r="R200" s="127">
        <f t="shared" si="148"/>
        <v>0.83333333333333337</v>
      </c>
      <c r="S200" s="128" t="str">
        <f t="shared" si="149"/>
        <v>-</v>
      </c>
      <c r="T200" s="127">
        <f t="shared" si="150"/>
        <v>1</v>
      </c>
      <c r="U200" s="127">
        <f t="shared" si="151"/>
        <v>0.94128787878787878</v>
      </c>
      <c r="V200" s="128" t="str">
        <f t="shared" si="152"/>
        <v>-</v>
      </c>
      <c r="W200" s="127"/>
      <c r="X200" s="127"/>
      <c r="Y200" s="127"/>
      <c r="Z200" s="170"/>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row>
    <row r="201" spans="1:55" ht="14.25" customHeight="1">
      <c r="A201" s="12" t="s">
        <v>81</v>
      </c>
      <c r="B201" s="65">
        <f t="shared" si="132"/>
        <v>0.94871794871794868</v>
      </c>
      <c r="C201" s="65">
        <f t="shared" si="133"/>
        <v>0.95973154362416102</v>
      </c>
      <c r="D201" s="65">
        <f t="shared" si="134"/>
        <v>0.95409836065573772</v>
      </c>
      <c r="E201" s="65">
        <f t="shared" si="135"/>
        <v>0.91666666666666663</v>
      </c>
      <c r="F201" s="65">
        <f t="shared" si="136"/>
        <v>1</v>
      </c>
      <c r="G201" s="65">
        <f t="shared" si="137"/>
        <v>0.93333333333333335</v>
      </c>
      <c r="H201" s="80" t="str">
        <f t="shared" si="138"/>
        <v>-</v>
      </c>
      <c r="I201" s="65">
        <f t="shared" si="139"/>
        <v>1</v>
      </c>
      <c r="J201" s="65">
        <f t="shared" si="140"/>
        <v>1</v>
      </c>
      <c r="K201" s="65">
        <f t="shared" si="141"/>
        <v>0.9464285714285714</v>
      </c>
      <c r="L201" s="65">
        <f t="shared" si="142"/>
        <v>0.96319018404907975</v>
      </c>
      <c r="M201" s="65">
        <f t="shared" si="143"/>
        <v>0.9546827794561934</v>
      </c>
      <c r="N201" s="127">
        <f t="shared" si="144"/>
        <v>0.87189054726368154</v>
      </c>
      <c r="O201" s="127">
        <f t="shared" si="145"/>
        <v>0.84294699011680141</v>
      </c>
      <c r="P201" s="128" t="str">
        <f t="shared" si="146"/>
        <v>-</v>
      </c>
      <c r="Q201" s="127">
        <f t="shared" si="147"/>
        <v>1</v>
      </c>
      <c r="R201" s="127">
        <f t="shared" si="148"/>
        <v>0.66666666666666663</v>
      </c>
      <c r="S201" s="128" t="str">
        <f t="shared" si="149"/>
        <v>-</v>
      </c>
      <c r="T201" s="128" t="str">
        <f t="shared" si="150"/>
        <v>-</v>
      </c>
      <c r="U201" s="127">
        <f t="shared" si="151"/>
        <v>0.97727272727272729</v>
      </c>
      <c r="V201" s="128" t="str">
        <f t="shared" si="152"/>
        <v>-</v>
      </c>
      <c r="W201" s="127"/>
      <c r="X201" s="127"/>
      <c r="Y201" s="127"/>
      <c r="Z201" s="170"/>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row>
    <row r="202" spans="1:55" ht="14.25" customHeight="1">
      <c r="A202" s="12" t="s">
        <v>82</v>
      </c>
      <c r="B202" s="80" t="str">
        <f t="shared" si="132"/>
        <v>-</v>
      </c>
      <c r="C202" s="80" t="str">
        <f t="shared" si="133"/>
        <v>-</v>
      </c>
      <c r="D202" s="80" t="str">
        <f t="shared" si="134"/>
        <v>-</v>
      </c>
      <c r="E202" s="80" t="str">
        <f t="shared" si="135"/>
        <v>-</v>
      </c>
      <c r="F202" s="80" t="str">
        <f t="shared" si="136"/>
        <v>-</v>
      </c>
      <c r="G202" s="80" t="str">
        <f t="shared" si="137"/>
        <v>-</v>
      </c>
      <c r="H202" s="80" t="str">
        <f t="shared" si="138"/>
        <v>-</v>
      </c>
      <c r="I202" s="80" t="str">
        <f t="shared" si="139"/>
        <v>-</v>
      </c>
      <c r="J202" s="80" t="str">
        <f t="shared" si="140"/>
        <v>-</v>
      </c>
      <c r="K202" s="80" t="str">
        <f t="shared" si="141"/>
        <v>-</v>
      </c>
      <c r="L202" s="80" t="str">
        <f t="shared" si="142"/>
        <v>-</v>
      </c>
      <c r="M202" s="80" t="str">
        <f t="shared" si="143"/>
        <v>-</v>
      </c>
      <c r="N202" s="128" t="str">
        <f t="shared" si="144"/>
        <v>-</v>
      </c>
      <c r="O202" s="128" t="str">
        <f t="shared" si="145"/>
        <v>-</v>
      </c>
      <c r="P202" s="128" t="str">
        <f t="shared" si="146"/>
        <v>-</v>
      </c>
      <c r="Q202" s="128" t="str">
        <f t="shared" si="147"/>
        <v>-</v>
      </c>
      <c r="R202" s="128" t="str">
        <f t="shared" si="148"/>
        <v>-</v>
      </c>
      <c r="S202" s="128" t="str">
        <f t="shared" si="149"/>
        <v>-</v>
      </c>
      <c r="T202" s="128" t="str">
        <f t="shared" si="150"/>
        <v>-</v>
      </c>
      <c r="U202" s="128" t="str">
        <f t="shared" si="151"/>
        <v>-</v>
      </c>
      <c r="V202" s="128" t="str">
        <f t="shared" si="152"/>
        <v>-</v>
      </c>
      <c r="W202" s="127"/>
      <c r="X202" s="127"/>
      <c r="Y202" s="127"/>
      <c r="Z202" s="170"/>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row>
    <row r="203" spans="1:55" ht="14.25" customHeight="1">
      <c r="A203" s="12" t="s">
        <v>83</v>
      </c>
      <c r="B203" s="65">
        <f t="shared" si="132"/>
        <v>0.31818181818181818</v>
      </c>
      <c r="C203" s="65">
        <f t="shared" si="133"/>
        <v>0.2988505747126437</v>
      </c>
      <c r="D203" s="65">
        <f t="shared" si="134"/>
        <v>0.30857142857142855</v>
      </c>
      <c r="E203" s="80" t="str">
        <f t="shared" si="135"/>
        <v>-</v>
      </c>
      <c r="F203" s="80" t="str">
        <f t="shared" si="136"/>
        <v>-</v>
      </c>
      <c r="G203" s="80" t="str">
        <f t="shared" si="137"/>
        <v>-</v>
      </c>
      <c r="H203" s="80" t="str">
        <f t="shared" si="138"/>
        <v>-</v>
      </c>
      <c r="I203" s="80" t="str">
        <f t="shared" si="139"/>
        <v>-</v>
      </c>
      <c r="J203" s="80" t="str">
        <f t="shared" si="140"/>
        <v>-</v>
      </c>
      <c r="K203" s="65">
        <f t="shared" si="141"/>
        <v>0.31818181818181818</v>
      </c>
      <c r="L203" s="65">
        <f t="shared" si="142"/>
        <v>0.2988505747126437</v>
      </c>
      <c r="M203" s="65">
        <f t="shared" si="143"/>
        <v>0.30857142857142855</v>
      </c>
      <c r="N203" s="127">
        <f t="shared" si="144"/>
        <v>0.84642857142857142</v>
      </c>
      <c r="O203" s="127">
        <f t="shared" si="145"/>
        <v>0.95238095238095233</v>
      </c>
      <c r="P203" s="128" t="str">
        <f t="shared" si="146"/>
        <v>-</v>
      </c>
      <c r="Q203" s="128" t="str">
        <f t="shared" si="147"/>
        <v>-</v>
      </c>
      <c r="R203" s="128" t="str">
        <f t="shared" si="148"/>
        <v>-</v>
      </c>
      <c r="S203" s="128" t="str">
        <f t="shared" si="149"/>
        <v>-</v>
      </c>
      <c r="T203" s="128" t="str">
        <f t="shared" si="150"/>
        <v>-</v>
      </c>
      <c r="U203" s="128" t="str">
        <f t="shared" si="151"/>
        <v>-</v>
      </c>
      <c r="V203" s="128" t="str">
        <f t="shared" si="152"/>
        <v>-</v>
      </c>
      <c r="W203" s="127"/>
      <c r="X203" s="127"/>
      <c r="Y203" s="127"/>
      <c r="Z203" s="170"/>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row>
    <row r="204" spans="1:55" ht="14.25" customHeight="1">
      <c r="A204" s="12" t="s">
        <v>84</v>
      </c>
      <c r="B204" s="65">
        <f t="shared" si="132"/>
        <v>0.91928251121076232</v>
      </c>
      <c r="C204" s="65">
        <f t="shared" si="133"/>
        <v>0.9641255605381166</v>
      </c>
      <c r="D204" s="65">
        <f t="shared" si="134"/>
        <v>0.94170403587443952</v>
      </c>
      <c r="E204" s="80" t="str">
        <f t="shared" si="135"/>
        <v>-</v>
      </c>
      <c r="F204" s="80" t="str">
        <f t="shared" si="136"/>
        <v>-</v>
      </c>
      <c r="G204" s="80" t="str">
        <f t="shared" si="137"/>
        <v>-</v>
      </c>
      <c r="H204" s="65">
        <f t="shared" si="138"/>
        <v>0.8214285714285714</v>
      </c>
      <c r="I204" s="65">
        <f t="shared" si="139"/>
        <v>1</v>
      </c>
      <c r="J204" s="65">
        <f t="shared" si="140"/>
        <v>0.83870967741935487</v>
      </c>
      <c r="K204" s="65">
        <f t="shared" si="141"/>
        <v>0.9083665338645418</v>
      </c>
      <c r="L204" s="65">
        <f t="shared" si="142"/>
        <v>0.96460176991150437</v>
      </c>
      <c r="M204" s="65">
        <f t="shared" si="143"/>
        <v>0.93501048218029348</v>
      </c>
      <c r="N204" s="127">
        <f t="shared" si="144"/>
        <v>0.92428869956598614</v>
      </c>
      <c r="O204" s="127">
        <f t="shared" si="145"/>
        <v>0.92723236309817469</v>
      </c>
      <c r="P204" s="128" t="str">
        <f t="shared" si="146"/>
        <v>-</v>
      </c>
      <c r="Q204" s="128" t="str">
        <f t="shared" si="147"/>
        <v>-</v>
      </c>
      <c r="R204" s="128" t="str">
        <f t="shared" si="148"/>
        <v>-</v>
      </c>
      <c r="S204" s="128" t="str">
        <f t="shared" si="149"/>
        <v>-</v>
      </c>
      <c r="T204" s="127">
        <f t="shared" si="150"/>
        <v>0.97159090909090906</v>
      </c>
      <c r="U204" s="127">
        <f t="shared" si="151"/>
        <v>1</v>
      </c>
      <c r="V204" s="128" t="str">
        <f t="shared" si="152"/>
        <v>-</v>
      </c>
      <c r="W204" s="127"/>
      <c r="X204" s="127"/>
      <c r="Y204" s="127"/>
      <c r="Z204" s="170"/>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row>
    <row r="205" spans="1:55" ht="14.25" customHeight="1">
      <c r="A205" s="12" t="s">
        <v>85</v>
      </c>
      <c r="B205" s="65">
        <f t="shared" si="132"/>
        <v>0.87447698744769875</v>
      </c>
      <c r="C205" s="65">
        <f t="shared" si="133"/>
        <v>0.86046511627906974</v>
      </c>
      <c r="D205" s="65">
        <f t="shared" si="134"/>
        <v>0.86720321931589539</v>
      </c>
      <c r="E205" s="80" t="str">
        <f t="shared" si="135"/>
        <v>-</v>
      </c>
      <c r="F205" s="80" t="str">
        <f t="shared" si="136"/>
        <v>-</v>
      </c>
      <c r="G205" s="80" t="str">
        <f t="shared" si="137"/>
        <v>-</v>
      </c>
      <c r="H205" s="65">
        <f t="shared" si="138"/>
        <v>0.95454545454545459</v>
      </c>
      <c r="I205" s="65">
        <f t="shared" si="139"/>
        <v>0.92207792207792205</v>
      </c>
      <c r="J205" s="65">
        <f t="shared" si="140"/>
        <v>0.93388429752066116</v>
      </c>
      <c r="K205" s="65">
        <f t="shared" si="141"/>
        <v>0.88692579505300351</v>
      </c>
      <c r="L205" s="65">
        <f t="shared" si="142"/>
        <v>0.87462686567164183</v>
      </c>
      <c r="M205" s="65">
        <f t="shared" si="143"/>
        <v>0.88025889967637538</v>
      </c>
      <c r="N205" s="127">
        <f t="shared" si="144"/>
        <v>0.9148697214734951</v>
      </c>
      <c r="O205" s="127">
        <f t="shared" si="145"/>
        <v>0.91551199729638388</v>
      </c>
      <c r="P205" s="128" t="str">
        <f t="shared" si="146"/>
        <v>-</v>
      </c>
      <c r="Q205" s="128" t="str">
        <f t="shared" si="147"/>
        <v>-</v>
      </c>
      <c r="R205" s="128" t="str">
        <f t="shared" si="148"/>
        <v>-</v>
      </c>
      <c r="S205" s="128" t="str">
        <f t="shared" si="149"/>
        <v>-</v>
      </c>
      <c r="T205" s="127">
        <f t="shared" si="150"/>
        <v>0.91666666666666663</v>
      </c>
      <c r="U205" s="127">
        <f t="shared" si="151"/>
        <v>0.95662100456621002</v>
      </c>
      <c r="V205" s="128" t="str">
        <f t="shared" si="152"/>
        <v>-</v>
      </c>
      <c r="W205" s="127"/>
      <c r="X205" s="127"/>
      <c r="Y205" s="127"/>
      <c r="Z205" s="170"/>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row>
    <row r="206" spans="1:55" ht="14.25" customHeight="1">
      <c r="A206" s="12" t="s">
        <v>86</v>
      </c>
      <c r="B206" s="65">
        <f t="shared" si="132"/>
        <v>1</v>
      </c>
      <c r="C206" s="80" t="str">
        <f t="shared" si="133"/>
        <v>-</v>
      </c>
      <c r="D206" s="65">
        <f t="shared" si="134"/>
        <v>1</v>
      </c>
      <c r="E206" s="65">
        <f t="shared" si="135"/>
        <v>1</v>
      </c>
      <c r="F206" s="65">
        <f t="shared" si="136"/>
        <v>1</v>
      </c>
      <c r="G206" s="65">
        <f t="shared" si="137"/>
        <v>1</v>
      </c>
      <c r="H206" s="80" t="str">
        <f t="shared" si="138"/>
        <v>-</v>
      </c>
      <c r="I206" s="65">
        <f t="shared" si="139"/>
        <v>1</v>
      </c>
      <c r="J206" s="65">
        <f t="shared" si="140"/>
        <v>1</v>
      </c>
      <c r="K206" s="65">
        <f t="shared" si="141"/>
        <v>1</v>
      </c>
      <c r="L206" s="65">
        <f t="shared" si="142"/>
        <v>1</v>
      </c>
      <c r="M206" s="65">
        <f t="shared" si="143"/>
        <v>1</v>
      </c>
      <c r="N206" s="127">
        <f t="shared" si="144"/>
        <v>1</v>
      </c>
      <c r="O206" s="128" t="str">
        <f t="shared" si="145"/>
        <v>-</v>
      </c>
      <c r="P206" s="128" t="str">
        <f t="shared" si="146"/>
        <v>-</v>
      </c>
      <c r="Q206" s="127">
        <f t="shared" si="147"/>
        <v>0.5</v>
      </c>
      <c r="R206" s="127">
        <f t="shared" si="148"/>
        <v>1</v>
      </c>
      <c r="S206" s="128" t="str">
        <f t="shared" si="149"/>
        <v>-</v>
      </c>
      <c r="T206" s="128" t="str">
        <f t="shared" si="150"/>
        <v>-</v>
      </c>
      <c r="U206" s="127">
        <f t="shared" si="151"/>
        <v>1</v>
      </c>
      <c r="V206" s="128" t="str">
        <f t="shared" si="152"/>
        <v>-</v>
      </c>
      <c r="W206" s="127"/>
      <c r="X206" s="127"/>
      <c r="Y206" s="127"/>
      <c r="Z206" s="170"/>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row>
    <row r="207" spans="1:55" ht="14.25" customHeight="1">
      <c r="A207" s="12" t="s">
        <v>87</v>
      </c>
      <c r="B207" s="65">
        <f t="shared" si="132"/>
        <v>0.86227544910179643</v>
      </c>
      <c r="C207" s="65">
        <f t="shared" si="133"/>
        <v>0.95321637426900585</v>
      </c>
      <c r="D207" s="65">
        <f t="shared" si="134"/>
        <v>0.90828402366863903</v>
      </c>
      <c r="E207" s="65">
        <f t="shared" si="135"/>
        <v>0.79411764705882348</v>
      </c>
      <c r="F207" s="80" t="str">
        <f t="shared" si="136"/>
        <v>-</v>
      </c>
      <c r="G207" s="65">
        <f t="shared" si="137"/>
        <v>0.79411764705882348</v>
      </c>
      <c r="H207" s="80" t="str">
        <f t="shared" si="138"/>
        <v>-</v>
      </c>
      <c r="I207" s="65">
        <f t="shared" si="139"/>
        <v>0.96551724137931039</v>
      </c>
      <c r="J207" s="65">
        <f t="shared" si="140"/>
        <v>0.96551724137931039</v>
      </c>
      <c r="K207" s="65">
        <f t="shared" si="141"/>
        <v>0.85074626865671643</v>
      </c>
      <c r="L207" s="65">
        <f t="shared" si="142"/>
        <v>0.95499999999999996</v>
      </c>
      <c r="M207" s="65">
        <f t="shared" si="143"/>
        <v>0.90274314214463836</v>
      </c>
      <c r="N207" s="127">
        <f t="shared" si="144"/>
        <v>0.88528824703534104</v>
      </c>
      <c r="O207" s="127">
        <f t="shared" si="145"/>
        <v>0.92497996794871795</v>
      </c>
      <c r="P207" s="128" t="str">
        <f t="shared" si="146"/>
        <v>-</v>
      </c>
      <c r="Q207" s="127">
        <f t="shared" si="147"/>
        <v>0.77777777777777779</v>
      </c>
      <c r="R207" s="128" t="str">
        <f t="shared" si="148"/>
        <v>-</v>
      </c>
      <c r="S207" s="128" t="str">
        <f t="shared" si="149"/>
        <v>-</v>
      </c>
      <c r="T207" s="128" t="str">
        <f t="shared" si="150"/>
        <v>-</v>
      </c>
      <c r="U207" s="127">
        <f t="shared" si="151"/>
        <v>0.97619047619047616</v>
      </c>
      <c r="V207" s="128" t="str">
        <f t="shared" si="152"/>
        <v>-</v>
      </c>
      <c r="W207" s="127"/>
      <c r="X207" s="127"/>
      <c r="Y207" s="127"/>
      <c r="Z207" s="170"/>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row>
    <row r="208" spans="1:55" ht="14.25" customHeight="1">
      <c r="A208" s="12" t="s">
        <v>88</v>
      </c>
      <c r="B208" s="65">
        <f t="shared" si="132"/>
        <v>0.89768976897689767</v>
      </c>
      <c r="C208" s="65">
        <f t="shared" si="133"/>
        <v>0.94753086419753085</v>
      </c>
      <c r="D208" s="65">
        <f t="shared" si="134"/>
        <v>0.92344497607655507</v>
      </c>
      <c r="E208" s="65">
        <f t="shared" si="135"/>
        <v>0.74</v>
      </c>
      <c r="F208" s="80" t="str">
        <f t="shared" si="136"/>
        <v>-</v>
      </c>
      <c r="G208" s="65">
        <f t="shared" si="137"/>
        <v>0.74</v>
      </c>
      <c r="H208" s="65">
        <f t="shared" si="138"/>
        <v>1</v>
      </c>
      <c r="I208" s="65">
        <f t="shared" si="139"/>
        <v>0.95744680851063835</v>
      </c>
      <c r="J208" s="65">
        <f t="shared" si="140"/>
        <v>0.95918367346938771</v>
      </c>
      <c r="K208" s="65">
        <f t="shared" si="141"/>
        <v>0.87605633802816907</v>
      </c>
      <c r="L208" s="65">
        <f t="shared" si="142"/>
        <v>0.94878706199460916</v>
      </c>
      <c r="M208" s="65">
        <f t="shared" si="143"/>
        <v>0.91322314049586772</v>
      </c>
      <c r="N208" s="127">
        <f t="shared" si="144"/>
        <v>0.85117719950433701</v>
      </c>
      <c r="O208" s="127">
        <f t="shared" si="145"/>
        <v>0.82244510707508811</v>
      </c>
      <c r="P208" s="128" t="str">
        <f t="shared" si="146"/>
        <v>-</v>
      </c>
      <c r="Q208" s="127">
        <f t="shared" si="147"/>
        <v>0.91150442477876104</v>
      </c>
      <c r="R208" s="128" t="str">
        <f t="shared" si="148"/>
        <v>-</v>
      </c>
      <c r="S208" s="128" t="str">
        <f t="shared" si="149"/>
        <v>-</v>
      </c>
      <c r="T208" s="127">
        <f t="shared" si="150"/>
        <v>1</v>
      </c>
      <c r="U208" s="127">
        <f t="shared" si="151"/>
        <v>0.97592592592592597</v>
      </c>
      <c r="V208" s="128" t="str">
        <f t="shared" si="152"/>
        <v>-</v>
      </c>
      <c r="W208" s="127"/>
      <c r="X208" s="127"/>
      <c r="Y208" s="127"/>
      <c r="Z208" s="170"/>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row>
    <row r="209" spans="1:55" ht="14.25" customHeight="1">
      <c r="A209" s="12" t="s">
        <v>89</v>
      </c>
      <c r="B209" s="65">
        <f t="shared" si="132"/>
        <v>0.89456869009584661</v>
      </c>
      <c r="C209" s="65">
        <f t="shared" si="133"/>
        <v>0.94832826747720367</v>
      </c>
      <c r="D209" s="65">
        <f t="shared" si="134"/>
        <v>0.92211838006230529</v>
      </c>
      <c r="E209" s="65">
        <f t="shared" si="135"/>
        <v>0.73076923076923073</v>
      </c>
      <c r="F209" s="65">
        <f t="shared" si="136"/>
        <v>1</v>
      </c>
      <c r="G209" s="65">
        <f t="shared" si="137"/>
        <v>0.73584905660377353</v>
      </c>
      <c r="H209" s="65">
        <f t="shared" si="138"/>
        <v>0.72727272727272729</v>
      </c>
      <c r="I209" s="65">
        <f t="shared" si="139"/>
        <v>0.96226415094339623</v>
      </c>
      <c r="J209" s="65">
        <f t="shared" si="140"/>
        <v>0.921875</v>
      </c>
      <c r="K209" s="65">
        <f t="shared" si="141"/>
        <v>0.86702127659574468</v>
      </c>
      <c r="L209" s="65">
        <f t="shared" si="142"/>
        <v>0.95039164490861616</v>
      </c>
      <c r="M209" s="65">
        <f t="shared" si="143"/>
        <v>0.90909090909090906</v>
      </c>
      <c r="N209" s="127">
        <f t="shared" si="144"/>
        <v>0.85142190283152142</v>
      </c>
      <c r="O209" s="127">
        <f t="shared" si="145"/>
        <v>0.82326081117378458</v>
      </c>
      <c r="P209" s="128" t="str">
        <f t="shared" si="146"/>
        <v>-</v>
      </c>
      <c r="Q209" s="127">
        <f t="shared" si="147"/>
        <v>0.91379310344827591</v>
      </c>
      <c r="R209" s="127">
        <f t="shared" si="148"/>
        <v>0.5</v>
      </c>
      <c r="S209" s="128" t="str">
        <f t="shared" si="149"/>
        <v>-</v>
      </c>
      <c r="T209" s="127">
        <f t="shared" si="150"/>
        <v>0.88541666666666663</v>
      </c>
      <c r="U209" s="127">
        <f t="shared" si="151"/>
        <v>0.97875816993464049</v>
      </c>
      <c r="V209" s="128" t="str">
        <f t="shared" si="152"/>
        <v>-</v>
      </c>
      <c r="W209" s="127"/>
      <c r="X209" s="127"/>
      <c r="Y209" s="127"/>
      <c r="Z209" s="170"/>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row>
    <row r="210" spans="1:55" ht="14.25" customHeight="1">
      <c r="A210" s="12" t="s">
        <v>90</v>
      </c>
      <c r="B210" s="65">
        <f t="shared" si="132"/>
        <v>0.93137254901960786</v>
      </c>
      <c r="C210" s="65">
        <f t="shared" si="133"/>
        <v>0.94179894179894175</v>
      </c>
      <c r="D210" s="65">
        <f t="shared" si="134"/>
        <v>0.93638676844783719</v>
      </c>
      <c r="E210" s="65">
        <f t="shared" si="135"/>
        <v>0.83333333333333337</v>
      </c>
      <c r="F210" s="65">
        <f t="shared" si="136"/>
        <v>1</v>
      </c>
      <c r="G210" s="65">
        <f t="shared" si="137"/>
        <v>0.84848484848484851</v>
      </c>
      <c r="H210" s="65">
        <f t="shared" si="138"/>
        <v>0.63636363636363635</v>
      </c>
      <c r="I210" s="65">
        <f t="shared" si="139"/>
        <v>0.96551724137931039</v>
      </c>
      <c r="J210" s="65">
        <f t="shared" si="140"/>
        <v>0.875</v>
      </c>
      <c r="K210" s="65">
        <f t="shared" si="141"/>
        <v>0.90612244897959182</v>
      </c>
      <c r="L210" s="65">
        <f t="shared" si="142"/>
        <v>0.94570135746606332</v>
      </c>
      <c r="M210" s="65">
        <f t="shared" si="143"/>
        <v>0.92489270386266098</v>
      </c>
      <c r="N210" s="127">
        <f t="shared" si="144"/>
        <v>0.81776735704051062</v>
      </c>
      <c r="O210" s="127">
        <f t="shared" si="145"/>
        <v>0.78915014599661903</v>
      </c>
      <c r="P210" s="128" t="str">
        <f t="shared" si="146"/>
        <v>-</v>
      </c>
      <c r="Q210" s="127">
        <f t="shared" si="147"/>
        <v>0.79452054794520544</v>
      </c>
      <c r="R210" s="127">
        <f t="shared" si="148"/>
        <v>1</v>
      </c>
      <c r="S210" s="128" t="str">
        <f t="shared" si="149"/>
        <v>-</v>
      </c>
      <c r="T210" s="127">
        <f t="shared" si="150"/>
        <v>0.91666666666666663</v>
      </c>
      <c r="U210" s="127">
        <f t="shared" si="151"/>
        <v>0.97916666666666663</v>
      </c>
      <c r="V210" s="128" t="str">
        <f t="shared" si="152"/>
        <v>-</v>
      </c>
      <c r="W210" s="127"/>
      <c r="X210" s="127"/>
      <c r="Y210" s="127"/>
      <c r="Z210" s="170"/>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row>
    <row r="211" spans="1:55" ht="14.25" customHeight="1">
      <c r="A211" s="12" t="s">
        <v>91</v>
      </c>
      <c r="B211" s="65">
        <f t="shared" si="132"/>
        <v>0.89666666666666661</v>
      </c>
      <c r="C211" s="65">
        <f t="shared" si="133"/>
        <v>0.94226579520697162</v>
      </c>
      <c r="D211" s="65">
        <f t="shared" si="134"/>
        <v>0.91969196919691965</v>
      </c>
      <c r="E211" s="65">
        <f t="shared" si="135"/>
        <v>0.75109170305676853</v>
      </c>
      <c r="F211" s="65">
        <f t="shared" si="136"/>
        <v>0.76923076923076927</v>
      </c>
      <c r="G211" s="65">
        <f t="shared" si="137"/>
        <v>0.75206611570247939</v>
      </c>
      <c r="H211" s="65">
        <f t="shared" si="138"/>
        <v>0.8125</v>
      </c>
      <c r="I211" s="65">
        <f t="shared" si="139"/>
        <v>0.99103139013452912</v>
      </c>
      <c r="J211" s="65">
        <f t="shared" si="140"/>
        <v>0.97907949790794979</v>
      </c>
      <c r="K211" s="65">
        <f t="shared" si="141"/>
        <v>0.86637554585152843</v>
      </c>
      <c r="L211" s="65">
        <f t="shared" si="142"/>
        <v>0.94974003466204504</v>
      </c>
      <c r="M211" s="65">
        <f t="shared" si="143"/>
        <v>0.90822096563723353</v>
      </c>
      <c r="N211" s="127">
        <f t="shared" si="144"/>
        <v>0.89143853998926459</v>
      </c>
      <c r="O211" s="127">
        <f t="shared" si="145"/>
        <v>0.8813863968950818</v>
      </c>
      <c r="P211" s="128" t="str">
        <f t="shared" si="146"/>
        <v>-</v>
      </c>
      <c r="Q211" s="127">
        <f t="shared" si="147"/>
        <v>0.86482558139534882</v>
      </c>
      <c r="R211" s="127">
        <f t="shared" si="148"/>
        <v>0.84615384615384615</v>
      </c>
      <c r="S211" s="128" t="str">
        <f t="shared" si="149"/>
        <v>-</v>
      </c>
      <c r="T211" s="127">
        <f t="shared" si="150"/>
        <v>0.94551282051282048</v>
      </c>
      <c r="U211" s="127">
        <f t="shared" si="151"/>
        <v>0.94494382022471912</v>
      </c>
      <c r="V211" s="128" t="str">
        <f t="shared" si="152"/>
        <v>-</v>
      </c>
      <c r="W211" s="127"/>
      <c r="X211" s="127"/>
      <c r="Y211" s="127"/>
      <c r="Z211" s="170"/>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row>
    <row r="212" spans="1:55" ht="14.25" customHeight="1">
      <c r="A212" s="12" t="s">
        <v>93</v>
      </c>
      <c r="B212" s="65">
        <f t="shared" si="132"/>
        <v>0.86407766990291257</v>
      </c>
      <c r="C212" s="65">
        <f t="shared" si="133"/>
        <v>0.96523517382413093</v>
      </c>
      <c r="D212" s="65">
        <f t="shared" si="134"/>
        <v>0.9133466135458167</v>
      </c>
      <c r="E212" s="65">
        <f t="shared" si="135"/>
        <v>0.8214285714285714</v>
      </c>
      <c r="F212" s="65">
        <f t="shared" si="136"/>
        <v>0.86585365853658536</v>
      </c>
      <c r="G212" s="65">
        <f t="shared" si="137"/>
        <v>0.8545454545454545</v>
      </c>
      <c r="H212" s="65">
        <f t="shared" si="138"/>
        <v>0.68131868131868134</v>
      </c>
      <c r="I212" s="65">
        <f t="shared" si="139"/>
        <v>0.95161290322580649</v>
      </c>
      <c r="J212" s="65">
        <f t="shared" si="140"/>
        <v>0.79084967320261434</v>
      </c>
      <c r="K212" s="65">
        <f t="shared" si="141"/>
        <v>0.83596214511041012</v>
      </c>
      <c r="L212" s="65">
        <f t="shared" si="142"/>
        <v>0.95102685624012639</v>
      </c>
      <c r="M212" s="65">
        <f t="shared" si="143"/>
        <v>0.89344909234411996</v>
      </c>
      <c r="N212" s="127">
        <f t="shared" si="144"/>
        <v>0.86301173776123674</v>
      </c>
      <c r="O212" s="127">
        <f t="shared" si="145"/>
        <v>0.79036944790369446</v>
      </c>
      <c r="P212" s="128" t="str">
        <f t="shared" si="146"/>
        <v>-</v>
      </c>
      <c r="Q212" s="127">
        <f t="shared" si="147"/>
        <v>0.6901408450704225</v>
      </c>
      <c r="R212" s="127">
        <f t="shared" si="148"/>
        <v>0.86524822695035464</v>
      </c>
      <c r="S212" s="128" t="str">
        <f t="shared" si="149"/>
        <v>-</v>
      </c>
      <c r="T212" s="127">
        <f t="shared" si="150"/>
        <v>0.92607526881720426</v>
      </c>
      <c r="U212" s="127">
        <f t="shared" si="151"/>
        <v>0.84322033898305082</v>
      </c>
      <c r="V212" s="128" t="str">
        <f t="shared" si="152"/>
        <v>-</v>
      </c>
      <c r="W212" s="127"/>
      <c r="X212" s="127"/>
      <c r="Y212" s="127"/>
      <c r="Z212" s="170"/>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row>
    <row r="213" spans="1:55" ht="14.25" customHeight="1">
      <c r="A213" s="12" t="s">
        <v>94</v>
      </c>
      <c r="B213" s="65">
        <f t="shared" si="132"/>
        <v>0.85555555555555551</v>
      </c>
      <c r="C213" s="65">
        <f t="shared" si="133"/>
        <v>0.94312796208530802</v>
      </c>
      <c r="D213" s="65">
        <f t="shared" si="134"/>
        <v>0.89397089397089402</v>
      </c>
      <c r="E213" s="80" t="str">
        <f t="shared" si="135"/>
        <v>-</v>
      </c>
      <c r="F213" s="65">
        <f t="shared" si="136"/>
        <v>0.78846153846153844</v>
      </c>
      <c r="G213" s="65">
        <f t="shared" si="137"/>
        <v>0.78846153846153844</v>
      </c>
      <c r="H213" s="65">
        <f t="shared" si="138"/>
        <v>1</v>
      </c>
      <c r="I213" s="65">
        <f t="shared" si="139"/>
        <v>0.97727272727272729</v>
      </c>
      <c r="J213" s="65">
        <f t="shared" si="140"/>
        <v>0.97826086956521741</v>
      </c>
      <c r="K213" s="65">
        <f t="shared" si="141"/>
        <v>0.85661764705882348</v>
      </c>
      <c r="L213" s="65">
        <f t="shared" si="142"/>
        <v>0.92182410423452765</v>
      </c>
      <c r="M213" s="65">
        <f t="shared" si="143"/>
        <v>0.89119170984455953</v>
      </c>
      <c r="N213" s="127">
        <f t="shared" si="144"/>
        <v>0.86474973375931841</v>
      </c>
      <c r="O213" s="127">
        <f t="shared" si="145"/>
        <v>0.82033096926713944</v>
      </c>
      <c r="P213" s="128" t="str">
        <f t="shared" si="146"/>
        <v>-</v>
      </c>
      <c r="Q213" s="128" t="str">
        <f t="shared" si="147"/>
        <v>-</v>
      </c>
      <c r="R213" s="127">
        <f t="shared" si="148"/>
        <v>0.91463414634146345</v>
      </c>
      <c r="S213" s="128" t="str">
        <f t="shared" si="149"/>
        <v>-</v>
      </c>
      <c r="T213" s="127">
        <f t="shared" si="150"/>
        <v>0.79166666666666663</v>
      </c>
      <c r="U213" s="127">
        <f t="shared" si="151"/>
        <v>0.8972868217054264</v>
      </c>
      <c r="V213" s="128" t="str">
        <f t="shared" si="152"/>
        <v>-</v>
      </c>
      <c r="W213" s="127"/>
      <c r="X213" s="127"/>
      <c r="Y213" s="127"/>
      <c r="Z213" s="170"/>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row>
    <row r="214" spans="1:55" ht="14.25" customHeight="1">
      <c r="A214" s="12" t="s">
        <v>95</v>
      </c>
      <c r="B214" s="65">
        <f t="shared" si="132"/>
        <v>0.914572864321608</v>
      </c>
      <c r="C214" s="65">
        <f t="shared" si="133"/>
        <v>0.93582887700534756</v>
      </c>
      <c r="D214" s="65">
        <f t="shared" si="134"/>
        <v>0.92487046632124348</v>
      </c>
      <c r="E214" s="65">
        <f t="shared" si="135"/>
        <v>0.5</v>
      </c>
      <c r="F214" s="65">
        <f t="shared" si="136"/>
        <v>1</v>
      </c>
      <c r="G214" s="65">
        <f t="shared" si="137"/>
        <v>0.66666666666666663</v>
      </c>
      <c r="H214" s="65">
        <f t="shared" si="138"/>
        <v>0.66666666666666663</v>
      </c>
      <c r="I214" s="65">
        <f t="shared" si="139"/>
        <v>1</v>
      </c>
      <c r="J214" s="65">
        <f t="shared" si="140"/>
        <v>0.94545454545454544</v>
      </c>
      <c r="K214" s="65">
        <f t="shared" si="141"/>
        <v>0.9</v>
      </c>
      <c r="L214" s="65">
        <f t="shared" si="142"/>
        <v>0.94871794871794868</v>
      </c>
      <c r="M214" s="65">
        <f t="shared" si="143"/>
        <v>0.92567567567567566</v>
      </c>
      <c r="N214" s="127">
        <f t="shared" si="144"/>
        <v>0.86396869529399645</v>
      </c>
      <c r="O214" s="127">
        <f t="shared" si="145"/>
        <v>0.88515283842794756</v>
      </c>
      <c r="P214" s="128" t="str">
        <f t="shared" si="146"/>
        <v>-</v>
      </c>
      <c r="Q214" s="127">
        <f t="shared" si="147"/>
        <v>1</v>
      </c>
      <c r="R214" s="127">
        <f t="shared" si="148"/>
        <v>0.5</v>
      </c>
      <c r="S214" s="128" t="str">
        <f t="shared" si="149"/>
        <v>-</v>
      </c>
      <c r="T214" s="127">
        <f t="shared" si="150"/>
        <v>0.84722222222222221</v>
      </c>
      <c r="U214" s="127">
        <f t="shared" si="151"/>
        <v>0.91304347826086951</v>
      </c>
      <c r="V214" s="128" t="str">
        <f t="shared" si="152"/>
        <v>-</v>
      </c>
      <c r="W214" s="127"/>
      <c r="X214" s="127"/>
      <c r="Y214" s="127"/>
      <c r="Z214" s="170"/>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row>
    <row r="215" spans="1:55" ht="14.25" customHeight="1">
      <c r="A215" s="12" t="s">
        <v>96</v>
      </c>
      <c r="B215" s="65">
        <f t="shared" si="132"/>
        <v>0.94936708860759489</v>
      </c>
      <c r="C215" s="65">
        <f t="shared" si="133"/>
        <v>0.95973154362416102</v>
      </c>
      <c r="D215" s="65">
        <f t="shared" si="134"/>
        <v>0.9543973941368078</v>
      </c>
      <c r="E215" s="65">
        <f t="shared" si="135"/>
        <v>0.92307692307692313</v>
      </c>
      <c r="F215" s="65">
        <f t="shared" si="136"/>
        <v>1</v>
      </c>
      <c r="G215" s="65">
        <f t="shared" si="137"/>
        <v>0.94117647058823528</v>
      </c>
      <c r="H215" s="80" t="str">
        <f t="shared" si="138"/>
        <v>-</v>
      </c>
      <c r="I215" s="65">
        <f t="shared" si="139"/>
        <v>1</v>
      </c>
      <c r="J215" s="65">
        <f t="shared" si="140"/>
        <v>1</v>
      </c>
      <c r="K215" s="65">
        <f t="shared" si="141"/>
        <v>0.94736842105263153</v>
      </c>
      <c r="L215" s="65">
        <f t="shared" si="142"/>
        <v>0.96363636363636362</v>
      </c>
      <c r="M215" s="65">
        <f t="shared" si="143"/>
        <v>0.9553571428571429</v>
      </c>
      <c r="N215" s="127">
        <f t="shared" si="144"/>
        <v>0.87256981265464828</v>
      </c>
      <c r="O215" s="127">
        <f t="shared" si="145"/>
        <v>0.84294699011680141</v>
      </c>
      <c r="P215" s="128" t="str">
        <f t="shared" si="146"/>
        <v>-</v>
      </c>
      <c r="Q215" s="127">
        <f t="shared" si="147"/>
        <v>0.96969696969696972</v>
      </c>
      <c r="R215" s="127">
        <f t="shared" si="148"/>
        <v>0.75</v>
      </c>
      <c r="S215" s="128" t="str">
        <f t="shared" si="149"/>
        <v>-</v>
      </c>
      <c r="T215" s="128" t="str">
        <f t="shared" si="150"/>
        <v>-</v>
      </c>
      <c r="U215" s="127">
        <f t="shared" si="151"/>
        <v>0.97916666666666663</v>
      </c>
      <c r="V215" s="128" t="str">
        <f t="shared" si="152"/>
        <v>-</v>
      </c>
      <c r="W215" s="127"/>
      <c r="X215" s="127"/>
      <c r="Y215" s="127"/>
      <c r="Z215" s="170"/>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row>
    <row r="216" spans="1:55" ht="14.25" customHeight="1">
      <c r="A216" s="43" t="s">
        <v>97</v>
      </c>
      <c r="B216" s="65">
        <f t="shared" si="132"/>
        <v>0.73076923076923073</v>
      </c>
      <c r="C216" s="65">
        <f t="shared" si="133"/>
        <v>0.69811320754716977</v>
      </c>
      <c r="D216" s="65">
        <f t="shared" si="134"/>
        <v>0.70886075949367089</v>
      </c>
      <c r="E216" s="80" t="str">
        <f t="shared" si="135"/>
        <v>-</v>
      </c>
      <c r="F216" s="80" t="str">
        <f t="shared" si="136"/>
        <v>-</v>
      </c>
      <c r="G216" s="80" t="str">
        <f t="shared" si="137"/>
        <v>-</v>
      </c>
      <c r="H216" s="80" t="str">
        <f t="shared" si="138"/>
        <v>-</v>
      </c>
      <c r="I216" s="80" t="str">
        <f t="shared" si="139"/>
        <v>-</v>
      </c>
      <c r="J216" s="80" t="str">
        <f t="shared" si="140"/>
        <v>-</v>
      </c>
      <c r="K216" s="65">
        <f t="shared" si="141"/>
        <v>0.73076923076923073</v>
      </c>
      <c r="L216" s="65">
        <f t="shared" si="142"/>
        <v>0.69811320754716977</v>
      </c>
      <c r="M216" s="65">
        <f t="shared" si="143"/>
        <v>0.70886075949367089</v>
      </c>
      <c r="N216" s="127">
        <f t="shared" si="144"/>
        <v>0.71338383838383834</v>
      </c>
      <c r="O216" s="127">
        <f t="shared" si="145"/>
        <v>0.84507829977628635</v>
      </c>
      <c r="P216" s="128" t="str">
        <f t="shared" si="146"/>
        <v>-</v>
      </c>
      <c r="Q216" s="128" t="str">
        <f t="shared" si="147"/>
        <v>-</v>
      </c>
      <c r="R216" s="128" t="str">
        <f t="shared" si="148"/>
        <v>-</v>
      </c>
      <c r="S216" s="128" t="str">
        <f t="shared" si="149"/>
        <v>-</v>
      </c>
      <c r="T216" s="128" t="str">
        <f t="shared" si="150"/>
        <v>-</v>
      </c>
      <c r="U216" s="128" t="str">
        <f t="shared" si="151"/>
        <v>-</v>
      </c>
      <c r="V216" s="128" t="str">
        <f t="shared" si="152"/>
        <v>-</v>
      </c>
      <c r="W216" s="127"/>
      <c r="X216" s="127"/>
      <c r="Y216" s="127"/>
      <c r="Z216" s="170"/>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row>
    <row r="217" spans="1:55" ht="14.25" customHeight="1">
      <c r="A217" s="43" t="s">
        <v>98</v>
      </c>
      <c r="B217" s="65">
        <f t="shared" si="132"/>
        <v>0.6</v>
      </c>
      <c r="C217" s="65">
        <f t="shared" si="133"/>
        <v>0.61111111111111116</v>
      </c>
      <c r="D217" s="65">
        <f t="shared" si="134"/>
        <v>0.6071428571428571</v>
      </c>
      <c r="E217" s="80" t="str">
        <f t="shared" si="135"/>
        <v>-</v>
      </c>
      <c r="F217" s="80" t="str">
        <f t="shared" si="136"/>
        <v>-</v>
      </c>
      <c r="G217" s="80" t="str">
        <f t="shared" si="137"/>
        <v>-</v>
      </c>
      <c r="H217" s="80" t="str">
        <f t="shared" si="138"/>
        <v>-</v>
      </c>
      <c r="I217" s="80" t="str">
        <f t="shared" si="139"/>
        <v>-</v>
      </c>
      <c r="J217" s="80" t="str">
        <f t="shared" si="140"/>
        <v>-</v>
      </c>
      <c r="K217" s="65">
        <f t="shared" si="141"/>
        <v>0.6</v>
      </c>
      <c r="L217" s="65">
        <f t="shared" si="142"/>
        <v>0.61111111111111116</v>
      </c>
      <c r="M217" s="65">
        <f t="shared" si="143"/>
        <v>0.6071428571428571</v>
      </c>
      <c r="N217" s="127">
        <f t="shared" si="144"/>
        <v>0.9196428571428571</v>
      </c>
      <c r="O217" s="127">
        <f t="shared" si="145"/>
        <v>0.85310734463276838</v>
      </c>
      <c r="P217" s="128" t="str">
        <f t="shared" si="146"/>
        <v>-</v>
      </c>
      <c r="Q217" s="128" t="str">
        <f t="shared" si="147"/>
        <v>-</v>
      </c>
      <c r="R217" s="128" t="str">
        <f t="shared" si="148"/>
        <v>-</v>
      </c>
      <c r="S217" s="128" t="str">
        <f t="shared" si="149"/>
        <v>-</v>
      </c>
      <c r="T217" s="128" t="str">
        <f t="shared" si="150"/>
        <v>-</v>
      </c>
      <c r="U217" s="128" t="str">
        <f t="shared" si="151"/>
        <v>-</v>
      </c>
      <c r="V217" s="128" t="str">
        <f t="shared" si="152"/>
        <v>-</v>
      </c>
      <c r="W217" s="127"/>
      <c r="X217" s="127"/>
      <c r="Y217" s="127"/>
      <c r="Z217" s="170"/>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row>
    <row r="218" spans="1:55" ht="14.25" customHeight="1">
      <c r="A218" s="43" t="s">
        <v>99</v>
      </c>
      <c r="B218" s="65">
        <f t="shared" si="132"/>
        <v>0.82758620689655171</v>
      </c>
      <c r="C218" s="65">
        <f t="shared" si="133"/>
        <v>0.86567164179104472</v>
      </c>
      <c r="D218" s="65">
        <f t="shared" si="134"/>
        <v>0.85416666666666663</v>
      </c>
      <c r="E218" s="80" t="str">
        <f t="shared" si="135"/>
        <v>-</v>
      </c>
      <c r="F218" s="80" t="str">
        <f t="shared" si="136"/>
        <v>-</v>
      </c>
      <c r="G218" s="80" t="str">
        <f t="shared" si="137"/>
        <v>-</v>
      </c>
      <c r="H218" s="80" t="str">
        <f t="shared" si="138"/>
        <v>-</v>
      </c>
      <c r="I218" s="80" t="str">
        <f t="shared" si="139"/>
        <v>-</v>
      </c>
      <c r="J218" s="80" t="str">
        <f t="shared" si="140"/>
        <v>-</v>
      </c>
      <c r="K218" s="65">
        <f t="shared" si="141"/>
        <v>0.82758620689655171</v>
      </c>
      <c r="L218" s="65">
        <f t="shared" si="142"/>
        <v>0.86567164179104472</v>
      </c>
      <c r="M218" s="65">
        <f t="shared" si="143"/>
        <v>0.85416666666666663</v>
      </c>
      <c r="N218" s="127">
        <f t="shared" si="144"/>
        <v>0.88505747126436785</v>
      </c>
      <c r="O218" s="127">
        <f t="shared" si="145"/>
        <v>0.90773809523809523</v>
      </c>
      <c r="P218" s="128" t="str">
        <f t="shared" si="146"/>
        <v>-</v>
      </c>
      <c r="Q218" s="128" t="str">
        <f t="shared" si="147"/>
        <v>-</v>
      </c>
      <c r="R218" s="128" t="str">
        <f t="shared" si="148"/>
        <v>-</v>
      </c>
      <c r="S218" s="128" t="str">
        <f t="shared" si="149"/>
        <v>-</v>
      </c>
      <c r="T218" s="128" t="str">
        <f t="shared" si="150"/>
        <v>-</v>
      </c>
      <c r="U218" s="128" t="str">
        <f t="shared" si="151"/>
        <v>-</v>
      </c>
      <c r="V218" s="128" t="str">
        <f t="shared" si="152"/>
        <v>-</v>
      </c>
      <c r="W218" s="127"/>
      <c r="X218" s="127"/>
      <c r="Y218" s="127"/>
      <c r="Z218" s="170"/>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row>
    <row r="219" spans="1:55" ht="14.25" customHeight="1">
      <c r="A219" s="45" t="s">
        <v>100</v>
      </c>
      <c r="B219" s="65">
        <f t="shared" si="132"/>
        <v>1</v>
      </c>
      <c r="C219" s="65">
        <f t="shared" si="133"/>
        <v>1</v>
      </c>
      <c r="D219" s="65">
        <f t="shared" si="134"/>
        <v>1</v>
      </c>
      <c r="E219" s="80" t="str">
        <f t="shared" si="135"/>
        <v>-</v>
      </c>
      <c r="F219" s="80" t="str">
        <f t="shared" si="136"/>
        <v>-</v>
      </c>
      <c r="G219" s="80" t="str">
        <f t="shared" si="137"/>
        <v>-</v>
      </c>
      <c r="H219" s="80" t="str">
        <f t="shared" si="138"/>
        <v>-</v>
      </c>
      <c r="I219" s="80" t="str">
        <f t="shared" si="139"/>
        <v>-</v>
      </c>
      <c r="J219" s="80" t="str">
        <f t="shared" si="140"/>
        <v>-</v>
      </c>
      <c r="K219" s="65">
        <f t="shared" si="141"/>
        <v>1</v>
      </c>
      <c r="L219" s="65">
        <f t="shared" si="142"/>
        <v>1</v>
      </c>
      <c r="M219" s="65">
        <f t="shared" si="143"/>
        <v>1</v>
      </c>
      <c r="N219" s="127">
        <f t="shared" si="144"/>
        <v>0.91534391534391535</v>
      </c>
      <c r="O219" s="127">
        <f t="shared" si="145"/>
        <v>0.8928571428571429</v>
      </c>
      <c r="P219" s="128" t="str">
        <f t="shared" si="146"/>
        <v>-</v>
      </c>
      <c r="Q219" s="128" t="str">
        <f t="shared" si="147"/>
        <v>-</v>
      </c>
      <c r="R219" s="128" t="str">
        <f t="shared" si="148"/>
        <v>-</v>
      </c>
      <c r="S219" s="128" t="str">
        <f t="shared" si="149"/>
        <v>-</v>
      </c>
      <c r="T219" s="128" t="str">
        <f t="shared" si="150"/>
        <v>-</v>
      </c>
      <c r="U219" s="128" t="str">
        <f t="shared" si="151"/>
        <v>-</v>
      </c>
      <c r="V219" s="128" t="str">
        <f t="shared" si="152"/>
        <v>-</v>
      </c>
      <c r="W219" s="127"/>
      <c r="X219" s="127"/>
      <c r="Y219" s="127"/>
      <c r="Z219" s="170"/>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row>
    <row r="220" spans="1:55" ht="14.25" customHeight="1">
      <c r="A220" s="45" t="s">
        <v>101</v>
      </c>
      <c r="B220" s="65">
        <f t="shared" si="132"/>
        <v>0.91304347826086951</v>
      </c>
      <c r="C220" s="65">
        <f t="shared" si="133"/>
        <v>1</v>
      </c>
      <c r="D220" s="65">
        <f t="shared" si="134"/>
        <v>0.9555555555555556</v>
      </c>
      <c r="E220" s="80" t="str">
        <f t="shared" si="135"/>
        <v>-</v>
      </c>
      <c r="F220" s="80" t="str">
        <f t="shared" si="136"/>
        <v>-</v>
      </c>
      <c r="G220" s="80" t="str">
        <f t="shared" si="137"/>
        <v>-</v>
      </c>
      <c r="H220" s="80" t="str">
        <f t="shared" si="138"/>
        <v>-</v>
      </c>
      <c r="I220" s="80" t="str">
        <f t="shared" si="139"/>
        <v>-</v>
      </c>
      <c r="J220" s="80" t="str">
        <f t="shared" si="140"/>
        <v>-</v>
      </c>
      <c r="K220" s="65">
        <f t="shared" si="141"/>
        <v>0.91304347826086951</v>
      </c>
      <c r="L220" s="65">
        <f t="shared" si="142"/>
        <v>1</v>
      </c>
      <c r="M220" s="65">
        <f t="shared" si="143"/>
        <v>0.9555555555555556</v>
      </c>
      <c r="N220" s="127">
        <f t="shared" si="144"/>
        <v>0.8769414575866189</v>
      </c>
      <c r="O220" s="127">
        <f t="shared" si="145"/>
        <v>0.87971457696228339</v>
      </c>
      <c r="P220" s="128" t="str">
        <f t="shared" si="146"/>
        <v>-</v>
      </c>
      <c r="Q220" s="128" t="str">
        <f t="shared" si="147"/>
        <v>-</v>
      </c>
      <c r="R220" s="128" t="str">
        <f t="shared" si="148"/>
        <v>-</v>
      </c>
      <c r="S220" s="128" t="str">
        <f t="shared" si="149"/>
        <v>-</v>
      </c>
      <c r="T220" s="128" t="str">
        <f t="shared" si="150"/>
        <v>-</v>
      </c>
      <c r="U220" s="128" t="str">
        <f t="shared" si="151"/>
        <v>-</v>
      </c>
      <c r="V220" s="128" t="str">
        <f t="shared" si="152"/>
        <v>-</v>
      </c>
      <c r="W220" s="127"/>
      <c r="X220" s="127"/>
      <c r="Y220" s="127"/>
      <c r="Z220" s="170"/>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row>
    <row r="221" spans="1:55" ht="14.25" customHeight="1">
      <c r="A221" s="177"/>
      <c r="B221" s="188"/>
      <c r="C221" s="188"/>
      <c r="D221" s="188"/>
      <c r="E221" s="188"/>
      <c r="F221" s="188"/>
      <c r="G221" s="188"/>
      <c r="H221" s="188"/>
      <c r="I221" s="188"/>
      <c r="J221" s="188"/>
      <c r="K221" s="189"/>
      <c r="L221" s="188"/>
      <c r="M221" s="188"/>
      <c r="N221" s="188"/>
      <c r="O221" s="188"/>
      <c r="P221" s="188"/>
      <c r="Q221" s="188"/>
      <c r="R221" s="188"/>
      <c r="S221" s="188"/>
      <c r="T221" s="177"/>
      <c r="U221" s="177"/>
      <c r="V221" s="177"/>
      <c r="W221" s="177"/>
      <c r="X221" s="177"/>
      <c r="Y221" s="177"/>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row>
    <row r="222" spans="1:55" ht="14.25" customHeight="1">
      <c r="A222" s="169"/>
      <c r="B222" s="20"/>
      <c r="C222" s="20"/>
      <c r="D222" s="20"/>
      <c r="E222" s="20"/>
      <c r="F222" s="20"/>
      <c r="G222" s="20"/>
      <c r="H222" s="20"/>
      <c r="I222" s="20"/>
      <c r="J222" s="20"/>
      <c r="K222" s="190"/>
      <c r="L222" s="20"/>
      <c r="M222" s="20"/>
      <c r="N222" s="20"/>
      <c r="O222" s="20"/>
      <c r="P222" s="20"/>
      <c r="Q222" s="20"/>
      <c r="R222" s="20"/>
      <c r="S222" s="20"/>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row>
    <row r="223" spans="1:55" ht="14.25" customHeight="1">
      <c r="A223" s="179"/>
      <c r="B223" s="179"/>
      <c r="C223" s="179"/>
      <c r="D223" s="179"/>
      <c r="E223" s="179"/>
      <c r="F223" s="179"/>
      <c r="G223" s="179"/>
      <c r="H223" s="179"/>
      <c r="I223" s="179"/>
      <c r="J223" s="179"/>
      <c r="K223" s="179"/>
      <c r="L223" s="179"/>
      <c r="M223" s="179"/>
      <c r="N223" s="179"/>
      <c r="O223" s="179"/>
      <c r="P223" s="179"/>
      <c r="Q223" s="179"/>
      <c r="R223" s="179"/>
      <c r="S223" s="179"/>
      <c r="T223" s="179"/>
      <c r="U223" s="179"/>
      <c r="V223" s="179"/>
      <c r="W223" s="179"/>
      <c r="X223" s="179"/>
      <c r="Y223" s="179"/>
      <c r="Z223" s="179"/>
      <c r="AA223" s="179"/>
      <c r="AB223" s="179"/>
      <c r="AC223" s="179"/>
      <c r="AD223" s="179"/>
      <c r="AE223" s="179"/>
      <c r="AF223" s="179"/>
      <c r="AG223" s="179"/>
      <c r="AH223" s="179"/>
      <c r="AI223" s="179"/>
      <c r="AJ223" s="179"/>
      <c r="AK223" s="179"/>
      <c r="AL223" s="179"/>
      <c r="AM223" s="179"/>
      <c r="AN223" s="179"/>
      <c r="AO223" s="179"/>
      <c r="AP223" s="179"/>
      <c r="AQ223" s="179"/>
      <c r="AR223" s="179"/>
      <c r="AS223" s="179"/>
      <c r="AT223" s="179"/>
      <c r="AU223" s="179"/>
      <c r="AV223" s="179"/>
      <c r="AW223" s="179"/>
      <c r="AX223" s="179"/>
      <c r="AY223" s="179"/>
      <c r="AZ223" s="179"/>
      <c r="BA223" s="179"/>
      <c r="BB223" s="179"/>
      <c r="BC223" s="179"/>
    </row>
    <row r="224" spans="1:55" ht="14.25" customHeight="1">
      <c r="A224" s="192"/>
      <c r="B224" s="194" t="s">
        <v>140</v>
      </c>
      <c r="C224" s="195"/>
      <c r="D224" s="195"/>
      <c r="E224" s="195"/>
      <c r="F224" s="195"/>
      <c r="G224" s="195"/>
      <c r="H224" s="195"/>
      <c r="I224" s="195"/>
      <c r="J224" s="195"/>
      <c r="K224" s="59" t="s">
        <v>141</v>
      </c>
      <c r="L224" s="193"/>
      <c r="M224" s="196"/>
      <c r="N224" s="196"/>
      <c r="O224" s="196"/>
      <c r="P224" s="196"/>
      <c r="Q224" s="196"/>
      <c r="R224" s="196"/>
      <c r="S224" s="196"/>
      <c r="T224" s="194" t="s">
        <v>142</v>
      </c>
      <c r="U224" s="195"/>
      <c r="V224" s="195"/>
      <c r="W224" s="195"/>
      <c r="X224" s="195"/>
      <c r="Y224" s="195"/>
      <c r="Z224" s="195"/>
      <c r="AA224" s="195"/>
      <c r="AB224" s="195"/>
      <c r="AC224" s="29" t="s">
        <v>143</v>
      </c>
      <c r="AD224" s="184"/>
      <c r="AE224" s="184"/>
      <c r="AF224" s="184"/>
      <c r="AG224" s="184"/>
      <c r="AH224" s="184"/>
      <c r="AI224" s="184"/>
      <c r="AJ224" s="184"/>
      <c r="AK224" s="184"/>
      <c r="AL224" s="27" t="s">
        <v>144</v>
      </c>
      <c r="AM224" s="181"/>
      <c r="AN224" s="182"/>
      <c r="AO224" s="182"/>
      <c r="AP224" s="182"/>
      <c r="AQ224" s="182"/>
      <c r="AR224" s="182"/>
      <c r="AS224" s="182"/>
      <c r="AT224" s="182"/>
      <c r="AU224" s="29" t="s">
        <v>145</v>
      </c>
      <c r="AV224" s="184"/>
      <c r="AW224" s="184"/>
      <c r="AX224" s="184"/>
      <c r="AY224" s="184"/>
      <c r="AZ224" s="184"/>
      <c r="BA224" s="184"/>
      <c r="BB224" s="184"/>
      <c r="BC224" s="212"/>
    </row>
    <row r="225" spans="1:55" ht="15" customHeight="1">
      <c r="A225" s="511" t="s">
        <v>112</v>
      </c>
      <c r="B225" s="502" t="s">
        <v>238</v>
      </c>
      <c r="C225" s="503"/>
      <c r="D225" s="505"/>
      <c r="E225" s="502" t="s">
        <v>239</v>
      </c>
      <c r="F225" s="503"/>
      <c r="G225" s="505"/>
      <c r="H225" s="502" t="s">
        <v>240</v>
      </c>
      <c r="I225" s="503"/>
      <c r="J225" s="505"/>
      <c r="K225" s="502" t="s">
        <v>238</v>
      </c>
      <c r="L225" s="503"/>
      <c r="M225" s="505"/>
      <c r="N225" s="502" t="s">
        <v>239</v>
      </c>
      <c r="O225" s="503"/>
      <c r="P225" s="505"/>
      <c r="Q225" s="502" t="s">
        <v>240</v>
      </c>
      <c r="R225" s="503"/>
      <c r="S225" s="505"/>
      <c r="T225" s="502" t="s">
        <v>238</v>
      </c>
      <c r="U225" s="503"/>
      <c r="V225" s="505"/>
      <c r="W225" s="502" t="s">
        <v>239</v>
      </c>
      <c r="X225" s="503"/>
      <c r="Y225" s="505"/>
      <c r="Z225" s="502" t="s">
        <v>240</v>
      </c>
      <c r="AA225" s="503"/>
      <c r="AB225" s="505"/>
      <c r="AC225" s="502" t="s">
        <v>238</v>
      </c>
      <c r="AD225" s="503"/>
      <c r="AE225" s="505"/>
      <c r="AF225" s="502" t="s">
        <v>239</v>
      </c>
      <c r="AG225" s="503"/>
      <c r="AH225" s="505"/>
      <c r="AI225" s="502" t="s">
        <v>240</v>
      </c>
      <c r="AJ225" s="503"/>
      <c r="AK225" s="505"/>
      <c r="AL225" s="502" t="s">
        <v>238</v>
      </c>
      <c r="AM225" s="503"/>
      <c r="AN225" s="505"/>
      <c r="AO225" s="502" t="s">
        <v>239</v>
      </c>
      <c r="AP225" s="503"/>
      <c r="AQ225" s="505"/>
      <c r="AR225" s="502" t="s">
        <v>240</v>
      </c>
      <c r="AS225" s="503"/>
      <c r="AT225" s="505"/>
      <c r="AU225" s="502" t="s">
        <v>238</v>
      </c>
      <c r="AV225" s="503"/>
      <c r="AW225" s="505"/>
      <c r="AX225" s="502" t="s">
        <v>239</v>
      </c>
      <c r="AY225" s="503"/>
      <c r="AZ225" s="505"/>
      <c r="BA225" s="502" t="s">
        <v>240</v>
      </c>
      <c r="BB225" s="503"/>
      <c r="BC225" s="505"/>
    </row>
    <row r="226" spans="1:55" ht="30" customHeight="1">
      <c r="A226" s="521"/>
      <c r="B226" s="32" t="s">
        <v>113</v>
      </c>
      <c r="C226" s="32" t="s">
        <v>114</v>
      </c>
      <c r="D226" s="32" t="s">
        <v>14</v>
      </c>
      <c r="E226" s="32" t="s">
        <v>113</v>
      </c>
      <c r="F226" s="32" t="s">
        <v>114</v>
      </c>
      <c r="G226" s="32" t="s">
        <v>14</v>
      </c>
      <c r="H226" s="32" t="s">
        <v>113</v>
      </c>
      <c r="I226" s="32" t="s">
        <v>114</v>
      </c>
      <c r="J226" s="32" t="s">
        <v>14</v>
      </c>
      <c r="K226" s="32" t="s">
        <v>113</v>
      </c>
      <c r="L226" s="32" t="s">
        <v>114</v>
      </c>
      <c r="M226" s="32" t="s">
        <v>14</v>
      </c>
      <c r="N226" s="32" t="s">
        <v>113</v>
      </c>
      <c r="O226" s="32" t="s">
        <v>114</v>
      </c>
      <c r="P226" s="32" t="s">
        <v>14</v>
      </c>
      <c r="Q226" s="32" t="s">
        <v>113</v>
      </c>
      <c r="R226" s="32" t="s">
        <v>114</v>
      </c>
      <c r="S226" s="32" t="s">
        <v>14</v>
      </c>
      <c r="T226" s="32" t="s">
        <v>113</v>
      </c>
      <c r="U226" s="32" t="s">
        <v>114</v>
      </c>
      <c r="V226" s="32" t="s">
        <v>14</v>
      </c>
      <c r="W226" s="32" t="s">
        <v>113</v>
      </c>
      <c r="X226" s="32" t="s">
        <v>114</v>
      </c>
      <c r="Y226" s="32" t="s">
        <v>14</v>
      </c>
      <c r="Z226" s="32" t="s">
        <v>113</v>
      </c>
      <c r="AA226" s="32" t="s">
        <v>114</v>
      </c>
      <c r="AB226" s="32" t="s">
        <v>14</v>
      </c>
      <c r="AC226" s="32" t="s">
        <v>117</v>
      </c>
      <c r="AD226" s="32" t="s">
        <v>118</v>
      </c>
      <c r="AE226" s="32" t="s">
        <v>17</v>
      </c>
      <c r="AF226" s="32" t="s">
        <v>117</v>
      </c>
      <c r="AG226" s="32" t="s">
        <v>118</v>
      </c>
      <c r="AH226" s="32" t="s">
        <v>17</v>
      </c>
      <c r="AI226" s="32" t="s">
        <v>117</v>
      </c>
      <c r="AJ226" s="32" t="s">
        <v>118</v>
      </c>
      <c r="AK226" s="32" t="s">
        <v>17</v>
      </c>
      <c r="AL226" s="32" t="s">
        <v>117</v>
      </c>
      <c r="AM226" s="32" t="s">
        <v>118</v>
      </c>
      <c r="AN226" s="32" t="s">
        <v>17</v>
      </c>
      <c r="AO226" s="32" t="s">
        <v>117</v>
      </c>
      <c r="AP226" s="32" t="s">
        <v>118</v>
      </c>
      <c r="AQ226" s="32" t="s">
        <v>17</v>
      </c>
      <c r="AR226" s="32" t="s">
        <v>117</v>
      </c>
      <c r="AS226" s="32" t="s">
        <v>118</v>
      </c>
      <c r="AT226" s="32" t="s">
        <v>17</v>
      </c>
      <c r="AU226" s="32" t="s">
        <v>117</v>
      </c>
      <c r="AV226" s="32" t="s">
        <v>118</v>
      </c>
      <c r="AW226" s="32" t="s">
        <v>17</v>
      </c>
      <c r="AX226" s="32" t="s">
        <v>117</v>
      </c>
      <c r="AY226" s="32" t="s">
        <v>118</v>
      </c>
      <c r="AZ226" s="32" t="s">
        <v>17</v>
      </c>
      <c r="BA226" s="32" t="s">
        <v>117</v>
      </c>
      <c r="BB226" s="32" t="s">
        <v>118</v>
      </c>
      <c r="BC226" s="32" t="s">
        <v>17</v>
      </c>
    </row>
    <row r="227" spans="1:55" ht="14.25" customHeight="1">
      <c r="A227" s="43" t="s">
        <v>241</v>
      </c>
      <c r="B227" s="136">
        <v>44</v>
      </c>
      <c r="C227" s="136">
        <v>56</v>
      </c>
      <c r="D227" s="67">
        <f t="shared" ref="D227:D264" si="153">IFERROR(B227/C227,"-")</f>
        <v>0.7857142857142857</v>
      </c>
      <c r="E227" s="136">
        <v>102</v>
      </c>
      <c r="F227" s="136">
        <v>133</v>
      </c>
      <c r="G227" s="67">
        <f t="shared" ref="G227:G264" si="154">IFERROR(E227/F227,"-")</f>
        <v>0.76691729323308266</v>
      </c>
      <c r="H227" s="66">
        <f t="shared" ref="H227:H264" si="155">SUM(B227,E227)</f>
        <v>146</v>
      </c>
      <c r="I227" s="66">
        <f t="shared" ref="I227:I264" si="156">SUM(C227,F227)</f>
        <v>189</v>
      </c>
      <c r="J227" s="67">
        <f t="shared" ref="J227:J264" si="157">IFERROR(H227/I227,"-")</f>
        <v>0.77248677248677244</v>
      </c>
      <c r="K227" s="200"/>
      <c r="L227" s="200"/>
      <c r="M227" s="80" t="str">
        <f t="shared" ref="M227:M264" si="158">IFERROR(K227/L227,"-")</f>
        <v>-</v>
      </c>
      <c r="N227" s="200"/>
      <c r="O227" s="200"/>
      <c r="P227" s="80" t="str">
        <f>IFERROR(N227/O227,"-")</f>
        <v>-</v>
      </c>
      <c r="Q227" s="64">
        <f t="shared" ref="Q227:Q264" si="159">SUM(K227,N227)</f>
        <v>0</v>
      </c>
      <c r="R227" s="64">
        <f t="shared" ref="R227:R264" si="160">SUM(L227,O227)</f>
        <v>0</v>
      </c>
      <c r="S227" s="80" t="str">
        <f t="shared" ref="S227:S264" si="161">IFERROR(Q227/R227,"-")</f>
        <v>-</v>
      </c>
      <c r="T227" s="96" t="s">
        <v>19</v>
      </c>
      <c r="U227" s="96" t="s">
        <v>19</v>
      </c>
      <c r="V227" s="83" t="str">
        <f t="shared" ref="V227:V264" si="162">IFERROR(T227/U227,"-")</f>
        <v>-</v>
      </c>
      <c r="W227" s="96" t="s">
        <v>19</v>
      </c>
      <c r="X227" s="96" t="s">
        <v>19</v>
      </c>
      <c r="Y227" s="83" t="str">
        <f t="shared" ref="Y227:Y264" si="163">IFERROR(W227/X227,"-")</f>
        <v>-</v>
      </c>
      <c r="Z227" s="66">
        <f t="shared" ref="Z227:Z264" si="164">SUM(T227,W227)</f>
        <v>0</v>
      </c>
      <c r="AA227" s="66">
        <f t="shared" ref="AA227:AA264" si="165">SUM(U227,X227)</f>
        <v>0</v>
      </c>
      <c r="AB227" s="83" t="str">
        <f t="shared" ref="AB227:AB264" si="166">IFERROR(Z227/AA227,"-")</f>
        <v>-</v>
      </c>
      <c r="AC227" s="70">
        <f>SUM(AC260:AC262)</f>
        <v>1695</v>
      </c>
      <c r="AD227" s="70">
        <f>SUM(AD260:AD262)</f>
        <v>2060</v>
      </c>
      <c r="AE227" s="21">
        <f t="shared" ref="AE227:AE264" si="167">IFERROR(AC227/AD227,"-")</f>
        <v>0.82281553398058249</v>
      </c>
      <c r="AF227" s="70">
        <f>SUM(AF260:AF262)</f>
        <v>3643</v>
      </c>
      <c r="AG227" s="70">
        <f>SUM(AG260:AG262)</f>
        <v>4158</v>
      </c>
      <c r="AH227" s="21">
        <f t="shared" ref="AH227:AH264" si="168">IFERROR(AF227/AG227,"-")</f>
        <v>0.87614237614237611</v>
      </c>
      <c r="AI227" s="70"/>
      <c r="AJ227" s="70"/>
      <c r="AK227" s="37" t="str">
        <f t="shared" ref="AK227:AK264" si="169">IFERROR(AI227/AJ227,"-")</f>
        <v>-</v>
      </c>
      <c r="AL227" s="104" t="s">
        <v>19</v>
      </c>
      <c r="AM227" s="104" t="s">
        <v>19</v>
      </c>
      <c r="AN227" s="44" t="str">
        <f>IFERROR(AL227/AM227,"-")</f>
        <v>-</v>
      </c>
      <c r="AO227" s="197"/>
      <c r="AP227" s="197"/>
      <c r="AQ227" s="44" t="str">
        <f t="shared" ref="AQ227:AQ264" si="170">IFERROR(AO227/AP227,"-")</f>
        <v>-</v>
      </c>
      <c r="AR227" s="69"/>
      <c r="AS227" s="69"/>
      <c r="AT227" s="44" t="str">
        <f t="shared" ref="AT227:AT264" si="171">IFERROR(AR227/AS227,"-")</f>
        <v>-</v>
      </c>
      <c r="AU227" s="81" t="s">
        <v>19</v>
      </c>
      <c r="AV227" s="81" t="s">
        <v>19</v>
      </c>
      <c r="AW227" s="37" t="str">
        <f t="shared" ref="AW227:AW264" si="172">IFERROR(AU227/AV227,"-")</f>
        <v>-</v>
      </c>
      <c r="AX227" s="139"/>
      <c r="AY227" s="139"/>
      <c r="AZ227" s="37" t="str">
        <f t="shared" ref="AZ227:AZ264" si="173">IFERROR(AX227/AY227,"-")</f>
        <v>-</v>
      </c>
      <c r="BA227" s="70"/>
      <c r="BB227" s="70"/>
      <c r="BC227" s="37" t="str">
        <f t="shared" ref="BC227:BC264" si="174">IFERROR(BA227/BB227,"-")</f>
        <v>-</v>
      </c>
    </row>
    <row r="228" spans="1:55" ht="14.25" customHeight="1">
      <c r="A228" s="45" t="s">
        <v>47</v>
      </c>
      <c r="B228" s="66">
        <f>SUM(B263:B264)</f>
        <v>35</v>
      </c>
      <c r="C228" s="66">
        <f>SUM(C263:C264)</f>
        <v>37</v>
      </c>
      <c r="D228" s="67">
        <f t="shared" si="153"/>
        <v>0.94594594594594594</v>
      </c>
      <c r="E228" s="66">
        <f>SUM(E263:E264)</f>
        <v>36</v>
      </c>
      <c r="F228" s="66">
        <f>SUM(F263:F264)</f>
        <v>36</v>
      </c>
      <c r="G228" s="67">
        <f t="shared" si="154"/>
        <v>1</v>
      </c>
      <c r="H228" s="66">
        <f t="shared" si="155"/>
        <v>71</v>
      </c>
      <c r="I228" s="66">
        <f t="shared" si="156"/>
        <v>73</v>
      </c>
      <c r="J228" s="67">
        <f t="shared" si="157"/>
        <v>0.9726027397260274</v>
      </c>
      <c r="K228" s="64">
        <f>SUM(K263:K264)</f>
        <v>0</v>
      </c>
      <c r="L228" s="64">
        <f>SUM(L263:L264)</f>
        <v>0</v>
      </c>
      <c r="M228" s="80" t="str">
        <f t="shared" si="158"/>
        <v>-</v>
      </c>
      <c r="N228" s="64">
        <f>SUM(N263:N264)</f>
        <v>0</v>
      </c>
      <c r="O228" s="64">
        <f>SUM(O263:O264)</f>
        <v>0</v>
      </c>
      <c r="P228" s="65">
        <f>SUM(P263:P264)</f>
        <v>0</v>
      </c>
      <c r="Q228" s="64">
        <f t="shared" si="159"/>
        <v>0</v>
      </c>
      <c r="R228" s="64">
        <f t="shared" si="160"/>
        <v>0</v>
      </c>
      <c r="S228" s="80" t="str">
        <f t="shared" si="161"/>
        <v>-</v>
      </c>
      <c r="T228" s="66">
        <f>SUM(T263:T264)</f>
        <v>0</v>
      </c>
      <c r="U228" s="66">
        <f>SUM(U263:U264)</f>
        <v>0</v>
      </c>
      <c r="V228" s="83" t="str">
        <f t="shared" si="162"/>
        <v>-</v>
      </c>
      <c r="W228" s="66">
        <f>SUM(W263:W264)</f>
        <v>0</v>
      </c>
      <c r="X228" s="66">
        <f>SUM(X263:X264)</f>
        <v>0</v>
      </c>
      <c r="Y228" s="83" t="str">
        <f t="shared" si="163"/>
        <v>-</v>
      </c>
      <c r="Z228" s="66">
        <f t="shared" si="164"/>
        <v>0</v>
      </c>
      <c r="AA228" s="66">
        <f t="shared" si="165"/>
        <v>0</v>
      </c>
      <c r="AB228" s="83" t="str">
        <f t="shared" si="166"/>
        <v>-</v>
      </c>
      <c r="AC228" s="70">
        <f>SUM(AC263:AC264)</f>
        <v>1426</v>
      </c>
      <c r="AD228" s="70">
        <f>SUM(AD263:AD264)</f>
        <v>1593</v>
      </c>
      <c r="AE228" s="21">
        <f t="shared" si="167"/>
        <v>0.89516635279347145</v>
      </c>
      <c r="AF228" s="70">
        <f>SUM(AF263:AF264)</f>
        <v>1538</v>
      </c>
      <c r="AG228" s="70">
        <f>SUM(AG263:AG264)</f>
        <v>1737</v>
      </c>
      <c r="AH228" s="21">
        <f t="shared" si="168"/>
        <v>0.88543465745538286</v>
      </c>
      <c r="AI228" s="70"/>
      <c r="AJ228" s="70"/>
      <c r="AK228" s="37" t="str">
        <f t="shared" si="169"/>
        <v>-</v>
      </c>
      <c r="AL228" s="69">
        <f>SUM(AL263:AL264)</f>
        <v>0</v>
      </c>
      <c r="AM228" s="69">
        <f>SUM(AM263:AM264)</f>
        <v>0</v>
      </c>
      <c r="AN228" s="44" t="str">
        <f>IFERROR(AL228/AM228,"-")</f>
        <v>-</v>
      </c>
      <c r="AO228" s="69">
        <f>SUM(AO263:AO264)</f>
        <v>0</v>
      </c>
      <c r="AP228" s="69">
        <f>SUM(AP263:AP264)</f>
        <v>0</v>
      </c>
      <c r="AQ228" s="44" t="str">
        <f t="shared" si="170"/>
        <v>-</v>
      </c>
      <c r="AR228" s="69"/>
      <c r="AS228" s="69"/>
      <c r="AT228" s="44" t="str">
        <f t="shared" si="171"/>
        <v>-</v>
      </c>
      <c r="AU228" s="70">
        <f>SUM(AU263:AU264)</f>
        <v>0</v>
      </c>
      <c r="AV228" s="70">
        <f>SUM(AV263:AV264)</f>
        <v>0</v>
      </c>
      <c r="AW228" s="37" t="str">
        <f t="shared" si="172"/>
        <v>-</v>
      </c>
      <c r="AX228" s="70">
        <f>SUM(AX263:AX264)</f>
        <v>0</v>
      </c>
      <c r="AY228" s="70">
        <f>SUM(AY263:AY264)</f>
        <v>0</v>
      </c>
      <c r="AZ228" s="37" t="str">
        <f t="shared" si="173"/>
        <v>-</v>
      </c>
      <c r="BA228" s="70"/>
      <c r="BB228" s="70"/>
      <c r="BC228" s="37" t="str">
        <f t="shared" si="174"/>
        <v>-</v>
      </c>
    </row>
    <row r="229" spans="1:55" ht="14.25" customHeight="1">
      <c r="A229" s="12" t="s">
        <v>242</v>
      </c>
      <c r="B229" s="66">
        <f>SUM(B231,B227,B228)</f>
        <v>4547</v>
      </c>
      <c r="C229" s="66">
        <f>SUM(C231,C227,C228)</f>
        <v>5252</v>
      </c>
      <c r="D229" s="67">
        <f t="shared" si="153"/>
        <v>0.86576542269611578</v>
      </c>
      <c r="E229" s="66">
        <f>SUM(E231,E227,E228)</f>
        <v>4389</v>
      </c>
      <c r="F229" s="66">
        <f>SUM(F231,F227,F228)</f>
        <v>4753</v>
      </c>
      <c r="G229" s="67">
        <f t="shared" si="154"/>
        <v>0.92341678939617089</v>
      </c>
      <c r="H229" s="66">
        <f t="shared" si="155"/>
        <v>8936</v>
      </c>
      <c r="I229" s="66">
        <f t="shared" si="156"/>
        <v>10005</v>
      </c>
      <c r="J229" s="67">
        <f t="shared" si="157"/>
        <v>0.89315342328835579</v>
      </c>
      <c r="K229" s="64">
        <f>SUM(K231,K227,K228)</f>
        <v>551</v>
      </c>
      <c r="L229" s="64">
        <f>SUM(L231,L227,L228)</f>
        <v>719</v>
      </c>
      <c r="M229" s="65">
        <f t="shared" si="158"/>
        <v>0.76634214186369953</v>
      </c>
      <c r="N229" s="64">
        <f>SUM(N231,N227,N228)</f>
        <v>143</v>
      </c>
      <c r="O229" s="64">
        <f>SUM(O231,O227,O228)</f>
        <v>174</v>
      </c>
      <c r="P229" s="65">
        <f t="shared" ref="P229:P264" si="175">IFERROR(N229/O229,"-")</f>
        <v>0.82183908045977017</v>
      </c>
      <c r="Q229" s="64">
        <f t="shared" si="159"/>
        <v>694</v>
      </c>
      <c r="R229" s="64">
        <f t="shared" si="160"/>
        <v>893</v>
      </c>
      <c r="S229" s="65">
        <f t="shared" si="161"/>
        <v>0.77715565509518481</v>
      </c>
      <c r="T229" s="66">
        <f>SUM(T231,T227,T228)</f>
        <v>174</v>
      </c>
      <c r="U229" s="66">
        <f>SUM(U231,U227,U228)</f>
        <v>224</v>
      </c>
      <c r="V229" s="67">
        <f t="shared" si="162"/>
        <v>0.7767857142857143</v>
      </c>
      <c r="W229" s="66">
        <f>SUM(W231,W227,W228)</f>
        <v>876</v>
      </c>
      <c r="X229" s="66">
        <f>SUM(X231,X227,X228)</f>
        <v>899</v>
      </c>
      <c r="Y229" s="67">
        <f t="shared" si="163"/>
        <v>0.97441601779755282</v>
      </c>
      <c r="Z229" s="66">
        <f t="shared" si="164"/>
        <v>1050</v>
      </c>
      <c r="AA229" s="66">
        <f t="shared" si="165"/>
        <v>1123</v>
      </c>
      <c r="AB229" s="67">
        <f t="shared" si="166"/>
        <v>0.93499554764024928</v>
      </c>
      <c r="AC229" s="70">
        <f>SUM(AC231,AC227,AC228)</f>
        <v>220787</v>
      </c>
      <c r="AD229" s="70">
        <f>SUM(AD231,AD227,AD228)</f>
        <v>252290</v>
      </c>
      <c r="AE229" s="21">
        <f t="shared" si="167"/>
        <v>0.87513179277815212</v>
      </c>
      <c r="AF229" s="70">
        <f>SUM(AF231,AF227,AF228)</f>
        <v>204185</v>
      </c>
      <c r="AG229" s="70">
        <f>SUM(AG231,AG227,AG228)</f>
        <v>238697</v>
      </c>
      <c r="AH229" s="21">
        <f t="shared" si="168"/>
        <v>0.85541502406817016</v>
      </c>
      <c r="AI229" s="70"/>
      <c r="AJ229" s="70"/>
      <c r="AK229" s="37" t="str">
        <f t="shared" si="169"/>
        <v>-</v>
      </c>
      <c r="AL229" s="69">
        <f>SUM(AL231,AL227,AL228)</f>
        <v>1064</v>
      </c>
      <c r="AM229" s="69">
        <f>SUM(AM231,AM227,AM228)</f>
        <v>1262</v>
      </c>
      <c r="AN229" s="36">
        <f>IFERROR(AL229/AM229,"-")</f>
        <v>0.84310618066561016</v>
      </c>
      <c r="AO229" s="69">
        <f>SUM(AO231,AO227,AO228)</f>
        <v>248</v>
      </c>
      <c r="AP229" s="69">
        <f>SUM(AP231,AP227,AP228)</f>
        <v>284</v>
      </c>
      <c r="AQ229" s="36">
        <f t="shared" si="170"/>
        <v>0.87323943661971826</v>
      </c>
      <c r="AR229" s="69"/>
      <c r="AS229" s="69"/>
      <c r="AT229" s="44" t="str">
        <f t="shared" si="171"/>
        <v>-</v>
      </c>
      <c r="AU229" s="70">
        <f>SUM(AU231,AU227,AU228)</f>
        <v>2238</v>
      </c>
      <c r="AV229" s="70">
        <f>SUM(AV231,AV227,AV228)</f>
        <v>2400</v>
      </c>
      <c r="AW229" s="21">
        <f t="shared" si="172"/>
        <v>0.9325</v>
      </c>
      <c r="AX229" s="70">
        <f>SUM(AX231,AX227,AX228)</f>
        <v>10120</v>
      </c>
      <c r="AY229" s="70">
        <f>SUM(AY231,AY227,AY228)</f>
        <v>10788</v>
      </c>
      <c r="AZ229" s="21">
        <f t="shared" si="173"/>
        <v>0.93807934742306265</v>
      </c>
      <c r="BA229" s="70"/>
      <c r="BB229" s="70"/>
      <c r="BC229" s="37" t="str">
        <f t="shared" si="174"/>
        <v>-</v>
      </c>
    </row>
    <row r="230" spans="1:55" ht="14.25" customHeight="1">
      <c r="A230" s="12" t="s">
        <v>243</v>
      </c>
      <c r="B230" s="66">
        <f>SUM(B231,B227)</f>
        <v>4512</v>
      </c>
      <c r="C230" s="66">
        <f>SUM(C231,C227)</f>
        <v>5215</v>
      </c>
      <c r="D230" s="67">
        <f t="shared" si="153"/>
        <v>0.86519654841802496</v>
      </c>
      <c r="E230" s="66">
        <f>SUM(E231,E227)</f>
        <v>4353</v>
      </c>
      <c r="F230" s="66">
        <f>SUM(F231,F227)</f>
        <v>4717</v>
      </c>
      <c r="G230" s="67">
        <f t="shared" si="154"/>
        <v>0.92283230867076527</v>
      </c>
      <c r="H230" s="66">
        <f t="shared" si="155"/>
        <v>8865</v>
      </c>
      <c r="I230" s="66">
        <f t="shared" si="156"/>
        <v>9932</v>
      </c>
      <c r="J230" s="67">
        <f t="shared" si="157"/>
        <v>0.89256947241240436</v>
      </c>
      <c r="K230" s="64">
        <f>SUM(K231,K227)</f>
        <v>551</v>
      </c>
      <c r="L230" s="64">
        <f>SUM(L231,L227)</f>
        <v>719</v>
      </c>
      <c r="M230" s="65">
        <f t="shared" si="158"/>
        <v>0.76634214186369953</v>
      </c>
      <c r="N230" s="64">
        <f>SUM(N231,N227)</f>
        <v>143</v>
      </c>
      <c r="O230" s="64">
        <f>SUM(O231,O227)</f>
        <v>174</v>
      </c>
      <c r="P230" s="65">
        <f t="shared" si="175"/>
        <v>0.82183908045977017</v>
      </c>
      <c r="Q230" s="64">
        <f t="shared" si="159"/>
        <v>694</v>
      </c>
      <c r="R230" s="64">
        <f t="shared" si="160"/>
        <v>893</v>
      </c>
      <c r="S230" s="65">
        <f t="shared" si="161"/>
        <v>0.77715565509518481</v>
      </c>
      <c r="T230" s="66">
        <f>SUM(T231,T227)</f>
        <v>174</v>
      </c>
      <c r="U230" s="66">
        <f>SUM(U231,U227)</f>
        <v>224</v>
      </c>
      <c r="V230" s="67">
        <f t="shared" si="162"/>
        <v>0.7767857142857143</v>
      </c>
      <c r="W230" s="66">
        <f>SUM(W231,W227)</f>
        <v>876</v>
      </c>
      <c r="X230" s="66">
        <f>SUM(X231,X227)</f>
        <v>899</v>
      </c>
      <c r="Y230" s="67">
        <f t="shared" si="163"/>
        <v>0.97441601779755282</v>
      </c>
      <c r="Z230" s="66">
        <f t="shared" si="164"/>
        <v>1050</v>
      </c>
      <c r="AA230" s="66">
        <f t="shared" si="165"/>
        <v>1123</v>
      </c>
      <c r="AB230" s="67">
        <f t="shared" si="166"/>
        <v>0.93499554764024928</v>
      </c>
      <c r="AC230" s="70">
        <f>SUM(AC231,AC227)</f>
        <v>219361</v>
      </c>
      <c r="AD230" s="70">
        <f>SUM(AD231,AD227)</f>
        <v>250697</v>
      </c>
      <c r="AE230" s="21">
        <f t="shared" si="167"/>
        <v>0.87500448748888104</v>
      </c>
      <c r="AF230" s="70">
        <f>SUM(AF231,AF227)</f>
        <v>202647</v>
      </c>
      <c r="AG230" s="70">
        <f>SUM(AG231,AG227)</f>
        <v>236960</v>
      </c>
      <c r="AH230" s="21">
        <f t="shared" si="168"/>
        <v>0.85519496961512487</v>
      </c>
      <c r="AI230" s="70"/>
      <c r="AJ230" s="70"/>
      <c r="AK230" s="37" t="str">
        <f t="shared" si="169"/>
        <v>-</v>
      </c>
      <c r="AL230" s="69">
        <f>SUM(AL231,AL227)</f>
        <v>1064</v>
      </c>
      <c r="AM230" s="69">
        <f>SUM(AM231,AM227)</f>
        <v>1262</v>
      </c>
      <c r="AN230" s="36">
        <f>IFERROR(AL230/AM230,"-")</f>
        <v>0.84310618066561016</v>
      </c>
      <c r="AO230" s="69">
        <f>SUM(AO231,AO227)</f>
        <v>248</v>
      </c>
      <c r="AP230" s="69">
        <f>SUM(AP231,AP227)</f>
        <v>284</v>
      </c>
      <c r="AQ230" s="36">
        <f t="shared" si="170"/>
        <v>0.87323943661971826</v>
      </c>
      <c r="AR230" s="69"/>
      <c r="AS230" s="69"/>
      <c r="AT230" s="44" t="str">
        <f t="shared" si="171"/>
        <v>-</v>
      </c>
      <c r="AU230" s="70">
        <f>SUM(AU231,AU227)</f>
        <v>2238</v>
      </c>
      <c r="AV230" s="70">
        <f>SUM(AV231,AV227)</f>
        <v>2400</v>
      </c>
      <c r="AW230" s="21">
        <f t="shared" si="172"/>
        <v>0.9325</v>
      </c>
      <c r="AX230" s="70">
        <f>SUM(AX231,AX227)</f>
        <v>10120</v>
      </c>
      <c r="AY230" s="70">
        <f>SUM(AY231,AY227)</f>
        <v>10788</v>
      </c>
      <c r="AZ230" s="21">
        <f t="shared" si="173"/>
        <v>0.93807934742306265</v>
      </c>
      <c r="BA230" s="70"/>
      <c r="BB230" s="70"/>
      <c r="BC230" s="37" t="str">
        <f t="shared" si="174"/>
        <v>-</v>
      </c>
    </row>
    <row r="231" spans="1:55" ht="14.25" customHeight="1">
      <c r="A231" s="38" t="s">
        <v>44</v>
      </c>
      <c r="B231" s="133">
        <v>4468</v>
      </c>
      <c r="C231" s="133">
        <v>5159</v>
      </c>
      <c r="D231" s="72">
        <f t="shared" si="153"/>
        <v>0.86605931382050783</v>
      </c>
      <c r="E231" s="133">
        <v>4251</v>
      </c>
      <c r="F231" s="133">
        <v>4584</v>
      </c>
      <c r="G231" s="72">
        <f t="shared" si="154"/>
        <v>0.92735602094240843</v>
      </c>
      <c r="H231" s="71">
        <f t="shared" si="155"/>
        <v>8719</v>
      </c>
      <c r="I231" s="71">
        <f t="shared" si="156"/>
        <v>9743</v>
      </c>
      <c r="J231" s="72">
        <f t="shared" si="157"/>
        <v>0.8948989017756338</v>
      </c>
      <c r="K231" s="75">
        <f>SUM(K233:K252)</f>
        <v>551</v>
      </c>
      <c r="L231" s="75">
        <f>SUM(L233:L252)</f>
        <v>719</v>
      </c>
      <c r="M231" s="74">
        <f t="shared" si="158"/>
        <v>0.76634214186369953</v>
      </c>
      <c r="N231" s="75">
        <f>SUM(N233:N252)</f>
        <v>143</v>
      </c>
      <c r="O231" s="75">
        <f>SUM(O233:O252)</f>
        <v>174</v>
      </c>
      <c r="P231" s="74">
        <f t="shared" si="175"/>
        <v>0.82183908045977017</v>
      </c>
      <c r="Q231" s="75">
        <f t="shared" si="159"/>
        <v>694</v>
      </c>
      <c r="R231" s="75">
        <f t="shared" si="160"/>
        <v>893</v>
      </c>
      <c r="S231" s="74">
        <f t="shared" si="161"/>
        <v>0.77715565509518481</v>
      </c>
      <c r="T231" s="71">
        <f>SUM(T233:T252)</f>
        <v>174</v>
      </c>
      <c r="U231" s="71">
        <f>SUM(U233:U252)</f>
        <v>224</v>
      </c>
      <c r="V231" s="72">
        <f t="shared" si="162"/>
        <v>0.7767857142857143</v>
      </c>
      <c r="W231" s="71">
        <f>SUM(W233:W252)</f>
        <v>876</v>
      </c>
      <c r="X231" s="71">
        <f>SUM(X233:X252)</f>
        <v>899</v>
      </c>
      <c r="Y231" s="72">
        <f t="shared" si="163"/>
        <v>0.97441601779755282</v>
      </c>
      <c r="Z231" s="71">
        <f t="shared" si="164"/>
        <v>1050</v>
      </c>
      <c r="AA231" s="71">
        <f t="shared" si="165"/>
        <v>1123</v>
      </c>
      <c r="AB231" s="72">
        <f t="shared" si="166"/>
        <v>0.93499554764024928</v>
      </c>
      <c r="AC231" s="78">
        <f>SUM(AC232:AC252)</f>
        <v>217666</v>
      </c>
      <c r="AD231" s="78">
        <f>SUM(AD232:AD252)</f>
        <v>248637</v>
      </c>
      <c r="AE231" s="41">
        <f t="shared" si="167"/>
        <v>0.87543688188000979</v>
      </c>
      <c r="AF231" s="78">
        <f>SUM(AF232:AF252)</f>
        <v>199004</v>
      </c>
      <c r="AG231" s="78">
        <f>SUM(AG232:AG252)</f>
        <v>232802</v>
      </c>
      <c r="AH231" s="41">
        <f t="shared" si="168"/>
        <v>0.85482083487255267</v>
      </c>
      <c r="AI231" s="78"/>
      <c r="AJ231" s="78"/>
      <c r="AK231" s="40" t="str">
        <f t="shared" si="169"/>
        <v>-</v>
      </c>
      <c r="AL231" s="134">
        <f>SUM(AL232:AL252)</f>
        <v>1064</v>
      </c>
      <c r="AM231" s="134">
        <f>SUM(AM232:AM252)</f>
        <v>1262</v>
      </c>
      <c r="AN231" s="39">
        <f>IFERROR(AL231/AM231,"-")</f>
        <v>0.84310618066561016</v>
      </c>
      <c r="AO231" s="134">
        <f>SUM(AO232:AO252)</f>
        <v>248</v>
      </c>
      <c r="AP231" s="134">
        <f>SUM(AP232:AP252)</f>
        <v>284</v>
      </c>
      <c r="AQ231" s="39">
        <f t="shared" si="170"/>
        <v>0.87323943661971826</v>
      </c>
      <c r="AR231" s="134"/>
      <c r="AS231" s="134"/>
      <c r="AT231" s="135" t="str">
        <f t="shared" si="171"/>
        <v>-</v>
      </c>
      <c r="AU231" s="78">
        <v>2238</v>
      </c>
      <c r="AV231" s="78">
        <v>2400</v>
      </c>
      <c r="AW231" s="41">
        <f t="shared" si="172"/>
        <v>0.9325</v>
      </c>
      <c r="AX231" s="78">
        <f>SUM(AX232:AX252)</f>
        <v>10120</v>
      </c>
      <c r="AY231" s="78">
        <f>SUM(AY232:AY252)</f>
        <v>10788</v>
      </c>
      <c r="AZ231" s="41">
        <f t="shared" si="173"/>
        <v>0.93807934742306265</v>
      </c>
      <c r="BA231" s="78"/>
      <c r="BB231" s="78"/>
      <c r="BC231" s="40" t="str">
        <f t="shared" si="174"/>
        <v>-</v>
      </c>
    </row>
    <row r="232" spans="1:55" ht="14.25" customHeight="1">
      <c r="A232" s="12" t="s">
        <v>67</v>
      </c>
      <c r="B232" s="136">
        <v>3607</v>
      </c>
      <c r="C232" s="136">
        <v>4060</v>
      </c>
      <c r="D232" s="67">
        <f t="shared" si="153"/>
        <v>0.88842364532019702</v>
      </c>
      <c r="E232" s="136">
        <v>3050</v>
      </c>
      <c r="F232" s="136">
        <v>3222</v>
      </c>
      <c r="G232" s="67">
        <f t="shared" si="154"/>
        <v>0.94661700806952198</v>
      </c>
      <c r="H232" s="66">
        <f t="shared" si="155"/>
        <v>6657</v>
      </c>
      <c r="I232" s="66">
        <f t="shared" si="156"/>
        <v>7282</v>
      </c>
      <c r="J232" s="67">
        <f t="shared" si="157"/>
        <v>0.91417193078824499</v>
      </c>
      <c r="K232" s="80" t="s">
        <v>19</v>
      </c>
      <c r="L232" s="80" t="s">
        <v>19</v>
      </c>
      <c r="M232" s="80" t="str">
        <f t="shared" si="158"/>
        <v>-</v>
      </c>
      <c r="N232" s="80" t="s">
        <v>19</v>
      </c>
      <c r="O232" s="80" t="s">
        <v>19</v>
      </c>
      <c r="P232" s="80" t="str">
        <f t="shared" si="175"/>
        <v>-</v>
      </c>
      <c r="Q232" s="64">
        <f t="shared" si="159"/>
        <v>0</v>
      </c>
      <c r="R232" s="64">
        <f t="shared" si="160"/>
        <v>0</v>
      </c>
      <c r="S232" s="80" t="str">
        <f t="shared" si="161"/>
        <v>-</v>
      </c>
      <c r="T232" s="83" t="s">
        <v>19</v>
      </c>
      <c r="U232" s="83" t="s">
        <v>19</v>
      </c>
      <c r="V232" s="83" t="str">
        <f t="shared" si="162"/>
        <v>-</v>
      </c>
      <c r="W232" s="96" t="s">
        <v>19</v>
      </c>
      <c r="X232" s="96" t="s">
        <v>19</v>
      </c>
      <c r="Y232" s="83" t="str">
        <f t="shared" si="163"/>
        <v>-</v>
      </c>
      <c r="Z232" s="66">
        <f t="shared" si="164"/>
        <v>0</v>
      </c>
      <c r="AA232" s="66">
        <f t="shared" si="165"/>
        <v>0</v>
      </c>
      <c r="AB232" s="83" t="str">
        <f t="shared" si="166"/>
        <v>-</v>
      </c>
      <c r="AC232" s="139">
        <v>54538</v>
      </c>
      <c r="AD232" s="139">
        <v>63417</v>
      </c>
      <c r="AE232" s="21">
        <f t="shared" si="167"/>
        <v>0.85999022344166387</v>
      </c>
      <c r="AF232" s="139">
        <v>43713</v>
      </c>
      <c r="AG232" s="139">
        <v>53118</v>
      </c>
      <c r="AH232" s="21">
        <f t="shared" si="168"/>
        <v>0.82294137580481197</v>
      </c>
      <c r="AI232" s="70"/>
      <c r="AJ232" s="70"/>
      <c r="AK232" s="37" t="str">
        <f t="shared" si="169"/>
        <v>-</v>
      </c>
      <c r="AL232" s="44" t="s">
        <v>19</v>
      </c>
      <c r="AM232" s="44" t="s">
        <v>19</v>
      </c>
      <c r="AN232" s="44" t="s">
        <v>19</v>
      </c>
      <c r="AO232" s="44" t="s">
        <v>19</v>
      </c>
      <c r="AP232" s="44" t="s">
        <v>19</v>
      </c>
      <c r="AQ232" s="44" t="str">
        <f t="shared" si="170"/>
        <v>-</v>
      </c>
      <c r="AR232" s="69"/>
      <c r="AS232" s="69"/>
      <c r="AT232" s="44" t="str">
        <f t="shared" si="171"/>
        <v>-</v>
      </c>
      <c r="AU232" s="37" t="s">
        <v>19</v>
      </c>
      <c r="AV232" s="37" t="s">
        <v>19</v>
      </c>
      <c r="AW232" s="37" t="str">
        <f t="shared" si="172"/>
        <v>-</v>
      </c>
      <c r="AX232" s="37" t="s">
        <v>19</v>
      </c>
      <c r="AY232" s="37" t="s">
        <v>19</v>
      </c>
      <c r="AZ232" s="37" t="str">
        <f t="shared" si="173"/>
        <v>-</v>
      </c>
      <c r="BA232" s="70"/>
      <c r="BB232" s="70"/>
      <c r="BC232" s="37" t="str">
        <f t="shared" si="174"/>
        <v>-</v>
      </c>
    </row>
    <row r="233" spans="1:55" ht="14.25" customHeight="1">
      <c r="A233" s="12" t="s">
        <v>69</v>
      </c>
      <c r="B233" s="136">
        <v>157</v>
      </c>
      <c r="C233" s="136">
        <v>173</v>
      </c>
      <c r="D233" s="67">
        <f t="shared" si="153"/>
        <v>0.90751445086705207</v>
      </c>
      <c r="E233" s="136">
        <v>127</v>
      </c>
      <c r="F233" s="136">
        <v>132</v>
      </c>
      <c r="G233" s="67">
        <f t="shared" si="154"/>
        <v>0.96212121212121215</v>
      </c>
      <c r="H233" s="66">
        <f t="shared" si="155"/>
        <v>284</v>
      </c>
      <c r="I233" s="66">
        <f t="shared" si="156"/>
        <v>305</v>
      </c>
      <c r="J233" s="67">
        <f t="shared" si="157"/>
        <v>0.93114754098360653</v>
      </c>
      <c r="K233" s="200">
        <v>33</v>
      </c>
      <c r="L233" s="200">
        <v>44</v>
      </c>
      <c r="M233" s="65">
        <f t="shared" si="158"/>
        <v>0.75</v>
      </c>
      <c r="N233" s="200">
        <v>1</v>
      </c>
      <c r="O233" s="200">
        <v>2</v>
      </c>
      <c r="P233" s="65">
        <f t="shared" si="175"/>
        <v>0.5</v>
      </c>
      <c r="Q233" s="64">
        <f t="shared" si="159"/>
        <v>34</v>
      </c>
      <c r="R233" s="64">
        <f t="shared" si="160"/>
        <v>46</v>
      </c>
      <c r="S233" s="65">
        <f t="shared" si="161"/>
        <v>0.73913043478260865</v>
      </c>
      <c r="T233" s="136">
        <v>2</v>
      </c>
      <c r="U233" s="136">
        <v>3</v>
      </c>
      <c r="V233" s="67">
        <f t="shared" si="162"/>
        <v>0.66666666666666663</v>
      </c>
      <c r="W233" s="136">
        <v>45</v>
      </c>
      <c r="X233" s="136">
        <v>47</v>
      </c>
      <c r="Y233" s="67">
        <f t="shared" si="163"/>
        <v>0.95744680851063835</v>
      </c>
      <c r="Z233" s="66">
        <f t="shared" si="164"/>
        <v>47</v>
      </c>
      <c r="AA233" s="66">
        <f t="shared" si="165"/>
        <v>50</v>
      </c>
      <c r="AB233" s="67">
        <f t="shared" si="166"/>
        <v>0.94</v>
      </c>
      <c r="AC233" s="139">
        <v>5529</v>
      </c>
      <c r="AD233" s="139">
        <v>6294</v>
      </c>
      <c r="AE233" s="21">
        <f t="shared" si="167"/>
        <v>0.87845567206863684</v>
      </c>
      <c r="AF233" s="139">
        <v>4294</v>
      </c>
      <c r="AG233" s="139">
        <v>5061</v>
      </c>
      <c r="AH233" s="21">
        <f t="shared" si="168"/>
        <v>0.8484489231377198</v>
      </c>
      <c r="AI233" s="70"/>
      <c r="AJ233" s="70"/>
      <c r="AK233" s="37" t="str">
        <f t="shared" si="169"/>
        <v>-</v>
      </c>
      <c r="AL233" s="197">
        <v>57</v>
      </c>
      <c r="AM233" s="197">
        <v>66</v>
      </c>
      <c r="AN233" s="36">
        <f t="shared" ref="AN233:AN264" si="176">IFERROR(AL233/AM233,"-")</f>
        <v>0.86363636363636365</v>
      </c>
      <c r="AO233" s="197">
        <v>2</v>
      </c>
      <c r="AP233" s="197">
        <v>2</v>
      </c>
      <c r="AQ233" s="36">
        <f t="shared" si="170"/>
        <v>1</v>
      </c>
      <c r="AR233" s="69"/>
      <c r="AS233" s="69"/>
      <c r="AT233" s="44" t="str">
        <f t="shared" si="171"/>
        <v>-</v>
      </c>
      <c r="AU233" s="139">
        <v>24</v>
      </c>
      <c r="AV233" s="139">
        <v>24</v>
      </c>
      <c r="AW233" s="21">
        <f t="shared" si="172"/>
        <v>1</v>
      </c>
      <c r="AX233" s="139">
        <v>561</v>
      </c>
      <c r="AY233" s="139">
        <v>588</v>
      </c>
      <c r="AZ233" s="21">
        <f t="shared" si="173"/>
        <v>0.95408163265306123</v>
      </c>
      <c r="BA233" s="70"/>
      <c r="BB233" s="70"/>
      <c r="BC233" s="37" t="str">
        <f t="shared" si="174"/>
        <v>-</v>
      </c>
    </row>
    <row r="234" spans="1:55" ht="14.25" customHeight="1">
      <c r="A234" s="12" t="s">
        <v>70</v>
      </c>
      <c r="B234" s="136">
        <v>244</v>
      </c>
      <c r="C234" s="136">
        <v>268</v>
      </c>
      <c r="D234" s="67">
        <f t="shared" si="153"/>
        <v>0.91044776119402981</v>
      </c>
      <c r="E234" s="136">
        <v>304</v>
      </c>
      <c r="F234" s="136">
        <v>318</v>
      </c>
      <c r="G234" s="67">
        <f t="shared" si="154"/>
        <v>0.95597484276729561</v>
      </c>
      <c r="H234" s="66">
        <f t="shared" si="155"/>
        <v>548</v>
      </c>
      <c r="I234" s="66">
        <f t="shared" si="156"/>
        <v>586</v>
      </c>
      <c r="J234" s="67">
        <f t="shared" si="157"/>
        <v>0.93515358361774747</v>
      </c>
      <c r="K234" s="200">
        <v>21</v>
      </c>
      <c r="L234" s="200">
        <v>23</v>
      </c>
      <c r="M234" s="65">
        <f t="shared" si="158"/>
        <v>0.91304347826086951</v>
      </c>
      <c r="N234" s="200">
        <v>1</v>
      </c>
      <c r="O234" s="200">
        <v>2</v>
      </c>
      <c r="P234" s="65">
        <f t="shared" si="175"/>
        <v>0.5</v>
      </c>
      <c r="Q234" s="64">
        <f t="shared" si="159"/>
        <v>22</v>
      </c>
      <c r="R234" s="64">
        <f t="shared" si="160"/>
        <v>25</v>
      </c>
      <c r="S234" s="65">
        <f t="shared" si="161"/>
        <v>0.88</v>
      </c>
      <c r="T234" s="136">
        <v>16</v>
      </c>
      <c r="U234" s="136">
        <v>19</v>
      </c>
      <c r="V234" s="67">
        <f t="shared" si="162"/>
        <v>0.84210526315789469</v>
      </c>
      <c r="W234" s="136">
        <v>58</v>
      </c>
      <c r="X234" s="136">
        <v>61</v>
      </c>
      <c r="Y234" s="67">
        <f t="shared" si="163"/>
        <v>0.95081967213114749</v>
      </c>
      <c r="Z234" s="66">
        <f t="shared" si="164"/>
        <v>74</v>
      </c>
      <c r="AA234" s="66">
        <f t="shared" si="165"/>
        <v>80</v>
      </c>
      <c r="AB234" s="67">
        <f t="shared" si="166"/>
        <v>0.92500000000000004</v>
      </c>
      <c r="AC234" s="139">
        <v>10277</v>
      </c>
      <c r="AD234" s="139">
        <v>11745</v>
      </c>
      <c r="AE234" s="21">
        <f t="shared" si="167"/>
        <v>0.8750106428267348</v>
      </c>
      <c r="AF234" s="139">
        <v>9933</v>
      </c>
      <c r="AG234" s="139">
        <v>12828</v>
      </c>
      <c r="AH234" s="21">
        <f t="shared" si="168"/>
        <v>0.77432179607109453</v>
      </c>
      <c r="AI234" s="70"/>
      <c r="AJ234" s="70"/>
      <c r="AK234" s="37" t="str">
        <f t="shared" si="169"/>
        <v>-</v>
      </c>
      <c r="AL234" s="197">
        <v>41</v>
      </c>
      <c r="AM234" s="197">
        <v>63</v>
      </c>
      <c r="AN234" s="36">
        <f t="shared" si="176"/>
        <v>0.65079365079365081</v>
      </c>
      <c r="AO234" s="197">
        <v>2</v>
      </c>
      <c r="AP234" s="197">
        <v>2</v>
      </c>
      <c r="AQ234" s="36">
        <f t="shared" si="170"/>
        <v>1</v>
      </c>
      <c r="AR234" s="69"/>
      <c r="AS234" s="69"/>
      <c r="AT234" s="44" t="str">
        <f t="shared" si="171"/>
        <v>-</v>
      </c>
      <c r="AU234" s="139">
        <v>171</v>
      </c>
      <c r="AV234" s="139">
        <v>192</v>
      </c>
      <c r="AW234" s="21">
        <f t="shared" si="172"/>
        <v>0.890625</v>
      </c>
      <c r="AX234" s="139">
        <v>587</v>
      </c>
      <c r="AY234" s="139">
        <v>696</v>
      </c>
      <c r="AZ234" s="21">
        <f t="shared" si="173"/>
        <v>0.8433908045977011</v>
      </c>
      <c r="BA234" s="70"/>
      <c r="BB234" s="70"/>
      <c r="BC234" s="37" t="str">
        <f t="shared" si="174"/>
        <v>-</v>
      </c>
    </row>
    <row r="235" spans="1:55" ht="14.25" customHeight="1">
      <c r="A235" s="12" t="s">
        <v>71</v>
      </c>
      <c r="B235" s="136">
        <v>231</v>
      </c>
      <c r="C235" s="136">
        <v>270</v>
      </c>
      <c r="D235" s="67">
        <f t="shared" si="153"/>
        <v>0.85555555555555551</v>
      </c>
      <c r="E235" s="136">
        <v>199</v>
      </c>
      <c r="F235" s="136">
        <v>211</v>
      </c>
      <c r="G235" s="67">
        <f t="shared" si="154"/>
        <v>0.94312796208530802</v>
      </c>
      <c r="H235" s="66">
        <f t="shared" si="155"/>
        <v>430</v>
      </c>
      <c r="I235" s="66">
        <f t="shared" si="156"/>
        <v>481</v>
      </c>
      <c r="J235" s="67">
        <f t="shared" si="157"/>
        <v>0.89397089397089402</v>
      </c>
      <c r="K235" s="94" t="s">
        <v>19</v>
      </c>
      <c r="L235" s="94" t="s">
        <v>19</v>
      </c>
      <c r="M235" s="80" t="str">
        <f t="shared" si="158"/>
        <v>-</v>
      </c>
      <c r="N235" s="200">
        <v>41</v>
      </c>
      <c r="O235" s="200">
        <v>52</v>
      </c>
      <c r="P235" s="65">
        <f t="shared" si="175"/>
        <v>0.78846153846153844</v>
      </c>
      <c r="Q235" s="64">
        <f t="shared" si="159"/>
        <v>41</v>
      </c>
      <c r="R235" s="64">
        <f t="shared" si="160"/>
        <v>52</v>
      </c>
      <c r="S235" s="65">
        <f t="shared" si="161"/>
        <v>0.78846153846153844</v>
      </c>
      <c r="T235" s="136">
        <v>2</v>
      </c>
      <c r="U235" s="136">
        <v>2</v>
      </c>
      <c r="V235" s="67">
        <f t="shared" si="162"/>
        <v>1</v>
      </c>
      <c r="W235" s="136">
        <v>43</v>
      </c>
      <c r="X235" s="136">
        <v>44</v>
      </c>
      <c r="Y235" s="67">
        <f t="shared" si="163"/>
        <v>0.97727272727272729</v>
      </c>
      <c r="Z235" s="66">
        <f t="shared" si="164"/>
        <v>45</v>
      </c>
      <c r="AA235" s="66">
        <f t="shared" si="165"/>
        <v>46</v>
      </c>
      <c r="AB235" s="67">
        <f t="shared" si="166"/>
        <v>0.97826086956521741</v>
      </c>
      <c r="AC235" s="139">
        <v>8932</v>
      </c>
      <c r="AD235" s="139">
        <v>10329</v>
      </c>
      <c r="AE235" s="21">
        <f t="shared" si="167"/>
        <v>0.86474973375931841</v>
      </c>
      <c r="AF235" s="139">
        <v>4858</v>
      </c>
      <c r="AG235" s="139">
        <v>5922</v>
      </c>
      <c r="AH235" s="21">
        <f t="shared" si="168"/>
        <v>0.82033096926713944</v>
      </c>
      <c r="AI235" s="70"/>
      <c r="AJ235" s="70"/>
      <c r="AK235" s="37" t="str">
        <f t="shared" si="169"/>
        <v>-</v>
      </c>
      <c r="AL235" s="104" t="s">
        <v>19</v>
      </c>
      <c r="AM235" s="104" t="s">
        <v>19</v>
      </c>
      <c r="AN235" s="44" t="str">
        <f t="shared" si="176"/>
        <v>-</v>
      </c>
      <c r="AO235" s="197">
        <v>75</v>
      </c>
      <c r="AP235" s="197">
        <v>82</v>
      </c>
      <c r="AQ235" s="36">
        <f t="shared" si="170"/>
        <v>0.91463414634146345</v>
      </c>
      <c r="AR235" s="69"/>
      <c r="AS235" s="69"/>
      <c r="AT235" s="44" t="str">
        <f t="shared" si="171"/>
        <v>-</v>
      </c>
      <c r="AU235" s="139">
        <v>19</v>
      </c>
      <c r="AV235" s="139">
        <v>24</v>
      </c>
      <c r="AW235" s="21">
        <f t="shared" si="172"/>
        <v>0.79166666666666663</v>
      </c>
      <c r="AX235" s="139">
        <v>463</v>
      </c>
      <c r="AY235" s="139">
        <v>516</v>
      </c>
      <c r="AZ235" s="21">
        <f t="shared" si="173"/>
        <v>0.8972868217054264</v>
      </c>
      <c r="BA235" s="70"/>
      <c r="BB235" s="70"/>
      <c r="BC235" s="37" t="str">
        <f t="shared" si="174"/>
        <v>-</v>
      </c>
    </row>
    <row r="236" spans="1:55" ht="14.25" customHeight="1">
      <c r="A236" s="12" t="s">
        <v>72</v>
      </c>
      <c r="B236" s="136">
        <v>10</v>
      </c>
      <c r="C236" s="136">
        <v>11</v>
      </c>
      <c r="D236" s="67">
        <f t="shared" si="153"/>
        <v>0.90909090909090906</v>
      </c>
      <c r="E236" s="136">
        <v>17</v>
      </c>
      <c r="F236" s="136">
        <v>21</v>
      </c>
      <c r="G236" s="67">
        <f t="shared" si="154"/>
        <v>0.80952380952380953</v>
      </c>
      <c r="H236" s="66">
        <f t="shared" si="155"/>
        <v>27</v>
      </c>
      <c r="I236" s="66">
        <f t="shared" si="156"/>
        <v>32</v>
      </c>
      <c r="J236" s="67">
        <f t="shared" si="157"/>
        <v>0.84375</v>
      </c>
      <c r="K236" s="94" t="s">
        <v>19</v>
      </c>
      <c r="L236" s="94" t="s">
        <v>19</v>
      </c>
      <c r="M236" s="80" t="str">
        <f t="shared" si="158"/>
        <v>-</v>
      </c>
      <c r="N236" s="94" t="s">
        <v>19</v>
      </c>
      <c r="O236" s="94" t="s">
        <v>19</v>
      </c>
      <c r="P236" s="80" t="str">
        <f t="shared" si="175"/>
        <v>-</v>
      </c>
      <c r="Q236" s="64">
        <f t="shared" si="159"/>
        <v>0</v>
      </c>
      <c r="R236" s="64">
        <f t="shared" si="160"/>
        <v>0</v>
      </c>
      <c r="S236" s="80" t="str">
        <f t="shared" si="161"/>
        <v>-</v>
      </c>
      <c r="T236" s="96" t="s">
        <v>19</v>
      </c>
      <c r="U236" s="96" t="s">
        <v>19</v>
      </c>
      <c r="V236" s="83" t="str">
        <f t="shared" si="162"/>
        <v>-</v>
      </c>
      <c r="W236" s="96" t="s">
        <v>19</v>
      </c>
      <c r="X236" s="96" t="s">
        <v>19</v>
      </c>
      <c r="Y236" s="83" t="str">
        <f t="shared" si="163"/>
        <v>-</v>
      </c>
      <c r="Z236" s="66">
        <f t="shared" si="164"/>
        <v>0</v>
      </c>
      <c r="AA236" s="66">
        <f t="shared" si="165"/>
        <v>0</v>
      </c>
      <c r="AB236" s="83" t="str">
        <f t="shared" si="166"/>
        <v>-</v>
      </c>
      <c r="AC236" s="139">
        <v>415</v>
      </c>
      <c r="AD236" s="139">
        <v>420</v>
      </c>
      <c r="AE236" s="21">
        <f t="shared" si="167"/>
        <v>0.98809523809523814</v>
      </c>
      <c r="AF236" s="139">
        <v>642</v>
      </c>
      <c r="AG236" s="139">
        <v>660</v>
      </c>
      <c r="AH236" s="21">
        <f t="shared" si="168"/>
        <v>0.97272727272727277</v>
      </c>
      <c r="AI236" s="70"/>
      <c r="AJ236" s="70"/>
      <c r="AK236" s="37" t="str">
        <f t="shared" si="169"/>
        <v>-</v>
      </c>
      <c r="AL236" s="104" t="s">
        <v>19</v>
      </c>
      <c r="AM236" s="104" t="s">
        <v>19</v>
      </c>
      <c r="AN236" s="44" t="str">
        <f t="shared" si="176"/>
        <v>-</v>
      </c>
      <c r="AO236" s="104" t="s">
        <v>19</v>
      </c>
      <c r="AP236" s="104" t="s">
        <v>19</v>
      </c>
      <c r="AQ236" s="44" t="str">
        <f t="shared" si="170"/>
        <v>-</v>
      </c>
      <c r="AR236" s="69"/>
      <c r="AS236" s="69"/>
      <c r="AT236" s="44" t="str">
        <f t="shared" si="171"/>
        <v>-</v>
      </c>
      <c r="AU236" s="81" t="s">
        <v>19</v>
      </c>
      <c r="AV236" s="81" t="s">
        <v>19</v>
      </c>
      <c r="AW236" s="37" t="str">
        <f t="shared" si="172"/>
        <v>-</v>
      </c>
      <c r="AX236" s="81" t="s">
        <v>19</v>
      </c>
      <c r="AY236" s="81" t="s">
        <v>19</v>
      </c>
      <c r="AZ236" s="37" t="str">
        <f t="shared" si="173"/>
        <v>-</v>
      </c>
      <c r="BA236" s="70"/>
      <c r="BB236" s="70"/>
      <c r="BC236" s="37" t="str">
        <f t="shared" si="174"/>
        <v>-</v>
      </c>
    </row>
    <row r="237" spans="1:55" ht="14.25" customHeight="1">
      <c r="A237" s="12" t="s">
        <v>73</v>
      </c>
      <c r="B237" s="136">
        <v>8</v>
      </c>
      <c r="C237" s="136">
        <v>10</v>
      </c>
      <c r="D237" s="67">
        <f t="shared" si="153"/>
        <v>0.8</v>
      </c>
      <c r="E237" s="136">
        <v>5</v>
      </c>
      <c r="F237" s="136">
        <v>5</v>
      </c>
      <c r="G237" s="67">
        <f t="shared" si="154"/>
        <v>1</v>
      </c>
      <c r="H237" s="66">
        <f t="shared" si="155"/>
        <v>13</v>
      </c>
      <c r="I237" s="66">
        <f t="shared" si="156"/>
        <v>15</v>
      </c>
      <c r="J237" s="67">
        <f t="shared" si="157"/>
        <v>0.8666666666666667</v>
      </c>
      <c r="K237" s="200">
        <v>1</v>
      </c>
      <c r="L237" s="200">
        <v>2</v>
      </c>
      <c r="M237" s="65">
        <f t="shared" si="158"/>
        <v>0.5</v>
      </c>
      <c r="N237" s="200">
        <v>1</v>
      </c>
      <c r="O237" s="200">
        <v>1</v>
      </c>
      <c r="P237" s="65">
        <f t="shared" si="175"/>
        <v>1</v>
      </c>
      <c r="Q237" s="64">
        <f t="shared" si="159"/>
        <v>2</v>
      </c>
      <c r="R237" s="64">
        <f t="shared" si="160"/>
        <v>3</v>
      </c>
      <c r="S237" s="65">
        <f t="shared" si="161"/>
        <v>0.66666666666666663</v>
      </c>
      <c r="T237" s="136">
        <v>6</v>
      </c>
      <c r="U237" s="136">
        <v>9</v>
      </c>
      <c r="V237" s="67">
        <f t="shared" si="162"/>
        <v>0.66666666666666663</v>
      </c>
      <c r="W237" s="136">
        <v>6</v>
      </c>
      <c r="X237" s="136">
        <v>6</v>
      </c>
      <c r="Y237" s="67">
        <f t="shared" si="163"/>
        <v>1</v>
      </c>
      <c r="Z237" s="66">
        <f t="shared" si="164"/>
        <v>12</v>
      </c>
      <c r="AA237" s="66">
        <f t="shared" si="165"/>
        <v>15</v>
      </c>
      <c r="AB237" s="67">
        <f t="shared" si="166"/>
        <v>0.8</v>
      </c>
      <c r="AC237" s="139">
        <v>124</v>
      </c>
      <c r="AD237" s="139">
        <v>141</v>
      </c>
      <c r="AE237" s="21">
        <f t="shared" si="167"/>
        <v>0.87943262411347523</v>
      </c>
      <c r="AF237" s="139">
        <v>93</v>
      </c>
      <c r="AG237" s="139">
        <v>102</v>
      </c>
      <c r="AH237" s="21">
        <f t="shared" si="168"/>
        <v>0.91176470588235292</v>
      </c>
      <c r="AI237" s="70"/>
      <c r="AJ237" s="70"/>
      <c r="AK237" s="37" t="str">
        <f t="shared" si="169"/>
        <v>-</v>
      </c>
      <c r="AL237" s="197">
        <v>3</v>
      </c>
      <c r="AM237" s="197">
        <v>3</v>
      </c>
      <c r="AN237" s="36">
        <f t="shared" si="176"/>
        <v>1</v>
      </c>
      <c r="AO237" s="197">
        <v>1</v>
      </c>
      <c r="AP237" s="197">
        <v>2</v>
      </c>
      <c r="AQ237" s="36">
        <f t="shared" si="170"/>
        <v>0.5</v>
      </c>
      <c r="AR237" s="69"/>
      <c r="AS237" s="69"/>
      <c r="AT237" s="44" t="str">
        <f t="shared" si="171"/>
        <v>-</v>
      </c>
      <c r="AU237" s="139">
        <v>61</v>
      </c>
      <c r="AV237" s="139">
        <v>72</v>
      </c>
      <c r="AW237" s="21">
        <f t="shared" si="172"/>
        <v>0.84722222222222221</v>
      </c>
      <c r="AX237" s="139">
        <v>72</v>
      </c>
      <c r="AY237" s="139">
        <v>72</v>
      </c>
      <c r="AZ237" s="21">
        <f t="shared" si="173"/>
        <v>1</v>
      </c>
      <c r="BA237" s="70"/>
      <c r="BB237" s="70"/>
      <c r="BC237" s="37" t="str">
        <f t="shared" si="174"/>
        <v>-</v>
      </c>
    </row>
    <row r="238" spans="1:55" ht="14.25" customHeight="1">
      <c r="A238" s="12" t="s">
        <v>74</v>
      </c>
      <c r="B238" s="136">
        <v>174</v>
      </c>
      <c r="C238" s="136">
        <v>189</v>
      </c>
      <c r="D238" s="67">
        <f t="shared" si="153"/>
        <v>0.92063492063492058</v>
      </c>
      <c r="E238" s="136">
        <v>170</v>
      </c>
      <c r="F238" s="136">
        <v>182</v>
      </c>
      <c r="G238" s="67">
        <f t="shared" si="154"/>
        <v>0.93406593406593408</v>
      </c>
      <c r="H238" s="66">
        <f t="shared" si="155"/>
        <v>344</v>
      </c>
      <c r="I238" s="66">
        <f t="shared" si="156"/>
        <v>371</v>
      </c>
      <c r="J238" s="67">
        <f t="shared" si="157"/>
        <v>0.92722371967654982</v>
      </c>
      <c r="K238" s="94" t="s">
        <v>19</v>
      </c>
      <c r="L238" s="94" t="s">
        <v>19</v>
      </c>
      <c r="M238" s="80" t="str">
        <f t="shared" si="158"/>
        <v>-</v>
      </c>
      <c r="N238" s="94" t="s">
        <v>19</v>
      </c>
      <c r="O238" s="94" t="s">
        <v>19</v>
      </c>
      <c r="P238" s="80" t="str">
        <f t="shared" si="175"/>
        <v>-</v>
      </c>
      <c r="Q238" s="64">
        <f t="shared" si="159"/>
        <v>0</v>
      </c>
      <c r="R238" s="64">
        <f t="shared" si="160"/>
        <v>0</v>
      </c>
      <c r="S238" s="80" t="str">
        <f t="shared" si="161"/>
        <v>-</v>
      </c>
      <c r="T238" s="96" t="s">
        <v>19</v>
      </c>
      <c r="U238" s="96" t="s">
        <v>19</v>
      </c>
      <c r="V238" s="83" t="str">
        <f t="shared" si="162"/>
        <v>-</v>
      </c>
      <c r="W238" s="136">
        <v>40</v>
      </c>
      <c r="X238" s="136">
        <v>40</v>
      </c>
      <c r="Y238" s="67">
        <f t="shared" si="163"/>
        <v>1</v>
      </c>
      <c r="Z238" s="66">
        <f t="shared" si="164"/>
        <v>40</v>
      </c>
      <c r="AA238" s="66">
        <f t="shared" si="165"/>
        <v>40</v>
      </c>
      <c r="AB238" s="67">
        <f t="shared" si="166"/>
        <v>1</v>
      </c>
      <c r="AC238" s="139">
        <v>8266</v>
      </c>
      <c r="AD238" s="139">
        <v>9570</v>
      </c>
      <c r="AE238" s="21">
        <f t="shared" si="167"/>
        <v>0.86374085684430513</v>
      </c>
      <c r="AF238" s="139">
        <v>5988</v>
      </c>
      <c r="AG238" s="139">
        <v>6768</v>
      </c>
      <c r="AH238" s="21">
        <f t="shared" si="168"/>
        <v>0.88475177304964536</v>
      </c>
      <c r="AI238" s="70"/>
      <c r="AJ238" s="70"/>
      <c r="AK238" s="37" t="str">
        <f t="shared" si="169"/>
        <v>-</v>
      </c>
      <c r="AL238" s="104" t="s">
        <v>19</v>
      </c>
      <c r="AM238" s="104" t="s">
        <v>19</v>
      </c>
      <c r="AN238" s="44" t="str">
        <f t="shared" si="176"/>
        <v>-</v>
      </c>
      <c r="AO238" s="104" t="s">
        <v>19</v>
      </c>
      <c r="AP238" s="104" t="s">
        <v>19</v>
      </c>
      <c r="AQ238" s="44" t="str">
        <f t="shared" si="170"/>
        <v>-</v>
      </c>
      <c r="AR238" s="69"/>
      <c r="AS238" s="69"/>
      <c r="AT238" s="44" t="str">
        <f t="shared" si="171"/>
        <v>-</v>
      </c>
      <c r="AU238" s="81" t="s">
        <v>19</v>
      </c>
      <c r="AV238" s="81" t="s">
        <v>19</v>
      </c>
      <c r="AW238" s="37" t="str">
        <f t="shared" si="172"/>
        <v>-</v>
      </c>
      <c r="AX238" s="139">
        <v>432</v>
      </c>
      <c r="AY238" s="139">
        <v>480</v>
      </c>
      <c r="AZ238" s="21">
        <f t="shared" si="173"/>
        <v>0.9</v>
      </c>
      <c r="BA238" s="70"/>
      <c r="BB238" s="70"/>
      <c r="BC238" s="37" t="str">
        <f t="shared" si="174"/>
        <v>-</v>
      </c>
    </row>
    <row r="239" spans="1:55" ht="14.25" customHeight="1">
      <c r="A239" s="12" t="s">
        <v>75</v>
      </c>
      <c r="B239" s="136">
        <v>72</v>
      </c>
      <c r="C239" s="136">
        <v>74</v>
      </c>
      <c r="D239" s="67">
        <f t="shared" si="153"/>
        <v>0.97297297297297303</v>
      </c>
      <c r="E239" s="136">
        <v>68</v>
      </c>
      <c r="F239" s="136">
        <v>73</v>
      </c>
      <c r="G239" s="67">
        <f t="shared" si="154"/>
        <v>0.93150684931506844</v>
      </c>
      <c r="H239" s="66">
        <f t="shared" si="155"/>
        <v>140</v>
      </c>
      <c r="I239" s="66">
        <f t="shared" si="156"/>
        <v>147</v>
      </c>
      <c r="J239" s="67">
        <f t="shared" si="157"/>
        <v>0.95238095238095233</v>
      </c>
      <c r="K239" s="200">
        <v>13</v>
      </c>
      <c r="L239" s="200">
        <v>14</v>
      </c>
      <c r="M239" s="65">
        <f t="shared" si="158"/>
        <v>0.9285714285714286</v>
      </c>
      <c r="N239" s="200">
        <v>0</v>
      </c>
      <c r="O239" s="200">
        <v>1</v>
      </c>
      <c r="P239" s="65">
        <f t="shared" si="175"/>
        <v>0</v>
      </c>
      <c r="Q239" s="64">
        <f t="shared" si="159"/>
        <v>13</v>
      </c>
      <c r="R239" s="64">
        <f t="shared" si="160"/>
        <v>15</v>
      </c>
      <c r="S239" s="65">
        <f t="shared" si="161"/>
        <v>0.8666666666666667</v>
      </c>
      <c r="T239" s="136">
        <v>1</v>
      </c>
      <c r="U239" s="136">
        <v>1</v>
      </c>
      <c r="V239" s="67">
        <f t="shared" si="162"/>
        <v>1</v>
      </c>
      <c r="W239" s="136">
        <v>11</v>
      </c>
      <c r="X239" s="136">
        <v>13</v>
      </c>
      <c r="Y239" s="67">
        <f t="shared" si="163"/>
        <v>0.84615384615384615</v>
      </c>
      <c r="Z239" s="66">
        <f t="shared" si="164"/>
        <v>12</v>
      </c>
      <c r="AA239" s="66">
        <f t="shared" si="165"/>
        <v>14</v>
      </c>
      <c r="AB239" s="67">
        <f t="shared" si="166"/>
        <v>0.8571428571428571</v>
      </c>
      <c r="AC239" s="139">
        <v>3031</v>
      </c>
      <c r="AD239" s="139">
        <v>3471</v>
      </c>
      <c r="AE239" s="21">
        <f t="shared" si="167"/>
        <v>0.87323537885335634</v>
      </c>
      <c r="AF239" s="139">
        <v>2874</v>
      </c>
      <c r="AG239" s="139">
        <v>3540</v>
      </c>
      <c r="AH239" s="21">
        <f t="shared" si="168"/>
        <v>0.81186440677966099</v>
      </c>
      <c r="AI239" s="70"/>
      <c r="AJ239" s="70"/>
      <c r="AK239" s="37" t="str">
        <f t="shared" si="169"/>
        <v>-</v>
      </c>
      <c r="AL239" s="197">
        <v>23</v>
      </c>
      <c r="AM239" s="197">
        <v>26</v>
      </c>
      <c r="AN239" s="36">
        <f t="shared" si="176"/>
        <v>0.88461538461538458</v>
      </c>
      <c r="AO239" s="104" t="s">
        <v>19</v>
      </c>
      <c r="AP239" s="104" t="s">
        <v>19</v>
      </c>
      <c r="AQ239" s="44" t="str">
        <f t="shared" si="170"/>
        <v>-</v>
      </c>
      <c r="AR239" s="69"/>
      <c r="AS239" s="69"/>
      <c r="AT239" s="44" t="str">
        <f t="shared" si="171"/>
        <v>-</v>
      </c>
      <c r="AU239" s="139">
        <v>18</v>
      </c>
      <c r="AV239" s="139">
        <v>24</v>
      </c>
      <c r="AW239" s="21">
        <f t="shared" si="172"/>
        <v>0.75</v>
      </c>
      <c r="AX239" s="139">
        <v>229</v>
      </c>
      <c r="AY239" s="139">
        <v>264</v>
      </c>
      <c r="AZ239" s="21">
        <f t="shared" si="173"/>
        <v>0.86742424242424243</v>
      </c>
      <c r="BA239" s="70"/>
      <c r="BB239" s="70"/>
      <c r="BC239" s="37" t="str">
        <f t="shared" si="174"/>
        <v>-</v>
      </c>
    </row>
    <row r="240" spans="1:55" ht="14.25" customHeight="1">
      <c r="A240" s="12" t="s">
        <v>76</v>
      </c>
      <c r="B240" s="136">
        <v>201</v>
      </c>
      <c r="C240" s="136">
        <v>247</v>
      </c>
      <c r="D240" s="67">
        <f t="shared" si="153"/>
        <v>0.81376518218623484</v>
      </c>
      <c r="E240" s="136">
        <v>168</v>
      </c>
      <c r="F240" s="136">
        <v>171</v>
      </c>
      <c r="G240" s="67">
        <f t="shared" si="154"/>
        <v>0.98245614035087714</v>
      </c>
      <c r="H240" s="66">
        <f t="shared" si="155"/>
        <v>369</v>
      </c>
      <c r="I240" s="66">
        <f t="shared" si="156"/>
        <v>418</v>
      </c>
      <c r="J240" s="67">
        <f t="shared" si="157"/>
        <v>0.88277511961722488</v>
      </c>
      <c r="K240" s="200">
        <v>2</v>
      </c>
      <c r="L240" s="200">
        <v>5</v>
      </c>
      <c r="M240" s="65">
        <f t="shared" si="158"/>
        <v>0.4</v>
      </c>
      <c r="N240" s="200">
        <v>70</v>
      </c>
      <c r="O240" s="200">
        <v>80</v>
      </c>
      <c r="P240" s="65">
        <f t="shared" si="175"/>
        <v>0.875</v>
      </c>
      <c r="Q240" s="64">
        <f t="shared" si="159"/>
        <v>72</v>
      </c>
      <c r="R240" s="64">
        <f t="shared" si="160"/>
        <v>85</v>
      </c>
      <c r="S240" s="65">
        <f t="shared" si="161"/>
        <v>0.84705882352941175</v>
      </c>
      <c r="T240" s="136">
        <v>46</v>
      </c>
      <c r="U240" s="136">
        <v>72</v>
      </c>
      <c r="V240" s="67">
        <f t="shared" si="162"/>
        <v>0.63888888888888884</v>
      </c>
      <c r="W240" s="136">
        <v>1</v>
      </c>
      <c r="X240" s="136">
        <v>1</v>
      </c>
      <c r="Y240" s="67">
        <f t="shared" si="163"/>
        <v>1</v>
      </c>
      <c r="Z240" s="66">
        <f t="shared" si="164"/>
        <v>47</v>
      </c>
      <c r="AA240" s="66">
        <f t="shared" si="165"/>
        <v>73</v>
      </c>
      <c r="AB240" s="67">
        <f t="shared" si="166"/>
        <v>0.64383561643835618</v>
      </c>
      <c r="AC240" s="139">
        <v>7810</v>
      </c>
      <c r="AD240" s="139">
        <v>9213</v>
      </c>
      <c r="AE240" s="21">
        <f t="shared" si="167"/>
        <v>0.84771518506458265</v>
      </c>
      <c r="AF240" s="139">
        <v>9107</v>
      </c>
      <c r="AG240" s="139">
        <v>11262</v>
      </c>
      <c r="AH240" s="21">
        <f t="shared" si="168"/>
        <v>0.80864855265494584</v>
      </c>
      <c r="AI240" s="70"/>
      <c r="AJ240" s="70"/>
      <c r="AK240" s="37" t="str">
        <f t="shared" si="169"/>
        <v>-</v>
      </c>
      <c r="AL240" s="197">
        <v>8</v>
      </c>
      <c r="AM240" s="197">
        <v>8</v>
      </c>
      <c r="AN240" s="36">
        <f t="shared" si="176"/>
        <v>1</v>
      </c>
      <c r="AO240" s="197">
        <v>120</v>
      </c>
      <c r="AP240" s="197">
        <v>139</v>
      </c>
      <c r="AQ240" s="36">
        <f t="shared" si="170"/>
        <v>0.86330935251798557</v>
      </c>
      <c r="AR240" s="69"/>
      <c r="AS240" s="69"/>
      <c r="AT240" s="44" t="str">
        <f t="shared" si="171"/>
        <v>-</v>
      </c>
      <c r="AU240" s="139">
        <v>518</v>
      </c>
      <c r="AV240" s="139">
        <v>552</v>
      </c>
      <c r="AW240" s="21">
        <f t="shared" si="172"/>
        <v>0.93840579710144922</v>
      </c>
      <c r="AX240" s="139">
        <v>10</v>
      </c>
      <c r="AY240" s="139">
        <v>12</v>
      </c>
      <c r="AZ240" s="21">
        <f t="shared" si="173"/>
        <v>0.83333333333333337</v>
      </c>
      <c r="BA240" s="70"/>
      <c r="BB240" s="70"/>
      <c r="BC240" s="37" t="str">
        <f t="shared" si="174"/>
        <v>-</v>
      </c>
    </row>
    <row r="241" spans="1:55" ht="14.25" customHeight="1">
      <c r="A241" s="12" t="s">
        <v>77</v>
      </c>
      <c r="B241" s="136">
        <v>243</v>
      </c>
      <c r="C241" s="136">
        <v>279</v>
      </c>
      <c r="D241" s="67">
        <f t="shared" si="153"/>
        <v>0.87096774193548387</v>
      </c>
      <c r="E241" s="136">
        <v>285</v>
      </c>
      <c r="F241" s="136">
        <v>305</v>
      </c>
      <c r="G241" s="67">
        <f t="shared" si="154"/>
        <v>0.93442622950819676</v>
      </c>
      <c r="H241" s="66">
        <f t="shared" si="155"/>
        <v>528</v>
      </c>
      <c r="I241" s="66">
        <f t="shared" si="156"/>
        <v>584</v>
      </c>
      <c r="J241" s="67">
        <f t="shared" si="157"/>
        <v>0.90410958904109584</v>
      </c>
      <c r="K241" s="200">
        <v>49</v>
      </c>
      <c r="L241" s="200">
        <v>77</v>
      </c>
      <c r="M241" s="65">
        <f t="shared" si="158"/>
        <v>0.63636363636363635</v>
      </c>
      <c r="N241" s="200">
        <v>4</v>
      </c>
      <c r="O241" s="200">
        <v>5</v>
      </c>
      <c r="P241" s="65">
        <f t="shared" si="175"/>
        <v>0.8</v>
      </c>
      <c r="Q241" s="64">
        <f t="shared" si="159"/>
        <v>53</v>
      </c>
      <c r="R241" s="64">
        <f t="shared" si="160"/>
        <v>82</v>
      </c>
      <c r="S241" s="65">
        <f t="shared" si="161"/>
        <v>0.64634146341463417</v>
      </c>
      <c r="T241" s="136">
        <v>2</v>
      </c>
      <c r="U241" s="136">
        <v>2</v>
      </c>
      <c r="V241" s="67">
        <f t="shared" si="162"/>
        <v>1</v>
      </c>
      <c r="W241" s="136">
        <v>82</v>
      </c>
      <c r="X241" s="136">
        <v>83</v>
      </c>
      <c r="Y241" s="67">
        <f t="shared" si="163"/>
        <v>0.98795180722891562</v>
      </c>
      <c r="Z241" s="66">
        <f t="shared" si="164"/>
        <v>84</v>
      </c>
      <c r="AA241" s="66">
        <f t="shared" si="165"/>
        <v>85</v>
      </c>
      <c r="AB241" s="67">
        <f t="shared" si="166"/>
        <v>0.9882352941176471</v>
      </c>
      <c r="AC241" s="139">
        <v>8631</v>
      </c>
      <c r="AD241" s="139">
        <v>9909</v>
      </c>
      <c r="AE241" s="21">
        <f t="shared" si="167"/>
        <v>0.87102633969118981</v>
      </c>
      <c r="AF241" s="139">
        <v>9677</v>
      </c>
      <c r="AG241" s="139">
        <v>11478</v>
      </c>
      <c r="AH241" s="21">
        <f t="shared" si="168"/>
        <v>0.84309113085903464</v>
      </c>
      <c r="AI241" s="70"/>
      <c r="AJ241" s="70"/>
      <c r="AK241" s="37" t="str">
        <f t="shared" si="169"/>
        <v>-</v>
      </c>
      <c r="AL241" s="197">
        <v>84</v>
      </c>
      <c r="AM241" s="197">
        <v>97</v>
      </c>
      <c r="AN241" s="36">
        <f t="shared" si="176"/>
        <v>0.865979381443299</v>
      </c>
      <c r="AO241" s="197">
        <v>5</v>
      </c>
      <c r="AP241" s="197">
        <v>8</v>
      </c>
      <c r="AQ241" s="36">
        <f t="shared" si="170"/>
        <v>0.625</v>
      </c>
      <c r="AR241" s="69"/>
      <c r="AS241" s="69"/>
      <c r="AT241" s="44" t="str">
        <f t="shared" si="171"/>
        <v>-</v>
      </c>
      <c r="AU241" s="139">
        <v>24</v>
      </c>
      <c r="AV241" s="139">
        <v>24</v>
      </c>
      <c r="AW241" s="21">
        <f t="shared" si="172"/>
        <v>1</v>
      </c>
      <c r="AX241" s="139">
        <v>953</v>
      </c>
      <c r="AY241" s="139">
        <v>984</v>
      </c>
      <c r="AZ241" s="21">
        <f t="shared" si="173"/>
        <v>0.9684959349593496</v>
      </c>
      <c r="BA241" s="70"/>
      <c r="BB241" s="70"/>
      <c r="BC241" s="37" t="str">
        <f t="shared" si="174"/>
        <v>-</v>
      </c>
    </row>
    <row r="242" spans="1:55" ht="14.25" customHeight="1">
      <c r="A242" s="12" t="s">
        <v>78</v>
      </c>
      <c r="B242" s="136">
        <v>1371</v>
      </c>
      <c r="C242" s="136">
        <v>1521</v>
      </c>
      <c r="D242" s="67">
        <f t="shared" si="153"/>
        <v>0.90138067061143989</v>
      </c>
      <c r="E242" s="136">
        <v>1445</v>
      </c>
      <c r="F242" s="136">
        <v>1531</v>
      </c>
      <c r="G242" s="67">
        <f t="shared" si="154"/>
        <v>0.94382756368386678</v>
      </c>
      <c r="H242" s="66">
        <f t="shared" si="155"/>
        <v>2816</v>
      </c>
      <c r="I242" s="66">
        <f t="shared" si="156"/>
        <v>3052</v>
      </c>
      <c r="J242" s="67">
        <f t="shared" si="157"/>
        <v>0.92267365661861078</v>
      </c>
      <c r="K242" s="200">
        <v>295</v>
      </c>
      <c r="L242" s="200">
        <v>381</v>
      </c>
      <c r="M242" s="65">
        <f t="shared" si="158"/>
        <v>0.77427821522309714</v>
      </c>
      <c r="N242" s="200">
        <v>16</v>
      </c>
      <c r="O242" s="200">
        <v>21</v>
      </c>
      <c r="P242" s="65">
        <f t="shared" si="175"/>
        <v>0.76190476190476186</v>
      </c>
      <c r="Q242" s="64">
        <f t="shared" si="159"/>
        <v>311</v>
      </c>
      <c r="R242" s="64">
        <f t="shared" si="160"/>
        <v>402</v>
      </c>
      <c r="S242" s="65">
        <f t="shared" si="161"/>
        <v>0.77363184079601988</v>
      </c>
      <c r="T242" s="136">
        <v>24</v>
      </c>
      <c r="U242" s="136">
        <v>30</v>
      </c>
      <c r="V242" s="67">
        <f t="shared" si="162"/>
        <v>0.8</v>
      </c>
      <c r="W242" s="136">
        <v>360</v>
      </c>
      <c r="X242" s="136">
        <v>363</v>
      </c>
      <c r="Y242" s="67">
        <f t="shared" si="163"/>
        <v>0.99173553719008267</v>
      </c>
      <c r="Z242" s="66">
        <f t="shared" si="164"/>
        <v>384</v>
      </c>
      <c r="AA242" s="66">
        <f t="shared" si="165"/>
        <v>393</v>
      </c>
      <c r="AB242" s="67">
        <f t="shared" si="166"/>
        <v>0.97709923664122134</v>
      </c>
      <c r="AC242" s="139">
        <v>44513</v>
      </c>
      <c r="AD242" s="139">
        <v>49707</v>
      </c>
      <c r="AE242" s="21">
        <f t="shared" si="167"/>
        <v>0.89550767497535555</v>
      </c>
      <c r="AF242" s="139">
        <v>45734</v>
      </c>
      <c r="AG242" s="139">
        <v>51390</v>
      </c>
      <c r="AH242" s="21">
        <f t="shared" si="168"/>
        <v>0.88993967697995724</v>
      </c>
      <c r="AI242" s="70"/>
      <c r="AJ242" s="70"/>
      <c r="AK242" s="37" t="str">
        <f t="shared" si="169"/>
        <v>-</v>
      </c>
      <c r="AL242" s="197">
        <v>511</v>
      </c>
      <c r="AM242" s="197">
        <v>591</v>
      </c>
      <c r="AN242" s="36">
        <f t="shared" si="176"/>
        <v>0.86463620981387479</v>
      </c>
      <c r="AO242" s="197">
        <v>28</v>
      </c>
      <c r="AP242" s="197">
        <v>31</v>
      </c>
      <c r="AQ242" s="36">
        <f t="shared" si="170"/>
        <v>0.90322580645161288</v>
      </c>
      <c r="AR242" s="69"/>
      <c r="AS242" s="69"/>
      <c r="AT242" s="44" t="str">
        <f t="shared" si="171"/>
        <v>-</v>
      </c>
      <c r="AU242" s="139">
        <v>271</v>
      </c>
      <c r="AV242" s="139">
        <v>288</v>
      </c>
      <c r="AW242" s="21">
        <f t="shared" si="172"/>
        <v>0.94097222222222221</v>
      </c>
      <c r="AX242" s="139">
        <v>4093</v>
      </c>
      <c r="AY242" s="139">
        <v>4356</v>
      </c>
      <c r="AZ242" s="21">
        <f t="shared" si="173"/>
        <v>0.939623507805326</v>
      </c>
      <c r="BA242" s="70"/>
      <c r="BB242" s="70"/>
      <c r="BC242" s="37" t="str">
        <f t="shared" si="174"/>
        <v>-</v>
      </c>
    </row>
    <row r="243" spans="1:55" ht="14.25" customHeight="1">
      <c r="A243" s="12" t="s">
        <v>79</v>
      </c>
      <c r="B243" s="136">
        <v>188</v>
      </c>
      <c r="C243" s="136">
        <v>202</v>
      </c>
      <c r="D243" s="67">
        <f t="shared" si="153"/>
        <v>0.93069306930693074</v>
      </c>
      <c r="E243" s="136">
        <v>178</v>
      </c>
      <c r="F243" s="136">
        <v>189</v>
      </c>
      <c r="G243" s="67">
        <f t="shared" si="154"/>
        <v>0.94179894179894175</v>
      </c>
      <c r="H243" s="66">
        <f t="shared" si="155"/>
        <v>366</v>
      </c>
      <c r="I243" s="66">
        <f t="shared" si="156"/>
        <v>391</v>
      </c>
      <c r="J243" s="67">
        <f t="shared" si="157"/>
        <v>0.93606138107416881</v>
      </c>
      <c r="K243" s="200">
        <v>24</v>
      </c>
      <c r="L243" s="200">
        <v>29</v>
      </c>
      <c r="M243" s="65">
        <f t="shared" si="158"/>
        <v>0.82758620689655171</v>
      </c>
      <c r="N243" s="200">
        <v>2</v>
      </c>
      <c r="O243" s="200">
        <v>2</v>
      </c>
      <c r="P243" s="65">
        <f t="shared" si="175"/>
        <v>1</v>
      </c>
      <c r="Q243" s="64">
        <f t="shared" si="159"/>
        <v>26</v>
      </c>
      <c r="R243" s="64">
        <f t="shared" si="160"/>
        <v>31</v>
      </c>
      <c r="S243" s="65">
        <f t="shared" si="161"/>
        <v>0.83870967741935487</v>
      </c>
      <c r="T243" s="136">
        <v>7</v>
      </c>
      <c r="U243" s="136">
        <v>11</v>
      </c>
      <c r="V243" s="67">
        <f t="shared" si="162"/>
        <v>0.63636363636363635</v>
      </c>
      <c r="W243" s="136">
        <v>27</v>
      </c>
      <c r="X243" s="136">
        <v>28</v>
      </c>
      <c r="Y243" s="67">
        <f t="shared" si="163"/>
        <v>0.9642857142857143</v>
      </c>
      <c r="Z243" s="66">
        <f t="shared" si="164"/>
        <v>34</v>
      </c>
      <c r="AA243" s="66">
        <f t="shared" si="165"/>
        <v>39</v>
      </c>
      <c r="AB243" s="67">
        <f t="shared" si="166"/>
        <v>0.87179487179487181</v>
      </c>
      <c r="AC243" s="139">
        <v>6248</v>
      </c>
      <c r="AD243" s="139">
        <v>7647</v>
      </c>
      <c r="AE243" s="21">
        <f t="shared" si="167"/>
        <v>0.8170524388649143</v>
      </c>
      <c r="AF243" s="139">
        <v>5135</v>
      </c>
      <c r="AG243" s="139">
        <v>6507</v>
      </c>
      <c r="AH243" s="21">
        <f t="shared" si="168"/>
        <v>0.78915014599661903</v>
      </c>
      <c r="AI243" s="70"/>
      <c r="AJ243" s="70"/>
      <c r="AK243" s="37" t="str">
        <f t="shared" si="169"/>
        <v>-</v>
      </c>
      <c r="AL243" s="197">
        <v>57</v>
      </c>
      <c r="AM243" s="197">
        <v>71</v>
      </c>
      <c r="AN243" s="36">
        <f t="shared" si="176"/>
        <v>0.80281690140845074</v>
      </c>
      <c r="AO243" s="197">
        <v>4</v>
      </c>
      <c r="AP243" s="197">
        <v>4</v>
      </c>
      <c r="AQ243" s="36">
        <f t="shared" si="170"/>
        <v>1</v>
      </c>
      <c r="AR243" s="69"/>
      <c r="AS243" s="69"/>
      <c r="AT243" s="44" t="str">
        <f t="shared" si="171"/>
        <v>-</v>
      </c>
      <c r="AU243" s="139">
        <v>77</v>
      </c>
      <c r="AV243" s="139">
        <v>84</v>
      </c>
      <c r="AW243" s="21">
        <f t="shared" si="172"/>
        <v>0.91666666666666663</v>
      </c>
      <c r="AX243" s="139">
        <v>317</v>
      </c>
      <c r="AY243" s="139">
        <v>324</v>
      </c>
      <c r="AZ243" s="21">
        <f t="shared" si="173"/>
        <v>0.97839506172839508</v>
      </c>
      <c r="BA243" s="70"/>
      <c r="BB243" s="70"/>
      <c r="BC243" s="37" t="str">
        <f t="shared" si="174"/>
        <v>-</v>
      </c>
    </row>
    <row r="244" spans="1:55" ht="14.25" customHeight="1">
      <c r="A244" s="12" t="s">
        <v>80</v>
      </c>
      <c r="B244" s="136">
        <v>186</v>
      </c>
      <c r="C244" s="136">
        <v>214</v>
      </c>
      <c r="D244" s="67">
        <f t="shared" si="153"/>
        <v>0.86915887850467288</v>
      </c>
      <c r="E244" s="136">
        <v>192</v>
      </c>
      <c r="F244" s="136">
        <v>205</v>
      </c>
      <c r="G244" s="67">
        <f t="shared" si="154"/>
        <v>0.93658536585365859</v>
      </c>
      <c r="H244" s="66">
        <f t="shared" si="155"/>
        <v>378</v>
      </c>
      <c r="I244" s="66">
        <f t="shared" si="156"/>
        <v>419</v>
      </c>
      <c r="J244" s="67">
        <f t="shared" si="157"/>
        <v>0.90214797136038183</v>
      </c>
      <c r="K244" s="200">
        <v>37</v>
      </c>
      <c r="L244" s="200">
        <v>47</v>
      </c>
      <c r="M244" s="65">
        <f t="shared" si="158"/>
        <v>0.78723404255319152</v>
      </c>
      <c r="N244" s="200">
        <v>3</v>
      </c>
      <c r="O244" s="200">
        <v>4</v>
      </c>
      <c r="P244" s="65">
        <f t="shared" si="175"/>
        <v>0.75</v>
      </c>
      <c r="Q244" s="64">
        <f t="shared" si="159"/>
        <v>40</v>
      </c>
      <c r="R244" s="64">
        <f t="shared" si="160"/>
        <v>51</v>
      </c>
      <c r="S244" s="65">
        <f t="shared" si="161"/>
        <v>0.78431372549019607</v>
      </c>
      <c r="T244" s="136">
        <v>1</v>
      </c>
      <c r="U244" s="136">
        <v>1</v>
      </c>
      <c r="V244" s="67">
        <f t="shared" si="162"/>
        <v>1</v>
      </c>
      <c r="W244" s="136">
        <v>44</v>
      </c>
      <c r="X244" s="136">
        <v>45</v>
      </c>
      <c r="Y244" s="67">
        <f t="shared" si="163"/>
        <v>0.97777777777777775</v>
      </c>
      <c r="Z244" s="66">
        <f t="shared" si="164"/>
        <v>45</v>
      </c>
      <c r="AA244" s="66">
        <f t="shared" si="165"/>
        <v>46</v>
      </c>
      <c r="AB244" s="67">
        <f t="shared" si="166"/>
        <v>0.97826086956521741</v>
      </c>
      <c r="AC244" s="139">
        <v>7030</v>
      </c>
      <c r="AD244" s="139">
        <v>8052</v>
      </c>
      <c r="AE244" s="21">
        <f t="shared" si="167"/>
        <v>0.87307501241927477</v>
      </c>
      <c r="AF244" s="139">
        <v>6286</v>
      </c>
      <c r="AG244" s="139">
        <v>7647</v>
      </c>
      <c r="AH244" s="21">
        <f t="shared" si="168"/>
        <v>0.82202170785929118</v>
      </c>
      <c r="AI244" s="70"/>
      <c r="AJ244" s="70"/>
      <c r="AK244" s="37" t="str">
        <f t="shared" si="169"/>
        <v>-</v>
      </c>
      <c r="AL244" s="197">
        <v>82</v>
      </c>
      <c r="AM244" s="197">
        <v>110</v>
      </c>
      <c r="AN244" s="36">
        <f t="shared" si="176"/>
        <v>0.74545454545454548</v>
      </c>
      <c r="AO244" s="197">
        <v>5</v>
      </c>
      <c r="AP244" s="197">
        <v>6</v>
      </c>
      <c r="AQ244" s="36">
        <f t="shared" si="170"/>
        <v>0.83333333333333337</v>
      </c>
      <c r="AR244" s="69"/>
      <c r="AS244" s="69"/>
      <c r="AT244" s="44" t="str">
        <f t="shared" si="171"/>
        <v>-</v>
      </c>
      <c r="AU244" s="139">
        <v>12</v>
      </c>
      <c r="AV244" s="139">
        <v>12</v>
      </c>
      <c r="AW244" s="21">
        <f t="shared" si="172"/>
        <v>1</v>
      </c>
      <c r="AX244" s="139">
        <v>497</v>
      </c>
      <c r="AY244" s="139">
        <v>528</v>
      </c>
      <c r="AZ244" s="21">
        <f t="shared" si="173"/>
        <v>0.94128787878787878</v>
      </c>
      <c r="BA244" s="70"/>
      <c r="BB244" s="70"/>
      <c r="BC244" s="37" t="str">
        <f t="shared" si="174"/>
        <v>-</v>
      </c>
    </row>
    <row r="245" spans="1:55" ht="14.25" customHeight="1">
      <c r="A245" s="12" t="s">
        <v>81</v>
      </c>
      <c r="B245" s="136">
        <v>148</v>
      </c>
      <c r="C245" s="136">
        <v>156</v>
      </c>
      <c r="D245" s="67">
        <f t="shared" si="153"/>
        <v>0.94871794871794868</v>
      </c>
      <c r="E245" s="136">
        <v>143</v>
      </c>
      <c r="F245" s="136">
        <v>149</v>
      </c>
      <c r="G245" s="67">
        <f t="shared" si="154"/>
        <v>0.95973154362416102</v>
      </c>
      <c r="H245" s="66">
        <f t="shared" si="155"/>
        <v>291</v>
      </c>
      <c r="I245" s="66">
        <f t="shared" si="156"/>
        <v>305</v>
      </c>
      <c r="J245" s="67">
        <f t="shared" si="157"/>
        <v>0.95409836065573772</v>
      </c>
      <c r="K245" s="200">
        <v>11</v>
      </c>
      <c r="L245" s="200">
        <v>12</v>
      </c>
      <c r="M245" s="65">
        <f t="shared" si="158"/>
        <v>0.91666666666666663</v>
      </c>
      <c r="N245" s="200">
        <v>3</v>
      </c>
      <c r="O245" s="200">
        <v>3</v>
      </c>
      <c r="P245" s="65">
        <f t="shared" si="175"/>
        <v>1</v>
      </c>
      <c r="Q245" s="64">
        <f t="shared" si="159"/>
        <v>14</v>
      </c>
      <c r="R245" s="64">
        <f t="shared" si="160"/>
        <v>15</v>
      </c>
      <c r="S245" s="65">
        <f t="shared" si="161"/>
        <v>0.93333333333333335</v>
      </c>
      <c r="T245" s="96" t="s">
        <v>19</v>
      </c>
      <c r="U245" s="96" t="s">
        <v>19</v>
      </c>
      <c r="V245" s="83" t="str">
        <f t="shared" si="162"/>
        <v>-</v>
      </c>
      <c r="W245" s="136">
        <v>11</v>
      </c>
      <c r="X245" s="136">
        <v>11</v>
      </c>
      <c r="Y245" s="67">
        <f t="shared" si="163"/>
        <v>1</v>
      </c>
      <c r="Z245" s="66">
        <f t="shared" si="164"/>
        <v>11</v>
      </c>
      <c r="AA245" s="66">
        <f t="shared" si="165"/>
        <v>11</v>
      </c>
      <c r="AB245" s="67">
        <f t="shared" si="166"/>
        <v>1</v>
      </c>
      <c r="AC245" s="139">
        <v>4907</v>
      </c>
      <c r="AD245" s="139">
        <v>5628</v>
      </c>
      <c r="AE245" s="21">
        <f t="shared" si="167"/>
        <v>0.87189054726368154</v>
      </c>
      <c r="AF245" s="139">
        <v>4691</v>
      </c>
      <c r="AG245" s="139">
        <v>5565</v>
      </c>
      <c r="AH245" s="21">
        <f t="shared" si="168"/>
        <v>0.84294699011680141</v>
      </c>
      <c r="AI245" s="70"/>
      <c r="AJ245" s="70"/>
      <c r="AK245" s="37" t="str">
        <f t="shared" si="169"/>
        <v>-</v>
      </c>
      <c r="AL245" s="197">
        <v>31</v>
      </c>
      <c r="AM245" s="197">
        <v>31</v>
      </c>
      <c r="AN245" s="36">
        <f t="shared" si="176"/>
        <v>1</v>
      </c>
      <c r="AO245" s="197">
        <v>4</v>
      </c>
      <c r="AP245" s="197">
        <v>6</v>
      </c>
      <c r="AQ245" s="36">
        <f t="shared" si="170"/>
        <v>0.66666666666666663</v>
      </c>
      <c r="AR245" s="69"/>
      <c r="AS245" s="69"/>
      <c r="AT245" s="44" t="str">
        <f t="shared" si="171"/>
        <v>-</v>
      </c>
      <c r="AU245" s="81" t="s">
        <v>19</v>
      </c>
      <c r="AV245" s="81" t="s">
        <v>19</v>
      </c>
      <c r="AW245" s="37" t="str">
        <f t="shared" si="172"/>
        <v>-</v>
      </c>
      <c r="AX245" s="139">
        <v>129</v>
      </c>
      <c r="AY245" s="139">
        <v>132</v>
      </c>
      <c r="AZ245" s="21">
        <f t="shared" si="173"/>
        <v>0.97727272727272729</v>
      </c>
      <c r="BA245" s="70"/>
      <c r="BB245" s="70"/>
      <c r="BC245" s="37" t="str">
        <f t="shared" si="174"/>
        <v>-</v>
      </c>
    </row>
    <row r="246" spans="1:55" ht="14.25" customHeight="1">
      <c r="A246" s="12" t="s">
        <v>82</v>
      </c>
      <c r="B246" s="96" t="s">
        <v>19</v>
      </c>
      <c r="C246" s="96" t="s">
        <v>19</v>
      </c>
      <c r="D246" s="83" t="str">
        <f t="shared" si="153"/>
        <v>-</v>
      </c>
      <c r="E246" s="96" t="s">
        <v>19</v>
      </c>
      <c r="F246" s="96" t="s">
        <v>19</v>
      </c>
      <c r="G246" s="83" t="str">
        <f t="shared" si="154"/>
        <v>-</v>
      </c>
      <c r="H246" s="66">
        <f t="shared" si="155"/>
        <v>0</v>
      </c>
      <c r="I246" s="66">
        <f t="shared" si="156"/>
        <v>0</v>
      </c>
      <c r="J246" s="83" t="str">
        <f t="shared" si="157"/>
        <v>-</v>
      </c>
      <c r="K246" s="94" t="s">
        <v>19</v>
      </c>
      <c r="L246" s="94" t="s">
        <v>19</v>
      </c>
      <c r="M246" s="80" t="str">
        <f t="shared" si="158"/>
        <v>-</v>
      </c>
      <c r="N246" s="94" t="s">
        <v>19</v>
      </c>
      <c r="O246" s="94" t="s">
        <v>19</v>
      </c>
      <c r="P246" s="80" t="str">
        <f t="shared" si="175"/>
        <v>-</v>
      </c>
      <c r="Q246" s="64">
        <f t="shared" si="159"/>
        <v>0</v>
      </c>
      <c r="R246" s="64">
        <f t="shared" si="160"/>
        <v>0</v>
      </c>
      <c r="S246" s="80" t="str">
        <f t="shared" si="161"/>
        <v>-</v>
      </c>
      <c r="T246" s="96" t="s">
        <v>19</v>
      </c>
      <c r="U246" s="96" t="s">
        <v>19</v>
      </c>
      <c r="V246" s="83" t="str">
        <f t="shared" si="162"/>
        <v>-</v>
      </c>
      <c r="W246" s="96" t="s">
        <v>19</v>
      </c>
      <c r="X246" s="96" t="s">
        <v>19</v>
      </c>
      <c r="Y246" s="83" t="str">
        <f t="shared" si="163"/>
        <v>-</v>
      </c>
      <c r="Z246" s="66">
        <f t="shared" si="164"/>
        <v>0</v>
      </c>
      <c r="AA246" s="66">
        <f t="shared" si="165"/>
        <v>0</v>
      </c>
      <c r="AB246" s="83" t="str">
        <f t="shared" si="166"/>
        <v>-</v>
      </c>
      <c r="AC246" s="81" t="s">
        <v>19</v>
      </c>
      <c r="AD246" s="81" t="s">
        <v>19</v>
      </c>
      <c r="AE246" s="37" t="str">
        <f t="shared" si="167"/>
        <v>-</v>
      </c>
      <c r="AF246" s="81" t="s">
        <v>19</v>
      </c>
      <c r="AG246" s="81" t="s">
        <v>19</v>
      </c>
      <c r="AH246" s="37" t="str">
        <f t="shared" si="168"/>
        <v>-</v>
      </c>
      <c r="AI246" s="70"/>
      <c r="AJ246" s="70"/>
      <c r="AK246" s="37" t="str">
        <f t="shared" si="169"/>
        <v>-</v>
      </c>
      <c r="AL246" s="104" t="s">
        <v>19</v>
      </c>
      <c r="AM246" s="104" t="s">
        <v>19</v>
      </c>
      <c r="AN246" s="44" t="str">
        <f t="shared" si="176"/>
        <v>-</v>
      </c>
      <c r="AO246" s="104" t="s">
        <v>19</v>
      </c>
      <c r="AP246" s="104" t="s">
        <v>19</v>
      </c>
      <c r="AQ246" s="44" t="str">
        <f t="shared" si="170"/>
        <v>-</v>
      </c>
      <c r="AR246" s="69"/>
      <c r="AS246" s="69"/>
      <c r="AT246" s="44" t="str">
        <f t="shared" si="171"/>
        <v>-</v>
      </c>
      <c r="AU246" s="81" t="s">
        <v>19</v>
      </c>
      <c r="AV246" s="81" t="s">
        <v>19</v>
      </c>
      <c r="AW246" s="37" t="str">
        <f t="shared" si="172"/>
        <v>-</v>
      </c>
      <c r="AX246" s="81" t="s">
        <v>19</v>
      </c>
      <c r="AY246" s="81" t="s">
        <v>19</v>
      </c>
      <c r="AZ246" s="37" t="str">
        <f t="shared" si="173"/>
        <v>-</v>
      </c>
      <c r="BA246" s="70"/>
      <c r="BB246" s="70"/>
      <c r="BC246" s="37" t="str">
        <f t="shared" si="174"/>
        <v>-</v>
      </c>
    </row>
    <row r="247" spans="1:55" ht="14.25" customHeight="1">
      <c r="A247" s="12" t="s">
        <v>83</v>
      </c>
      <c r="B247" s="136">
        <v>28</v>
      </c>
      <c r="C247" s="136">
        <v>88</v>
      </c>
      <c r="D247" s="67">
        <f t="shared" si="153"/>
        <v>0.31818181818181818</v>
      </c>
      <c r="E247" s="136">
        <v>26</v>
      </c>
      <c r="F247" s="136">
        <v>87</v>
      </c>
      <c r="G247" s="67">
        <f t="shared" si="154"/>
        <v>0.2988505747126437</v>
      </c>
      <c r="H247" s="66">
        <f t="shared" si="155"/>
        <v>54</v>
      </c>
      <c r="I247" s="66">
        <f t="shared" si="156"/>
        <v>175</v>
      </c>
      <c r="J247" s="67">
        <f t="shared" si="157"/>
        <v>0.30857142857142855</v>
      </c>
      <c r="K247" s="94" t="s">
        <v>19</v>
      </c>
      <c r="L247" s="94" t="s">
        <v>19</v>
      </c>
      <c r="M247" s="80" t="str">
        <f t="shared" si="158"/>
        <v>-</v>
      </c>
      <c r="N247" s="94" t="s">
        <v>19</v>
      </c>
      <c r="O247" s="94" t="s">
        <v>19</v>
      </c>
      <c r="P247" s="80" t="str">
        <f t="shared" si="175"/>
        <v>-</v>
      </c>
      <c r="Q247" s="64">
        <f t="shared" si="159"/>
        <v>0</v>
      </c>
      <c r="R247" s="64">
        <f t="shared" si="160"/>
        <v>0</v>
      </c>
      <c r="S247" s="80" t="str">
        <f t="shared" si="161"/>
        <v>-</v>
      </c>
      <c r="T247" s="96" t="s">
        <v>19</v>
      </c>
      <c r="U247" s="96" t="s">
        <v>19</v>
      </c>
      <c r="V247" s="83" t="str">
        <f t="shared" si="162"/>
        <v>-</v>
      </c>
      <c r="W247" s="96" t="s">
        <v>19</v>
      </c>
      <c r="X247" s="96" t="s">
        <v>19</v>
      </c>
      <c r="Y247" s="83" t="str">
        <f t="shared" si="163"/>
        <v>-</v>
      </c>
      <c r="Z247" s="66">
        <f t="shared" si="164"/>
        <v>0</v>
      </c>
      <c r="AA247" s="66">
        <f t="shared" si="165"/>
        <v>0</v>
      </c>
      <c r="AB247" s="83" t="str">
        <f t="shared" si="166"/>
        <v>-</v>
      </c>
      <c r="AC247" s="139">
        <v>711</v>
      </c>
      <c r="AD247" s="139">
        <v>840</v>
      </c>
      <c r="AE247" s="21">
        <f t="shared" si="167"/>
        <v>0.84642857142857142</v>
      </c>
      <c r="AF247" s="139">
        <v>720</v>
      </c>
      <c r="AG247" s="139">
        <v>756</v>
      </c>
      <c r="AH247" s="21">
        <f t="shared" si="168"/>
        <v>0.95238095238095233</v>
      </c>
      <c r="AI247" s="70"/>
      <c r="AJ247" s="70"/>
      <c r="AK247" s="37" t="str">
        <f t="shared" si="169"/>
        <v>-</v>
      </c>
      <c r="AL247" s="104" t="s">
        <v>19</v>
      </c>
      <c r="AM247" s="104" t="s">
        <v>19</v>
      </c>
      <c r="AN247" s="44" t="str">
        <f t="shared" si="176"/>
        <v>-</v>
      </c>
      <c r="AO247" s="104" t="s">
        <v>19</v>
      </c>
      <c r="AP247" s="104" t="s">
        <v>19</v>
      </c>
      <c r="AQ247" s="44" t="str">
        <f t="shared" si="170"/>
        <v>-</v>
      </c>
      <c r="AR247" s="69"/>
      <c r="AS247" s="69"/>
      <c r="AT247" s="44" t="str">
        <f t="shared" si="171"/>
        <v>-</v>
      </c>
      <c r="AU247" s="81" t="s">
        <v>19</v>
      </c>
      <c r="AV247" s="81" t="s">
        <v>19</v>
      </c>
      <c r="AW247" s="37" t="str">
        <f t="shared" si="172"/>
        <v>-</v>
      </c>
      <c r="AX247" s="81" t="s">
        <v>19</v>
      </c>
      <c r="AY247" s="81" t="s">
        <v>19</v>
      </c>
      <c r="AZ247" s="37" t="str">
        <f t="shared" si="173"/>
        <v>-</v>
      </c>
      <c r="BA247" s="70"/>
      <c r="BB247" s="70"/>
      <c r="BC247" s="37" t="str">
        <f t="shared" si="174"/>
        <v>-</v>
      </c>
    </row>
    <row r="248" spans="1:55" ht="14.25" customHeight="1">
      <c r="A248" s="12" t="s">
        <v>84</v>
      </c>
      <c r="B248" s="136">
        <v>205</v>
      </c>
      <c r="C248" s="136">
        <v>223</v>
      </c>
      <c r="D248" s="67">
        <f t="shared" si="153"/>
        <v>0.91928251121076232</v>
      </c>
      <c r="E248" s="136">
        <v>215</v>
      </c>
      <c r="F248" s="136">
        <v>223</v>
      </c>
      <c r="G248" s="67">
        <f t="shared" si="154"/>
        <v>0.9641255605381166</v>
      </c>
      <c r="H248" s="66">
        <f t="shared" si="155"/>
        <v>420</v>
      </c>
      <c r="I248" s="66">
        <f t="shared" si="156"/>
        <v>446</v>
      </c>
      <c r="J248" s="67">
        <f t="shared" si="157"/>
        <v>0.94170403587443952</v>
      </c>
      <c r="K248" s="94" t="s">
        <v>19</v>
      </c>
      <c r="L248" s="94" t="s">
        <v>19</v>
      </c>
      <c r="M248" s="80" t="str">
        <f t="shared" si="158"/>
        <v>-</v>
      </c>
      <c r="N248" s="94" t="s">
        <v>19</v>
      </c>
      <c r="O248" s="94" t="s">
        <v>19</v>
      </c>
      <c r="P248" s="80" t="str">
        <f t="shared" si="175"/>
        <v>-</v>
      </c>
      <c r="Q248" s="64">
        <f t="shared" si="159"/>
        <v>0</v>
      </c>
      <c r="R248" s="64">
        <f t="shared" si="160"/>
        <v>0</v>
      </c>
      <c r="S248" s="80" t="str">
        <f t="shared" si="161"/>
        <v>-</v>
      </c>
      <c r="T248" s="136">
        <v>23</v>
      </c>
      <c r="U248" s="136">
        <v>28</v>
      </c>
      <c r="V248" s="67">
        <f t="shared" si="162"/>
        <v>0.8214285714285714</v>
      </c>
      <c r="W248" s="136">
        <v>3</v>
      </c>
      <c r="X248" s="136">
        <v>3</v>
      </c>
      <c r="Y248" s="67">
        <f t="shared" si="163"/>
        <v>1</v>
      </c>
      <c r="Z248" s="66">
        <f t="shared" si="164"/>
        <v>26</v>
      </c>
      <c r="AA248" s="66">
        <f t="shared" si="165"/>
        <v>31</v>
      </c>
      <c r="AB248" s="67">
        <f t="shared" si="166"/>
        <v>0.83870967741935487</v>
      </c>
      <c r="AC248" s="139">
        <v>17250</v>
      </c>
      <c r="AD248" s="139">
        <v>18663</v>
      </c>
      <c r="AE248" s="21">
        <f t="shared" si="167"/>
        <v>0.92428869956598614</v>
      </c>
      <c r="AF248" s="139">
        <v>18795</v>
      </c>
      <c r="AG248" s="139">
        <v>20270</v>
      </c>
      <c r="AH248" s="21">
        <f t="shared" si="168"/>
        <v>0.92723236309817469</v>
      </c>
      <c r="AI248" s="70"/>
      <c r="AJ248" s="70"/>
      <c r="AK248" s="37" t="str">
        <f t="shared" si="169"/>
        <v>-</v>
      </c>
      <c r="AL248" s="104" t="s">
        <v>19</v>
      </c>
      <c r="AM248" s="104" t="s">
        <v>19</v>
      </c>
      <c r="AN248" s="44" t="str">
        <f t="shared" si="176"/>
        <v>-</v>
      </c>
      <c r="AO248" s="104" t="s">
        <v>19</v>
      </c>
      <c r="AP248" s="104" t="s">
        <v>19</v>
      </c>
      <c r="AQ248" s="44" t="str">
        <f t="shared" si="170"/>
        <v>-</v>
      </c>
      <c r="AR248" s="69"/>
      <c r="AS248" s="69"/>
      <c r="AT248" s="44" t="str">
        <f t="shared" si="171"/>
        <v>-</v>
      </c>
      <c r="AU248" s="139">
        <v>513</v>
      </c>
      <c r="AV248" s="139">
        <v>528</v>
      </c>
      <c r="AW248" s="21">
        <f t="shared" si="172"/>
        <v>0.97159090909090906</v>
      </c>
      <c r="AX248" s="139">
        <v>72</v>
      </c>
      <c r="AY248" s="139">
        <v>72</v>
      </c>
      <c r="AZ248" s="21">
        <f t="shared" si="173"/>
        <v>1</v>
      </c>
      <c r="BA248" s="70"/>
      <c r="BB248" s="70"/>
      <c r="BC248" s="37" t="str">
        <f t="shared" si="174"/>
        <v>-</v>
      </c>
    </row>
    <row r="249" spans="1:55" ht="14.25" customHeight="1">
      <c r="A249" s="12" t="s">
        <v>85</v>
      </c>
      <c r="B249" s="136">
        <v>209</v>
      </c>
      <c r="C249" s="136">
        <v>239</v>
      </c>
      <c r="D249" s="67">
        <f t="shared" si="153"/>
        <v>0.87447698744769875</v>
      </c>
      <c r="E249" s="136">
        <v>222</v>
      </c>
      <c r="F249" s="136">
        <v>258</v>
      </c>
      <c r="G249" s="67">
        <f t="shared" si="154"/>
        <v>0.86046511627906974</v>
      </c>
      <c r="H249" s="66">
        <f t="shared" si="155"/>
        <v>431</v>
      </c>
      <c r="I249" s="66">
        <f t="shared" si="156"/>
        <v>497</v>
      </c>
      <c r="J249" s="67">
        <f t="shared" si="157"/>
        <v>0.86720321931589539</v>
      </c>
      <c r="K249" s="94" t="s">
        <v>19</v>
      </c>
      <c r="L249" s="94" t="s">
        <v>19</v>
      </c>
      <c r="M249" s="80" t="str">
        <f t="shared" si="158"/>
        <v>-</v>
      </c>
      <c r="N249" s="94" t="s">
        <v>19</v>
      </c>
      <c r="O249" s="94" t="s">
        <v>19</v>
      </c>
      <c r="P249" s="80" t="str">
        <f t="shared" si="175"/>
        <v>-</v>
      </c>
      <c r="Q249" s="64">
        <f t="shared" si="159"/>
        <v>0</v>
      </c>
      <c r="R249" s="64">
        <f t="shared" si="160"/>
        <v>0</v>
      </c>
      <c r="S249" s="80" t="str">
        <f t="shared" si="161"/>
        <v>-</v>
      </c>
      <c r="T249" s="136">
        <v>42</v>
      </c>
      <c r="U249" s="136">
        <v>44</v>
      </c>
      <c r="V249" s="67">
        <f t="shared" si="162"/>
        <v>0.95454545454545459</v>
      </c>
      <c r="W249" s="136">
        <v>71</v>
      </c>
      <c r="X249" s="136">
        <v>77</v>
      </c>
      <c r="Y249" s="67">
        <f t="shared" si="163"/>
        <v>0.92207792207792205</v>
      </c>
      <c r="Z249" s="66">
        <f t="shared" si="164"/>
        <v>113</v>
      </c>
      <c r="AA249" s="66">
        <f t="shared" si="165"/>
        <v>121</v>
      </c>
      <c r="AB249" s="67">
        <f t="shared" si="166"/>
        <v>0.93388429752066116</v>
      </c>
      <c r="AC249" s="139">
        <v>8146</v>
      </c>
      <c r="AD249" s="139">
        <v>8904</v>
      </c>
      <c r="AE249" s="21">
        <f t="shared" si="167"/>
        <v>0.9148697214734951</v>
      </c>
      <c r="AF249" s="139">
        <v>8127</v>
      </c>
      <c r="AG249" s="139">
        <v>8877</v>
      </c>
      <c r="AH249" s="21">
        <f t="shared" si="168"/>
        <v>0.91551199729638388</v>
      </c>
      <c r="AI249" s="70"/>
      <c r="AJ249" s="70"/>
      <c r="AK249" s="37" t="str">
        <f t="shared" si="169"/>
        <v>-</v>
      </c>
      <c r="AL249" s="104" t="s">
        <v>19</v>
      </c>
      <c r="AM249" s="104" t="s">
        <v>19</v>
      </c>
      <c r="AN249" s="44" t="str">
        <f t="shared" si="176"/>
        <v>-</v>
      </c>
      <c r="AO249" s="104" t="s">
        <v>19</v>
      </c>
      <c r="AP249" s="104" t="s">
        <v>19</v>
      </c>
      <c r="AQ249" s="44" t="str">
        <f t="shared" si="170"/>
        <v>-</v>
      </c>
      <c r="AR249" s="69"/>
      <c r="AS249" s="69"/>
      <c r="AT249" s="44" t="str">
        <f t="shared" si="171"/>
        <v>-</v>
      </c>
      <c r="AU249" s="139">
        <v>506</v>
      </c>
      <c r="AV249" s="139">
        <v>552</v>
      </c>
      <c r="AW249" s="21">
        <f t="shared" si="172"/>
        <v>0.91666666666666663</v>
      </c>
      <c r="AX249" s="139">
        <v>838</v>
      </c>
      <c r="AY249" s="139">
        <v>876</v>
      </c>
      <c r="AZ249" s="21">
        <f t="shared" si="173"/>
        <v>0.95662100456621002</v>
      </c>
      <c r="BA249" s="70"/>
      <c r="BB249" s="70"/>
      <c r="BC249" s="37" t="str">
        <f t="shared" si="174"/>
        <v>-</v>
      </c>
    </row>
    <row r="250" spans="1:55" ht="14.25" customHeight="1">
      <c r="A250" s="12" t="s">
        <v>86</v>
      </c>
      <c r="B250" s="136">
        <v>2</v>
      </c>
      <c r="C250" s="136">
        <v>2</v>
      </c>
      <c r="D250" s="67">
        <f t="shared" si="153"/>
        <v>1</v>
      </c>
      <c r="E250" s="96" t="s">
        <v>19</v>
      </c>
      <c r="F250" s="96" t="s">
        <v>19</v>
      </c>
      <c r="G250" s="83" t="str">
        <f t="shared" si="154"/>
        <v>-</v>
      </c>
      <c r="H250" s="66">
        <f t="shared" si="155"/>
        <v>2</v>
      </c>
      <c r="I250" s="66">
        <f t="shared" si="156"/>
        <v>2</v>
      </c>
      <c r="J250" s="67">
        <f t="shared" si="157"/>
        <v>1</v>
      </c>
      <c r="K250" s="200">
        <v>1</v>
      </c>
      <c r="L250" s="200">
        <v>1</v>
      </c>
      <c r="M250" s="65">
        <f t="shared" si="158"/>
        <v>1</v>
      </c>
      <c r="N250" s="200">
        <v>1</v>
      </c>
      <c r="O250" s="200">
        <v>1</v>
      </c>
      <c r="P250" s="65">
        <f t="shared" si="175"/>
        <v>1</v>
      </c>
      <c r="Q250" s="64">
        <f t="shared" si="159"/>
        <v>2</v>
      </c>
      <c r="R250" s="64">
        <f t="shared" si="160"/>
        <v>2</v>
      </c>
      <c r="S250" s="65">
        <f t="shared" si="161"/>
        <v>1</v>
      </c>
      <c r="T250" s="96" t="s">
        <v>19</v>
      </c>
      <c r="U250" s="96" t="s">
        <v>19</v>
      </c>
      <c r="V250" s="83" t="str">
        <f t="shared" si="162"/>
        <v>-</v>
      </c>
      <c r="W250" s="136">
        <v>1</v>
      </c>
      <c r="X250" s="136">
        <v>1</v>
      </c>
      <c r="Y250" s="67">
        <f t="shared" si="163"/>
        <v>1</v>
      </c>
      <c r="Z250" s="66">
        <f t="shared" si="164"/>
        <v>1</v>
      </c>
      <c r="AA250" s="66">
        <f t="shared" si="165"/>
        <v>1</v>
      </c>
      <c r="AB250" s="67">
        <f t="shared" si="166"/>
        <v>1</v>
      </c>
      <c r="AC250" s="139">
        <v>30</v>
      </c>
      <c r="AD250" s="139">
        <v>30</v>
      </c>
      <c r="AE250" s="21">
        <f t="shared" si="167"/>
        <v>1</v>
      </c>
      <c r="AF250" s="81" t="s">
        <v>19</v>
      </c>
      <c r="AG250" s="81" t="s">
        <v>19</v>
      </c>
      <c r="AH250" s="37" t="str">
        <f t="shared" si="168"/>
        <v>-</v>
      </c>
      <c r="AI250" s="70"/>
      <c r="AJ250" s="70"/>
      <c r="AK250" s="37" t="str">
        <f t="shared" si="169"/>
        <v>-</v>
      </c>
      <c r="AL250" s="197">
        <v>1</v>
      </c>
      <c r="AM250" s="197">
        <v>2</v>
      </c>
      <c r="AN250" s="36">
        <f t="shared" si="176"/>
        <v>0.5</v>
      </c>
      <c r="AO250" s="197">
        <v>2</v>
      </c>
      <c r="AP250" s="197">
        <v>2</v>
      </c>
      <c r="AQ250" s="36">
        <f t="shared" si="170"/>
        <v>1</v>
      </c>
      <c r="AR250" s="69"/>
      <c r="AS250" s="69"/>
      <c r="AT250" s="44" t="str">
        <f t="shared" si="171"/>
        <v>-</v>
      </c>
      <c r="AU250" s="81" t="s">
        <v>19</v>
      </c>
      <c r="AV250" s="81" t="s">
        <v>19</v>
      </c>
      <c r="AW250" s="37" t="str">
        <f t="shared" si="172"/>
        <v>-</v>
      </c>
      <c r="AX250" s="139">
        <v>12</v>
      </c>
      <c r="AY250" s="139">
        <v>12</v>
      </c>
      <c r="AZ250" s="21">
        <f t="shared" si="173"/>
        <v>1</v>
      </c>
      <c r="BA250" s="70"/>
      <c r="BB250" s="70"/>
      <c r="BC250" s="37" t="str">
        <f t="shared" si="174"/>
        <v>-</v>
      </c>
    </row>
    <row r="251" spans="1:55" ht="14.25" customHeight="1">
      <c r="A251" s="12" t="s">
        <v>87</v>
      </c>
      <c r="B251" s="136">
        <v>144</v>
      </c>
      <c r="C251" s="136">
        <v>167</v>
      </c>
      <c r="D251" s="67">
        <f t="shared" si="153"/>
        <v>0.86227544910179643</v>
      </c>
      <c r="E251" s="136">
        <v>163</v>
      </c>
      <c r="F251" s="136">
        <v>171</v>
      </c>
      <c r="G251" s="67">
        <f t="shared" si="154"/>
        <v>0.95321637426900585</v>
      </c>
      <c r="H251" s="66">
        <f t="shared" si="155"/>
        <v>307</v>
      </c>
      <c r="I251" s="66">
        <f t="shared" si="156"/>
        <v>338</v>
      </c>
      <c r="J251" s="67">
        <f t="shared" si="157"/>
        <v>0.90828402366863903</v>
      </c>
      <c r="K251" s="200">
        <v>27</v>
      </c>
      <c r="L251" s="200">
        <v>34</v>
      </c>
      <c r="M251" s="65">
        <f t="shared" si="158"/>
        <v>0.79411764705882348</v>
      </c>
      <c r="N251" s="94" t="s">
        <v>19</v>
      </c>
      <c r="O251" s="94" t="s">
        <v>19</v>
      </c>
      <c r="P251" s="80" t="str">
        <f t="shared" si="175"/>
        <v>-</v>
      </c>
      <c r="Q251" s="64">
        <f t="shared" si="159"/>
        <v>27</v>
      </c>
      <c r="R251" s="64">
        <f t="shared" si="160"/>
        <v>34</v>
      </c>
      <c r="S251" s="65">
        <f t="shared" si="161"/>
        <v>0.79411764705882348</v>
      </c>
      <c r="T251" s="96" t="s">
        <v>19</v>
      </c>
      <c r="U251" s="96" t="s">
        <v>19</v>
      </c>
      <c r="V251" s="83" t="str">
        <f t="shared" si="162"/>
        <v>-</v>
      </c>
      <c r="W251" s="136">
        <v>28</v>
      </c>
      <c r="X251" s="136">
        <v>29</v>
      </c>
      <c r="Y251" s="67">
        <f t="shared" si="163"/>
        <v>0.96551724137931039</v>
      </c>
      <c r="Z251" s="66">
        <f t="shared" si="164"/>
        <v>28</v>
      </c>
      <c r="AA251" s="66">
        <f t="shared" si="165"/>
        <v>29</v>
      </c>
      <c r="AB251" s="67">
        <f t="shared" si="166"/>
        <v>0.96551724137931039</v>
      </c>
      <c r="AC251" s="139">
        <v>7540</v>
      </c>
      <c r="AD251" s="139">
        <v>8517</v>
      </c>
      <c r="AE251" s="21">
        <f t="shared" si="167"/>
        <v>0.88528824703534104</v>
      </c>
      <c r="AF251" s="139">
        <v>9235</v>
      </c>
      <c r="AG251" s="139">
        <v>9984</v>
      </c>
      <c r="AH251" s="21">
        <f t="shared" si="168"/>
        <v>0.92497996794871795</v>
      </c>
      <c r="AI251" s="70"/>
      <c r="AJ251" s="70"/>
      <c r="AK251" s="37" t="str">
        <f t="shared" si="169"/>
        <v>-</v>
      </c>
      <c r="AL251" s="197">
        <v>63</v>
      </c>
      <c r="AM251" s="197">
        <v>81</v>
      </c>
      <c r="AN251" s="36">
        <f t="shared" si="176"/>
        <v>0.77777777777777779</v>
      </c>
      <c r="AO251" s="104" t="s">
        <v>19</v>
      </c>
      <c r="AP251" s="104" t="s">
        <v>19</v>
      </c>
      <c r="AQ251" s="44" t="str">
        <f t="shared" si="170"/>
        <v>-</v>
      </c>
      <c r="AR251" s="69"/>
      <c r="AS251" s="69"/>
      <c r="AT251" s="44" t="str">
        <f t="shared" si="171"/>
        <v>-</v>
      </c>
      <c r="AU251" s="81" t="s">
        <v>19</v>
      </c>
      <c r="AV251" s="81" t="s">
        <v>19</v>
      </c>
      <c r="AW251" s="37" t="str">
        <f t="shared" si="172"/>
        <v>-</v>
      </c>
      <c r="AX251" s="139">
        <v>328</v>
      </c>
      <c r="AY251" s="139">
        <v>336</v>
      </c>
      <c r="AZ251" s="21">
        <f t="shared" si="173"/>
        <v>0.97619047619047616</v>
      </c>
      <c r="BA251" s="70"/>
      <c r="BB251" s="70"/>
      <c r="BC251" s="37" t="str">
        <f t="shared" si="174"/>
        <v>-</v>
      </c>
    </row>
    <row r="252" spans="1:55" ht="14.25" customHeight="1">
      <c r="A252" s="12" t="s">
        <v>88</v>
      </c>
      <c r="B252" s="136">
        <v>272</v>
      </c>
      <c r="C252" s="136">
        <v>303</v>
      </c>
      <c r="D252" s="67">
        <f t="shared" si="153"/>
        <v>0.89768976897689767</v>
      </c>
      <c r="E252" s="136">
        <v>307</v>
      </c>
      <c r="F252" s="136">
        <v>324</v>
      </c>
      <c r="G252" s="67">
        <f t="shared" si="154"/>
        <v>0.94753086419753085</v>
      </c>
      <c r="H252" s="66">
        <f t="shared" si="155"/>
        <v>579</v>
      </c>
      <c r="I252" s="66">
        <f t="shared" si="156"/>
        <v>627</v>
      </c>
      <c r="J252" s="67">
        <f t="shared" si="157"/>
        <v>0.92344497607655507</v>
      </c>
      <c r="K252" s="200">
        <v>37</v>
      </c>
      <c r="L252" s="200">
        <v>50</v>
      </c>
      <c r="M252" s="65">
        <f t="shared" si="158"/>
        <v>0.74</v>
      </c>
      <c r="N252" s="94" t="s">
        <v>19</v>
      </c>
      <c r="O252" s="94" t="s">
        <v>19</v>
      </c>
      <c r="P252" s="80" t="str">
        <f t="shared" si="175"/>
        <v>-</v>
      </c>
      <c r="Q252" s="64">
        <f t="shared" si="159"/>
        <v>37</v>
      </c>
      <c r="R252" s="64">
        <f t="shared" si="160"/>
        <v>50</v>
      </c>
      <c r="S252" s="65">
        <f t="shared" si="161"/>
        <v>0.74</v>
      </c>
      <c r="T252" s="136">
        <v>2</v>
      </c>
      <c r="U252" s="136">
        <v>2</v>
      </c>
      <c r="V252" s="67">
        <f t="shared" si="162"/>
        <v>1</v>
      </c>
      <c r="W252" s="136">
        <v>45</v>
      </c>
      <c r="X252" s="136">
        <v>47</v>
      </c>
      <c r="Y252" s="67">
        <f t="shared" si="163"/>
        <v>0.95744680851063835</v>
      </c>
      <c r="Z252" s="66">
        <f t="shared" si="164"/>
        <v>47</v>
      </c>
      <c r="AA252" s="66">
        <f t="shared" si="165"/>
        <v>49</v>
      </c>
      <c r="AB252" s="67">
        <f t="shared" si="166"/>
        <v>0.95918367346938771</v>
      </c>
      <c r="AC252" s="139">
        <v>13738</v>
      </c>
      <c r="AD252" s="139">
        <v>16140</v>
      </c>
      <c r="AE252" s="21">
        <f t="shared" si="167"/>
        <v>0.85117719950433701</v>
      </c>
      <c r="AF252" s="139">
        <v>9102</v>
      </c>
      <c r="AG252" s="139">
        <v>11067</v>
      </c>
      <c r="AH252" s="21">
        <f t="shared" si="168"/>
        <v>0.82244510707508811</v>
      </c>
      <c r="AI252" s="70"/>
      <c r="AJ252" s="70"/>
      <c r="AK252" s="37" t="str">
        <f t="shared" si="169"/>
        <v>-</v>
      </c>
      <c r="AL252" s="197">
        <v>103</v>
      </c>
      <c r="AM252" s="197">
        <v>113</v>
      </c>
      <c r="AN252" s="36">
        <f t="shared" si="176"/>
        <v>0.91150442477876104</v>
      </c>
      <c r="AO252" s="104" t="s">
        <v>19</v>
      </c>
      <c r="AP252" s="104" t="s">
        <v>19</v>
      </c>
      <c r="AQ252" s="44" t="str">
        <f t="shared" si="170"/>
        <v>-</v>
      </c>
      <c r="AR252" s="69"/>
      <c r="AS252" s="69"/>
      <c r="AT252" s="44" t="str">
        <f t="shared" si="171"/>
        <v>-</v>
      </c>
      <c r="AU252" s="139">
        <v>24</v>
      </c>
      <c r="AV252" s="139">
        <v>24</v>
      </c>
      <c r="AW252" s="21">
        <f t="shared" si="172"/>
        <v>1</v>
      </c>
      <c r="AX252" s="139">
        <v>527</v>
      </c>
      <c r="AY252" s="139">
        <v>540</v>
      </c>
      <c r="AZ252" s="21">
        <f t="shared" si="173"/>
        <v>0.97592592592592597</v>
      </c>
      <c r="BA252" s="70"/>
      <c r="BB252" s="70"/>
      <c r="BC252" s="37" t="str">
        <f t="shared" si="174"/>
        <v>-</v>
      </c>
    </row>
    <row r="253" spans="1:55" ht="14.25" customHeight="1">
      <c r="A253" s="12" t="s">
        <v>89</v>
      </c>
      <c r="B253" s="66">
        <f>SUM(B252,B237)</f>
        <v>280</v>
      </c>
      <c r="C253" s="66">
        <f>SUM(C252,C237)</f>
        <v>313</v>
      </c>
      <c r="D253" s="67">
        <f t="shared" si="153"/>
        <v>0.89456869009584661</v>
      </c>
      <c r="E253" s="66">
        <f>SUM(E252,E237)</f>
        <v>312</v>
      </c>
      <c r="F253" s="66">
        <f>SUM(F252,F237)</f>
        <v>329</v>
      </c>
      <c r="G253" s="67">
        <f t="shared" si="154"/>
        <v>0.94832826747720367</v>
      </c>
      <c r="H253" s="66">
        <f t="shared" si="155"/>
        <v>592</v>
      </c>
      <c r="I253" s="66">
        <f t="shared" si="156"/>
        <v>642</v>
      </c>
      <c r="J253" s="67">
        <f t="shared" si="157"/>
        <v>0.92211838006230529</v>
      </c>
      <c r="K253" s="64">
        <f>SUM(K252,K237)</f>
        <v>38</v>
      </c>
      <c r="L253" s="64">
        <f>SUM(L252,L237)</f>
        <v>52</v>
      </c>
      <c r="M253" s="65">
        <f t="shared" si="158"/>
        <v>0.73076923076923073</v>
      </c>
      <c r="N253" s="64">
        <f>SUM(N252,N237)</f>
        <v>1</v>
      </c>
      <c r="O253" s="64">
        <f>SUM(O252,O237)</f>
        <v>1</v>
      </c>
      <c r="P253" s="65">
        <f t="shared" si="175"/>
        <v>1</v>
      </c>
      <c r="Q253" s="64">
        <f t="shared" si="159"/>
        <v>39</v>
      </c>
      <c r="R253" s="64">
        <f t="shared" si="160"/>
        <v>53</v>
      </c>
      <c r="S253" s="65">
        <f t="shared" si="161"/>
        <v>0.73584905660377353</v>
      </c>
      <c r="T253" s="66">
        <f>SUM(T252,T237)</f>
        <v>8</v>
      </c>
      <c r="U253" s="66">
        <f>SUM(U252,U237)</f>
        <v>11</v>
      </c>
      <c r="V253" s="67">
        <f t="shared" si="162"/>
        <v>0.72727272727272729</v>
      </c>
      <c r="W253" s="66">
        <f>SUM(W252,W237)</f>
        <v>51</v>
      </c>
      <c r="X253" s="66">
        <f>SUM(X252,X237)</f>
        <v>53</v>
      </c>
      <c r="Y253" s="67">
        <f t="shared" si="163"/>
        <v>0.96226415094339623</v>
      </c>
      <c r="Z253" s="66">
        <f t="shared" si="164"/>
        <v>59</v>
      </c>
      <c r="AA253" s="66">
        <f t="shared" si="165"/>
        <v>64</v>
      </c>
      <c r="AB253" s="67">
        <f t="shared" si="166"/>
        <v>0.921875</v>
      </c>
      <c r="AC253" s="70">
        <f>SUM(AC252,AC237)</f>
        <v>13862</v>
      </c>
      <c r="AD253" s="70">
        <f>SUM(AD252,AD237)</f>
        <v>16281</v>
      </c>
      <c r="AE253" s="21">
        <f t="shared" si="167"/>
        <v>0.85142190283152142</v>
      </c>
      <c r="AF253" s="70">
        <f>SUM(AF252,AF237)</f>
        <v>9195</v>
      </c>
      <c r="AG253" s="70">
        <f>SUM(AG252,AG237)</f>
        <v>11169</v>
      </c>
      <c r="AH253" s="21">
        <f t="shared" si="168"/>
        <v>0.82326081117378458</v>
      </c>
      <c r="AI253" s="70"/>
      <c r="AJ253" s="70"/>
      <c r="AK253" s="37" t="str">
        <f t="shared" si="169"/>
        <v>-</v>
      </c>
      <c r="AL253" s="69">
        <f>SUM(AL252,AL237)</f>
        <v>106</v>
      </c>
      <c r="AM253" s="69">
        <f>SUM(AM252,AM237)</f>
        <v>116</v>
      </c>
      <c r="AN253" s="36">
        <f t="shared" si="176"/>
        <v>0.91379310344827591</v>
      </c>
      <c r="AO253" s="69">
        <f>SUM(AO252,AO237)</f>
        <v>1</v>
      </c>
      <c r="AP253" s="69">
        <f>SUM(AP252,AP237)</f>
        <v>2</v>
      </c>
      <c r="AQ253" s="36">
        <f t="shared" si="170"/>
        <v>0.5</v>
      </c>
      <c r="AR253" s="69"/>
      <c r="AS253" s="69"/>
      <c r="AT253" s="44" t="str">
        <f t="shared" si="171"/>
        <v>-</v>
      </c>
      <c r="AU253" s="70">
        <f>SUM(AU252,AU237)</f>
        <v>85</v>
      </c>
      <c r="AV253" s="70">
        <f>SUM(AV252,AV237)</f>
        <v>96</v>
      </c>
      <c r="AW253" s="21">
        <f t="shared" si="172"/>
        <v>0.88541666666666663</v>
      </c>
      <c r="AX253" s="70">
        <f>SUM(AX252,AX237)</f>
        <v>599</v>
      </c>
      <c r="AY253" s="70">
        <f>SUM(AY252,AY237)</f>
        <v>612</v>
      </c>
      <c r="AZ253" s="21">
        <f t="shared" si="173"/>
        <v>0.97875816993464049</v>
      </c>
      <c r="BA253" s="70"/>
      <c r="BB253" s="70"/>
      <c r="BC253" s="37" t="str">
        <f t="shared" si="174"/>
        <v>-</v>
      </c>
    </row>
    <row r="254" spans="1:55" ht="14.25" customHeight="1">
      <c r="A254" s="12" t="s">
        <v>90</v>
      </c>
      <c r="B254" s="66">
        <f>SUM(B243,B250)</f>
        <v>190</v>
      </c>
      <c r="C254" s="66">
        <f>SUM(C243,C250)</f>
        <v>204</v>
      </c>
      <c r="D254" s="67">
        <f t="shared" si="153"/>
        <v>0.93137254901960786</v>
      </c>
      <c r="E254" s="66">
        <f>SUM(E243,E250)</f>
        <v>178</v>
      </c>
      <c r="F254" s="66">
        <f>SUM(F243,F250)</f>
        <v>189</v>
      </c>
      <c r="G254" s="67">
        <f t="shared" si="154"/>
        <v>0.94179894179894175</v>
      </c>
      <c r="H254" s="66">
        <f t="shared" si="155"/>
        <v>368</v>
      </c>
      <c r="I254" s="66">
        <f t="shared" si="156"/>
        <v>393</v>
      </c>
      <c r="J254" s="67">
        <f t="shared" si="157"/>
        <v>0.93638676844783719</v>
      </c>
      <c r="K254" s="64">
        <f>SUM(K243,K250)</f>
        <v>25</v>
      </c>
      <c r="L254" s="64">
        <f>SUM(L243,L250)</f>
        <v>30</v>
      </c>
      <c r="M254" s="65">
        <f t="shared" si="158"/>
        <v>0.83333333333333337</v>
      </c>
      <c r="N254" s="64">
        <f>SUM(N243,N250)</f>
        <v>3</v>
      </c>
      <c r="O254" s="64">
        <f>SUM(O243,O250)</f>
        <v>3</v>
      </c>
      <c r="P254" s="65">
        <f t="shared" si="175"/>
        <v>1</v>
      </c>
      <c r="Q254" s="64">
        <f t="shared" si="159"/>
        <v>28</v>
      </c>
      <c r="R254" s="64">
        <f t="shared" si="160"/>
        <v>33</v>
      </c>
      <c r="S254" s="65">
        <f t="shared" si="161"/>
        <v>0.84848484848484851</v>
      </c>
      <c r="T254" s="66">
        <f>SUM(T243,T250)</f>
        <v>7</v>
      </c>
      <c r="U254" s="66">
        <f>SUM(U243,U250)</f>
        <v>11</v>
      </c>
      <c r="V254" s="67">
        <f t="shared" si="162"/>
        <v>0.63636363636363635</v>
      </c>
      <c r="W254" s="66">
        <f>SUM(W243,W250)</f>
        <v>28</v>
      </c>
      <c r="X254" s="66">
        <f>SUM(X243,X250)</f>
        <v>29</v>
      </c>
      <c r="Y254" s="67">
        <f t="shared" si="163"/>
        <v>0.96551724137931039</v>
      </c>
      <c r="Z254" s="66">
        <f t="shared" si="164"/>
        <v>35</v>
      </c>
      <c r="AA254" s="66">
        <f t="shared" si="165"/>
        <v>40</v>
      </c>
      <c r="AB254" s="67">
        <f t="shared" si="166"/>
        <v>0.875</v>
      </c>
      <c r="AC254" s="70">
        <f>SUM(AC243,AC250)</f>
        <v>6278</v>
      </c>
      <c r="AD254" s="70">
        <f>SUM(AD243,AD250)</f>
        <v>7677</v>
      </c>
      <c r="AE254" s="21">
        <f t="shared" si="167"/>
        <v>0.81776735704051062</v>
      </c>
      <c r="AF254" s="70">
        <f>SUM(AF243,AF250)</f>
        <v>5135</v>
      </c>
      <c r="AG254" s="70">
        <f>SUM(AG243,AG250)</f>
        <v>6507</v>
      </c>
      <c r="AH254" s="21">
        <f t="shared" si="168"/>
        <v>0.78915014599661903</v>
      </c>
      <c r="AI254" s="70"/>
      <c r="AJ254" s="70"/>
      <c r="AK254" s="37" t="str">
        <f t="shared" si="169"/>
        <v>-</v>
      </c>
      <c r="AL254" s="69">
        <f>SUM(AL243,AL250)</f>
        <v>58</v>
      </c>
      <c r="AM254" s="69">
        <f>SUM(AM243,AM250)</f>
        <v>73</v>
      </c>
      <c r="AN254" s="36">
        <f t="shared" si="176"/>
        <v>0.79452054794520544</v>
      </c>
      <c r="AO254" s="69">
        <f>SUM(AO243,AO250)</f>
        <v>6</v>
      </c>
      <c r="AP254" s="69">
        <f>SUM(AP243,AP250)</f>
        <v>6</v>
      </c>
      <c r="AQ254" s="36">
        <f t="shared" si="170"/>
        <v>1</v>
      </c>
      <c r="AR254" s="69"/>
      <c r="AS254" s="69"/>
      <c r="AT254" s="44" t="str">
        <f t="shared" si="171"/>
        <v>-</v>
      </c>
      <c r="AU254" s="70">
        <f>SUM(AU243,AU250)</f>
        <v>77</v>
      </c>
      <c r="AV254" s="70">
        <f>SUM(AV243,AV250)</f>
        <v>84</v>
      </c>
      <c r="AW254" s="21">
        <f t="shared" si="172"/>
        <v>0.91666666666666663</v>
      </c>
      <c r="AX254" s="70">
        <f>SUM(AX243,AX250)</f>
        <v>329</v>
      </c>
      <c r="AY254" s="70">
        <f>SUM(AY243,AY250)</f>
        <v>336</v>
      </c>
      <c r="AZ254" s="21">
        <f t="shared" si="173"/>
        <v>0.97916666666666663</v>
      </c>
      <c r="BA254" s="70"/>
      <c r="BB254" s="70"/>
      <c r="BC254" s="37" t="str">
        <f t="shared" si="174"/>
        <v>-</v>
      </c>
    </row>
    <row r="255" spans="1:55" ht="14.25" customHeight="1">
      <c r="A255" s="12" t="s">
        <v>91</v>
      </c>
      <c r="B255" s="66">
        <f>SUM(B241,B242,B246)</f>
        <v>1614</v>
      </c>
      <c r="C255" s="66">
        <f>SUM(C241,C242,C246)</f>
        <v>1800</v>
      </c>
      <c r="D255" s="67">
        <f t="shared" si="153"/>
        <v>0.89666666666666661</v>
      </c>
      <c r="E255" s="66">
        <f>SUM(E241,E242,E246)</f>
        <v>1730</v>
      </c>
      <c r="F255" s="66">
        <f>SUM(F241,F242,F246)</f>
        <v>1836</v>
      </c>
      <c r="G255" s="67">
        <f t="shared" si="154"/>
        <v>0.94226579520697162</v>
      </c>
      <c r="H255" s="66">
        <f t="shared" si="155"/>
        <v>3344</v>
      </c>
      <c r="I255" s="66">
        <f t="shared" si="156"/>
        <v>3636</v>
      </c>
      <c r="J255" s="67">
        <f t="shared" si="157"/>
        <v>0.91969196919691965</v>
      </c>
      <c r="K255" s="64">
        <f>SUM(K241,K242,K246)</f>
        <v>344</v>
      </c>
      <c r="L255" s="64">
        <f>SUM(L241,L242,L246)</f>
        <v>458</v>
      </c>
      <c r="M255" s="65">
        <f t="shared" si="158"/>
        <v>0.75109170305676853</v>
      </c>
      <c r="N255" s="64">
        <f>SUM(N241,N242,N246)</f>
        <v>20</v>
      </c>
      <c r="O255" s="64">
        <f>SUM(O241,O242,O246)</f>
        <v>26</v>
      </c>
      <c r="P255" s="65">
        <f t="shared" si="175"/>
        <v>0.76923076923076927</v>
      </c>
      <c r="Q255" s="64">
        <f t="shared" si="159"/>
        <v>364</v>
      </c>
      <c r="R255" s="64">
        <f t="shared" si="160"/>
        <v>484</v>
      </c>
      <c r="S255" s="65">
        <f t="shared" si="161"/>
        <v>0.75206611570247939</v>
      </c>
      <c r="T255" s="66">
        <f>SUM(T241,T242,T246)</f>
        <v>26</v>
      </c>
      <c r="U255" s="66">
        <f>SUM(U241,U242,U246)</f>
        <v>32</v>
      </c>
      <c r="V255" s="67">
        <f t="shared" si="162"/>
        <v>0.8125</v>
      </c>
      <c r="W255" s="66">
        <f>SUM(W241,W242,W246)</f>
        <v>442</v>
      </c>
      <c r="X255" s="66">
        <f>SUM(X241,X242,X246)</f>
        <v>446</v>
      </c>
      <c r="Y255" s="67">
        <f t="shared" si="163"/>
        <v>0.99103139013452912</v>
      </c>
      <c r="Z255" s="66">
        <f t="shared" si="164"/>
        <v>468</v>
      </c>
      <c r="AA255" s="66">
        <f t="shared" si="165"/>
        <v>478</v>
      </c>
      <c r="AB255" s="67">
        <f t="shared" si="166"/>
        <v>0.97907949790794979</v>
      </c>
      <c r="AC255" s="70">
        <f>SUM(AC241,AC242,AC246)</f>
        <v>53144</v>
      </c>
      <c r="AD255" s="70">
        <f>SUM(AD241,AD242,AD246)</f>
        <v>59616</v>
      </c>
      <c r="AE255" s="21">
        <f t="shared" si="167"/>
        <v>0.89143853998926459</v>
      </c>
      <c r="AF255" s="70">
        <f>SUM(AF241,AF242,AF246)</f>
        <v>55411</v>
      </c>
      <c r="AG255" s="70">
        <f>SUM(AG241,AG242,AG246)</f>
        <v>62868</v>
      </c>
      <c r="AH255" s="21">
        <f t="shared" si="168"/>
        <v>0.8813863968950818</v>
      </c>
      <c r="AI255" s="70"/>
      <c r="AJ255" s="70"/>
      <c r="AK255" s="37" t="str">
        <f t="shared" si="169"/>
        <v>-</v>
      </c>
      <c r="AL255" s="69">
        <f>SUM(AL241,AL242,AL246)</f>
        <v>595</v>
      </c>
      <c r="AM255" s="69">
        <f>SUM(AM241,AM242,AM246)</f>
        <v>688</v>
      </c>
      <c r="AN255" s="36">
        <f t="shared" si="176"/>
        <v>0.86482558139534882</v>
      </c>
      <c r="AO255" s="69">
        <f>SUM(AO241,AO242,AO246)</f>
        <v>33</v>
      </c>
      <c r="AP255" s="69">
        <f>SUM(AP241,AP242,AP246)</f>
        <v>39</v>
      </c>
      <c r="AQ255" s="36">
        <f t="shared" si="170"/>
        <v>0.84615384615384615</v>
      </c>
      <c r="AR255" s="69"/>
      <c r="AS255" s="69"/>
      <c r="AT255" s="44" t="str">
        <f t="shared" si="171"/>
        <v>-</v>
      </c>
      <c r="AU255" s="70">
        <f>SUM(AU241,AU242,AU246)</f>
        <v>295</v>
      </c>
      <c r="AV255" s="70">
        <f>SUM(AV241,AV242,AV246)</f>
        <v>312</v>
      </c>
      <c r="AW255" s="21">
        <f t="shared" si="172"/>
        <v>0.94551282051282048</v>
      </c>
      <c r="AX255" s="70">
        <f>SUM(AX241,AX242,AX246)</f>
        <v>5046</v>
      </c>
      <c r="AY255" s="70">
        <f>SUM(AY241,AY242,AY246)</f>
        <v>5340</v>
      </c>
      <c r="AZ255" s="21">
        <f t="shared" si="173"/>
        <v>0.94494382022471912</v>
      </c>
      <c r="BA255" s="70"/>
      <c r="BB255" s="70"/>
      <c r="BC255" s="37" t="str">
        <f t="shared" si="174"/>
        <v>-</v>
      </c>
    </row>
    <row r="256" spans="1:55" ht="14.25" customHeight="1">
      <c r="A256" s="12" t="s">
        <v>93</v>
      </c>
      <c r="B256" s="66">
        <f>SUM(B234,B240)</f>
        <v>445</v>
      </c>
      <c r="C256" s="66">
        <f>SUM(C234,C240)</f>
        <v>515</v>
      </c>
      <c r="D256" s="67">
        <f t="shared" si="153"/>
        <v>0.86407766990291257</v>
      </c>
      <c r="E256" s="66">
        <f>SUM(E234,E240)</f>
        <v>472</v>
      </c>
      <c r="F256" s="66">
        <f>SUM(F234,F240)</f>
        <v>489</v>
      </c>
      <c r="G256" s="67">
        <f t="shared" si="154"/>
        <v>0.96523517382413093</v>
      </c>
      <c r="H256" s="66">
        <f t="shared" si="155"/>
        <v>917</v>
      </c>
      <c r="I256" s="66">
        <f t="shared" si="156"/>
        <v>1004</v>
      </c>
      <c r="J256" s="67">
        <f t="shared" si="157"/>
        <v>0.9133466135458167</v>
      </c>
      <c r="K256" s="64">
        <f>SUM(K234,K240)</f>
        <v>23</v>
      </c>
      <c r="L256" s="64">
        <f>SUM(L234,L240)</f>
        <v>28</v>
      </c>
      <c r="M256" s="65">
        <f t="shared" si="158"/>
        <v>0.8214285714285714</v>
      </c>
      <c r="N256" s="64">
        <f>SUM(N234,N240)</f>
        <v>71</v>
      </c>
      <c r="O256" s="64">
        <f>SUM(O234,O240)</f>
        <v>82</v>
      </c>
      <c r="P256" s="65">
        <f t="shared" si="175"/>
        <v>0.86585365853658536</v>
      </c>
      <c r="Q256" s="64">
        <f t="shared" si="159"/>
        <v>94</v>
      </c>
      <c r="R256" s="64">
        <f t="shared" si="160"/>
        <v>110</v>
      </c>
      <c r="S256" s="65">
        <f t="shared" si="161"/>
        <v>0.8545454545454545</v>
      </c>
      <c r="T256" s="66">
        <f>SUM(T234,T240)</f>
        <v>62</v>
      </c>
      <c r="U256" s="66">
        <f>SUM(U234,U240)</f>
        <v>91</v>
      </c>
      <c r="V256" s="67">
        <f t="shared" si="162"/>
        <v>0.68131868131868134</v>
      </c>
      <c r="W256" s="66">
        <f>SUM(W234,W240)</f>
        <v>59</v>
      </c>
      <c r="X256" s="66">
        <f>SUM(X234,X240)</f>
        <v>62</v>
      </c>
      <c r="Y256" s="67">
        <f t="shared" si="163"/>
        <v>0.95161290322580649</v>
      </c>
      <c r="Z256" s="66">
        <f t="shared" si="164"/>
        <v>121</v>
      </c>
      <c r="AA256" s="66">
        <f t="shared" si="165"/>
        <v>153</v>
      </c>
      <c r="AB256" s="67">
        <f t="shared" si="166"/>
        <v>0.79084967320261434</v>
      </c>
      <c r="AC256" s="70">
        <f>SUM(AC234,AC240)</f>
        <v>18087</v>
      </c>
      <c r="AD256" s="70">
        <f>SUM(AD234,AD240)</f>
        <v>20958</v>
      </c>
      <c r="AE256" s="21">
        <f t="shared" si="167"/>
        <v>0.86301173776123674</v>
      </c>
      <c r="AF256" s="70">
        <f>SUM(AF234,AF240)</f>
        <v>19040</v>
      </c>
      <c r="AG256" s="70">
        <f>SUM(AG234,AG240)</f>
        <v>24090</v>
      </c>
      <c r="AH256" s="21">
        <f t="shared" si="168"/>
        <v>0.79036944790369446</v>
      </c>
      <c r="AI256" s="70"/>
      <c r="AJ256" s="70"/>
      <c r="AK256" s="37" t="str">
        <f t="shared" si="169"/>
        <v>-</v>
      </c>
      <c r="AL256" s="69">
        <f>SUM(AL234,AL240)</f>
        <v>49</v>
      </c>
      <c r="AM256" s="69">
        <f>SUM(AM234,AM240)</f>
        <v>71</v>
      </c>
      <c r="AN256" s="36">
        <f t="shared" si="176"/>
        <v>0.6901408450704225</v>
      </c>
      <c r="AO256" s="69">
        <f>SUM(AO234,AO240)</f>
        <v>122</v>
      </c>
      <c r="AP256" s="69">
        <f>SUM(AP234,AP240)</f>
        <v>141</v>
      </c>
      <c r="AQ256" s="36">
        <f t="shared" si="170"/>
        <v>0.86524822695035464</v>
      </c>
      <c r="AR256" s="69"/>
      <c r="AS256" s="69"/>
      <c r="AT256" s="44" t="str">
        <f t="shared" si="171"/>
        <v>-</v>
      </c>
      <c r="AU256" s="70">
        <f>SUM(AU234,AU240)</f>
        <v>689</v>
      </c>
      <c r="AV256" s="70">
        <f>SUM(AV234,AV240)</f>
        <v>744</v>
      </c>
      <c r="AW256" s="21">
        <f t="shared" si="172"/>
        <v>0.92607526881720426</v>
      </c>
      <c r="AX256" s="70">
        <f>SUM(AX234,AX240)</f>
        <v>597</v>
      </c>
      <c r="AY256" s="70">
        <f>SUM(AY234,AY240)</f>
        <v>708</v>
      </c>
      <c r="AZ256" s="21">
        <f t="shared" si="173"/>
        <v>0.84322033898305082</v>
      </c>
      <c r="BA256" s="70"/>
      <c r="BB256" s="70"/>
      <c r="BC256" s="37" t="str">
        <f t="shared" si="174"/>
        <v>-</v>
      </c>
    </row>
    <row r="257" spans="1:55" ht="14.25" customHeight="1">
      <c r="A257" s="12" t="s">
        <v>94</v>
      </c>
      <c r="B257" s="66">
        <f>SUM(B235,B246)</f>
        <v>231</v>
      </c>
      <c r="C257" s="66">
        <f>SUM(C235,C246)</f>
        <v>270</v>
      </c>
      <c r="D257" s="67">
        <f t="shared" si="153"/>
        <v>0.85555555555555551</v>
      </c>
      <c r="E257" s="66">
        <f>SUM(E235,E246)</f>
        <v>199</v>
      </c>
      <c r="F257" s="66">
        <f>SUM(F235,F246)</f>
        <v>211</v>
      </c>
      <c r="G257" s="67">
        <f t="shared" si="154"/>
        <v>0.94312796208530802</v>
      </c>
      <c r="H257" s="66">
        <f t="shared" si="155"/>
        <v>430</v>
      </c>
      <c r="I257" s="66">
        <f t="shared" si="156"/>
        <v>481</v>
      </c>
      <c r="J257" s="67">
        <f t="shared" si="157"/>
        <v>0.89397089397089402</v>
      </c>
      <c r="K257" s="64">
        <f>SUM(K235,K246)</f>
        <v>0</v>
      </c>
      <c r="L257" s="64">
        <f>SUM(L235,L246)</f>
        <v>0</v>
      </c>
      <c r="M257" s="80" t="str">
        <f t="shared" si="158"/>
        <v>-</v>
      </c>
      <c r="N257" s="64">
        <f>SUM(N235,N246)</f>
        <v>41</v>
      </c>
      <c r="O257" s="64">
        <f>SUM(O235,O246)</f>
        <v>52</v>
      </c>
      <c r="P257" s="65">
        <f t="shared" si="175"/>
        <v>0.78846153846153844</v>
      </c>
      <c r="Q257" s="64">
        <f t="shared" si="159"/>
        <v>41</v>
      </c>
      <c r="R257" s="64">
        <f t="shared" si="160"/>
        <v>52</v>
      </c>
      <c r="S257" s="65">
        <f t="shared" si="161"/>
        <v>0.78846153846153844</v>
      </c>
      <c r="T257" s="66">
        <f>SUM(T235,T246)</f>
        <v>2</v>
      </c>
      <c r="U257" s="66">
        <f>SUM(U235,U246)</f>
        <v>2</v>
      </c>
      <c r="V257" s="67">
        <f t="shared" si="162"/>
        <v>1</v>
      </c>
      <c r="W257" s="66">
        <f>SUM(W235,W246)</f>
        <v>43</v>
      </c>
      <c r="X257" s="66">
        <f>SUM(X235,X246)</f>
        <v>44</v>
      </c>
      <c r="Y257" s="67">
        <f t="shared" si="163"/>
        <v>0.97727272727272729</v>
      </c>
      <c r="Z257" s="66">
        <f t="shared" si="164"/>
        <v>45</v>
      </c>
      <c r="AA257" s="66">
        <f t="shared" si="165"/>
        <v>46</v>
      </c>
      <c r="AB257" s="67">
        <f t="shared" si="166"/>
        <v>0.97826086956521741</v>
      </c>
      <c r="AC257" s="70">
        <f>SUM(AC235,AC246)</f>
        <v>8932</v>
      </c>
      <c r="AD257" s="70">
        <f>SUM(AD235,AD246)</f>
        <v>10329</v>
      </c>
      <c r="AE257" s="21">
        <f t="shared" si="167"/>
        <v>0.86474973375931841</v>
      </c>
      <c r="AF257" s="70">
        <f>SUM(AF235,AF246)</f>
        <v>4858</v>
      </c>
      <c r="AG257" s="70">
        <f>SUM(AG235,AG246)</f>
        <v>5922</v>
      </c>
      <c r="AH257" s="21">
        <f t="shared" si="168"/>
        <v>0.82033096926713944</v>
      </c>
      <c r="AI257" s="70"/>
      <c r="AJ257" s="70"/>
      <c r="AK257" s="37" t="str">
        <f t="shared" si="169"/>
        <v>-</v>
      </c>
      <c r="AL257" s="69">
        <f>SUM(AL235,AL246)</f>
        <v>0</v>
      </c>
      <c r="AM257" s="69">
        <f>SUM(AM235,AM246)</f>
        <v>0</v>
      </c>
      <c r="AN257" s="44" t="str">
        <f t="shared" si="176"/>
        <v>-</v>
      </c>
      <c r="AO257" s="69">
        <f>SUM(AO235,AO246)</f>
        <v>75</v>
      </c>
      <c r="AP257" s="69">
        <f>SUM(AP235,AP246)</f>
        <v>82</v>
      </c>
      <c r="AQ257" s="36">
        <f t="shared" si="170"/>
        <v>0.91463414634146345</v>
      </c>
      <c r="AR257" s="69"/>
      <c r="AS257" s="69"/>
      <c r="AT257" s="44" t="str">
        <f t="shared" si="171"/>
        <v>-</v>
      </c>
      <c r="AU257" s="70">
        <f>SUM(AU235,AU246)</f>
        <v>19</v>
      </c>
      <c r="AV257" s="70">
        <f>SUM(AV235,AV246)</f>
        <v>24</v>
      </c>
      <c r="AW257" s="21">
        <f t="shared" si="172"/>
        <v>0.79166666666666663</v>
      </c>
      <c r="AX257" s="70">
        <f>SUM(AX235,AX246)</f>
        <v>463</v>
      </c>
      <c r="AY257" s="70">
        <f>SUM(AY235,AY246)</f>
        <v>516</v>
      </c>
      <c r="AZ257" s="21">
        <f t="shared" si="173"/>
        <v>0.8972868217054264</v>
      </c>
      <c r="BA257" s="70"/>
      <c r="BB257" s="70"/>
      <c r="BC257" s="37" t="str">
        <f t="shared" si="174"/>
        <v>-</v>
      </c>
    </row>
    <row r="258" spans="1:55" ht="14.25" customHeight="1">
      <c r="A258" s="12" t="s">
        <v>95</v>
      </c>
      <c r="B258" s="66">
        <f>SUM(B237,B238)</f>
        <v>182</v>
      </c>
      <c r="C258" s="66">
        <f>SUM(C237,C238)</f>
        <v>199</v>
      </c>
      <c r="D258" s="67">
        <f t="shared" si="153"/>
        <v>0.914572864321608</v>
      </c>
      <c r="E258" s="66">
        <f>SUM(E237,E238)</f>
        <v>175</v>
      </c>
      <c r="F258" s="66">
        <f>SUM(F237,F238)</f>
        <v>187</v>
      </c>
      <c r="G258" s="67">
        <f t="shared" si="154"/>
        <v>0.93582887700534756</v>
      </c>
      <c r="H258" s="66">
        <f t="shared" si="155"/>
        <v>357</v>
      </c>
      <c r="I258" s="66">
        <f t="shared" si="156"/>
        <v>386</v>
      </c>
      <c r="J258" s="67">
        <f t="shared" si="157"/>
        <v>0.92487046632124348</v>
      </c>
      <c r="K258" s="64">
        <f>SUM(K237,K238)</f>
        <v>1</v>
      </c>
      <c r="L258" s="64">
        <f>SUM(L237,L238)</f>
        <v>2</v>
      </c>
      <c r="M258" s="65">
        <f t="shared" si="158"/>
        <v>0.5</v>
      </c>
      <c r="N258" s="64">
        <f>SUM(N237,N238)</f>
        <v>1</v>
      </c>
      <c r="O258" s="64">
        <f>SUM(O237,O238)</f>
        <v>1</v>
      </c>
      <c r="P258" s="65">
        <f t="shared" si="175"/>
        <v>1</v>
      </c>
      <c r="Q258" s="64">
        <f t="shared" si="159"/>
        <v>2</v>
      </c>
      <c r="R258" s="64">
        <f t="shared" si="160"/>
        <v>3</v>
      </c>
      <c r="S258" s="65">
        <f t="shared" si="161"/>
        <v>0.66666666666666663</v>
      </c>
      <c r="T258" s="66">
        <f>SUM(T237,T238)</f>
        <v>6</v>
      </c>
      <c r="U258" s="66">
        <f>SUM(U237,U238)</f>
        <v>9</v>
      </c>
      <c r="V258" s="67">
        <f t="shared" si="162"/>
        <v>0.66666666666666663</v>
      </c>
      <c r="W258" s="66">
        <f>SUM(W237,W238)</f>
        <v>46</v>
      </c>
      <c r="X258" s="66">
        <f>SUM(X237,X238)</f>
        <v>46</v>
      </c>
      <c r="Y258" s="67">
        <f t="shared" si="163"/>
        <v>1</v>
      </c>
      <c r="Z258" s="66">
        <f t="shared" si="164"/>
        <v>52</v>
      </c>
      <c r="AA258" s="66">
        <f t="shared" si="165"/>
        <v>55</v>
      </c>
      <c r="AB258" s="67">
        <f t="shared" si="166"/>
        <v>0.94545454545454544</v>
      </c>
      <c r="AC258" s="70">
        <f>SUM(AC237,AC238)</f>
        <v>8390</v>
      </c>
      <c r="AD258" s="70">
        <f>SUM(AD237,AD238)</f>
        <v>9711</v>
      </c>
      <c r="AE258" s="21">
        <f t="shared" si="167"/>
        <v>0.86396869529399645</v>
      </c>
      <c r="AF258" s="70">
        <f>SUM(AF237,AF238)</f>
        <v>6081</v>
      </c>
      <c r="AG258" s="70">
        <f>SUM(AG237,AG238)</f>
        <v>6870</v>
      </c>
      <c r="AH258" s="21">
        <f t="shared" si="168"/>
        <v>0.88515283842794756</v>
      </c>
      <c r="AI258" s="70"/>
      <c r="AJ258" s="70"/>
      <c r="AK258" s="37" t="str">
        <f t="shared" si="169"/>
        <v>-</v>
      </c>
      <c r="AL258" s="69">
        <f>SUM(AL237,AL238)</f>
        <v>3</v>
      </c>
      <c r="AM258" s="69">
        <f>SUM(AM237,AM238)</f>
        <v>3</v>
      </c>
      <c r="AN258" s="36">
        <f t="shared" si="176"/>
        <v>1</v>
      </c>
      <c r="AO258" s="69">
        <f>SUM(AO237,AO238)</f>
        <v>1</v>
      </c>
      <c r="AP258" s="69">
        <f>SUM(AP237,AP238)</f>
        <v>2</v>
      </c>
      <c r="AQ258" s="36">
        <f t="shared" si="170"/>
        <v>0.5</v>
      </c>
      <c r="AR258" s="69"/>
      <c r="AS258" s="69"/>
      <c r="AT258" s="44" t="str">
        <f t="shared" si="171"/>
        <v>-</v>
      </c>
      <c r="AU258" s="70">
        <f>SUM(AU237,AU238)</f>
        <v>61</v>
      </c>
      <c r="AV258" s="70">
        <f>SUM(AV237,AV238)</f>
        <v>72</v>
      </c>
      <c r="AW258" s="21">
        <f t="shared" si="172"/>
        <v>0.84722222222222221</v>
      </c>
      <c r="AX258" s="70">
        <f>SUM(AX237,AX238)</f>
        <v>504</v>
      </c>
      <c r="AY258" s="70">
        <f>SUM(AY237,AY238)</f>
        <v>552</v>
      </c>
      <c r="AZ258" s="21">
        <f t="shared" si="173"/>
        <v>0.91304347826086951</v>
      </c>
      <c r="BA258" s="70"/>
      <c r="BB258" s="70"/>
      <c r="BC258" s="37" t="str">
        <f t="shared" si="174"/>
        <v>-</v>
      </c>
    </row>
    <row r="259" spans="1:55" ht="14.25" customHeight="1">
      <c r="A259" s="12" t="s">
        <v>96</v>
      </c>
      <c r="B259" s="66">
        <f>SUM(B245,B250)</f>
        <v>150</v>
      </c>
      <c r="C259" s="66">
        <f>SUM(C245,C250)</f>
        <v>158</v>
      </c>
      <c r="D259" s="67">
        <f t="shared" si="153"/>
        <v>0.94936708860759489</v>
      </c>
      <c r="E259" s="66">
        <f>SUM(E245,E250)</f>
        <v>143</v>
      </c>
      <c r="F259" s="66">
        <f>SUM(F245,F250)</f>
        <v>149</v>
      </c>
      <c r="G259" s="67">
        <f t="shared" si="154"/>
        <v>0.95973154362416102</v>
      </c>
      <c r="H259" s="66">
        <f t="shared" si="155"/>
        <v>293</v>
      </c>
      <c r="I259" s="66">
        <f t="shared" si="156"/>
        <v>307</v>
      </c>
      <c r="J259" s="67">
        <f t="shared" si="157"/>
        <v>0.9543973941368078</v>
      </c>
      <c r="K259" s="64">
        <f>SUM(K245,K250)</f>
        <v>12</v>
      </c>
      <c r="L259" s="64">
        <f>SUM(L245,L250)</f>
        <v>13</v>
      </c>
      <c r="M259" s="65">
        <f t="shared" si="158"/>
        <v>0.92307692307692313</v>
      </c>
      <c r="N259" s="64">
        <f>SUM(N245,N250)</f>
        <v>4</v>
      </c>
      <c r="O259" s="64">
        <f>SUM(O245,O250)</f>
        <v>4</v>
      </c>
      <c r="P259" s="65">
        <f t="shared" si="175"/>
        <v>1</v>
      </c>
      <c r="Q259" s="64">
        <f t="shared" si="159"/>
        <v>16</v>
      </c>
      <c r="R259" s="64">
        <f t="shared" si="160"/>
        <v>17</v>
      </c>
      <c r="S259" s="65">
        <f t="shared" si="161"/>
        <v>0.94117647058823528</v>
      </c>
      <c r="T259" s="66">
        <f>SUM(T245,T250)</f>
        <v>0</v>
      </c>
      <c r="U259" s="66">
        <f>SUM(U245,U250)</f>
        <v>0</v>
      </c>
      <c r="V259" s="83" t="str">
        <f t="shared" si="162"/>
        <v>-</v>
      </c>
      <c r="W259" s="66">
        <f>SUM(W245,W250)</f>
        <v>12</v>
      </c>
      <c r="X259" s="66">
        <f>SUM(X245,X250)</f>
        <v>12</v>
      </c>
      <c r="Y259" s="67">
        <f t="shared" si="163"/>
        <v>1</v>
      </c>
      <c r="Z259" s="66">
        <f t="shared" si="164"/>
        <v>12</v>
      </c>
      <c r="AA259" s="66">
        <f t="shared" si="165"/>
        <v>12</v>
      </c>
      <c r="AB259" s="67">
        <f t="shared" si="166"/>
        <v>1</v>
      </c>
      <c r="AC259" s="70">
        <f>SUM(AC245,AC250)</f>
        <v>4937</v>
      </c>
      <c r="AD259" s="70">
        <f>SUM(AD245,AD250)</f>
        <v>5658</v>
      </c>
      <c r="AE259" s="21">
        <f t="shared" si="167"/>
        <v>0.87256981265464828</v>
      </c>
      <c r="AF259" s="70">
        <f>SUM(AF245,AF250)</f>
        <v>4691</v>
      </c>
      <c r="AG259" s="70">
        <f>SUM(AG245,AG250)</f>
        <v>5565</v>
      </c>
      <c r="AH259" s="21">
        <f t="shared" si="168"/>
        <v>0.84294699011680141</v>
      </c>
      <c r="AI259" s="70"/>
      <c r="AJ259" s="70"/>
      <c r="AK259" s="37" t="str">
        <f t="shared" si="169"/>
        <v>-</v>
      </c>
      <c r="AL259" s="69">
        <f>SUM(AL245,AL250)</f>
        <v>32</v>
      </c>
      <c r="AM259" s="69">
        <f>SUM(AM245,AM250)</f>
        <v>33</v>
      </c>
      <c r="AN259" s="36">
        <f t="shared" si="176"/>
        <v>0.96969696969696972</v>
      </c>
      <c r="AO259" s="69">
        <f>SUM(AO245,AO250)</f>
        <v>6</v>
      </c>
      <c r="AP259" s="69">
        <f>SUM(AP245,AP250)</f>
        <v>8</v>
      </c>
      <c r="AQ259" s="36">
        <f t="shared" si="170"/>
        <v>0.75</v>
      </c>
      <c r="AR259" s="69"/>
      <c r="AS259" s="69"/>
      <c r="AT259" s="44" t="str">
        <f t="shared" si="171"/>
        <v>-</v>
      </c>
      <c r="AU259" s="70">
        <f>SUM(AU245,AU250)</f>
        <v>0</v>
      </c>
      <c r="AV259" s="70">
        <f>SUM(AV245,AV250)</f>
        <v>0</v>
      </c>
      <c r="AW259" s="37" t="str">
        <f t="shared" si="172"/>
        <v>-</v>
      </c>
      <c r="AX259" s="70">
        <f>SUM(AX245,AX250)</f>
        <v>141</v>
      </c>
      <c r="AY259" s="70">
        <f>SUM(AY245,AY250)</f>
        <v>144</v>
      </c>
      <c r="AZ259" s="21">
        <f t="shared" si="173"/>
        <v>0.97916666666666663</v>
      </c>
      <c r="BA259" s="70"/>
      <c r="BB259" s="70"/>
      <c r="BC259" s="37" t="str">
        <f t="shared" si="174"/>
        <v>-</v>
      </c>
    </row>
    <row r="260" spans="1:55" ht="14.25" customHeight="1">
      <c r="A260" s="43" t="s">
        <v>97</v>
      </c>
      <c r="B260" s="136">
        <v>19</v>
      </c>
      <c r="C260" s="136">
        <v>26</v>
      </c>
      <c r="D260" s="67">
        <f t="shared" si="153"/>
        <v>0.73076923076923073</v>
      </c>
      <c r="E260" s="136">
        <v>37</v>
      </c>
      <c r="F260" s="136">
        <v>53</v>
      </c>
      <c r="G260" s="67">
        <f t="shared" si="154"/>
        <v>0.69811320754716977</v>
      </c>
      <c r="H260" s="66">
        <f t="shared" si="155"/>
        <v>56</v>
      </c>
      <c r="I260" s="66">
        <f t="shared" si="156"/>
        <v>79</v>
      </c>
      <c r="J260" s="67">
        <f t="shared" si="157"/>
        <v>0.70886075949367089</v>
      </c>
      <c r="K260" s="94" t="s">
        <v>19</v>
      </c>
      <c r="L260" s="94" t="s">
        <v>19</v>
      </c>
      <c r="M260" s="80" t="str">
        <f t="shared" si="158"/>
        <v>-</v>
      </c>
      <c r="N260" s="94" t="s">
        <v>19</v>
      </c>
      <c r="O260" s="94" t="s">
        <v>19</v>
      </c>
      <c r="P260" s="80" t="str">
        <f t="shared" si="175"/>
        <v>-</v>
      </c>
      <c r="Q260" s="64">
        <f t="shared" si="159"/>
        <v>0</v>
      </c>
      <c r="R260" s="64">
        <f t="shared" si="160"/>
        <v>0</v>
      </c>
      <c r="S260" s="80" t="str">
        <f t="shared" si="161"/>
        <v>-</v>
      </c>
      <c r="T260" s="96" t="s">
        <v>19</v>
      </c>
      <c r="U260" s="96" t="s">
        <v>19</v>
      </c>
      <c r="V260" s="83" t="str">
        <f t="shared" si="162"/>
        <v>-</v>
      </c>
      <c r="W260" s="96" t="s">
        <v>19</v>
      </c>
      <c r="X260" s="96" t="s">
        <v>19</v>
      </c>
      <c r="Y260" s="83" t="str">
        <f t="shared" si="163"/>
        <v>-</v>
      </c>
      <c r="Z260" s="66">
        <f t="shared" si="164"/>
        <v>0</v>
      </c>
      <c r="AA260" s="66">
        <f t="shared" si="165"/>
        <v>0</v>
      </c>
      <c r="AB260" s="83" t="str">
        <f t="shared" si="166"/>
        <v>-</v>
      </c>
      <c r="AC260" s="139">
        <v>565</v>
      </c>
      <c r="AD260" s="139">
        <v>792</v>
      </c>
      <c r="AE260" s="21">
        <f t="shared" si="167"/>
        <v>0.71338383838383834</v>
      </c>
      <c r="AF260" s="139">
        <v>1511</v>
      </c>
      <c r="AG260" s="139">
        <v>1788</v>
      </c>
      <c r="AH260" s="21">
        <f t="shared" si="168"/>
        <v>0.84507829977628635</v>
      </c>
      <c r="AI260" s="70"/>
      <c r="AJ260" s="70"/>
      <c r="AK260" s="37" t="str">
        <f t="shared" si="169"/>
        <v>-</v>
      </c>
      <c r="AL260" s="104" t="s">
        <v>19</v>
      </c>
      <c r="AM260" s="104" t="s">
        <v>19</v>
      </c>
      <c r="AN260" s="44" t="str">
        <f t="shared" si="176"/>
        <v>-</v>
      </c>
      <c r="AO260" s="197"/>
      <c r="AP260" s="197"/>
      <c r="AQ260" s="44" t="str">
        <f t="shared" si="170"/>
        <v>-</v>
      </c>
      <c r="AR260" s="69"/>
      <c r="AS260" s="69"/>
      <c r="AT260" s="44" t="str">
        <f t="shared" si="171"/>
        <v>-</v>
      </c>
      <c r="AU260" s="81" t="s">
        <v>19</v>
      </c>
      <c r="AV260" s="81" t="s">
        <v>19</v>
      </c>
      <c r="AW260" s="37" t="str">
        <f t="shared" si="172"/>
        <v>-</v>
      </c>
      <c r="AX260" s="139"/>
      <c r="AY260" s="139"/>
      <c r="AZ260" s="37" t="str">
        <f t="shared" si="173"/>
        <v>-</v>
      </c>
      <c r="BA260" s="70"/>
      <c r="BB260" s="70"/>
      <c r="BC260" s="37" t="str">
        <f t="shared" si="174"/>
        <v>-</v>
      </c>
    </row>
    <row r="261" spans="1:55" ht="14.25" customHeight="1">
      <c r="A261" s="43" t="s">
        <v>98</v>
      </c>
      <c r="B261" s="136">
        <v>6</v>
      </c>
      <c r="C261" s="136">
        <v>10</v>
      </c>
      <c r="D261" s="67">
        <f t="shared" si="153"/>
        <v>0.6</v>
      </c>
      <c r="E261" s="136">
        <v>11</v>
      </c>
      <c r="F261" s="136">
        <v>18</v>
      </c>
      <c r="G261" s="67">
        <f t="shared" si="154"/>
        <v>0.61111111111111116</v>
      </c>
      <c r="H261" s="66">
        <f t="shared" si="155"/>
        <v>17</v>
      </c>
      <c r="I261" s="66">
        <f t="shared" si="156"/>
        <v>28</v>
      </c>
      <c r="J261" s="67">
        <f t="shared" si="157"/>
        <v>0.6071428571428571</v>
      </c>
      <c r="K261" s="94" t="s">
        <v>19</v>
      </c>
      <c r="L261" s="94" t="s">
        <v>19</v>
      </c>
      <c r="M261" s="80" t="str">
        <f t="shared" si="158"/>
        <v>-</v>
      </c>
      <c r="N261" s="94" t="s">
        <v>19</v>
      </c>
      <c r="O261" s="94" t="s">
        <v>19</v>
      </c>
      <c r="P261" s="80" t="str">
        <f t="shared" si="175"/>
        <v>-</v>
      </c>
      <c r="Q261" s="64">
        <f t="shared" si="159"/>
        <v>0</v>
      </c>
      <c r="R261" s="64">
        <f t="shared" si="160"/>
        <v>0</v>
      </c>
      <c r="S261" s="80" t="str">
        <f t="shared" si="161"/>
        <v>-</v>
      </c>
      <c r="T261" s="96" t="s">
        <v>19</v>
      </c>
      <c r="U261" s="96" t="s">
        <v>19</v>
      </c>
      <c r="V261" s="83" t="str">
        <f t="shared" si="162"/>
        <v>-</v>
      </c>
      <c r="W261" s="96" t="s">
        <v>19</v>
      </c>
      <c r="X261" s="96" t="s">
        <v>19</v>
      </c>
      <c r="Y261" s="83" t="str">
        <f t="shared" si="163"/>
        <v>-</v>
      </c>
      <c r="Z261" s="66">
        <f t="shared" si="164"/>
        <v>0</v>
      </c>
      <c r="AA261" s="66">
        <f t="shared" si="165"/>
        <v>0</v>
      </c>
      <c r="AB261" s="83" t="str">
        <f t="shared" si="166"/>
        <v>-</v>
      </c>
      <c r="AC261" s="139">
        <v>206</v>
      </c>
      <c r="AD261" s="139">
        <v>224</v>
      </c>
      <c r="AE261" s="21">
        <f t="shared" si="167"/>
        <v>0.9196428571428571</v>
      </c>
      <c r="AF261" s="139">
        <v>302</v>
      </c>
      <c r="AG261" s="139">
        <v>354</v>
      </c>
      <c r="AH261" s="21">
        <f t="shared" si="168"/>
        <v>0.85310734463276838</v>
      </c>
      <c r="AI261" s="70"/>
      <c r="AJ261" s="70"/>
      <c r="AK261" s="37" t="str">
        <f t="shared" si="169"/>
        <v>-</v>
      </c>
      <c r="AL261" s="104" t="s">
        <v>19</v>
      </c>
      <c r="AM261" s="104" t="s">
        <v>19</v>
      </c>
      <c r="AN261" s="44" t="str">
        <f t="shared" si="176"/>
        <v>-</v>
      </c>
      <c r="AO261" s="197"/>
      <c r="AP261" s="197"/>
      <c r="AQ261" s="44" t="str">
        <f t="shared" si="170"/>
        <v>-</v>
      </c>
      <c r="AR261" s="69"/>
      <c r="AS261" s="69"/>
      <c r="AT261" s="44" t="str">
        <f t="shared" si="171"/>
        <v>-</v>
      </c>
      <c r="AU261" s="81" t="s">
        <v>19</v>
      </c>
      <c r="AV261" s="81" t="s">
        <v>19</v>
      </c>
      <c r="AW261" s="37" t="str">
        <f t="shared" si="172"/>
        <v>-</v>
      </c>
      <c r="AX261" s="139"/>
      <c r="AY261" s="139"/>
      <c r="AZ261" s="37" t="str">
        <f t="shared" si="173"/>
        <v>-</v>
      </c>
      <c r="BA261" s="70"/>
      <c r="BB261" s="70"/>
      <c r="BC261" s="37" t="str">
        <f t="shared" si="174"/>
        <v>-</v>
      </c>
    </row>
    <row r="262" spans="1:55" ht="14.25" customHeight="1">
      <c r="A262" s="43" t="s">
        <v>99</v>
      </c>
      <c r="B262" s="136">
        <v>24</v>
      </c>
      <c r="C262" s="136">
        <v>29</v>
      </c>
      <c r="D262" s="67">
        <f t="shared" si="153"/>
        <v>0.82758620689655171</v>
      </c>
      <c r="E262" s="136">
        <v>58</v>
      </c>
      <c r="F262" s="136">
        <v>67</v>
      </c>
      <c r="G262" s="67">
        <f t="shared" si="154"/>
        <v>0.86567164179104472</v>
      </c>
      <c r="H262" s="66">
        <f t="shared" si="155"/>
        <v>82</v>
      </c>
      <c r="I262" s="66">
        <f t="shared" si="156"/>
        <v>96</v>
      </c>
      <c r="J262" s="67">
        <f t="shared" si="157"/>
        <v>0.85416666666666663</v>
      </c>
      <c r="K262" s="94" t="s">
        <v>19</v>
      </c>
      <c r="L262" s="94" t="s">
        <v>19</v>
      </c>
      <c r="M262" s="80" t="str">
        <f t="shared" si="158"/>
        <v>-</v>
      </c>
      <c r="N262" s="94" t="s">
        <v>19</v>
      </c>
      <c r="O262" s="94" t="s">
        <v>19</v>
      </c>
      <c r="P262" s="80" t="str">
        <f t="shared" si="175"/>
        <v>-</v>
      </c>
      <c r="Q262" s="64">
        <f t="shared" si="159"/>
        <v>0</v>
      </c>
      <c r="R262" s="64">
        <f t="shared" si="160"/>
        <v>0</v>
      </c>
      <c r="S262" s="80" t="str">
        <f t="shared" si="161"/>
        <v>-</v>
      </c>
      <c r="T262" s="96" t="s">
        <v>19</v>
      </c>
      <c r="U262" s="96" t="s">
        <v>19</v>
      </c>
      <c r="V262" s="83" t="str">
        <f t="shared" si="162"/>
        <v>-</v>
      </c>
      <c r="W262" s="96" t="s">
        <v>19</v>
      </c>
      <c r="X262" s="96" t="s">
        <v>19</v>
      </c>
      <c r="Y262" s="83" t="str">
        <f t="shared" si="163"/>
        <v>-</v>
      </c>
      <c r="Z262" s="66">
        <f t="shared" si="164"/>
        <v>0</v>
      </c>
      <c r="AA262" s="66">
        <f t="shared" si="165"/>
        <v>0</v>
      </c>
      <c r="AB262" s="83" t="str">
        <f t="shared" si="166"/>
        <v>-</v>
      </c>
      <c r="AC262" s="139">
        <v>924</v>
      </c>
      <c r="AD262" s="139">
        <v>1044</v>
      </c>
      <c r="AE262" s="21">
        <f t="shared" si="167"/>
        <v>0.88505747126436785</v>
      </c>
      <c r="AF262" s="139">
        <v>1830</v>
      </c>
      <c r="AG262" s="139">
        <v>2016</v>
      </c>
      <c r="AH262" s="21">
        <f t="shared" si="168"/>
        <v>0.90773809523809523</v>
      </c>
      <c r="AI262" s="70"/>
      <c r="AJ262" s="70"/>
      <c r="AK262" s="37" t="str">
        <f t="shared" si="169"/>
        <v>-</v>
      </c>
      <c r="AL262" s="104" t="s">
        <v>19</v>
      </c>
      <c r="AM262" s="104" t="s">
        <v>19</v>
      </c>
      <c r="AN262" s="44" t="str">
        <f t="shared" si="176"/>
        <v>-</v>
      </c>
      <c r="AO262" s="197"/>
      <c r="AP262" s="197"/>
      <c r="AQ262" s="44" t="str">
        <f t="shared" si="170"/>
        <v>-</v>
      </c>
      <c r="AR262" s="69"/>
      <c r="AS262" s="69"/>
      <c r="AT262" s="44" t="str">
        <f t="shared" si="171"/>
        <v>-</v>
      </c>
      <c r="AU262" s="81" t="s">
        <v>19</v>
      </c>
      <c r="AV262" s="81" t="s">
        <v>19</v>
      </c>
      <c r="AW262" s="37" t="str">
        <f t="shared" si="172"/>
        <v>-</v>
      </c>
      <c r="AX262" s="139"/>
      <c r="AY262" s="139"/>
      <c r="AZ262" s="37" t="str">
        <f t="shared" si="173"/>
        <v>-</v>
      </c>
      <c r="BA262" s="70"/>
      <c r="BB262" s="70"/>
      <c r="BC262" s="37" t="str">
        <f t="shared" si="174"/>
        <v>-</v>
      </c>
    </row>
    <row r="263" spans="1:55" ht="14.25" customHeight="1">
      <c r="A263" s="45" t="s">
        <v>100</v>
      </c>
      <c r="B263" s="136">
        <v>14</v>
      </c>
      <c r="C263" s="136">
        <v>14</v>
      </c>
      <c r="D263" s="67">
        <f t="shared" si="153"/>
        <v>1</v>
      </c>
      <c r="E263" s="136">
        <v>14</v>
      </c>
      <c r="F263" s="136">
        <v>14</v>
      </c>
      <c r="G263" s="67">
        <f t="shared" si="154"/>
        <v>1</v>
      </c>
      <c r="H263" s="66">
        <f t="shared" si="155"/>
        <v>28</v>
      </c>
      <c r="I263" s="66">
        <f t="shared" si="156"/>
        <v>28</v>
      </c>
      <c r="J263" s="67">
        <f t="shared" si="157"/>
        <v>1</v>
      </c>
      <c r="K263" s="94" t="s">
        <v>19</v>
      </c>
      <c r="L263" s="94" t="s">
        <v>19</v>
      </c>
      <c r="M263" s="80" t="str">
        <f t="shared" si="158"/>
        <v>-</v>
      </c>
      <c r="N263" s="94" t="s">
        <v>19</v>
      </c>
      <c r="O263" s="94" t="s">
        <v>19</v>
      </c>
      <c r="P263" s="80" t="str">
        <f t="shared" si="175"/>
        <v>-</v>
      </c>
      <c r="Q263" s="64">
        <f t="shared" si="159"/>
        <v>0</v>
      </c>
      <c r="R263" s="64">
        <f t="shared" si="160"/>
        <v>0</v>
      </c>
      <c r="S263" s="80" t="str">
        <f t="shared" si="161"/>
        <v>-</v>
      </c>
      <c r="T263" s="96" t="s">
        <v>19</v>
      </c>
      <c r="U263" s="96" t="s">
        <v>19</v>
      </c>
      <c r="V263" s="83" t="str">
        <f t="shared" si="162"/>
        <v>-</v>
      </c>
      <c r="W263" s="96" t="s">
        <v>19</v>
      </c>
      <c r="X263" s="96" t="s">
        <v>19</v>
      </c>
      <c r="Y263" s="83" t="str">
        <f t="shared" si="163"/>
        <v>-</v>
      </c>
      <c r="Z263" s="66">
        <f t="shared" si="164"/>
        <v>0</v>
      </c>
      <c r="AA263" s="66">
        <f t="shared" si="165"/>
        <v>0</v>
      </c>
      <c r="AB263" s="83" t="str">
        <f t="shared" si="166"/>
        <v>-</v>
      </c>
      <c r="AC263" s="139">
        <v>692</v>
      </c>
      <c r="AD263" s="139">
        <v>756</v>
      </c>
      <c r="AE263" s="21">
        <f t="shared" si="167"/>
        <v>0.91534391534391535</v>
      </c>
      <c r="AF263" s="139">
        <v>675</v>
      </c>
      <c r="AG263" s="139">
        <v>756</v>
      </c>
      <c r="AH263" s="21">
        <f t="shared" si="168"/>
        <v>0.8928571428571429</v>
      </c>
      <c r="AI263" s="70"/>
      <c r="AJ263" s="70"/>
      <c r="AK263" s="37" t="str">
        <f t="shared" si="169"/>
        <v>-</v>
      </c>
      <c r="AL263" s="104" t="s">
        <v>19</v>
      </c>
      <c r="AM263" s="104" t="s">
        <v>19</v>
      </c>
      <c r="AN263" s="44" t="str">
        <f t="shared" si="176"/>
        <v>-</v>
      </c>
      <c r="AO263" s="197"/>
      <c r="AP263" s="197"/>
      <c r="AQ263" s="44" t="str">
        <f t="shared" si="170"/>
        <v>-</v>
      </c>
      <c r="AR263" s="69"/>
      <c r="AS263" s="69"/>
      <c r="AT263" s="44" t="str">
        <f t="shared" si="171"/>
        <v>-</v>
      </c>
      <c r="AU263" s="81" t="s">
        <v>19</v>
      </c>
      <c r="AV263" s="81" t="s">
        <v>19</v>
      </c>
      <c r="AW263" s="37" t="str">
        <f t="shared" si="172"/>
        <v>-</v>
      </c>
      <c r="AX263" s="139"/>
      <c r="AY263" s="139"/>
      <c r="AZ263" s="37" t="str">
        <f t="shared" si="173"/>
        <v>-</v>
      </c>
      <c r="BA263" s="70"/>
      <c r="BB263" s="70"/>
      <c r="BC263" s="37" t="str">
        <f t="shared" si="174"/>
        <v>-</v>
      </c>
    </row>
    <row r="264" spans="1:55" ht="14.25" customHeight="1">
      <c r="A264" s="45" t="s">
        <v>101</v>
      </c>
      <c r="B264" s="136">
        <v>21</v>
      </c>
      <c r="C264" s="136">
        <v>23</v>
      </c>
      <c r="D264" s="67">
        <f t="shared" si="153"/>
        <v>0.91304347826086951</v>
      </c>
      <c r="E264" s="136">
        <v>22</v>
      </c>
      <c r="F264" s="136">
        <v>22</v>
      </c>
      <c r="G264" s="67">
        <f t="shared" si="154"/>
        <v>1</v>
      </c>
      <c r="H264" s="66">
        <f t="shared" si="155"/>
        <v>43</v>
      </c>
      <c r="I264" s="66">
        <f t="shared" si="156"/>
        <v>45</v>
      </c>
      <c r="J264" s="67">
        <f t="shared" si="157"/>
        <v>0.9555555555555556</v>
      </c>
      <c r="K264" s="94" t="s">
        <v>19</v>
      </c>
      <c r="L264" s="94" t="s">
        <v>19</v>
      </c>
      <c r="M264" s="80" t="str">
        <f t="shared" si="158"/>
        <v>-</v>
      </c>
      <c r="N264" s="94" t="s">
        <v>19</v>
      </c>
      <c r="O264" s="94" t="s">
        <v>19</v>
      </c>
      <c r="P264" s="80" t="str">
        <f t="shared" si="175"/>
        <v>-</v>
      </c>
      <c r="Q264" s="64">
        <f t="shared" si="159"/>
        <v>0</v>
      </c>
      <c r="R264" s="64">
        <f t="shared" si="160"/>
        <v>0</v>
      </c>
      <c r="S264" s="80" t="str">
        <f t="shared" si="161"/>
        <v>-</v>
      </c>
      <c r="T264" s="96" t="s">
        <v>19</v>
      </c>
      <c r="U264" s="96" t="s">
        <v>19</v>
      </c>
      <c r="V264" s="83" t="str">
        <f t="shared" si="162"/>
        <v>-</v>
      </c>
      <c r="W264" s="96" t="s">
        <v>19</v>
      </c>
      <c r="X264" s="96" t="s">
        <v>19</v>
      </c>
      <c r="Y264" s="83" t="str">
        <f t="shared" si="163"/>
        <v>-</v>
      </c>
      <c r="Z264" s="66">
        <f t="shared" si="164"/>
        <v>0</v>
      </c>
      <c r="AA264" s="66">
        <f t="shared" si="165"/>
        <v>0</v>
      </c>
      <c r="AB264" s="83" t="str">
        <f t="shared" si="166"/>
        <v>-</v>
      </c>
      <c r="AC264" s="139">
        <v>734</v>
      </c>
      <c r="AD264" s="139">
        <v>837</v>
      </c>
      <c r="AE264" s="21">
        <f t="shared" si="167"/>
        <v>0.8769414575866189</v>
      </c>
      <c r="AF264" s="139">
        <v>863</v>
      </c>
      <c r="AG264" s="139">
        <v>981</v>
      </c>
      <c r="AH264" s="21">
        <f t="shared" si="168"/>
        <v>0.87971457696228339</v>
      </c>
      <c r="AI264" s="70"/>
      <c r="AJ264" s="70"/>
      <c r="AK264" s="37" t="str">
        <f t="shared" si="169"/>
        <v>-</v>
      </c>
      <c r="AL264" s="104" t="s">
        <v>19</v>
      </c>
      <c r="AM264" s="104" t="s">
        <v>19</v>
      </c>
      <c r="AN264" s="44" t="str">
        <f t="shared" si="176"/>
        <v>-</v>
      </c>
      <c r="AO264" s="197"/>
      <c r="AP264" s="197"/>
      <c r="AQ264" s="44" t="str">
        <f t="shared" si="170"/>
        <v>-</v>
      </c>
      <c r="AR264" s="69"/>
      <c r="AS264" s="69"/>
      <c r="AT264" s="44" t="str">
        <f t="shared" si="171"/>
        <v>-</v>
      </c>
      <c r="AU264" s="81" t="s">
        <v>19</v>
      </c>
      <c r="AV264" s="81" t="s">
        <v>19</v>
      </c>
      <c r="AW264" s="37" t="str">
        <f t="shared" si="172"/>
        <v>-</v>
      </c>
      <c r="AX264" s="139"/>
      <c r="AY264" s="139"/>
      <c r="AZ264" s="37" t="str">
        <f t="shared" si="173"/>
        <v>-</v>
      </c>
      <c r="BA264" s="70"/>
      <c r="BB264" s="70"/>
      <c r="BC264" s="37" t="str">
        <f t="shared" si="174"/>
        <v>-</v>
      </c>
    </row>
    <row r="265" spans="1:55" ht="14.25" customHeight="1">
      <c r="A265" s="177"/>
      <c r="B265" s="188"/>
      <c r="C265" s="188"/>
      <c r="D265" s="188"/>
      <c r="E265" s="188"/>
      <c r="F265" s="188"/>
      <c r="G265" s="188"/>
      <c r="H265" s="188"/>
      <c r="I265" s="188"/>
      <c r="J265" s="188"/>
      <c r="K265" s="188"/>
      <c r="L265" s="188"/>
      <c r="M265" s="188"/>
      <c r="N265" s="188"/>
      <c r="O265" s="188"/>
      <c r="P265" s="188"/>
      <c r="Q265" s="188"/>
      <c r="R265" s="188"/>
      <c r="S265" s="188"/>
      <c r="T265" s="177"/>
      <c r="U265" s="177"/>
      <c r="V265" s="177"/>
      <c r="W265" s="177"/>
      <c r="X265" s="177"/>
      <c r="Y265" s="177"/>
      <c r="Z265" s="177"/>
      <c r="AA265" s="177"/>
      <c r="AB265" s="177"/>
      <c r="AC265" s="177"/>
      <c r="AD265" s="177"/>
      <c r="AE265" s="177"/>
      <c r="AF265" s="177"/>
      <c r="AG265" s="177"/>
      <c r="AH265" s="177"/>
      <c r="AI265" s="177"/>
      <c r="AJ265" s="177"/>
      <c r="AK265" s="177"/>
      <c r="AL265" s="177"/>
      <c r="AM265" s="177"/>
      <c r="AN265" s="177"/>
      <c r="AO265" s="177"/>
      <c r="AP265" s="177"/>
      <c r="AQ265" s="177"/>
      <c r="AR265" s="177"/>
      <c r="AS265" s="177"/>
      <c r="AT265" s="177"/>
      <c r="AU265" s="177"/>
      <c r="AV265" s="177"/>
      <c r="AW265" s="177"/>
      <c r="AX265" s="177"/>
      <c r="AY265" s="177"/>
      <c r="AZ265" s="177"/>
      <c r="BA265" s="177"/>
      <c r="BB265" s="177"/>
      <c r="BC265" s="177"/>
    </row>
    <row r="266" spans="1:55" ht="14.25" customHeight="1">
      <c r="A266" s="169"/>
      <c r="B266" s="20"/>
      <c r="C266" s="20"/>
      <c r="D266" s="20"/>
      <c r="E266" s="20"/>
      <c r="F266" s="20"/>
      <c r="G266" s="20"/>
      <c r="H266" s="20"/>
      <c r="I266" s="20"/>
      <c r="J266" s="20"/>
      <c r="K266" s="20"/>
      <c r="L266" s="20"/>
      <c r="M266" s="20"/>
      <c r="N266" s="20"/>
      <c r="O266" s="20"/>
      <c r="P266" s="20"/>
      <c r="Q266" s="20"/>
      <c r="R266" s="20"/>
      <c r="S266" s="20"/>
      <c r="T266" s="169"/>
      <c r="U266" s="169"/>
      <c r="V266" s="169"/>
      <c r="W266" s="169"/>
      <c r="X266" s="169"/>
      <c r="Y266" s="169"/>
      <c r="Z266" s="169"/>
      <c r="AA266" s="169"/>
      <c r="AB266" s="169"/>
      <c r="AC266" s="169"/>
      <c r="AD266" s="169"/>
      <c r="AE266" s="169"/>
      <c r="AF266" s="169"/>
      <c r="AG266" s="169"/>
      <c r="AH266" s="169"/>
      <c r="AI266" s="169"/>
      <c r="AJ266" s="169"/>
      <c r="AK266" s="169"/>
      <c r="AL266" s="169"/>
      <c r="AM266" s="169"/>
      <c r="AN266" s="169"/>
      <c r="AO266" s="169"/>
      <c r="AP266" s="169"/>
      <c r="AQ266" s="169"/>
      <c r="AR266" s="169"/>
      <c r="AS266" s="169"/>
      <c r="AT266" s="169"/>
      <c r="AU266" s="169"/>
      <c r="AV266" s="169"/>
      <c r="AW266" s="169"/>
      <c r="AX266" s="169"/>
      <c r="AY266" s="169"/>
      <c r="AZ266" s="169"/>
      <c r="BA266" s="169"/>
      <c r="BB266" s="169"/>
      <c r="BC266" s="169"/>
    </row>
    <row r="267" spans="1:55" ht="14.25" customHeight="1">
      <c r="A267" s="179"/>
      <c r="B267" s="179"/>
      <c r="C267" s="179"/>
      <c r="D267" s="179"/>
      <c r="E267" s="179"/>
      <c r="F267" s="179"/>
      <c r="G267" s="179"/>
      <c r="H267" s="179"/>
      <c r="I267" s="179"/>
      <c r="J267" s="179"/>
      <c r="K267" s="179"/>
      <c r="L267" s="179"/>
      <c r="M267" s="179"/>
      <c r="N267" s="179"/>
      <c r="O267" s="179"/>
      <c r="P267" s="179"/>
      <c r="Q267" s="179"/>
      <c r="R267" s="179"/>
      <c r="S267" s="179"/>
      <c r="T267" s="179"/>
      <c r="U267" s="179"/>
      <c r="V267" s="179"/>
      <c r="W267" s="179"/>
      <c r="X267" s="179"/>
      <c r="Y267" s="179"/>
      <c r="Z267" s="169"/>
      <c r="AA267" s="169"/>
      <c r="AB267" s="169"/>
      <c r="AC267" s="169"/>
      <c r="AD267" s="169"/>
      <c r="AE267" s="169"/>
      <c r="AF267" s="169"/>
      <c r="AG267" s="169"/>
      <c r="AH267" s="169"/>
      <c r="AI267" s="169"/>
      <c r="AJ267" s="169"/>
      <c r="AK267" s="169"/>
      <c r="AL267" s="169"/>
      <c r="AM267" s="169"/>
      <c r="AN267" s="169"/>
      <c r="AO267" s="169"/>
      <c r="AP267" s="169"/>
      <c r="AQ267" s="169"/>
      <c r="AR267" s="169"/>
      <c r="AS267" s="169"/>
      <c r="AT267" s="169"/>
      <c r="AU267" s="169"/>
      <c r="AV267" s="169"/>
      <c r="AW267" s="169"/>
      <c r="AX267" s="169"/>
      <c r="AY267" s="169"/>
      <c r="AZ267" s="169"/>
      <c r="BA267" s="169"/>
      <c r="BB267" s="169"/>
      <c r="BC267" s="169"/>
    </row>
    <row r="268" spans="1:55" ht="14.25" customHeight="1">
      <c r="A268" s="209" t="s">
        <v>36</v>
      </c>
      <c r="B268" s="196"/>
      <c r="C268" s="196"/>
      <c r="D268" s="196"/>
      <c r="E268" s="196"/>
      <c r="F268" s="196"/>
      <c r="G268" s="196"/>
      <c r="H268" s="196"/>
      <c r="I268" s="196"/>
      <c r="J268" s="196"/>
      <c r="K268" s="196"/>
      <c r="L268" s="196"/>
      <c r="M268" s="196"/>
      <c r="N268" s="125" t="s">
        <v>17</v>
      </c>
      <c r="O268" s="210"/>
      <c r="P268" s="210"/>
      <c r="Q268" s="210"/>
      <c r="R268" s="210"/>
      <c r="S268" s="210"/>
      <c r="T268" s="210"/>
      <c r="U268" s="210"/>
      <c r="V268" s="210"/>
      <c r="W268" s="210"/>
      <c r="X268" s="210"/>
      <c r="Y268" s="210"/>
      <c r="Z268" s="185"/>
      <c r="AA268" s="169"/>
      <c r="AB268" s="169"/>
      <c r="AC268" s="169"/>
      <c r="AD268" s="169"/>
      <c r="AE268" s="169"/>
      <c r="AF268" s="169"/>
      <c r="AG268" s="169"/>
      <c r="AH268" s="169"/>
      <c r="AI268" s="169"/>
      <c r="AJ268" s="169"/>
      <c r="AK268" s="169"/>
      <c r="AL268" s="169"/>
      <c r="AM268" s="169"/>
      <c r="AN268" s="169"/>
      <c r="AO268" s="169"/>
      <c r="AP268" s="169"/>
      <c r="AQ268" s="169"/>
      <c r="AR268" s="169"/>
      <c r="AS268" s="169"/>
      <c r="AT268" s="169"/>
      <c r="AU268" s="169"/>
      <c r="AV268" s="169"/>
      <c r="AW268" s="169"/>
      <c r="AX268" s="169"/>
      <c r="AY268" s="169"/>
      <c r="AZ268" s="169"/>
      <c r="BA268" s="169"/>
      <c r="BB268" s="169"/>
      <c r="BC268" s="169"/>
    </row>
    <row r="269" spans="1:55" ht="15" customHeight="1">
      <c r="A269" s="511" t="s">
        <v>112</v>
      </c>
      <c r="B269" s="502" t="s">
        <v>135</v>
      </c>
      <c r="C269" s="503"/>
      <c r="D269" s="505"/>
      <c r="E269" s="502" t="s">
        <v>23</v>
      </c>
      <c r="F269" s="503"/>
      <c r="G269" s="505"/>
      <c r="H269" s="502" t="s">
        <v>136</v>
      </c>
      <c r="I269" s="503"/>
      <c r="J269" s="505"/>
      <c r="K269" s="502" t="s">
        <v>21</v>
      </c>
      <c r="L269" s="503"/>
      <c r="M269" s="505"/>
      <c r="N269" s="502" t="s">
        <v>135</v>
      </c>
      <c r="O269" s="503"/>
      <c r="P269" s="505"/>
      <c r="Q269" s="502" t="s">
        <v>23</v>
      </c>
      <c r="R269" s="503"/>
      <c r="S269" s="505"/>
      <c r="T269" s="502" t="s">
        <v>136</v>
      </c>
      <c r="U269" s="503"/>
      <c r="V269" s="505"/>
      <c r="W269" s="502" t="s">
        <v>21</v>
      </c>
      <c r="X269" s="503"/>
      <c r="Y269" s="505"/>
      <c r="Z269" s="170"/>
      <c r="AA269" s="169"/>
      <c r="AB269" s="169"/>
      <c r="AC269" s="169"/>
      <c r="AD269" s="169"/>
      <c r="AE269" s="169"/>
      <c r="AF269" s="169"/>
      <c r="AG269" s="169"/>
      <c r="AH269" s="169"/>
      <c r="AI269" s="169"/>
      <c r="AJ269" s="169"/>
      <c r="AK269" s="169"/>
      <c r="AL269" s="169"/>
      <c r="AM269" s="169"/>
      <c r="AN269" s="169"/>
      <c r="AO269" s="169"/>
      <c r="AP269" s="169"/>
      <c r="AQ269" s="169"/>
      <c r="AR269" s="169"/>
      <c r="AS269" s="169"/>
      <c r="AT269" s="169"/>
      <c r="AU269" s="169"/>
      <c r="AV269" s="169"/>
      <c r="AW269" s="169"/>
      <c r="AX269" s="169"/>
      <c r="AY269" s="169"/>
      <c r="AZ269" s="169"/>
      <c r="BA269" s="169"/>
      <c r="BB269" s="169"/>
      <c r="BC269" s="169"/>
    </row>
    <row r="270" spans="1:55" ht="30" customHeight="1">
      <c r="A270" s="521"/>
      <c r="B270" s="32" t="s">
        <v>238</v>
      </c>
      <c r="C270" s="32" t="s">
        <v>239</v>
      </c>
      <c r="D270" s="32" t="s">
        <v>240</v>
      </c>
      <c r="E270" s="32" t="s">
        <v>238</v>
      </c>
      <c r="F270" s="32" t="s">
        <v>239</v>
      </c>
      <c r="G270" s="32" t="s">
        <v>240</v>
      </c>
      <c r="H270" s="32" t="s">
        <v>238</v>
      </c>
      <c r="I270" s="32" t="s">
        <v>239</v>
      </c>
      <c r="J270" s="32" t="s">
        <v>240</v>
      </c>
      <c r="K270" s="32" t="s">
        <v>238</v>
      </c>
      <c r="L270" s="32" t="s">
        <v>239</v>
      </c>
      <c r="M270" s="32" t="s">
        <v>240</v>
      </c>
      <c r="N270" s="32" t="s">
        <v>238</v>
      </c>
      <c r="O270" s="32" t="s">
        <v>239</v>
      </c>
      <c r="P270" s="32" t="s">
        <v>240</v>
      </c>
      <c r="Q270" s="32" t="s">
        <v>238</v>
      </c>
      <c r="R270" s="32" t="s">
        <v>239</v>
      </c>
      <c r="S270" s="32" t="s">
        <v>240</v>
      </c>
      <c r="T270" s="32" t="s">
        <v>238</v>
      </c>
      <c r="U270" s="32" t="s">
        <v>239</v>
      </c>
      <c r="V270" s="32" t="s">
        <v>240</v>
      </c>
      <c r="W270" s="32" t="s">
        <v>238</v>
      </c>
      <c r="X270" s="32" t="s">
        <v>239</v>
      </c>
      <c r="Y270" s="32" t="s">
        <v>240</v>
      </c>
      <c r="Z270" s="170"/>
      <c r="AA270" s="169"/>
      <c r="AB270" s="169"/>
      <c r="AC270" s="169"/>
      <c r="AD270" s="169"/>
      <c r="AE270" s="169"/>
      <c r="AF270" s="169"/>
      <c r="AG270" s="169"/>
      <c r="AH270" s="169"/>
      <c r="AI270" s="169"/>
      <c r="AJ270" s="169"/>
      <c r="AK270" s="169"/>
      <c r="AL270" s="169"/>
      <c r="AM270" s="169"/>
      <c r="AN270" s="169"/>
      <c r="AO270" s="169"/>
      <c r="AP270" s="169"/>
      <c r="AQ270" s="169"/>
      <c r="AR270" s="169"/>
      <c r="AS270" s="169"/>
      <c r="AT270" s="169"/>
      <c r="AU270" s="169"/>
      <c r="AV270" s="169"/>
      <c r="AW270" s="169"/>
      <c r="AX270" s="169"/>
      <c r="AY270" s="169"/>
      <c r="AZ270" s="169"/>
      <c r="BA270" s="169"/>
      <c r="BB270" s="169"/>
      <c r="BC270" s="169"/>
    </row>
    <row r="271" spans="1:55" ht="14.25" customHeight="1">
      <c r="A271" s="12" t="s">
        <v>67</v>
      </c>
      <c r="B271" s="65">
        <f t="shared" ref="B271:B282" si="177">D288</f>
        <v>0.88842364532019702</v>
      </c>
      <c r="C271" s="65">
        <f t="shared" ref="C271:C282" si="178">G288</f>
        <v>0.94661700806952198</v>
      </c>
      <c r="D271" s="65">
        <f t="shared" ref="D271:D282" si="179">J288</f>
        <v>0.91417193078824499</v>
      </c>
      <c r="E271" s="80" t="str">
        <f t="shared" ref="E271:E282" si="180">M288</f>
        <v>-</v>
      </c>
      <c r="F271" s="80" t="str">
        <f t="shared" ref="F271:F282" si="181">P288</f>
        <v>-</v>
      </c>
      <c r="G271" s="80" t="str">
        <f t="shared" ref="G271:G282" si="182">S288</f>
        <v>-</v>
      </c>
      <c r="H271" s="80" t="str">
        <f t="shared" ref="H271:H282" si="183">V288</f>
        <v>-</v>
      </c>
      <c r="I271" s="80" t="str">
        <f t="shared" ref="I271:I282" si="184">Y288</f>
        <v>-</v>
      </c>
      <c r="J271" s="80" t="str">
        <f t="shared" ref="J271:J282" si="185">AB288</f>
        <v>-</v>
      </c>
      <c r="K271" s="65">
        <f t="shared" ref="K271:K282" si="186">IFERROR(SUM(B288,K288,T288)/SUM(C288,L288,U288),"-")</f>
        <v>0.88842364532019702</v>
      </c>
      <c r="L271" s="65">
        <f t="shared" ref="L271:L282" si="187">IFERROR(SUM(E288,N288,W288)/SUM(F288,O288,X288),"-")</f>
        <v>0.94661700806952198</v>
      </c>
      <c r="M271" s="65">
        <f t="shared" ref="M271:M282" si="188">IFERROR(SUM(H288,Q288,Z288)/SUM(I288,R288,AA288),"-")</f>
        <v>0.91417193078824499</v>
      </c>
      <c r="N271" s="127">
        <f t="shared" ref="N271:N282" si="189">AE288</f>
        <v>0.85999022344166387</v>
      </c>
      <c r="O271" s="127">
        <f t="shared" ref="O271:O282" si="190">AH288</f>
        <v>0.82294137580481197</v>
      </c>
      <c r="P271" s="128" t="str">
        <f t="shared" ref="P271:P282" si="191">AK288</f>
        <v>-</v>
      </c>
      <c r="Q271" s="128" t="str">
        <f t="shared" ref="Q271:Q282" si="192">AN288</f>
        <v>-</v>
      </c>
      <c r="R271" s="128" t="str">
        <f t="shared" ref="R271:R282" si="193">AQ288</f>
        <v>-</v>
      </c>
      <c r="S271" s="128" t="str">
        <f t="shared" ref="S271:S282" si="194">AT288</f>
        <v>-</v>
      </c>
      <c r="T271" s="128" t="str">
        <f t="shared" ref="T271:T282" si="195">AW288</f>
        <v>-</v>
      </c>
      <c r="U271" s="128" t="str">
        <f t="shared" ref="U271:U282" si="196">AZ288</f>
        <v>-</v>
      </c>
      <c r="V271" s="128" t="str">
        <f t="shared" ref="V271:V282" si="197">BC288</f>
        <v>-</v>
      </c>
      <c r="W271" s="127"/>
      <c r="X271" s="127"/>
      <c r="Y271" s="127"/>
      <c r="Z271" s="170"/>
      <c r="AA271" s="169"/>
      <c r="AB271" s="169"/>
      <c r="AC271" s="169"/>
      <c r="AD271" s="169"/>
      <c r="AE271" s="169"/>
      <c r="AF271" s="169"/>
      <c r="AG271" s="169"/>
      <c r="AH271" s="169"/>
      <c r="AI271" s="169"/>
      <c r="AJ271" s="169"/>
      <c r="AK271" s="169"/>
      <c r="AL271" s="169"/>
      <c r="AM271" s="169"/>
      <c r="AN271" s="169"/>
      <c r="AO271" s="169"/>
      <c r="AP271" s="169"/>
      <c r="AQ271" s="169"/>
      <c r="AR271" s="169"/>
      <c r="AS271" s="169"/>
      <c r="AT271" s="169"/>
      <c r="AU271" s="169"/>
      <c r="AV271" s="169"/>
      <c r="AW271" s="169"/>
      <c r="AX271" s="169"/>
      <c r="AY271" s="169"/>
      <c r="AZ271" s="169"/>
      <c r="BA271" s="169"/>
      <c r="BB271" s="169"/>
      <c r="BC271" s="169"/>
    </row>
    <row r="272" spans="1:55" ht="14.25" customHeight="1">
      <c r="A272" s="12" t="s">
        <v>119</v>
      </c>
      <c r="B272" s="65">
        <f t="shared" si="177"/>
        <v>0.89558955895589554</v>
      </c>
      <c r="C272" s="65">
        <f t="shared" si="178"/>
        <v>0.93279928793947486</v>
      </c>
      <c r="D272" s="65">
        <f t="shared" si="179"/>
        <v>0.91429850078317298</v>
      </c>
      <c r="E272" s="65">
        <f t="shared" si="180"/>
        <v>0.75099601593625498</v>
      </c>
      <c r="F272" s="65">
        <f t="shared" si="181"/>
        <v>0.75</v>
      </c>
      <c r="G272" s="65">
        <f t="shared" si="182"/>
        <v>0.75094339622641515</v>
      </c>
      <c r="H272" s="65">
        <f t="shared" si="183"/>
        <v>0.88607594936708856</v>
      </c>
      <c r="I272" s="65">
        <f t="shared" si="184"/>
        <v>0.97894736842105268</v>
      </c>
      <c r="J272" s="65">
        <f t="shared" si="185"/>
        <v>0.96764252696456088</v>
      </c>
      <c r="K272" s="65">
        <f t="shared" si="186"/>
        <v>0.86942561541205854</v>
      </c>
      <c r="L272" s="65">
        <f t="shared" si="187"/>
        <v>0.94024604569420034</v>
      </c>
      <c r="M272" s="65">
        <f t="shared" si="188"/>
        <v>0.90509915014164311</v>
      </c>
      <c r="N272" s="127">
        <f t="shared" si="189"/>
        <v>0.89366509822686546</v>
      </c>
      <c r="O272" s="127">
        <f t="shared" si="190"/>
        <v>0.88392326956342138</v>
      </c>
      <c r="P272" s="128" t="str">
        <f t="shared" si="191"/>
        <v>-</v>
      </c>
      <c r="Q272" s="127">
        <f t="shared" si="192"/>
        <v>0.86472148541114058</v>
      </c>
      <c r="R272" s="127">
        <f t="shared" si="193"/>
        <v>0.85365853658536583</v>
      </c>
      <c r="S272" s="128" t="str">
        <f t="shared" si="194"/>
        <v>-</v>
      </c>
      <c r="T272" s="127">
        <f t="shared" si="195"/>
        <v>0.92905405405405406</v>
      </c>
      <c r="U272" s="127">
        <f t="shared" si="196"/>
        <v>0.94723691945914168</v>
      </c>
      <c r="V272" s="128" t="str">
        <f t="shared" si="197"/>
        <v>-</v>
      </c>
      <c r="W272" s="127"/>
      <c r="X272" s="127"/>
      <c r="Y272" s="127"/>
      <c r="Z272" s="170"/>
      <c r="AA272" s="169"/>
      <c r="AB272" s="169"/>
      <c r="AC272" s="169"/>
      <c r="AD272" s="169"/>
      <c r="AE272" s="169"/>
      <c r="AF272" s="169"/>
      <c r="AG272" s="169"/>
      <c r="AH272" s="169"/>
      <c r="AI272" s="169"/>
      <c r="AJ272" s="169"/>
      <c r="AK272" s="169"/>
      <c r="AL272" s="169"/>
      <c r="AM272" s="169"/>
      <c r="AN272" s="169"/>
      <c r="AO272" s="169"/>
      <c r="AP272" s="169"/>
      <c r="AQ272" s="169"/>
      <c r="AR272" s="169"/>
      <c r="AS272" s="169"/>
      <c r="AT272" s="169"/>
      <c r="AU272" s="169"/>
      <c r="AV272" s="169"/>
      <c r="AW272" s="169"/>
      <c r="AX272" s="169"/>
      <c r="AY272" s="169"/>
      <c r="AZ272" s="169"/>
      <c r="BA272" s="169"/>
      <c r="BB272" s="169"/>
      <c r="BC272" s="169"/>
    </row>
    <row r="273" spans="1:55" ht="14.25" customHeight="1">
      <c r="A273" s="12" t="s">
        <v>120</v>
      </c>
      <c r="B273" s="65">
        <f t="shared" si="177"/>
        <v>0.89346590909090906</v>
      </c>
      <c r="C273" s="65">
        <f t="shared" si="178"/>
        <v>0.94134078212290506</v>
      </c>
      <c r="D273" s="65">
        <f t="shared" si="179"/>
        <v>0.9176056338028169</v>
      </c>
      <c r="E273" s="65">
        <f t="shared" si="180"/>
        <v>0.75757575757575757</v>
      </c>
      <c r="F273" s="65">
        <f t="shared" si="181"/>
        <v>0.8</v>
      </c>
      <c r="G273" s="65">
        <f t="shared" si="182"/>
        <v>0.75961538461538458</v>
      </c>
      <c r="H273" s="65">
        <f t="shared" si="183"/>
        <v>0.75</v>
      </c>
      <c r="I273" s="65">
        <f t="shared" si="184"/>
        <v>0.97826086956521741</v>
      </c>
      <c r="J273" s="65">
        <f t="shared" si="185"/>
        <v>0.96</v>
      </c>
      <c r="K273" s="65">
        <f t="shared" si="186"/>
        <v>0.87484662576687111</v>
      </c>
      <c r="L273" s="65">
        <f t="shared" si="187"/>
        <v>0.9464493597206054</v>
      </c>
      <c r="M273" s="65">
        <f t="shared" si="188"/>
        <v>0.91158900836320189</v>
      </c>
      <c r="N273" s="127">
        <f t="shared" si="189"/>
        <v>0.86004188419903849</v>
      </c>
      <c r="O273" s="127">
        <f t="shared" si="190"/>
        <v>0.83915728580362725</v>
      </c>
      <c r="P273" s="128" t="str">
        <f t="shared" si="191"/>
        <v>-</v>
      </c>
      <c r="Q273" s="127">
        <f t="shared" si="192"/>
        <v>0.83185840707964598</v>
      </c>
      <c r="R273" s="127">
        <f t="shared" si="193"/>
        <v>0.75</v>
      </c>
      <c r="S273" s="128" t="str">
        <f t="shared" si="194"/>
        <v>-</v>
      </c>
      <c r="T273" s="127">
        <f t="shared" si="195"/>
        <v>0.89814814814814814</v>
      </c>
      <c r="U273" s="127">
        <f t="shared" si="196"/>
        <v>0.94320987654320987</v>
      </c>
      <c r="V273" s="128" t="str">
        <f t="shared" si="197"/>
        <v>-</v>
      </c>
      <c r="W273" s="127"/>
      <c r="X273" s="127"/>
      <c r="Y273" s="127"/>
      <c r="Z273" s="170"/>
      <c r="AA273" s="169"/>
      <c r="AB273" s="169"/>
      <c r="AC273" s="169"/>
      <c r="AD273" s="169"/>
      <c r="AE273" s="169"/>
      <c r="AF273" s="169"/>
      <c r="AG273" s="169"/>
      <c r="AH273" s="169"/>
      <c r="AI273" s="169"/>
      <c r="AJ273" s="169"/>
      <c r="AK273" s="169"/>
      <c r="AL273" s="169"/>
      <c r="AM273" s="169"/>
      <c r="AN273" s="169"/>
      <c r="AO273" s="169"/>
      <c r="AP273" s="169"/>
      <c r="AQ273" s="169"/>
      <c r="AR273" s="169"/>
      <c r="AS273" s="169"/>
      <c r="AT273" s="169"/>
      <c r="AU273" s="169"/>
      <c r="AV273" s="169"/>
      <c r="AW273" s="169"/>
      <c r="AX273" s="169"/>
      <c r="AY273" s="169"/>
      <c r="AZ273" s="169"/>
      <c r="BA273" s="169"/>
      <c r="BB273" s="169"/>
      <c r="BC273" s="169"/>
    </row>
    <row r="274" spans="1:55" ht="14.25" customHeight="1">
      <c r="A274" s="12" t="s">
        <v>121</v>
      </c>
      <c r="B274" s="65">
        <f t="shared" si="177"/>
        <v>0.93871866295264628</v>
      </c>
      <c r="C274" s="65">
        <f t="shared" si="178"/>
        <v>0.94970414201183428</v>
      </c>
      <c r="D274" s="65">
        <f t="shared" si="179"/>
        <v>0.94404591104734581</v>
      </c>
      <c r="E274" s="65">
        <f t="shared" si="180"/>
        <v>0.8571428571428571</v>
      </c>
      <c r="F274" s="65">
        <f t="shared" si="181"/>
        <v>1</v>
      </c>
      <c r="G274" s="65">
        <f t="shared" si="182"/>
        <v>0.875</v>
      </c>
      <c r="H274" s="65">
        <f t="shared" si="183"/>
        <v>0.63636363636363635</v>
      </c>
      <c r="I274" s="65">
        <f t="shared" si="184"/>
        <v>0.97499999999999998</v>
      </c>
      <c r="J274" s="65">
        <f t="shared" si="185"/>
        <v>0.90196078431372551</v>
      </c>
      <c r="K274" s="65">
        <f t="shared" si="186"/>
        <v>0.92233009708737868</v>
      </c>
      <c r="L274" s="65">
        <f t="shared" si="187"/>
        <v>0.953125</v>
      </c>
      <c r="M274" s="65">
        <f t="shared" si="188"/>
        <v>0.93718592964824121</v>
      </c>
      <c r="N274" s="127">
        <f t="shared" si="189"/>
        <v>0.84066140548665913</v>
      </c>
      <c r="O274" s="127">
        <f t="shared" si="190"/>
        <v>0.81394963552021204</v>
      </c>
      <c r="P274" s="128" t="str">
        <f t="shared" si="191"/>
        <v>-</v>
      </c>
      <c r="Q274" s="127">
        <f t="shared" si="192"/>
        <v>0.85576923076923073</v>
      </c>
      <c r="R274" s="127">
        <f t="shared" si="193"/>
        <v>0.83333333333333337</v>
      </c>
      <c r="S274" s="128" t="str">
        <f t="shared" si="194"/>
        <v>-</v>
      </c>
      <c r="T274" s="127">
        <f t="shared" si="195"/>
        <v>0.91666666666666663</v>
      </c>
      <c r="U274" s="127">
        <f t="shared" si="196"/>
        <v>0.9786324786324786</v>
      </c>
      <c r="V274" s="128" t="str">
        <f t="shared" si="197"/>
        <v>-</v>
      </c>
      <c r="W274" s="127"/>
      <c r="X274" s="127"/>
      <c r="Y274" s="127"/>
      <c r="Z274" s="170"/>
      <c r="AA274" s="169"/>
      <c r="AB274" s="169"/>
      <c r="AC274" s="169"/>
      <c r="AD274" s="169"/>
      <c r="AE274" s="169"/>
      <c r="AF274" s="169"/>
      <c r="AG274" s="169"/>
      <c r="AH274" s="169"/>
      <c r="AI274" s="169"/>
      <c r="AJ274" s="169"/>
      <c r="AK274" s="169"/>
      <c r="AL274" s="169"/>
      <c r="AM274" s="169"/>
      <c r="AN274" s="169"/>
      <c r="AO274" s="169"/>
      <c r="AP274" s="169"/>
      <c r="AQ274" s="169"/>
      <c r="AR274" s="169"/>
      <c r="AS274" s="169"/>
      <c r="AT274" s="169"/>
      <c r="AU274" s="169"/>
      <c r="AV274" s="169"/>
      <c r="AW274" s="169"/>
      <c r="AX274" s="169"/>
      <c r="AY274" s="169"/>
      <c r="AZ274" s="169"/>
      <c r="BA274" s="169"/>
      <c r="BB274" s="169"/>
      <c r="BC274" s="169"/>
    </row>
    <row r="275" spans="1:55" ht="14.25" customHeight="1">
      <c r="A275" s="12" t="s">
        <v>122</v>
      </c>
      <c r="B275" s="65">
        <f t="shared" si="177"/>
        <v>0.85555555555555551</v>
      </c>
      <c r="C275" s="65">
        <f t="shared" si="178"/>
        <v>0.94312796208530802</v>
      </c>
      <c r="D275" s="65">
        <f t="shared" si="179"/>
        <v>0.89397089397089402</v>
      </c>
      <c r="E275" s="80" t="str">
        <f t="shared" si="180"/>
        <v>-</v>
      </c>
      <c r="F275" s="65">
        <f t="shared" si="181"/>
        <v>0.78846153846153844</v>
      </c>
      <c r="G275" s="65">
        <f t="shared" si="182"/>
        <v>0.78846153846153844</v>
      </c>
      <c r="H275" s="65">
        <f t="shared" si="183"/>
        <v>1</v>
      </c>
      <c r="I275" s="65">
        <f t="shared" si="184"/>
        <v>0.97727272727272729</v>
      </c>
      <c r="J275" s="65">
        <f t="shared" si="185"/>
        <v>0.97826086956521741</v>
      </c>
      <c r="K275" s="65">
        <f t="shared" si="186"/>
        <v>0.85661764705882348</v>
      </c>
      <c r="L275" s="65">
        <f t="shared" si="187"/>
        <v>0.92182410423452765</v>
      </c>
      <c r="M275" s="65">
        <f t="shared" si="188"/>
        <v>0.89119170984455953</v>
      </c>
      <c r="N275" s="127">
        <f t="shared" si="189"/>
        <v>0.86474973375931841</v>
      </c>
      <c r="O275" s="127">
        <f t="shared" si="190"/>
        <v>0.82033096926713944</v>
      </c>
      <c r="P275" s="128" t="str">
        <f t="shared" si="191"/>
        <v>-</v>
      </c>
      <c r="Q275" s="128" t="str">
        <f t="shared" si="192"/>
        <v>-</v>
      </c>
      <c r="R275" s="127">
        <f t="shared" si="193"/>
        <v>0.91463414634146345</v>
      </c>
      <c r="S275" s="128" t="str">
        <f t="shared" si="194"/>
        <v>-</v>
      </c>
      <c r="T275" s="127">
        <f t="shared" si="195"/>
        <v>0.79166666666666663</v>
      </c>
      <c r="U275" s="127">
        <f t="shared" si="196"/>
        <v>0.8972868217054264</v>
      </c>
      <c r="V275" s="128" t="str">
        <f t="shared" si="197"/>
        <v>-</v>
      </c>
      <c r="W275" s="127"/>
      <c r="X275" s="127"/>
      <c r="Y275" s="127"/>
      <c r="Z275" s="170"/>
      <c r="AA275" s="169"/>
      <c r="AB275" s="169"/>
      <c r="AC275" s="169"/>
      <c r="AD275" s="169"/>
      <c r="AE275" s="169"/>
      <c r="AF275" s="169"/>
      <c r="AG275" s="169"/>
      <c r="AH275" s="169"/>
      <c r="AI275" s="169"/>
      <c r="AJ275" s="169"/>
      <c r="AK275" s="169"/>
      <c r="AL275" s="169"/>
      <c r="AM275" s="169"/>
      <c r="AN275" s="169"/>
      <c r="AO275" s="169"/>
      <c r="AP275" s="169"/>
      <c r="AQ275" s="169"/>
      <c r="AR275" s="169"/>
      <c r="AS275" s="169"/>
      <c r="AT275" s="169"/>
      <c r="AU275" s="169"/>
      <c r="AV275" s="169"/>
      <c r="AW275" s="169"/>
      <c r="AX275" s="169"/>
      <c r="AY275" s="169"/>
      <c r="AZ275" s="169"/>
      <c r="BA275" s="169"/>
      <c r="BB275" s="169"/>
      <c r="BC275" s="169"/>
    </row>
    <row r="276" spans="1:55" ht="14.25" customHeight="1">
      <c r="A276" s="12" t="s">
        <v>123</v>
      </c>
      <c r="B276" s="65">
        <f t="shared" si="177"/>
        <v>0.74919614147909963</v>
      </c>
      <c r="C276" s="65">
        <f t="shared" si="178"/>
        <v>0.77741935483870972</v>
      </c>
      <c r="D276" s="65">
        <f t="shared" si="179"/>
        <v>0.76328502415458932</v>
      </c>
      <c r="E276" s="80" t="str">
        <f t="shared" si="180"/>
        <v>-</v>
      </c>
      <c r="F276" s="80" t="str">
        <f t="shared" si="181"/>
        <v>-</v>
      </c>
      <c r="G276" s="80" t="str">
        <f t="shared" si="182"/>
        <v>-</v>
      </c>
      <c r="H276" s="65">
        <f t="shared" si="183"/>
        <v>0.8214285714285714</v>
      </c>
      <c r="I276" s="65">
        <f t="shared" si="184"/>
        <v>1</v>
      </c>
      <c r="J276" s="65">
        <f t="shared" si="185"/>
        <v>0.83870967741935487</v>
      </c>
      <c r="K276" s="65">
        <f t="shared" si="186"/>
        <v>0.75516224188790559</v>
      </c>
      <c r="L276" s="65">
        <f t="shared" si="187"/>
        <v>0.7795527156549521</v>
      </c>
      <c r="M276" s="65">
        <f t="shared" si="188"/>
        <v>0.76687116564417179</v>
      </c>
      <c r="N276" s="127">
        <f t="shared" si="189"/>
        <v>0.92093524073219502</v>
      </c>
      <c r="O276" s="127">
        <f t="shared" si="190"/>
        <v>0.92813659278987914</v>
      </c>
      <c r="P276" s="128" t="str">
        <f t="shared" si="191"/>
        <v>-</v>
      </c>
      <c r="Q276" s="128" t="str">
        <f t="shared" si="192"/>
        <v>-</v>
      </c>
      <c r="R276" s="128" t="str">
        <f t="shared" si="193"/>
        <v>-</v>
      </c>
      <c r="S276" s="128" t="str">
        <f t="shared" si="194"/>
        <v>-</v>
      </c>
      <c r="T276" s="127">
        <f t="shared" si="195"/>
        <v>0.97159090909090906</v>
      </c>
      <c r="U276" s="127">
        <f t="shared" si="196"/>
        <v>1</v>
      </c>
      <c r="V276" s="128" t="str">
        <f t="shared" si="197"/>
        <v>-</v>
      </c>
      <c r="W276" s="127"/>
      <c r="X276" s="127"/>
      <c r="Y276" s="127"/>
      <c r="Z276" s="170"/>
      <c r="AA276" s="169"/>
      <c r="AB276" s="169"/>
      <c r="AC276" s="169"/>
      <c r="AD276" s="169"/>
      <c r="AE276" s="169"/>
      <c r="AF276" s="169"/>
      <c r="AG276" s="169"/>
      <c r="AH276" s="169"/>
      <c r="AI276" s="169"/>
      <c r="AJ276" s="169"/>
      <c r="AK276" s="169"/>
      <c r="AL276" s="169"/>
      <c r="AM276" s="169"/>
      <c r="AN276" s="169"/>
      <c r="AO276" s="169"/>
      <c r="AP276" s="169"/>
      <c r="AQ276" s="169"/>
      <c r="AR276" s="169"/>
      <c r="AS276" s="169"/>
      <c r="AT276" s="169"/>
      <c r="AU276" s="169"/>
      <c r="AV276" s="169"/>
      <c r="AW276" s="169"/>
      <c r="AX276" s="169"/>
      <c r="AY276" s="169"/>
      <c r="AZ276" s="169"/>
      <c r="BA276" s="169"/>
      <c r="BB276" s="169"/>
      <c r="BC276" s="169"/>
    </row>
    <row r="277" spans="1:55" ht="14.25" customHeight="1">
      <c r="A277" s="12" t="s">
        <v>124</v>
      </c>
      <c r="B277" s="65">
        <f t="shared" si="177"/>
        <v>0.86227544910179643</v>
      </c>
      <c r="C277" s="65">
        <f t="shared" si="178"/>
        <v>0.95321637426900585</v>
      </c>
      <c r="D277" s="65">
        <f t="shared" si="179"/>
        <v>0.90828402366863903</v>
      </c>
      <c r="E277" s="65">
        <f t="shared" si="180"/>
        <v>0.79411764705882348</v>
      </c>
      <c r="F277" s="80" t="str">
        <f t="shared" si="181"/>
        <v>-</v>
      </c>
      <c r="G277" s="65">
        <f t="shared" si="182"/>
        <v>0.79411764705882348</v>
      </c>
      <c r="H277" s="80" t="str">
        <f t="shared" si="183"/>
        <v>-</v>
      </c>
      <c r="I277" s="65">
        <f t="shared" si="184"/>
        <v>0.96551724137931039</v>
      </c>
      <c r="J277" s="65">
        <f t="shared" si="185"/>
        <v>0.96551724137931039</v>
      </c>
      <c r="K277" s="65">
        <f t="shared" si="186"/>
        <v>0.85074626865671643</v>
      </c>
      <c r="L277" s="65">
        <f t="shared" si="187"/>
        <v>0.95499999999999996</v>
      </c>
      <c r="M277" s="65">
        <f t="shared" si="188"/>
        <v>0.90274314214463836</v>
      </c>
      <c r="N277" s="127">
        <f t="shared" si="189"/>
        <v>0.88528824703534104</v>
      </c>
      <c r="O277" s="127">
        <f t="shared" si="190"/>
        <v>0.92497996794871795</v>
      </c>
      <c r="P277" s="128" t="str">
        <f t="shared" si="191"/>
        <v>-</v>
      </c>
      <c r="Q277" s="127">
        <f t="shared" si="192"/>
        <v>0.77777777777777779</v>
      </c>
      <c r="R277" s="128" t="str">
        <f t="shared" si="193"/>
        <v>-</v>
      </c>
      <c r="S277" s="128" t="str">
        <f t="shared" si="194"/>
        <v>-</v>
      </c>
      <c r="T277" s="128" t="str">
        <f t="shared" si="195"/>
        <v>-</v>
      </c>
      <c r="U277" s="127">
        <f t="shared" si="196"/>
        <v>0.97619047619047616</v>
      </c>
      <c r="V277" s="128" t="str">
        <f t="shared" si="197"/>
        <v>-</v>
      </c>
      <c r="W277" s="127"/>
      <c r="X277" s="127"/>
      <c r="Y277" s="127"/>
      <c r="Z277" s="170"/>
      <c r="AA277" s="169"/>
      <c r="AB277" s="169"/>
      <c r="AC277" s="169"/>
      <c r="AD277" s="169"/>
      <c r="AE277" s="169"/>
      <c r="AF277" s="169"/>
      <c r="AG277" s="169"/>
      <c r="AH277" s="169"/>
      <c r="AI277" s="169"/>
      <c r="AJ277" s="169"/>
      <c r="AK277" s="169"/>
      <c r="AL277" s="169"/>
      <c r="AM277" s="169"/>
      <c r="AN277" s="169"/>
      <c r="AO277" s="169"/>
      <c r="AP277" s="169"/>
      <c r="AQ277" s="169"/>
      <c r="AR277" s="169"/>
      <c r="AS277" s="169"/>
      <c r="AT277" s="169"/>
      <c r="AU277" s="169"/>
      <c r="AV277" s="169"/>
      <c r="AW277" s="169"/>
      <c r="AX277" s="169"/>
      <c r="AY277" s="169"/>
      <c r="AZ277" s="169"/>
      <c r="BA277" s="169"/>
      <c r="BB277" s="169"/>
      <c r="BC277" s="169"/>
    </row>
    <row r="278" spans="1:55" ht="14.25" customHeight="1">
      <c r="A278" s="12" t="s">
        <v>125</v>
      </c>
      <c r="B278" s="65">
        <f t="shared" si="177"/>
        <v>0.87775891341256362</v>
      </c>
      <c r="C278" s="65">
        <f t="shared" si="178"/>
        <v>0.96085409252669041</v>
      </c>
      <c r="D278" s="65">
        <f t="shared" si="179"/>
        <v>0.91833188531711551</v>
      </c>
      <c r="E278" s="65">
        <f t="shared" si="180"/>
        <v>0.8571428571428571</v>
      </c>
      <c r="F278" s="65">
        <f t="shared" si="181"/>
        <v>0.85542168674698793</v>
      </c>
      <c r="G278" s="65">
        <f t="shared" si="182"/>
        <v>0.85599999999999998</v>
      </c>
      <c r="H278" s="65">
        <f t="shared" si="183"/>
        <v>0.68478260869565222</v>
      </c>
      <c r="I278" s="65">
        <f t="shared" si="184"/>
        <v>0.93333333333333335</v>
      </c>
      <c r="J278" s="65">
        <f t="shared" si="185"/>
        <v>0.79640718562874246</v>
      </c>
      <c r="K278" s="65">
        <f t="shared" si="186"/>
        <v>0.85200553250345779</v>
      </c>
      <c r="L278" s="65">
        <f t="shared" si="187"/>
        <v>0.9458333333333333</v>
      </c>
      <c r="M278" s="65">
        <f t="shared" si="188"/>
        <v>0.89882189882189878</v>
      </c>
      <c r="N278" s="127">
        <f t="shared" si="189"/>
        <v>0.86446436612223176</v>
      </c>
      <c r="O278" s="127">
        <f t="shared" si="190"/>
        <v>0.79312341657618535</v>
      </c>
      <c r="P278" s="128" t="str">
        <f t="shared" si="191"/>
        <v>-</v>
      </c>
      <c r="Q278" s="127">
        <f t="shared" si="192"/>
        <v>0.74226804123711343</v>
      </c>
      <c r="R278" s="127">
        <f t="shared" si="193"/>
        <v>0.86524822695035464</v>
      </c>
      <c r="S278" s="128" t="str">
        <f t="shared" si="194"/>
        <v>-</v>
      </c>
      <c r="T278" s="127">
        <f t="shared" si="195"/>
        <v>0.92057291666666663</v>
      </c>
      <c r="U278" s="127">
        <f t="shared" si="196"/>
        <v>0.84979423868312753</v>
      </c>
      <c r="V278" s="128" t="str">
        <f t="shared" si="197"/>
        <v>-</v>
      </c>
      <c r="W278" s="127"/>
      <c r="X278" s="127"/>
      <c r="Y278" s="127"/>
      <c r="Z278" s="170"/>
      <c r="AA278" s="169"/>
      <c r="AB278" s="169"/>
      <c r="AC278" s="169"/>
      <c r="AD278" s="169"/>
      <c r="AE278" s="169"/>
      <c r="AF278" s="169"/>
      <c r="AG278" s="169"/>
      <c r="AH278" s="169"/>
      <c r="AI278" s="169"/>
      <c r="AJ278" s="169"/>
      <c r="AK278" s="169"/>
      <c r="AL278" s="169"/>
      <c r="AM278" s="169"/>
      <c r="AN278" s="169"/>
      <c r="AO278" s="169"/>
      <c r="AP278" s="169"/>
      <c r="AQ278" s="169"/>
      <c r="AR278" s="169"/>
      <c r="AS278" s="169"/>
      <c r="AT278" s="169"/>
      <c r="AU278" s="169"/>
      <c r="AV278" s="169"/>
      <c r="AW278" s="169"/>
      <c r="AX278" s="169"/>
      <c r="AY278" s="169"/>
      <c r="AZ278" s="169"/>
      <c r="BA278" s="169"/>
      <c r="BB278" s="169"/>
      <c r="BC278" s="169"/>
    </row>
    <row r="279" spans="1:55" ht="14.25" customHeight="1">
      <c r="A279" s="12" t="s">
        <v>244</v>
      </c>
      <c r="B279" s="65">
        <f t="shared" si="177"/>
        <v>0.78181818181818186</v>
      </c>
      <c r="C279" s="65">
        <f t="shared" si="178"/>
        <v>0.79166666666666663</v>
      </c>
      <c r="D279" s="65">
        <f t="shared" si="179"/>
        <v>0.78857142857142859</v>
      </c>
      <c r="E279" s="80" t="str">
        <f t="shared" si="180"/>
        <v>-</v>
      </c>
      <c r="F279" s="80" t="str">
        <f t="shared" si="181"/>
        <v>-</v>
      </c>
      <c r="G279" s="80" t="str">
        <f t="shared" si="182"/>
        <v>-</v>
      </c>
      <c r="H279" s="80" t="str">
        <f t="shared" si="183"/>
        <v>-</v>
      </c>
      <c r="I279" s="80" t="str">
        <f t="shared" si="184"/>
        <v>-</v>
      </c>
      <c r="J279" s="80" t="str">
        <f t="shared" si="185"/>
        <v>-</v>
      </c>
      <c r="K279" s="65">
        <f t="shared" si="186"/>
        <v>0.78181818181818186</v>
      </c>
      <c r="L279" s="65">
        <f t="shared" si="187"/>
        <v>0.79166666666666663</v>
      </c>
      <c r="M279" s="65">
        <f t="shared" si="188"/>
        <v>0.78857142857142859</v>
      </c>
      <c r="N279" s="127">
        <f t="shared" si="189"/>
        <v>0.81100217864923752</v>
      </c>
      <c r="O279" s="127">
        <f t="shared" si="190"/>
        <v>0.87828601472134593</v>
      </c>
      <c r="P279" s="128" t="str">
        <f t="shared" si="191"/>
        <v>-</v>
      </c>
      <c r="Q279" s="128" t="str">
        <f t="shared" si="192"/>
        <v>-</v>
      </c>
      <c r="R279" s="128" t="str">
        <f t="shared" si="193"/>
        <v>-</v>
      </c>
      <c r="S279" s="128" t="str">
        <f t="shared" si="194"/>
        <v>-</v>
      </c>
      <c r="T279" s="128" t="str">
        <f t="shared" si="195"/>
        <v>-</v>
      </c>
      <c r="U279" s="128" t="str">
        <f t="shared" si="196"/>
        <v>-</v>
      </c>
      <c r="V279" s="128" t="str">
        <f t="shared" si="197"/>
        <v>-</v>
      </c>
      <c r="W279" s="127"/>
      <c r="X279" s="127"/>
      <c r="Y279" s="127"/>
      <c r="Z279" s="170"/>
      <c r="AA279" s="169"/>
      <c r="AB279" s="169"/>
      <c r="AC279" s="169"/>
      <c r="AD279" s="169"/>
      <c r="AE279" s="169"/>
      <c r="AF279" s="169"/>
      <c r="AG279" s="169"/>
      <c r="AH279" s="169"/>
      <c r="AI279" s="169"/>
      <c r="AJ279" s="169"/>
      <c r="AK279" s="169"/>
      <c r="AL279" s="169"/>
      <c r="AM279" s="169"/>
      <c r="AN279" s="169"/>
      <c r="AO279" s="169"/>
      <c r="AP279" s="169"/>
      <c r="AQ279" s="169"/>
      <c r="AR279" s="169"/>
      <c r="AS279" s="169"/>
      <c r="AT279" s="169"/>
      <c r="AU279" s="169"/>
      <c r="AV279" s="169"/>
      <c r="AW279" s="169"/>
      <c r="AX279" s="169"/>
      <c r="AY279" s="169"/>
      <c r="AZ279" s="169"/>
      <c r="BA279" s="169"/>
      <c r="BB279" s="169"/>
      <c r="BC279" s="169"/>
    </row>
    <row r="280" spans="1:55" ht="14.25" customHeight="1">
      <c r="A280" s="12" t="s">
        <v>245</v>
      </c>
      <c r="B280" s="65">
        <f t="shared" si="177"/>
        <v>0.6</v>
      </c>
      <c r="C280" s="65">
        <f t="shared" si="178"/>
        <v>0.61111111111111116</v>
      </c>
      <c r="D280" s="65">
        <f t="shared" si="179"/>
        <v>0.6071428571428571</v>
      </c>
      <c r="E280" s="80" t="str">
        <f t="shared" si="180"/>
        <v>-</v>
      </c>
      <c r="F280" s="80" t="str">
        <f t="shared" si="181"/>
        <v>-</v>
      </c>
      <c r="G280" s="80" t="str">
        <f t="shared" si="182"/>
        <v>-</v>
      </c>
      <c r="H280" s="80" t="str">
        <f t="shared" si="183"/>
        <v>-</v>
      </c>
      <c r="I280" s="80" t="str">
        <f t="shared" si="184"/>
        <v>-</v>
      </c>
      <c r="J280" s="80" t="str">
        <f t="shared" si="185"/>
        <v>-</v>
      </c>
      <c r="K280" s="65">
        <f t="shared" si="186"/>
        <v>0.6</v>
      </c>
      <c r="L280" s="65">
        <f t="shared" si="187"/>
        <v>0.61111111111111116</v>
      </c>
      <c r="M280" s="65">
        <f t="shared" si="188"/>
        <v>0.6071428571428571</v>
      </c>
      <c r="N280" s="127">
        <f t="shared" si="189"/>
        <v>0.9196428571428571</v>
      </c>
      <c r="O280" s="127">
        <f t="shared" si="190"/>
        <v>0.85310734463276838</v>
      </c>
      <c r="P280" s="128" t="str">
        <f t="shared" si="191"/>
        <v>-</v>
      </c>
      <c r="Q280" s="128" t="str">
        <f t="shared" si="192"/>
        <v>-</v>
      </c>
      <c r="R280" s="128" t="str">
        <f t="shared" si="193"/>
        <v>-</v>
      </c>
      <c r="S280" s="128" t="str">
        <f t="shared" si="194"/>
        <v>-</v>
      </c>
      <c r="T280" s="128" t="str">
        <f t="shared" si="195"/>
        <v>-</v>
      </c>
      <c r="U280" s="128" t="str">
        <f t="shared" si="196"/>
        <v>-</v>
      </c>
      <c r="V280" s="128" t="str">
        <f t="shared" si="197"/>
        <v>-</v>
      </c>
      <c r="W280" s="127"/>
      <c r="X280" s="127"/>
      <c r="Y280" s="127"/>
      <c r="Z280" s="170"/>
      <c r="AA280" s="169"/>
      <c r="AB280" s="169"/>
      <c r="AC280" s="169"/>
      <c r="AD280" s="169"/>
      <c r="AE280" s="169"/>
      <c r="AF280" s="169"/>
      <c r="AG280" s="169"/>
      <c r="AH280" s="169"/>
      <c r="AI280" s="169"/>
      <c r="AJ280" s="169"/>
      <c r="AK280" s="169"/>
      <c r="AL280" s="169"/>
      <c r="AM280" s="169"/>
      <c r="AN280" s="169"/>
      <c r="AO280" s="169"/>
      <c r="AP280" s="169"/>
      <c r="AQ280" s="169"/>
      <c r="AR280" s="169"/>
      <c r="AS280" s="169"/>
      <c r="AT280" s="169"/>
      <c r="AU280" s="169"/>
      <c r="AV280" s="169"/>
      <c r="AW280" s="169"/>
      <c r="AX280" s="169"/>
      <c r="AY280" s="169"/>
      <c r="AZ280" s="169"/>
      <c r="BA280" s="169"/>
      <c r="BB280" s="169"/>
      <c r="BC280" s="169"/>
    </row>
    <row r="281" spans="1:55" ht="14.25" customHeight="1">
      <c r="A281" s="12" t="s">
        <v>246</v>
      </c>
      <c r="B281" s="65">
        <f t="shared" si="177"/>
        <v>0.8928414580588494</v>
      </c>
      <c r="C281" s="65">
        <f t="shared" si="178"/>
        <v>0.92564427545416139</v>
      </c>
      <c r="D281" s="65">
        <f t="shared" si="179"/>
        <v>0.90956072351421191</v>
      </c>
      <c r="E281" s="65">
        <f t="shared" si="180"/>
        <v>0.75099601593625498</v>
      </c>
      <c r="F281" s="65">
        <f t="shared" si="181"/>
        <v>0.75</v>
      </c>
      <c r="G281" s="65">
        <f t="shared" si="182"/>
        <v>0.75094339622641515</v>
      </c>
      <c r="H281" s="65">
        <f t="shared" si="183"/>
        <v>0.88607594936708856</v>
      </c>
      <c r="I281" s="65">
        <f t="shared" si="184"/>
        <v>0.97894736842105268</v>
      </c>
      <c r="J281" s="65">
        <f t="shared" si="185"/>
        <v>0.96764252696456088</v>
      </c>
      <c r="K281" s="65">
        <f t="shared" si="186"/>
        <v>0.86773967809657104</v>
      </c>
      <c r="L281" s="65">
        <f t="shared" si="187"/>
        <v>0.93423271500843175</v>
      </c>
      <c r="M281" s="65">
        <f t="shared" si="188"/>
        <v>0.90159711488923233</v>
      </c>
      <c r="N281" s="127">
        <f t="shared" si="189"/>
        <v>0.89169586090567021</v>
      </c>
      <c r="O281" s="127">
        <f t="shared" si="190"/>
        <v>0.88365940691522082</v>
      </c>
      <c r="P281" s="128" t="str">
        <f t="shared" si="191"/>
        <v>-</v>
      </c>
      <c r="Q281" s="127">
        <f t="shared" si="192"/>
        <v>0.86472148541114058</v>
      </c>
      <c r="R281" s="127">
        <f t="shared" si="193"/>
        <v>0.85365853658536583</v>
      </c>
      <c r="S281" s="128" t="str">
        <f t="shared" si="194"/>
        <v>-</v>
      </c>
      <c r="T281" s="127">
        <f t="shared" si="195"/>
        <v>0.92905405405405406</v>
      </c>
      <c r="U281" s="127">
        <f t="shared" si="196"/>
        <v>0.94723691945914168</v>
      </c>
      <c r="V281" s="128" t="str">
        <f t="shared" si="197"/>
        <v>-</v>
      </c>
      <c r="W281" s="127"/>
      <c r="X281" s="127"/>
      <c r="Y281" s="127"/>
      <c r="Z281" s="170"/>
      <c r="AA281" s="169"/>
      <c r="AB281" s="169"/>
      <c r="AC281" s="169"/>
      <c r="AD281" s="169"/>
      <c r="AE281" s="169"/>
      <c r="AF281" s="169"/>
      <c r="AG281" s="169"/>
      <c r="AH281" s="169"/>
      <c r="AI281" s="169"/>
      <c r="AJ281" s="169"/>
      <c r="AK281" s="169"/>
      <c r="AL281" s="169"/>
      <c r="AM281" s="169"/>
      <c r="AN281" s="169"/>
      <c r="AO281" s="169"/>
      <c r="AP281" s="169"/>
      <c r="AQ281" s="169"/>
      <c r="AR281" s="169"/>
      <c r="AS281" s="169"/>
      <c r="AT281" s="169"/>
      <c r="AU281" s="169"/>
      <c r="AV281" s="169"/>
      <c r="AW281" s="169"/>
      <c r="AX281" s="169"/>
      <c r="AY281" s="169"/>
      <c r="AZ281" s="169"/>
      <c r="BA281" s="169"/>
      <c r="BB281" s="169"/>
      <c r="BC281" s="169"/>
    </row>
    <row r="282" spans="1:55" ht="14.25" customHeight="1">
      <c r="A282" s="12" t="s">
        <v>247</v>
      </c>
      <c r="B282" s="65">
        <f t="shared" si="177"/>
        <v>0.92953929539295388</v>
      </c>
      <c r="C282" s="65">
        <f t="shared" si="178"/>
        <v>0.93258426966292129</v>
      </c>
      <c r="D282" s="65">
        <f t="shared" si="179"/>
        <v>0.93103448275862066</v>
      </c>
      <c r="E282" s="65">
        <f t="shared" si="180"/>
        <v>0.8571428571428571</v>
      </c>
      <c r="F282" s="65">
        <f t="shared" si="181"/>
        <v>1</v>
      </c>
      <c r="G282" s="65">
        <f t="shared" si="182"/>
        <v>0.875</v>
      </c>
      <c r="H282" s="65">
        <f t="shared" si="183"/>
        <v>0.63636363636363635</v>
      </c>
      <c r="I282" s="65">
        <f t="shared" si="184"/>
        <v>0.97499999999999998</v>
      </c>
      <c r="J282" s="65">
        <f t="shared" si="185"/>
        <v>0.90196078431372551</v>
      </c>
      <c r="K282" s="65">
        <f t="shared" si="186"/>
        <v>0.91469194312796209</v>
      </c>
      <c r="L282" s="65">
        <f t="shared" si="187"/>
        <v>0.93781094527363185</v>
      </c>
      <c r="M282" s="65">
        <f t="shared" si="188"/>
        <v>0.92597087378640774</v>
      </c>
      <c r="N282" s="127">
        <f t="shared" si="189"/>
        <v>0.84196910340749498</v>
      </c>
      <c r="O282" s="127">
        <f t="shared" si="190"/>
        <v>0.81506518590053112</v>
      </c>
      <c r="P282" s="128" t="str">
        <f t="shared" si="191"/>
        <v>-</v>
      </c>
      <c r="Q282" s="127">
        <f t="shared" si="192"/>
        <v>0.85576923076923073</v>
      </c>
      <c r="R282" s="127">
        <f t="shared" si="193"/>
        <v>0.83333333333333337</v>
      </c>
      <c r="S282" s="128" t="str">
        <f t="shared" si="194"/>
        <v>-</v>
      </c>
      <c r="T282" s="127">
        <f t="shared" si="195"/>
        <v>0.91666666666666663</v>
      </c>
      <c r="U282" s="127">
        <f t="shared" si="196"/>
        <v>0.9786324786324786</v>
      </c>
      <c r="V282" s="128" t="str">
        <f t="shared" si="197"/>
        <v>-</v>
      </c>
      <c r="W282" s="127"/>
      <c r="X282" s="127"/>
      <c r="Y282" s="127"/>
      <c r="Z282" s="170"/>
      <c r="AA282" s="169"/>
      <c r="AB282" s="169"/>
      <c r="AC282" s="169"/>
      <c r="AD282" s="169"/>
      <c r="AE282" s="169"/>
      <c r="AF282" s="169"/>
      <c r="AG282" s="169"/>
      <c r="AH282" s="169"/>
      <c r="AI282" s="169"/>
      <c r="AJ282" s="169"/>
      <c r="AK282" s="169"/>
      <c r="AL282" s="169"/>
      <c r="AM282" s="169"/>
      <c r="AN282" s="169"/>
      <c r="AO282" s="169"/>
      <c r="AP282" s="169"/>
      <c r="AQ282" s="169"/>
      <c r="AR282" s="169"/>
      <c r="AS282" s="169"/>
      <c r="AT282" s="169"/>
      <c r="AU282" s="169"/>
      <c r="AV282" s="169"/>
      <c r="AW282" s="169"/>
      <c r="AX282" s="169"/>
      <c r="AY282" s="169"/>
      <c r="AZ282" s="169"/>
      <c r="BA282" s="169"/>
      <c r="BB282" s="169"/>
      <c r="BC282" s="169"/>
    </row>
    <row r="283" spans="1:55" ht="14.25" customHeight="1">
      <c r="A283" s="177"/>
      <c r="B283" s="177"/>
      <c r="C283" s="177"/>
      <c r="D283" s="177"/>
      <c r="E283" s="177"/>
      <c r="F283" s="177"/>
      <c r="G283" s="177"/>
      <c r="H283" s="177"/>
      <c r="I283" s="177"/>
      <c r="J283" s="177"/>
      <c r="K283" s="177"/>
      <c r="L283" s="177"/>
      <c r="M283" s="177"/>
      <c r="N283" s="177"/>
      <c r="O283" s="177"/>
      <c r="P283" s="177"/>
      <c r="Q283" s="177"/>
      <c r="R283" s="177"/>
      <c r="S283" s="177"/>
      <c r="T283" s="177"/>
      <c r="U283" s="177"/>
      <c r="V283" s="177"/>
      <c r="W283" s="177"/>
      <c r="X283" s="177"/>
      <c r="Y283" s="177"/>
      <c r="Z283" s="169"/>
      <c r="AA283" s="169"/>
      <c r="AB283" s="169"/>
      <c r="AC283" s="169"/>
      <c r="AD283" s="169"/>
      <c r="AE283" s="169"/>
      <c r="AF283" s="169"/>
      <c r="AG283" s="169"/>
      <c r="AH283" s="169"/>
      <c r="AI283" s="169"/>
      <c r="AJ283" s="169"/>
      <c r="AK283" s="169"/>
      <c r="AL283" s="169"/>
      <c r="AM283" s="169"/>
      <c r="AN283" s="169"/>
      <c r="AO283" s="169"/>
      <c r="AP283" s="169"/>
      <c r="AQ283" s="169"/>
      <c r="AR283" s="169"/>
      <c r="AS283" s="169"/>
      <c r="AT283" s="169"/>
      <c r="AU283" s="169"/>
      <c r="AV283" s="169"/>
      <c r="AW283" s="169"/>
      <c r="AX283" s="169"/>
      <c r="AY283" s="169"/>
      <c r="AZ283" s="169"/>
      <c r="BA283" s="169"/>
      <c r="BB283" s="169"/>
      <c r="BC283" s="169"/>
    </row>
    <row r="284" spans="1:55" ht="14.25" customHeight="1">
      <c r="A284" s="179"/>
      <c r="B284" s="179"/>
      <c r="C284" s="179"/>
      <c r="D284" s="179"/>
      <c r="E284" s="179"/>
      <c r="F284" s="179"/>
      <c r="G284" s="179"/>
      <c r="H284" s="179"/>
      <c r="I284" s="179"/>
      <c r="J284" s="179"/>
      <c r="K284" s="179"/>
      <c r="L284" s="179"/>
      <c r="M284" s="179"/>
      <c r="N284" s="179"/>
      <c r="O284" s="179"/>
      <c r="P284" s="179"/>
      <c r="Q284" s="179"/>
      <c r="R284" s="179"/>
      <c r="S284" s="179"/>
      <c r="T284" s="179"/>
      <c r="U284" s="179"/>
      <c r="V284" s="179"/>
      <c r="W284" s="179"/>
      <c r="X284" s="179"/>
      <c r="Y284" s="179"/>
      <c r="Z284" s="179"/>
      <c r="AA284" s="179"/>
      <c r="AB284" s="179"/>
      <c r="AC284" s="179"/>
      <c r="AD284" s="179"/>
      <c r="AE284" s="179"/>
      <c r="AF284" s="179"/>
      <c r="AG284" s="179"/>
      <c r="AH284" s="179"/>
      <c r="AI284" s="179"/>
      <c r="AJ284" s="179"/>
      <c r="AK284" s="179"/>
      <c r="AL284" s="179"/>
      <c r="AM284" s="179"/>
      <c r="AN284" s="179"/>
      <c r="AO284" s="179"/>
      <c r="AP284" s="179"/>
      <c r="AQ284" s="179"/>
      <c r="AR284" s="179"/>
      <c r="AS284" s="179"/>
      <c r="AT284" s="179"/>
      <c r="AU284" s="179"/>
      <c r="AV284" s="179"/>
      <c r="AW284" s="179"/>
      <c r="AX284" s="179"/>
      <c r="AY284" s="179"/>
      <c r="AZ284" s="179"/>
      <c r="BA284" s="179"/>
      <c r="BB284" s="179"/>
      <c r="BC284" s="179"/>
    </row>
    <row r="285" spans="1:55" ht="14.25" customHeight="1">
      <c r="A285" s="192"/>
      <c r="B285" s="194" t="s">
        <v>146</v>
      </c>
      <c r="C285" s="195"/>
      <c r="D285" s="195"/>
      <c r="E285" s="195"/>
      <c r="F285" s="195"/>
      <c r="G285" s="195"/>
      <c r="H285" s="195"/>
      <c r="I285" s="195"/>
      <c r="J285" s="195"/>
      <c r="K285" s="59" t="s">
        <v>147</v>
      </c>
      <c r="L285" s="193"/>
      <c r="M285" s="196"/>
      <c r="N285" s="196"/>
      <c r="O285" s="196"/>
      <c r="P285" s="196"/>
      <c r="Q285" s="196"/>
      <c r="R285" s="196"/>
      <c r="S285" s="196"/>
      <c r="T285" s="194" t="s">
        <v>148</v>
      </c>
      <c r="U285" s="195"/>
      <c r="V285" s="195"/>
      <c r="W285" s="195"/>
      <c r="X285" s="195"/>
      <c r="Y285" s="195"/>
      <c r="Z285" s="195"/>
      <c r="AA285" s="195"/>
      <c r="AB285" s="195"/>
      <c r="AC285" s="29" t="s">
        <v>143</v>
      </c>
      <c r="AD285" s="184"/>
      <c r="AE285" s="184"/>
      <c r="AF285" s="184"/>
      <c r="AG285" s="184"/>
      <c r="AH285" s="184"/>
      <c r="AI285" s="184"/>
      <c r="AJ285" s="184"/>
      <c r="AK285" s="184"/>
      <c r="AL285" s="27" t="s">
        <v>144</v>
      </c>
      <c r="AM285" s="181"/>
      <c r="AN285" s="182"/>
      <c r="AO285" s="182"/>
      <c r="AP285" s="182"/>
      <c r="AQ285" s="182"/>
      <c r="AR285" s="182"/>
      <c r="AS285" s="182"/>
      <c r="AT285" s="182"/>
      <c r="AU285" s="29" t="s">
        <v>145</v>
      </c>
      <c r="AV285" s="184"/>
      <c r="AW285" s="184"/>
      <c r="AX285" s="184"/>
      <c r="AY285" s="184"/>
      <c r="AZ285" s="184"/>
      <c r="BA285" s="184"/>
      <c r="BB285" s="184"/>
      <c r="BC285" s="212"/>
    </row>
    <row r="286" spans="1:55" ht="15" customHeight="1">
      <c r="A286" s="511" t="s">
        <v>112</v>
      </c>
      <c r="B286" s="502" t="s">
        <v>238</v>
      </c>
      <c r="C286" s="503"/>
      <c r="D286" s="505"/>
      <c r="E286" s="502" t="s">
        <v>239</v>
      </c>
      <c r="F286" s="503"/>
      <c r="G286" s="505"/>
      <c r="H286" s="502" t="s">
        <v>240</v>
      </c>
      <c r="I286" s="503"/>
      <c r="J286" s="505"/>
      <c r="K286" s="502" t="s">
        <v>238</v>
      </c>
      <c r="L286" s="503"/>
      <c r="M286" s="505"/>
      <c r="N286" s="502" t="s">
        <v>239</v>
      </c>
      <c r="O286" s="503"/>
      <c r="P286" s="505"/>
      <c r="Q286" s="502" t="s">
        <v>240</v>
      </c>
      <c r="R286" s="503"/>
      <c r="S286" s="505"/>
      <c r="T286" s="502" t="s">
        <v>238</v>
      </c>
      <c r="U286" s="503"/>
      <c r="V286" s="505"/>
      <c r="W286" s="502" t="s">
        <v>239</v>
      </c>
      <c r="X286" s="503"/>
      <c r="Y286" s="505"/>
      <c r="Z286" s="502" t="s">
        <v>240</v>
      </c>
      <c r="AA286" s="503"/>
      <c r="AB286" s="505"/>
      <c r="AC286" s="502" t="s">
        <v>238</v>
      </c>
      <c r="AD286" s="503"/>
      <c r="AE286" s="505"/>
      <c r="AF286" s="502" t="s">
        <v>239</v>
      </c>
      <c r="AG286" s="503"/>
      <c r="AH286" s="505"/>
      <c r="AI286" s="502" t="s">
        <v>240</v>
      </c>
      <c r="AJ286" s="503"/>
      <c r="AK286" s="505"/>
      <c r="AL286" s="502" t="s">
        <v>238</v>
      </c>
      <c r="AM286" s="503"/>
      <c r="AN286" s="505"/>
      <c r="AO286" s="502" t="s">
        <v>239</v>
      </c>
      <c r="AP286" s="503"/>
      <c r="AQ286" s="505"/>
      <c r="AR286" s="502" t="s">
        <v>240</v>
      </c>
      <c r="AS286" s="503"/>
      <c r="AT286" s="505"/>
      <c r="AU286" s="502" t="s">
        <v>238</v>
      </c>
      <c r="AV286" s="503"/>
      <c r="AW286" s="505"/>
      <c r="AX286" s="502" t="s">
        <v>239</v>
      </c>
      <c r="AY286" s="503"/>
      <c r="AZ286" s="505"/>
      <c r="BA286" s="502" t="s">
        <v>240</v>
      </c>
      <c r="BB286" s="503"/>
      <c r="BC286" s="505"/>
    </row>
    <row r="287" spans="1:55" ht="30" customHeight="1">
      <c r="A287" s="521"/>
      <c r="B287" s="32" t="s">
        <v>113</v>
      </c>
      <c r="C287" s="32" t="s">
        <v>114</v>
      </c>
      <c r="D287" s="32" t="s">
        <v>14</v>
      </c>
      <c r="E287" s="32" t="s">
        <v>113</v>
      </c>
      <c r="F287" s="32" t="s">
        <v>114</v>
      </c>
      <c r="G287" s="32" t="s">
        <v>14</v>
      </c>
      <c r="H287" s="32" t="s">
        <v>113</v>
      </c>
      <c r="I287" s="32" t="s">
        <v>114</v>
      </c>
      <c r="J287" s="32" t="s">
        <v>14</v>
      </c>
      <c r="K287" s="32" t="s">
        <v>113</v>
      </c>
      <c r="L287" s="32" t="s">
        <v>114</v>
      </c>
      <c r="M287" s="32" t="s">
        <v>14</v>
      </c>
      <c r="N287" s="32" t="s">
        <v>113</v>
      </c>
      <c r="O287" s="32" t="s">
        <v>114</v>
      </c>
      <c r="P287" s="32" t="s">
        <v>14</v>
      </c>
      <c r="Q287" s="32" t="s">
        <v>113</v>
      </c>
      <c r="R287" s="32" t="s">
        <v>114</v>
      </c>
      <c r="S287" s="32" t="s">
        <v>14</v>
      </c>
      <c r="T287" s="32" t="s">
        <v>113</v>
      </c>
      <c r="U287" s="32" t="s">
        <v>114</v>
      </c>
      <c r="V287" s="32" t="s">
        <v>14</v>
      </c>
      <c r="W287" s="32" t="s">
        <v>113</v>
      </c>
      <c r="X287" s="32" t="s">
        <v>114</v>
      </c>
      <c r="Y287" s="32" t="s">
        <v>14</v>
      </c>
      <c r="Z287" s="32" t="s">
        <v>113</v>
      </c>
      <c r="AA287" s="32" t="s">
        <v>114</v>
      </c>
      <c r="AB287" s="32" t="s">
        <v>14</v>
      </c>
      <c r="AC287" s="32" t="s">
        <v>117</v>
      </c>
      <c r="AD287" s="32" t="s">
        <v>118</v>
      </c>
      <c r="AE287" s="32" t="s">
        <v>17</v>
      </c>
      <c r="AF287" s="32" t="s">
        <v>117</v>
      </c>
      <c r="AG287" s="32" t="s">
        <v>118</v>
      </c>
      <c r="AH287" s="32" t="s">
        <v>17</v>
      </c>
      <c r="AI287" s="32" t="s">
        <v>117</v>
      </c>
      <c r="AJ287" s="32" t="s">
        <v>118</v>
      </c>
      <c r="AK287" s="32" t="s">
        <v>17</v>
      </c>
      <c r="AL287" s="32" t="s">
        <v>117</v>
      </c>
      <c r="AM287" s="32" t="s">
        <v>118</v>
      </c>
      <c r="AN287" s="32" t="s">
        <v>17</v>
      </c>
      <c r="AO287" s="32" t="s">
        <v>117</v>
      </c>
      <c r="AP287" s="32" t="s">
        <v>118</v>
      </c>
      <c r="AQ287" s="32" t="s">
        <v>17</v>
      </c>
      <c r="AR287" s="32" t="s">
        <v>117</v>
      </c>
      <c r="AS287" s="32" t="s">
        <v>118</v>
      </c>
      <c r="AT287" s="32" t="s">
        <v>17</v>
      </c>
      <c r="AU287" s="32" t="s">
        <v>117</v>
      </c>
      <c r="AV287" s="32" t="s">
        <v>118</v>
      </c>
      <c r="AW287" s="32" t="s">
        <v>17</v>
      </c>
      <c r="AX287" s="32" t="s">
        <v>117</v>
      </c>
      <c r="AY287" s="32" t="s">
        <v>118</v>
      </c>
      <c r="AZ287" s="32" t="s">
        <v>17</v>
      </c>
      <c r="BA287" s="32" t="s">
        <v>117</v>
      </c>
      <c r="BB287" s="32" t="s">
        <v>118</v>
      </c>
      <c r="BC287" s="32" t="s">
        <v>17</v>
      </c>
    </row>
    <row r="288" spans="1:55" ht="14.25" customHeight="1">
      <c r="A288" s="12" t="s">
        <v>67</v>
      </c>
      <c r="B288" s="66">
        <f>B232</f>
        <v>3607</v>
      </c>
      <c r="C288" s="66">
        <f>C232</f>
        <v>4060</v>
      </c>
      <c r="D288" s="67">
        <f t="shared" ref="D288:D299" si="198">IFERROR(B288/C288,"-")</f>
        <v>0.88842364532019702</v>
      </c>
      <c r="E288" s="66">
        <f>E232</f>
        <v>3050</v>
      </c>
      <c r="F288" s="66">
        <f>F232</f>
        <v>3222</v>
      </c>
      <c r="G288" s="67">
        <f t="shared" ref="G288:G299" si="199">IFERROR(E288/F288,"-")</f>
        <v>0.94661700806952198</v>
      </c>
      <c r="H288" s="66">
        <f>H232</f>
        <v>6657</v>
      </c>
      <c r="I288" s="66">
        <f>I232</f>
        <v>7282</v>
      </c>
      <c r="J288" s="67">
        <f t="shared" ref="J288:J299" si="200">IFERROR(H288/I288,"-")</f>
        <v>0.91417193078824499</v>
      </c>
      <c r="K288" s="80" t="str">
        <f>K232</f>
        <v>-</v>
      </c>
      <c r="L288" s="80" t="str">
        <f>L232</f>
        <v>-</v>
      </c>
      <c r="M288" s="80" t="str">
        <f t="shared" ref="M288:M299" si="201">IFERROR(K288/L288,"-")</f>
        <v>-</v>
      </c>
      <c r="N288" s="80" t="str">
        <f>N232</f>
        <v>-</v>
      </c>
      <c r="O288" s="80" t="str">
        <f>O232</f>
        <v>-</v>
      </c>
      <c r="P288" s="80" t="str">
        <f t="shared" ref="P288:P299" si="202">IFERROR(N288/O288,"-")</f>
        <v>-</v>
      </c>
      <c r="Q288" s="64">
        <f>Q232</f>
        <v>0</v>
      </c>
      <c r="R288" s="64">
        <f>R232</f>
        <v>0</v>
      </c>
      <c r="S288" s="80" t="str">
        <f t="shared" ref="S288:S299" si="203">IFERROR(Q288/R288,"-")</f>
        <v>-</v>
      </c>
      <c r="T288" s="83" t="str">
        <f>T232</f>
        <v>-</v>
      </c>
      <c r="U288" s="83" t="str">
        <f>U232</f>
        <v>-</v>
      </c>
      <c r="V288" s="83" t="str">
        <f t="shared" ref="V288:V299" si="204">IFERROR(T288/U288,"-")</f>
        <v>-</v>
      </c>
      <c r="W288" s="83" t="str">
        <f>W232</f>
        <v>-</v>
      </c>
      <c r="X288" s="83" t="str">
        <f>X232</f>
        <v>-</v>
      </c>
      <c r="Y288" s="83" t="str">
        <f t="shared" ref="Y288:Y299" si="205">IFERROR(W288/X288,"-")</f>
        <v>-</v>
      </c>
      <c r="Z288" s="66">
        <f>Z232</f>
        <v>0</v>
      </c>
      <c r="AA288" s="66">
        <f>AA232</f>
        <v>0</v>
      </c>
      <c r="AB288" s="83" t="str">
        <f t="shared" ref="AB288:AB299" si="206">IFERROR(Z288/AA288,"-")</f>
        <v>-</v>
      </c>
      <c r="AC288" s="70">
        <f>AC232</f>
        <v>54538</v>
      </c>
      <c r="AD288" s="70">
        <f>AD232</f>
        <v>63417</v>
      </c>
      <c r="AE288" s="21">
        <f t="shared" ref="AE288:AE299" si="207">IFERROR(AC288/AD288,"-")</f>
        <v>0.85999022344166387</v>
      </c>
      <c r="AF288" s="70">
        <f>AF232</f>
        <v>43713</v>
      </c>
      <c r="AG288" s="70">
        <f>AG232</f>
        <v>53118</v>
      </c>
      <c r="AH288" s="21">
        <f t="shared" ref="AH288:AH299" si="208">IFERROR(AF288/AG288,"-")</f>
        <v>0.82294137580481197</v>
      </c>
      <c r="AI288" s="70">
        <f>AI232</f>
        <v>0</v>
      </c>
      <c r="AJ288" s="70">
        <f>AJ232</f>
        <v>0</v>
      </c>
      <c r="AK288" s="37" t="str">
        <f t="shared" ref="AK288:AK299" si="209">IFERROR(AI288/AJ288,"-")</f>
        <v>-</v>
      </c>
      <c r="AL288" s="44" t="str">
        <f>AL232</f>
        <v>-</v>
      </c>
      <c r="AM288" s="44" t="str">
        <f>AM232</f>
        <v>-</v>
      </c>
      <c r="AN288" s="44" t="str">
        <f t="shared" ref="AN288:AN299" si="210">IFERROR(AL288/AM288,"-")</f>
        <v>-</v>
      </c>
      <c r="AO288" s="44" t="str">
        <f>AO232</f>
        <v>-</v>
      </c>
      <c r="AP288" s="44" t="str">
        <f>AP232</f>
        <v>-</v>
      </c>
      <c r="AQ288" s="44" t="str">
        <f t="shared" ref="AQ288:AQ299" si="211">IFERROR(AO288/AP288,"-")</f>
        <v>-</v>
      </c>
      <c r="AR288" s="69">
        <f>AR232</f>
        <v>0</v>
      </c>
      <c r="AS288" s="69">
        <f>AS232</f>
        <v>0</v>
      </c>
      <c r="AT288" s="44" t="str">
        <f t="shared" ref="AT288:AT299" si="212">IFERROR(AR288/AS288,"-")</f>
        <v>-</v>
      </c>
      <c r="AU288" s="37" t="str">
        <f>AU232</f>
        <v>-</v>
      </c>
      <c r="AV288" s="37" t="str">
        <f>AV232</f>
        <v>-</v>
      </c>
      <c r="AW288" s="37" t="str">
        <f t="shared" ref="AW288:AW299" si="213">IFERROR(AU288/AV288,"-")</f>
        <v>-</v>
      </c>
      <c r="AX288" s="37" t="str">
        <f>AX232</f>
        <v>-</v>
      </c>
      <c r="AY288" s="37" t="str">
        <f>AY232</f>
        <v>-</v>
      </c>
      <c r="AZ288" s="37" t="str">
        <f t="shared" ref="AZ288:AZ299" si="214">IFERROR(AX288/AY288,"-")</f>
        <v>-</v>
      </c>
      <c r="BA288" s="70">
        <f>BA232</f>
        <v>0</v>
      </c>
      <c r="BB288" s="70">
        <f>BB232</f>
        <v>0</v>
      </c>
      <c r="BC288" s="37" t="str">
        <f t="shared" ref="BC288:BC299" si="215">IFERROR(BA288/BB288,"-")</f>
        <v>-</v>
      </c>
    </row>
    <row r="289" spans="1:55" ht="14.25" customHeight="1">
      <c r="A289" s="12" t="s">
        <v>119</v>
      </c>
      <c r="B289" s="136">
        <f>SUM(B233,B241,B242,B249,B236)</f>
        <v>1990</v>
      </c>
      <c r="C289" s="136">
        <v>2222</v>
      </c>
      <c r="D289" s="67">
        <f t="shared" si="198"/>
        <v>0.89558955895589554</v>
      </c>
      <c r="E289" s="66">
        <f>SUM(E233,E241,E242,E249,E236)</f>
        <v>2096</v>
      </c>
      <c r="F289" s="66">
        <f>SUM(F233,F241,F242,F249,F236)</f>
        <v>2247</v>
      </c>
      <c r="G289" s="67">
        <f t="shared" si="199"/>
        <v>0.93279928793947486</v>
      </c>
      <c r="H289" s="66">
        <f t="shared" ref="H289:H299" si="216">SUM(B289,E289)</f>
        <v>4086</v>
      </c>
      <c r="I289" s="66">
        <f t="shared" ref="I289:I299" si="217">SUM(C289,F289)</f>
        <v>4469</v>
      </c>
      <c r="J289" s="67">
        <f t="shared" si="200"/>
        <v>0.91429850078317298</v>
      </c>
      <c r="K289" s="64">
        <f>SUM(K233,K241,K242,K249,K236)</f>
        <v>377</v>
      </c>
      <c r="L289" s="64">
        <f>SUM(L233,L241,L242,L249,L236)</f>
        <v>502</v>
      </c>
      <c r="M289" s="65">
        <f t="shared" si="201"/>
        <v>0.75099601593625498</v>
      </c>
      <c r="N289" s="64">
        <f>SUM(N233,N241,N242,N249,N236)</f>
        <v>21</v>
      </c>
      <c r="O289" s="64">
        <f>SUM(O233,O241,O242,O249,O236)</f>
        <v>28</v>
      </c>
      <c r="P289" s="65">
        <f t="shared" si="202"/>
        <v>0.75</v>
      </c>
      <c r="Q289" s="64">
        <f t="shared" ref="Q289:Q299" si="218">SUM(K289,N289)</f>
        <v>398</v>
      </c>
      <c r="R289" s="64">
        <f t="shared" ref="R289:R299" si="219">SUM(L289,O289)</f>
        <v>530</v>
      </c>
      <c r="S289" s="65">
        <f t="shared" si="203"/>
        <v>0.75094339622641515</v>
      </c>
      <c r="T289" s="66">
        <f>SUM(T233,T241,T242,T249,T236)</f>
        <v>70</v>
      </c>
      <c r="U289" s="66">
        <f>SUM(U233,U241,U242,U249,U236)</f>
        <v>79</v>
      </c>
      <c r="V289" s="67">
        <f t="shared" si="204"/>
        <v>0.88607594936708856</v>
      </c>
      <c r="W289" s="66">
        <f>SUM(W233,W241,W242,W249,W236)</f>
        <v>558</v>
      </c>
      <c r="X289" s="66">
        <f>SUM(X233,X241,X242,X249,X236)</f>
        <v>570</v>
      </c>
      <c r="Y289" s="67">
        <f t="shared" si="205"/>
        <v>0.97894736842105268</v>
      </c>
      <c r="Z289" s="66">
        <f t="shared" ref="Z289:Z299" si="220">SUM(T289,W289)</f>
        <v>628</v>
      </c>
      <c r="AA289" s="66">
        <f t="shared" ref="AA289:AA299" si="221">SUM(U289,X289)</f>
        <v>649</v>
      </c>
      <c r="AB289" s="67">
        <f t="shared" si="206"/>
        <v>0.96764252696456088</v>
      </c>
      <c r="AC289" s="70">
        <f>SUM(AC233,AC241,AC242,AC249,AC236)</f>
        <v>67234</v>
      </c>
      <c r="AD289" s="70">
        <f>SUM(AD233,AD241,AD242,AD249,AD236)</f>
        <v>75234</v>
      </c>
      <c r="AE289" s="21">
        <f t="shared" si="207"/>
        <v>0.89366509822686546</v>
      </c>
      <c r="AF289" s="70">
        <f>SUM(AF233,AF241,AF242,AF249,AF236)</f>
        <v>68474</v>
      </c>
      <c r="AG289" s="70">
        <f>SUM(AG233,AG241,AG242,AG249,AG236)</f>
        <v>77466</v>
      </c>
      <c r="AH289" s="21">
        <f t="shared" si="208"/>
        <v>0.88392326956342138</v>
      </c>
      <c r="AI289" s="70"/>
      <c r="AJ289" s="70"/>
      <c r="AK289" s="37" t="str">
        <f t="shared" si="209"/>
        <v>-</v>
      </c>
      <c r="AL289" s="69">
        <f>SUM(AL233,AL241,AL242,AL249,AL236)</f>
        <v>652</v>
      </c>
      <c r="AM289" s="69">
        <f>SUM(AM233,AM241,AM242,AM249,AM236)</f>
        <v>754</v>
      </c>
      <c r="AN289" s="36">
        <f t="shared" si="210"/>
        <v>0.86472148541114058</v>
      </c>
      <c r="AO289" s="69">
        <f>SUM(AO233,AO241,AO242,AO249,AO236)</f>
        <v>35</v>
      </c>
      <c r="AP289" s="69">
        <f>SUM(AP233,AP241,AP242,AP249,AP236)</f>
        <v>41</v>
      </c>
      <c r="AQ289" s="36">
        <f t="shared" si="211"/>
        <v>0.85365853658536583</v>
      </c>
      <c r="AR289" s="69"/>
      <c r="AS289" s="69"/>
      <c r="AT289" s="44" t="str">
        <f t="shared" si="212"/>
        <v>-</v>
      </c>
      <c r="AU289" s="70">
        <f>SUM(AU233,AU241,AU242,AU249,AU236)</f>
        <v>825</v>
      </c>
      <c r="AV289" s="70">
        <f>SUM(AV233,AV241,AV242,AV249,AV236)</f>
        <v>888</v>
      </c>
      <c r="AW289" s="21">
        <f t="shared" si="213"/>
        <v>0.92905405405405406</v>
      </c>
      <c r="AX289" s="70">
        <f>SUM(AX233,AX241,AX242,AX249,AX236)</f>
        <v>6445</v>
      </c>
      <c r="AY289" s="70">
        <f>SUM(AY233,AY241,AY242,AY249,AY236)</f>
        <v>6804</v>
      </c>
      <c r="AZ289" s="21">
        <f t="shared" si="214"/>
        <v>0.94723691945914168</v>
      </c>
      <c r="BA289" s="70"/>
      <c r="BB289" s="70"/>
      <c r="BC289" s="37" t="str">
        <f t="shared" si="215"/>
        <v>-</v>
      </c>
    </row>
    <row r="290" spans="1:55" ht="14.25" customHeight="1">
      <c r="A290" s="12" t="s">
        <v>120</v>
      </c>
      <c r="B290" s="136">
        <v>629</v>
      </c>
      <c r="C290" s="136">
        <v>704</v>
      </c>
      <c r="D290" s="67">
        <f t="shared" si="198"/>
        <v>0.89346590909090906</v>
      </c>
      <c r="E290" s="66">
        <f>SUM(E237,E238,E244,E252)</f>
        <v>674</v>
      </c>
      <c r="F290" s="66">
        <f>SUM(F237,F238,F244,F252)</f>
        <v>716</v>
      </c>
      <c r="G290" s="67">
        <f t="shared" si="199"/>
        <v>0.94134078212290506</v>
      </c>
      <c r="H290" s="66">
        <f t="shared" si="216"/>
        <v>1303</v>
      </c>
      <c r="I290" s="66">
        <f t="shared" si="217"/>
        <v>1420</v>
      </c>
      <c r="J290" s="67">
        <f t="shared" si="200"/>
        <v>0.9176056338028169</v>
      </c>
      <c r="K290" s="64">
        <f>SUM(K237,K238,K244,K252)</f>
        <v>75</v>
      </c>
      <c r="L290" s="64">
        <f>SUM(L237,L238,L244,L252)</f>
        <v>99</v>
      </c>
      <c r="M290" s="65">
        <f t="shared" si="201"/>
        <v>0.75757575757575757</v>
      </c>
      <c r="N290" s="64">
        <f>SUM(N237,N238,N244,N252)</f>
        <v>4</v>
      </c>
      <c r="O290" s="64">
        <f>SUM(O237,O238,O244,O252)</f>
        <v>5</v>
      </c>
      <c r="P290" s="65">
        <f t="shared" si="202"/>
        <v>0.8</v>
      </c>
      <c r="Q290" s="64">
        <f t="shared" si="218"/>
        <v>79</v>
      </c>
      <c r="R290" s="64">
        <f t="shared" si="219"/>
        <v>104</v>
      </c>
      <c r="S290" s="65">
        <f t="shared" si="203"/>
        <v>0.75961538461538458</v>
      </c>
      <c r="T290" s="66">
        <f>SUM(T237,T238,T244,T252)</f>
        <v>9</v>
      </c>
      <c r="U290" s="66">
        <f>SUM(U237,U238,U244,U252)</f>
        <v>12</v>
      </c>
      <c r="V290" s="67">
        <f t="shared" si="204"/>
        <v>0.75</v>
      </c>
      <c r="W290" s="66">
        <f>SUM(W237,W238,W244,W252)</f>
        <v>135</v>
      </c>
      <c r="X290" s="66">
        <f>SUM(X237,X238,X244,X252)</f>
        <v>138</v>
      </c>
      <c r="Y290" s="67">
        <f t="shared" si="205"/>
        <v>0.97826086956521741</v>
      </c>
      <c r="Z290" s="66">
        <f t="shared" si="220"/>
        <v>144</v>
      </c>
      <c r="AA290" s="66">
        <f t="shared" si="221"/>
        <v>150</v>
      </c>
      <c r="AB290" s="67">
        <f t="shared" si="206"/>
        <v>0.96</v>
      </c>
      <c r="AC290" s="70">
        <f>SUM(AC237,AC238,AC244,AC252)</f>
        <v>29158</v>
      </c>
      <c r="AD290" s="70">
        <f>SUM(AD237,AD238,AD244,AD252)</f>
        <v>33903</v>
      </c>
      <c r="AE290" s="21">
        <f t="shared" si="207"/>
        <v>0.86004188419903849</v>
      </c>
      <c r="AF290" s="70">
        <f>SUM(AF237,AF238,AF244,AF252)</f>
        <v>21469</v>
      </c>
      <c r="AG290" s="70">
        <f>SUM(AG237,AG238,AG244,AG252)</f>
        <v>25584</v>
      </c>
      <c r="AH290" s="21">
        <f t="shared" si="208"/>
        <v>0.83915728580362725</v>
      </c>
      <c r="AI290" s="70"/>
      <c r="AJ290" s="70"/>
      <c r="AK290" s="37" t="str">
        <f t="shared" si="209"/>
        <v>-</v>
      </c>
      <c r="AL290" s="69">
        <f>SUM(AL237,AL238,AL244,AL252)</f>
        <v>188</v>
      </c>
      <c r="AM290" s="69">
        <f>SUM(AM237,AM238,AM244,AM252)</f>
        <v>226</v>
      </c>
      <c r="AN290" s="36">
        <f t="shared" si="210"/>
        <v>0.83185840707964598</v>
      </c>
      <c r="AO290" s="69">
        <f>SUM(AO237,AO238,AO244,AO252)</f>
        <v>6</v>
      </c>
      <c r="AP290" s="69">
        <f>SUM(AP237,AP238,AP244,AP252)</f>
        <v>8</v>
      </c>
      <c r="AQ290" s="36">
        <f t="shared" si="211"/>
        <v>0.75</v>
      </c>
      <c r="AR290" s="69"/>
      <c r="AS290" s="69"/>
      <c r="AT290" s="44" t="str">
        <f t="shared" si="212"/>
        <v>-</v>
      </c>
      <c r="AU290" s="70">
        <f>SUM(AU237,AU238,AU244,AU252)</f>
        <v>97</v>
      </c>
      <c r="AV290" s="70">
        <f>SUM(AV237,AV238,AV244,AV252)</f>
        <v>108</v>
      </c>
      <c r="AW290" s="21">
        <f t="shared" si="213"/>
        <v>0.89814814814814814</v>
      </c>
      <c r="AX290" s="70">
        <f>SUM(AX237,AX238,AX244,AX252)</f>
        <v>1528</v>
      </c>
      <c r="AY290" s="70">
        <f>SUM(AY237,AY238,AY244,AY252)</f>
        <v>1620</v>
      </c>
      <c r="AZ290" s="21">
        <f t="shared" si="214"/>
        <v>0.94320987654320987</v>
      </c>
      <c r="BA290" s="70"/>
      <c r="BB290" s="70"/>
      <c r="BC290" s="37" t="str">
        <f t="shared" si="215"/>
        <v>-</v>
      </c>
    </row>
    <row r="291" spans="1:55" ht="14.25" customHeight="1">
      <c r="A291" s="12" t="s">
        <v>121</v>
      </c>
      <c r="B291" s="136">
        <v>337</v>
      </c>
      <c r="C291" s="136">
        <v>359</v>
      </c>
      <c r="D291" s="67">
        <f t="shared" si="198"/>
        <v>0.93871866295264628</v>
      </c>
      <c r="E291" s="66">
        <f>SUM(E243,E245,E250)</f>
        <v>321</v>
      </c>
      <c r="F291" s="66">
        <f>SUM(F243,F245,F250)</f>
        <v>338</v>
      </c>
      <c r="G291" s="67">
        <f t="shared" si="199"/>
        <v>0.94970414201183428</v>
      </c>
      <c r="H291" s="66">
        <f t="shared" si="216"/>
        <v>658</v>
      </c>
      <c r="I291" s="66">
        <f t="shared" si="217"/>
        <v>697</v>
      </c>
      <c r="J291" s="67">
        <f t="shared" si="200"/>
        <v>0.94404591104734581</v>
      </c>
      <c r="K291" s="64">
        <f>SUM(K243,K245,K250)</f>
        <v>36</v>
      </c>
      <c r="L291" s="64">
        <f>SUM(L243,L245,L250)</f>
        <v>42</v>
      </c>
      <c r="M291" s="65">
        <f t="shared" si="201"/>
        <v>0.8571428571428571</v>
      </c>
      <c r="N291" s="64">
        <f>SUM(N243,N245,N250)</f>
        <v>6</v>
      </c>
      <c r="O291" s="64">
        <f>SUM(O243,O245,O250)</f>
        <v>6</v>
      </c>
      <c r="P291" s="65">
        <f t="shared" si="202"/>
        <v>1</v>
      </c>
      <c r="Q291" s="64">
        <f t="shared" si="218"/>
        <v>42</v>
      </c>
      <c r="R291" s="64">
        <f t="shared" si="219"/>
        <v>48</v>
      </c>
      <c r="S291" s="65">
        <f t="shared" si="203"/>
        <v>0.875</v>
      </c>
      <c r="T291" s="66">
        <f>SUM(T243,T245,T250)</f>
        <v>7</v>
      </c>
      <c r="U291" s="66">
        <f>SUM(U243,U245,U250)</f>
        <v>11</v>
      </c>
      <c r="V291" s="67">
        <f t="shared" si="204"/>
        <v>0.63636363636363635</v>
      </c>
      <c r="W291" s="66">
        <f>SUM(W243,W245,W250)</f>
        <v>39</v>
      </c>
      <c r="X291" s="66">
        <f>SUM(X243,X245,X250)</f>
        <v>40</v>
      </c>
      <c r="Y291" s="67">
        <f t="shared" si="205"/>
        <v>0.97499999999999998</v>
      </c>
      <c r="Z291" s="66">
        <f t="shared" si="220"/>
        <v>46</v>
      </c>
      <c r="AA291" s="66">
        <f t="shared" si="221"/>
        <v>51</v>
      </c>
      <c r="AB291" s="67">
        <f t="shared" si="206"/>
        <v>0.90196078431372551</v>
      </c>
      <c r="AC291" s="70">
        <f>SUM(AC243,AC245,AC250)</f>
        <v>11185</v>
      </c>
      <c r="AD291" s="70">
        <f>SUM(AD243,AD245,AD250)</f>
        <v>13305</v>
      </c>
      <c r="AE291" s="21">
        <f t="shared" si="207"/>
        <v>0.84066140548665913</v>
      </c>
      <c r="AF291" s="70">
        <f>SUM(AF243,AF245,AF250)</f>
        <v>9826</v>
      </c>
      <c r="AG291" s="70">
        <f>SUM(AG243,AG245,AG250)</f>
        <v>12072</v>
      </c>
      <c r="AH291" s="21">
        <f t="shared" si="208"/>
        <v>0.81394963552021204</v>
      </c>
      <c r="AI291" s="70"/>
      <c r="AJ291" s="70"/>
      <c r="AK291" s="37" t="str">
        <f t="shared" si="209"/>
        <v>-</v>
      </c>
      <c r="AL291" s="69">
        <f>SUM(AL243,AL245,AL250)</f>
        <v>89</v>
      </c>
      <c r="AM291" s="69">
        <f>SUM(AM243,AM245,AM250)</f>
        <v>104</v>
      </c>
      <c r="AN291" s="36">
        <f t="shared" si="210"/>
        <v>0.85576923076923073</v>
      </c>
      <c r="AO291" s="69">
        <f>SUM(AO243,AO245,AO250)</f>
        <v>10</v>
      </c>
      <c r="AP291" s="69">
        <f>SUM(AP243,AP245,AP250)</f>
        <v>12</v>
      </c>
      <c r="AQ291" s="36">
        <f t="shared" si="211"/>
        <v>0.83333333333333337</v>
      </c>
      <c r="AR291" s="69"/>
      <c r="AS291" s="69"/>
      <c r="AT291" s="44" t="str">
        <f t="shared" si="212"/>
        <v>-</v>
      </c>
      <c r="AU291" s="70">
        <f>SUM(AU243,AU245,AU250)</f>
        <v>77</v>
      </c>
      <c r="AV291" s="70">
        <f>SUM(AV243,AV245,AV250)</f>
        <v>84</v>
      </c>
      <c r="AW291" s="21">
        <f t="shared" si="213"/>
        <v>0.91666666666666663</v>
      </c>
      <c r="AX291" s="70">
        <f>SUM(AX243,AX245,AX250)</f>
        <v>458</v>
      </c>
      <c r="AY291" s="70">
        <f>SUM(AY243,AY245,AY250)</f>
        <v>468</v>
      </c>
      <c r="AZ291" s="21">
        <f t="shared" si="214"/>
        <v>0.9786324786324786</v>
      </c>
      <c r="BA291" s="70"/>
      <c r="BB291" s="70"/>
      <c r="BC291" s="37" t="str">
        <f t="shared" si="215"/>
        <v>-</v>
      </c>
    </row>
    <row r="292" spans="1:55" ht="14.25" customHeight="1">
      <c r="A292" s="12" t="s">
        <v>122</v>
      </c>
      <c r="B292" s="136">
        <f>SUM(B235,B246)</f>
        <v>231</v>
      </c>
      <c r="C292" s="136">
        <f>SUM(C235,C246)</f>
        <v>270</v>
      </c>
      <c r="D292" s="67">
        <f t="shared" si="198"/>
        <v>0.85555555555555551</v>
      </c>
      <c r="E292" s="66">
        <f>SUM(E235,E246)</f>
        <v>199</v>
      </c>
      <c r="F292" s="66">
        <f>SUM(F235,F246)</f>
        <v>211</v>
      </c>
      <c r="G292" s="67">
        <f t="shared" si="199"/>
        <v>0.94312796208530802</v>
      </c>
      <c r="H292" s="66">
        <f t="shared" si="216"/>
        <v>430</v>
      </c>
      <c r="I292" s="66">
        <f t="shared" si="217"/>
        <v>481</v>
      </c>
      <c r="J292" s="67">
        <f t="shared" si="200"/>
        <v>0.89397089397089402</v>
      </c>
      <c r="K292" s="64">
        <f>SUM(K235,K246)</f>
        <v>0</v>
      </c>
      <c r="L292" s="64">
        <f>SUM(L235,L246)</f>
        <v>0</v>
      </c>
      <c r="M292" s="80" t="str">
        <f t="shared" si="201"/>
        <v>-</v>
      </c>
      <c r="N292" s="64">
        <f>SUM(N235,N246)</f>
        <v>41</v>
      </c>
      <c r="O292" s="64">
        <f>SUM(O235,O246)</f>
        <v>52</v>
      </c>
      <c r="P292" s="65">
        <f t="shared" si="202"/>
        <v>0.78846153846153844</v>
      </c>
      <c r="Q292" s="64">
        <f t="shared" si="218"/>
        <v>41</v>
      </c>
      <c r="R292" s="64">
        <f t="shared" si="219"/>
        <v>52</v>
      </c>
      <c r="S292" s="65">
        <f t="shared" si="203"/>
        <v>0.78846153846153844</v>
      </c>
      <c r="T292" s="66">
        <f>SUM(T235,T246)</f>
        <v>2</v>
      </c>
      <c r="U292" s="66">
        <f>SUM(U235,U246)</f>
        <v>2</v>
      </c>
      <c r="V292" s="67">
        <f t="shared" si="204"/>
        <v>1</v>
      </c>
      <c r="W292" s="66">
        <f>SUM(W235,W246)</f>
        <v>43</v>
      </c>
      <c r="X292" s="66">
        <f>SUM(X235,X246)</f>
        <v>44</v>
      </c>
      <c r="Y292" s="67">
        <f t="shared" si="205"/>
        <v>0.97727272727272729</v>
      </c>
      <c r="Z292" s="66">
        <f t="shared" si="220"/>
        <v>45</v>
      </c>
      <c r="AA292" s="66">
        <f t="shared" si="221"/>
        <v>46</v>
      </c>
      <c r="AB292" s="67">
        <f t="shared" si="206"/>
        <v>0.97826086956521741</v>
      </c>
      <c r="AC292" s="70">
        <f>SUM(AC235,AC246)</f>
        <v>8932</v>
      </c>
      <c r="AD292" s="70">
        <f>SUM(AD235,AD246)</f>
        <v>10329</v>
      </c>
      <c r="AE292" s="21">
        <f t="shared" si="207"/>
        <v>0.86474973375931841</v>
      </c>
      <c r="AF292" s="70">
        <f>AF235</f>
        <v>4858</v>
      </c>
      <c r="AG292" s="70">
        <f>AG235</f>
        <v>5922</v>
      </c>
      <c r="AH292" s="21">
        <f t="shared" si="208"/>
        <v>0.82033096926713944</v>
      </c>
      <c r="AI292" s="70"/>
      <c r="AJ292" s="70"/>
      <c r="AK292" s="37" t="str">
        <f t="shared" si="209"/>
        <v>-</v>
      </c>
      <c r="AL292" s="69">
        <f>SUM(AL235,AL246)</f>
        <v>0</v>
      </c>
      <c r="AM292" s="69">
        <f>SUM(AM235,AM246)</f>
        <v>0</v>
      </c>
      <c r="AN292" s="44" t="str">
        <f t="shared" si="210"/>
        <v>-</v>
      </c>
      <c r="AO292" s="69">
        <f>SUM(AO235,AO246)</f>
        <v>75</v>
      </c>
      <c r="AP292" s="69">
        <f>SUM(AP235,AP246)</f>
        <v>82</v>
      </c>
      <c r="AQ292" s="36">
        <f t="shared" si="211"/>
        <v>0.91463414634146345</v>
      </c>
      <c r="AR292" s="69"/>
      <c r="AS292" s="69"/>
      <c r="AT292" s="44" t="str">
        <f t="shared" si="212"/>
        <v>-</v>
      </c>
      <c r="AU292" s="70">
        <f>SUM(AU235,AU246)</f>
        <v>19</v>
      </c>
      <c r="AV292" s="70">
        <f>SUM(AV235,AV246)</f>
        <v>24</v>
      </c>
      <c r="AW292" s="21">
        <f t="shared" si="213"/>
        <v>0.79166666666666663</v>
      </c>
      <c r="AX292" s="70">
        <f>SUM(AX235,AX246)</f>
        <v>463</v>
      </c>
      <c r="AY292" s="70">
        <f>SUM(AY235,AY246)</f>
        <v>516</v>
      </c>
      <c r="AZ292" s="21">
        <f t="shared" si="214"/>
        <v>0.8972868217054264</v>
      </c>
      <c r="BA292" s="70"/>
      <c r="BB292" s="70"/>
      <c r="BC292" s="37" t="str">
        <f t="shared" si="215"/>
        <v>-</v>
      </c>
    </row>
    <row r="293" spans="1:55" ht="14.25" customHeight="1">
      <c r="A293" s="12" t="s">
        <v>123</v>
      </c>
      <c r="B293" s="136">
        <f>SUM(B247,B248)</f>
        <v>233</v>
      </c>
      <c r="C293" s="136">
        <f>SUM(C247,C248)</f>
        <v>311</v>
      </c>
      <c r="D293" s="67">
        <f t="shared" si="198"/>
        <v>0.74919614147909963</v>
      </c>
      <c r="E293" s="66">
        <f>SUM(E247,E248)</f>
        <v>241</v>
      </c>
      <c r="F293" s="66">
        <f>SUM(F247,F248)</f>
        <v>310</v>
      </c>
      <c r="G293" s="67">
        <f t="shared" si="199"/>
        <v>0.77741935483870972</v>
      </c>
      <c r="H293" s="66">
        <f t="shared" si="216"/>
        <v>474</v>
      </c>
      <c r="I293" s="66">
        <f t="shared" si="217"/>
        <v>621</v>
      </c>
      <c r="J293" s="67">
        <f t="shared" si="200"/>
        <v>0.76328502415458932</v>
      </c>
      <c r="K293" s="64">
        <f>SUM(K247,K248)</f>
        <v>0</v>
      </c>
      <c r="L293" s="64">
        <f>SUM(L247,L248)</f>
        <v>0</v>
      </c>
      <c r="M293" s="80" t="str">
        <f t="shared" si="201"/>
        <v>-</v>
      </c>
      <c r="N293" s="64">
        <f>SUM(N247,N248)</f>
        <v>0</v>
      </c>
      <c r="O293" s="64">
        <f>SUM(O247,O248)</f>
        <v>0</v>
      </c>
      <c r="P293" s="80" t="str">
        <f t="shared" si="202"/>
        <v>-</v>
      </c>
      <c r="Q293" s="64">
        <f t="shared" si="218"/>
        <v>0</v>
      </c>
      <c r="R293" s="64">
        <f t="shared" si="219"/>
        <v>0</v>
      </c>
      <c r="S293" s="80" t="str">
        <f t="shared" si="203"/>
        <v>-</v>
      </c>
      <c r="T293" s="66">
        <f>SUM(T247,T248)</f>
        <v>23</v>
      </c>
      <c r="U293" s="66">
        <f>SUM(U247,U248)</f>
        <v>28</v>
      </c>
      <c r="V293" s="67">
        <f t="shared" si="204"/>
        <v>0.8214285714285714</v>
      </c>
      <c r="W293" s="66">
        <f>SUM(W247,W248)</f>
        <v>3</v>
      </c>
      <c r="X293" s="66">
        <f>SUM(X247,X248)</f>
        <v>3</v>
      </c>
      <c r="Y293" s="67">
        <f t="shared" si="205"/>
        <v>1</v>
      </c>
      <c r="Z293" s="66">
        <f t="shared" si="220"/>
        <v>26</v>
      </c>
      <c r="AA293" s="66">
        <f t="shared" si="221"/>
        <v>31</v>
      </c>
      <c r="AB293" s="67">
        <f t="shared" si="206"/>
        <v>0.83870967741935487</v>
      </c>
      <c r="AC293" s="70">
        <f>SUM(AC247,AC248)</f>
        <v>17961</v>
      </c>
      <c r="AD293" s="70">
        <f>SUM(AD247,AD248)</f>
        <v>19503</v>
      </c>
      <c r="AE293" s="21">
        <f t="shared" si="207"/>
        <v>0.92093524073219502</v>
      </c>
      <c r="AF293" s="70">
        <f>SUM(AF247,AF248)</f>
        <v>19515</v>
      </c>
      <c r="AG293" s="70">
        <f>SUM(AG247,AG248)</f>
        <v>21026</v>
      </c>
      <c r="AH293" s="21">
        <f t="shared" si="208"/>
        <v>0.92813659278987914</v>
      </c>
      <c r="AI293" s="70"/>
      <c r="AJ293" s="70"/>
      <c r="AK293" s="37" t="str">
        <f t="shared" si="209"/>
        <v>-</v>
      </c>
      <c r="AL293" s="69">
        <f>SUM(AL247,AL248)</f>
        <v>0</v>
      </c>
      <c r="AM293" s="69">
        <f>SUM(AM247,AM248)</f>
        <v>0</v>
      </c>
      <c r="AN293" s="44" t="str">
        <f t="shared" si="210"/>
        <v>-</v>
      </c>
      <c r="AO293" s="69">
        <f>SUM(AO247,AO248)</f>
        <v>0</v>
      </c>
      <c r="AP293" s="69">
        <f>SUM(AP247,AP248)</f>
        <v>0</v>
      </c>
      <c r="AQ293" s="44" t="str">
        <f t="shared" si="211"/>
        <v>-</v>
      </c>
      <c r="AR293" s="69"/>
      <c r="AS293" s="69"/>
      <c r="AT293" s="44" t="str">
        <f t="shared" si="212"/>
        <v>-</v>
      </c>
      <c r="AU293" s="70">
        <f>SUM(AU247,AU248)</f>
        <v>513</v>
      </c>
      <c r="AV293" s="70">
        <f>SUM(AV247,AV248)</f>
        <v>528</v>
      </c>
      <c r="AW293" s="21">
        <f t="shared" si="213"/>
        <v>0.97159090909090906</v>
      </c>
      <c r="AX293" s="70">
        <f>SUM(AX247,AX248)</f>
        <v>72</v>
      </c>
      <c r="AY293" s="70">
        <f>SUM(AY247,AY248)</f>
        <v>72</v>
      </c>
      <c r="AZ293" s="21">
        <f t="shared" si="214"/>
        <v>1</v>
      </c>
      <c r="BA293" s="70"/>
      <c r="BB293" s="70"/>
      <c r="BC293" s="37" t="str">
        <f t="shared" si="215"/>
        <v>-</v>
      </c>
    </row>
    <row r="294" spans="1:55" ht="14.25" customHeight="1">
      <c r="A294" s="12" t="s">
        <v>124</v>
      </c>
      <c r="B294" s="136">
        <f>SUM(B251)</f>
        <v>144</v>
      </c>
      <c r="C294" s="136">
        <f>SUM(C251)</f>
        <v>167</v>
      </c>
      <c r="D294" s="67">
        <f t="shared" si="198"/>
        <v>0.86227544910179643</v>
      </c>
      <c r="E294" s="66">
        <f>SUM(E251)</f>
        <v>163</v>
      </c>
      <c r="F294" s="66">
        <f>SUM(F251)</f>
        <v>171</v>
      </c>
      <c r="G294" s="67">
        <f t="shared" si="199"/>
        <v>0.95321637426900585</v>
      </c>
      <c r="H294" s="66">
        <f t="shared" si="216"/>
        <v>307</v>
      </c>
      <c r="I294" s="66">
        <f t="shared" si="217"/>
        <v>338</v>
      </c>
      <c r="J294" s="67">
        <f t="shared" si="200"/>
        <v>0.90828402366863903</v>
      </c>
      <c r="K294" s="64">
        <f>SUM(K251)</f>
        <v>27</v>
      </c>
      <c r="L294" s="64">
        <f>SUM(L251)</f>
        <v>34</v>
      </c>
      <c r="M294" s="65">
        <f t="shared" si="201"/>
        <v>0.79411764705882348</v>
      </c>
      <c r="N294" s="64">
        <f>SUM(N251)</f>
        <v>0</v>
      </c>
      <c r="O294" s="64">
        <f>SUM(O251)</f>
        <v>0</v>
      </c>
      <c r="P294" s="80" t="str">
        <f t="shared" si="202"/>
        <v>-</v>
      </c>
      <c r="Q294" s="64">
        <f t="shared" si="218"/>
        <v>27</v>
      </c>
      <c r="R294" s="64">
        <f t="shared" si="219"/>
        <v>34</v>
      </c>
      <c r="S294" s="65">
        <f t="shared" si="203"/>
        <v>0.79411764705882348</v>
      </c>
      <c r="T294" s="66">
        <f>SUM(T251)</f>
        <v>0</v>
      </c>
      <c r="U294" s="66">
        <f>SUM(U251)</f>
        <v>0</v>
      </c>
      <c r="V294" s="83" t="str">
        <f t="shared" si="204"/>
        <v>-</v>
      </c>
      <c r="W294" s="66">
        <f>SUM(W251)</f>
        <v>28</v>
      </c>
      <c r="X294" s="66">
        <f>SUM(X251)</f>
        <v>29</v>
      </c>
      <c r="Y294" s="67">
        <f t="shared" si="205"/>
        <v>0.96551724137931039</v>
      </c>
      <c r="Z294" s="66">
        <f t="shared" si="220"/>
        <v>28</v>
      </c>
      <c r="AA294" s="66">
        <f t="shared" si="221"/>
        <v>29</v>
      </c>
      <c r="AB294" s="67">
        <f t="shared" si="206"/>
        <v>0.96551724137931039</v>
      </c>
      <c r="AC294" s="70">
        <f>SUM(AC251)</f>
        <v>7540</v>
      </c>
      <c r="AD294" s="70">
        <f>SUM(AD251)</f>
        <v>8517</v>
      </c>
      <c r="AE294" s="21">
        <f t="shared" si="207"/>
        <v>0.88528824703534104</v>
      </c>
      <c r="AF294" s="70">
        <f>SUM(AF251)</f>
        <v>9235</v>
      </c>
      <c r="AG294" s="70">
        <f>SUM(AG251)</f>
        <v>9984</v>
      </c>
      <c r="AH294" s="21">
        <f t="shared" si="208"/>
        <v>0.92497996794871795</v>
      </c>
      <c r="AI294" s="70"/>
      <c r="AJ294" s="70"/>
      <c r="AK294" s="37" t="str">
        <f t="shared" si="209"/>
        <v>-</v>
      </c>
      <c r="AL294" s="69">
        <f>SUM(AL251)</f>
        <v>63</v>
      </c>
      <c r="AM294" s="69">
        <f>SUM(AM251)</f>
        <v>81</v>
      </c>
      <c r="AN294" s="36">
        <f t="shared" si="210"/>
        <v>0.77777777777777779</v>
      </c>
      <c r="AO294" s="69">
        <f>SUM(AO251)</f>
        <v>0</v>
      </c>
      <c r="AP294" s="69">
        <f>SUM(AP251)</f>
        <v>0</v>
      </c>
      <c r="AQ294" s="44" t="str">
        <f t="shared" si="211"/>
        <v>-</v>
      </c>
      <c r="AR294" s="69"/>
      <c r="AS294" s="69"/>
      <c r="AT294" s="44" t="str">
        <f t="shared" si="212"/>
        <v>-</v>
      </c>
      <c r="AU294" s="70">
        <f>SUM(AU251)</f>
        <v>0</v>
      </c>
      <c r="AV294" s="70">
        <f>SUM(AV251)</f>
        <v>0</v>
      </c>
      <c r="AW294" s="37" t="str">
        <f t="shared" si="213"/>
        <v>-</v>
      </c>
      <c r="AX294" s="70">
        <f>SUM(AX251)</f>
        <v>328</v>
      </c>
      <c r="AY294" s="70">
        <f>SUM(AY251)</f>
        <v>336</v>
      </c>
      <c r="AZ294" s="21">
        <f t="shared" si="214"/>
        <v>0.97619047619047616</v>
      </c>
      <c r="BA294" s="70"/>
      <c r="BB294" s="70"/>
      <c r="BC294" s="37" t="str">
        <f t="shared" si="215"/>
        <v>-</v>
      </c>
    </row>
    <row r="295" spans="1:55" ht="14.25" customHeight="1">
      <c r="A295" s="12" t="s">
        <v>125</v>
      </c>
      <c r="B295" s="136">
        <f>SUM(B234,B239,B240)</f>
        <v>517</v>
      </c>
      <c r="C295" s="136">
        <f>SUM(C234,C239,C240)</f>
        <v>589</v>
      </c>
      <c r="D295" s="67">
        <f t="shared" si="198"/>
        <v>0.87775891341256362</v>
      </c>
      <c r="E295" s="66">
        <f>SUM(E234,E239,E240)</f>
        <v>540</v>
      </c>
      <c r="F295" s="66">
        <f>SUM(F234,F239,F240)</f>
        <v>562</v>
      </c>
      <c r="G295" s="67">
        <f t="shared" si="199"/>
        <v>0.96085409252669041</v>
      </c>
      <c r="H295" s="66">
        <f t="shared" si="216"/>
        <v>1057</v>
      </c>
      <c r="I295" s="66">
        <f t="shared" si="217"/>
        <v>1151</v>
      </c>
      <c r="J295" s="67">
        <f t="shared" si="200"/>
        <v>0.91833188531711551</v>
      </c>
      <c r="K295" s="64">
        <f>SUM(K234,K239,K240)</f>
        <v>36</v>
      </c>
      <c r="L295" s="64">
        <f>SUM(L234,L239,L240)</f>
        <v>42</v>
      </c>
      <c r="M295" s="65">
        <f t="shared" si="201"/>
        <v>0.8571428571428571</v>
      </c>
      <c r="N295" s="64">
        <f>SUM(N234,N239,N240)</f>
        <v>71</v>
      </c>
      <c r="O295" s="64">
        <f>SUM(O234,O239,O240)</f>
        <v>83</v>
      </c>
      <c r="P295" s="65">
        <f t="shared" si="202"/>
        <v>0.85542168674698793</v>
      </c>
      <c r="Q295" s="64">
        <f t="shared" si="218"/>
        <v>107</v>
      </c>
      <c r="R295" s="64">
        <f t="shared" si="219"/>
        <v>125</v>
      </c>
      <c r="S295" s="65">
        <f t="shared" si="203"/>
        <v>0.85599999999999998</v>
      </c>
      <c r="T295" s="66">
        <f>SUM(T234,T239,T240)</f>
        <v>63</v>
      </c>
      <c r="U295" s="66">
        <f>SUM(U234,U239,U240)</f>
        <v>92</v>
      </c>
      <c r="V295" s="67">
        <f t="shared" si="204"/>
        <v>0.68478260869565222</v>
      </c>
      <c r="W295" s="66">
        <f>SUM(W234,W239,W240)</f>
        <v>70</v>
      </c>
      <c r="X295" s="66">
        <f>SUM(X234,X239,X240)</f>
        <v>75</v>
      </c>
      <c r="Y295" s="67">
        <f t="shared" si="205"/>
        <v>0.93333333333333335</v>
      </c>
      <c r="Z295" s="66">
        <f t="shared" si="220"/>
        <v>133</v>
      </c>
      <c r="AA295" s="66">
        <f t="shared" si="221"/>
        <v>167</v>
      </c>
      <c r="AB295" s="67">
        <f t="shared" si="206"/>
        <v>0.79640718562874246</v>
      </c>
      <c r="AC295" s="70">
        <f>SUM(AC234,AC239,AC240)</f>
        <v>21118</v>
      </c>
      <c r="AD295" s="70">
        <f>SUM(AD234,AD239,AD240)</f>
        <v>24429</v>
      </c>
      <c r="AE295" s="21">
        <f t="shared" si="207"/>
        <v>0.86446436612223176</v>
      </c>
      <c r="AF295" s="70">
        <f>SUM(AF234,AF239,AF240)</f>
        <v>21914</v>
      </c>
      <c r="AG295" s="70">
        <f>SUM(AG234,AG239,AG240)</f>
        <v>27630</v>
      </c>
      <c r="AH295" s="21">
        <f t="shared" si="208"/>
        <v>0.79312341657618535</v>
      </c>
      <c r="AI295" s="70"/>
      <c r="AJ295" s="70"/>
      <c r="AK295" s="37" t="str">
        <f t="shared" si="209"/>
        <v>-</v>
      </c>
      <c r="AL295" s="69">
        <f>SUM(AL234,AL239,AL240)</f>
        <v>72</v>
      </c>
      <c r="AM295" s="69">
        <f>SUM(AM234,AM239,AM240)</f>
        <v>97</v>
      </c>
      <c r="AN295" s="36">
        <f t="shared" si="210"/>
        <v>0.74226804123711343</v>
      </c>
      <c r="AO295" s="69">
        <f>SUM(AO234,AO239,AO240)</f>
        <v>122</v>
      </c>
      <c r="AP295" s="69">
        <f>SUM(AP234,AP239,AP240)</f>
        <v>141</v>
      </c>
      <c r="AQ295" s="36">
        <f t="shared" si="211"/>
        <v>0.86524822695035464</v>
      </c>
      <c r="AR295" s="69"/>
      <c r="AS295" s="69"/>
      <c r="AT295" s="44" t="str">
        <f t="shared" si="212"/>
        <v>-</v>
      </c>
      <c r="AU295" s="70">
        <f>SUM(AU234,AU239,AU240)</f>
        <v>707</v>
      </c>
      <c r="AV295" s="70">
        <f>SUM(AV234,AV239,AV240)</f>
        <v>768</v>
      </c>
      <c r="AW295" s="21">
        <f t="shared" si="213"/>
        <v>0.92057291666666663</v>
      </c>
      <c r="AX295" s="70">
        <f>SUM(AX234,AX239,AX240)</f>
        <v>826</v>
      </c>
      <c r="AY295" s="70">
        <f>SUM(AY234,AY239,AY240)</f>
        <v>972</v>
      </c>
      <c r="AZ295" s="21">
        <f t="shared" si="214"/>
        <v>0.84979423868312753</v>
      </c>
      <c r="BA295" s="70"/>
      <c r="BB295" s="70"/>
      <c r="BC295" s="37" t="str">
        <f t="shared" si="215"/>
        <v>-</v>
      </c>
    </row>
    <row r="296" spans="1:55" ht="14.25" customHeight="1">
      <c r="A296" s="12" t="s">
        <v>244</v>
      </c>
      <c r="B296" s="136">
        <f>SUM(B260,B262)</f>
        <v>43</v>
      </c>
      <c r="C296" s="136">
        <f>SUM(C260,C262)</f>
        <v>55</v>
      </c>
      <c r="D296" s="67">
        <f t="shared" si="198"/>
        <v>0.78181818181818186</v>
      </c>
      <c r="E296" s="66">
        <f>SUM(E260,E262)</f>
        <v>95</v>
      </c>
      <c r="F296" s="66">
        <f>SUM(F260,F262)</f>
        <v>120</v>
      </c>
      <c r="G296" s="67">
        <f t="shared" si="199"/>
        <v>0.79166666666666663</v>
      </c>
      <c r="H296" s="66">
        <f t="shared" si="216"/>
        <v>138</v>
      </c>
      <c r="I296" s="66">
        <f t="shared" si="217"/>
        <v>175</v>
      </c>
      <c r="J296" s="67">
        <f t="shared" si="200"/>
        <v>0.78857142857142859</v>
      </c>
      <c r="K296" s="64">
        <f>SUM(K260,K262)</f>
        <v>0</v>
      </c>
      <c r="L296" s="64">
        <f>SUM(L260,L262)</f>
        <v>0</v>
      </c>
      <c r="M296" s="80" t="str">
        <f t="shared" si="201"/>
        <v>-</v>
      </c>
      <c r="N296" s="64">
        <f>SUM(N260,N262)</f>
        <v>0</v>
      </c>
      <c r="O296" s="64">
        <f>SUM(O260,O262)</f>
        <v>0</v>
      </c>
      <c r="P296" s="80" t="str">
        <f t="shared" si="202"/>
        <v>-</v>
      </c>
      <c r="Q296" s="64">
        <f t="shared" si="218"/>
        <v>0</v>
      </c>
      <c r="R296" s="64">
        <f t="shared" si="219"/>
        <v>0</v>
      </c>
      <c r="S296" s="80" t="str">
        <f t="shared" si="203"/>
        <v>-</v>
      </c>
      <c r="T296" s="66">
        <f>SUM(T260,T262)</f>
        <v>0</v>
      </c>
      <c r="U296" s="66">
        <f>SUM(U260,U262)</f>
        <v>0</v>
      </c>
      <c r="V296" s="83" t="str">
        <f t="shared" si="204"/>
        <v>-</v>
      </c>
      <c r="W296" s="66">
        <f>SUM(W260,W262)</f>
        <v>0</v>
      </c>
      <c r="X296" s="66">
        <f>SUM(X260,X262)</f>
        <v>0</v>
      </c>
      <c r="Y296" s="83" t="str">
        <f t="shared" si="205"/>
        <v>-</v>
      </c>
      <c r="Z296" s="66">
        <f t="shared" si="220"/>
        <v>0</v>
      </c>
      <c r="AA296" s="66">
        <f t="shared" si="221"/>
        <v>0</v>
      </c>
      <c r="AB296" s="83" t="str">
        <f t="shared" si="206"/>
        <v>-</v>
      </c>
      <c r="AC296" s="70">
        <f>SUM(AC260,AC262)</f>
        <v>1489</v>
      </c>
      <c r="AD296" s="70">
        <f>SUM(AD260,AD262)</f>
        <v>1836</v>
      </c>
      <c r="AE296" s="21">
        <f t="shared" si="207"/>
        <v>0.81100217864923752</v>
      </c>
      <c r="AF296" s="70">
        <f>SUM(AF260,AF262)</f>
        <v>3341</v>
      </c>
      <c r="AG296" s="70">
        <f>SUM(AG260,AG262)</f>
        <v>3804</v>
      </c>
      <c r="AH296" s="21">
        <f t="shared" si="208"/>
        <v>0.87828601472134593</v>
      </c>
      <c r="AI296" s="70"/>
      <c r="AJ296" s="70"/>
      <c r="AK296" s="37" t="str">
        <f t="shared" si="209"/>
        <v>-</v>
      </c>
      <c r="AL296" s="69">
        <f>SUM(AL260,AL262)</f>
        <v>0</v>
      </c>
      <c r="AM296" s="69">
        <f>SUM(AM260,AM262)</f>
        <v>0</v>
      </c>
      <c r="AN296" s="44" t="str">
        <f t="shared" si="210"/>
        <v>-</v>
      </c>
      <c r="AO296" s="69">
        <f>SUM(AO260,AO262)</f>
        <v>0</v>
      </c>
      <c r="AP296" s="69">
        <f>SUM(AP260,AP262)</f>
        <v>0</v>
      </c>
      <c r="AQ296" s="44" t="str">
        <f t="shared" si="211"/>
        <v>-</v>
      </c>
      <c r="AR296" s="69"/>
      <c r="AS296" s="69"/>
      <c r="AT296" s="44" t="str">
        <f t="shared" si="212"/>
        <v>-</v>
      </c>
      <c r="AU296" s="70">
        <f>SUM(AU260,AU262)</f>
        <v>0</v>
      </c>
      <c r="AV296" s="70">
        <f>SUM(AV260,AV262)</f>
        <v>0</v>
      </c>
      <c r="AW296" s="37" t="str">
        <f t="shared" si="213"/>
        <v>-</v>
      </c>
      <c r="AX296" s="70">
        <f>SUM(AX260,AX262)</f>
        <v>0</v>
      </c>
      <c r="AY296" s="70">
        <f>SUM(AY260,AY262)</f>
        <v>0</v>
      </c>
      <c r="AZ296" s="37" t="str">
        <f t="shared" si="214"/>
        <v>-</v>
      </c>
      <c r="BA296" s="70"/>
      <c r="BB296" s="70"/>
      <c r="BC296" s="37" t="str">
        <f t="shared" si="215"/>
        <v>-</v>
      </c>
    </row>
    <row r="297" spans="1:55" ht="14.25" customHeight="1">
      <c r="A297" s="12" t="s">
        <v>245</v>
      </c>
      <c r="B297" s="136">
        <f>B261</f>
        <v>6</v>
      </c>
      <c r="C297" s="136">
        <f>C261</f>
        <v>10</v>
      </c>
      <c r="D297" s="67">
        <f t="shared" si="198"/>
        <v>0.6</v>
      </c>
      <c r="E297" s="66">
        <f>E261</f>
        <v>11</v>
      </c>
      <c r="F297" s="66">
        <f>F261</f>
        <v>18</v>
      </c>
      <c r="G297" s="67">
        <f t="shared" si="199"/>
        <v>0.61111111111111116</v>
      </c>
      <c r="H297" s="66">
        <f t="shared" si="216"/>
        <v>17</v>
      </c>
      <c r="I297" s="66">
        <f t="shared" si="217"/>
        <v>28</v>
      </c>
      <c r="J297" s="67">
        <f t="shared" si="200"/>
        <v>0.6071428571428571</v>
      </c>
      <c r="K297" s="80" t="str">
        <f>K261</f>
        <v>-</v>
      </c>
      <c r="L297" s="80" t="str">
        <f>L261</f>
        <v>-</v>
      </c>
      <c r="M297" s="80" t="str">
        <f t="shared" si="201"/>
        <v>-</v>
      </c>
      <c r="N297" s="80" t="str">
        <f>N261</f>
        <v>-</v>
      </c>
      <c r="O297" s="80" t="str">
        <f>O261</f>
        <v>-</v>
      </c>
      <c r="P297" s="80" t="str">
        <f t="shared" si="202"/>
        <v>-</v>
      </c>
      <c r="Q297" s="64">
        <f t="shared" si="218"/>
        <v>0</v>
      </c>
      <c r="R297" s="64">
        <f t="shared" si="219"/>
        <v>0</v>
      </c>
      <c r="S297" s="80" t="str">
        <f t="shared" si="203"/>
        <v>-</v>
      </c>
      <c r="T297" s="83" t="str">
        <f>T261</f>
        <v>-</v>
      </c>
      <c r="U297" s="83" t="str">
        <f>U261</f>
        <v>-</v>
      </c>
      <c r="V297" s="83" t="str">
        <f t="shared" si="204"/>
        <v>-</v>
      </c>
      <c r="W297" s="83" t="str">
        <f>W261</f>
        <v>-</v>
      </c>
      <c r="X297" s="83" t="str">
        <f>X261</f>
        <v>-</v>
      </c>
      <c r="Y297" s="83" t="str">
        <f t="shared" si="205"/>
        <v>-</v>
      </c>
      <c r="Z297" s="66">
        <f t="shared" si="220"/>
        <v>0</v>
      </c>
      <c r="AA297" s="66">
        <f t="shared" si="221"/>
        <v>0</v>
      </c>
      <c r="AB297" s="83" t="str">
        <f t="shared" si="206"/>
        <v>-</v>
      </c>
      <c r="AC297" s="70">
        <f>AC261</f>
        <v>206</v>
      </c>
      <c r="AD297" s="70">
        <f>AD261</f>
        <v>224</v>
      </c>
      <c r="AE297" s="21">
        <f t="shared" si="207"/>
        <v>0.9196428571428571</v>
      </c>
      <c r="AF297" s="70">
        <f>AF261</f>
        <v>302</v>
      </c>
      <c r="AG297" s="70">
        <f>AG261</f>
        <v>354</v>
      </c>
      <c r="AH297" s="21">
        <f t="shared" si="208"/>
        <v>0.85310734463276838</v>
      </c>
      <c r="AI297" s="70"/>
      <c r="AJ297" s="70"/>
      <c r="AK297" s="37" t="str">
        <f t="shared" si="209"/>
        <v>-</v>
      </c>
      <c r="AL297" s="44" t="str">
        <f>AL261</f>
        <v>-</v>
      </c>
      <c r="AM297" s="44" t="str">
        <f>AM261</f>
        <v>-</v>
      </c>
      <c r="AN297" s="44" t="str">
        <f t="shared" si="210"/>
        <v>-</v>
      </c>
      <c r="AO297" s="69">
        <f>AO261</f>
        <v>0</v>
      </c>
      <c r="AP297" s="69">
        <f>AP261</f>
        <v>0</v>
      </c>
      <c r="AQ297" s="44" t="str">
        <f t="shared" si="211"/>
        <v>-</v>
      </c>
      <c r="AR297" s="69"/>
      <c r="AS297" s="69"/>
      <c r="AT297" s="44" t="str">
        <f t="shared" si="212"/>
        <v>-</v>
      </c>
      <c r="AU297" s="37" t="str">
        <f>AU261</f>
        <v>-</v>
      </c>
      <c r="AV297" s="37" t="str">
        <f>AV261</f>
        <v>-</v>
      </c>
      <c r="AW297" s="37" t="str">
        <f t="shared" si="213"/>
        <v>-</v>
      </c>
      <c r="AX297" s="70">
        <f>AX261</f>
        <v>0</v>
      </c>
      <c r="AY297" s="70">
        <f>AY261</f>
        <v>0</v>
      </c>
      <c r="AZ297" s="37" t="str">
        <f t="shared" si="214"/>
        <v>-</v>
      </c>
      <c r="BA297" s="70"/>
      <c r="BB297" s="70"/>
      <c r="BC297" s="37" t="str">
        <f t="shared" si="215"/>
        <v>-</v>
      </c>
    </row>
    <row r="298" spans="1:55" ht="14.25" customHeight="1">
      <c r="A298" s="12" t="s">
        <v>246</v>
      </c>
      <c r="B298" s="66">
        <f>SUM(B289,B296)</f>
        <v>2033</v>
      </c>
      <c r="C298" s="66">
        <f>SUM(C289,C296)</f>
        <v>2277</v>
      </c>
      <c r="D298" s="67">
        <f t="shared" si="198"/>
        <v>0.8928414580588494</v>
      </c>
      <c r="E298" s="66">
        <f>SUM(E289,E296)</f>
        <v>2191</v>
      </c>
      <c r="F298" s="66">
        <f>SUM(F289,F296)</f>
        <v>2367</v>
      </c>
      <c r="G298" s="67">
        <f t="shared" si="199"/>
        <v>0.92564427545416139</v>
      </c>
      <c r="H298" s="66">
        <f t="shared" si="216"/>
        <v>4224</v>
      </c>
      <c r="I298" s="66">
        <f t="shared" si="217"/>
        <v>4644</v>
      </c>
      <c r="J298" s="67">
        <f t="shared" si="200"/>
        <v>0.90956072351421191</v>
      </c>
      <c r="K298" s="64">
        <f>SUM(K289,K296)</f>
        <v>377</v>
      </c>
      <c r="L298" s="64">
        <f>SUM(L289,L296)</f>
        <v>502</v>
      </c>
      <c r="M298" s="65">
        <f t="shared" si="201"/>
        <v>0.75099601593625498</v>
      </c>
      <c r="N298" s="64">
        <f>SUM(N289,N296)</f>
        <v>21</v>
      </c>
      <c r="O298" s="64">
        <f>SUM(O289,O296)</f>
        <v>28</v>
      </c>
      <c r="P298" s="65">
        <f t="shared" si="202"/>
        <v>0.75</v>
      </c>
      <c r="Q298" s="64">
        <f t="shared" si="218"/>
        <v>398</v>
      </c>
      <c r="R298" s="64">
        <f t="shared" si="219"/>
        <v>530</v>
      </c>
      <c r="S298" s="65">
        <f t="shared" si="203"/>
        <v>0.75094339622641515</v>
      </c>
      <c r="T298" s="66">
        <f>SUM(T289,T296)</f>
        <v>70</v>
      </c>
      <c r="U298" s="66">
        <f>SUM(U289,U296)</f>
        <v>79</v>
      </c>
      <c r="V298" s="67">
        <f t="shared" si="204"/>
        <v>0.88607594936708856</v>
      </c>
      <c r="W298" s="66">
        <f>SUM(W289,W296)</f>
        <v>558</v>
      </c>
      <c r="X298" s="66">
        <f>SUM(X289,X296)</f>
        <v>570</v>
      </c>
      <c r="Y298" s="67">
        <f t="shared" si="205"/>
        <v>0.97894736842105268</v>
      </c>
      <c r="Z298" s="66">
        <f t="shared" si="220"/>
        <v>628</v>
      </c>
      <c r="AA298" s="66">
        <f t="shared" si="221"/>
        <v>649</v>
      </c>
      <c r="AB298" s="67">
        <f t="shared" si="206"/>
        <v>0.96764252696456088</v>
      </c>
      <c r="AC298" s="70">
        <f>SUM(AC289,AC296)</f>
        <v>68723</v>
      </c>
      <c r="AD298" s="70">
        <f>SUM(AD289,AD296)</f>
        <v>77070</v>
      </c>
      <c r="AE298" s="21">
        <f t="shared" si="207"/>
        <v>0.89169586090567021</v>
      </c>
      <c r="AF298" s="70">
        <f>SUM(AF289,AF296)</f>
        <v>71815</v>
      </c>
      <c r="AG298" s="70">
        <f>SUM(AG289,AG296)</f>
        <v>81270</v>
      </c>
      <c r="AH298" s="21">
        <f t="shared" si="208"/>
        <v>0.88365940691522082</v>
      </c>
      <c r="AI298" s="70"/>
      <c r="AJ298" s="70"/>
      <c r="AK298" s="37" t="str">
        <f t="shared" si="209"/>
        <v>-</v>
      </c>
      <c r="AL298" s="69">
        <f>SUM(AL289,AL296)</f>
        <v>652</v>
      </c>
      <c r="AM298" s="69">
        <f>SUM(AM289,AM296)</f>
        <v>754</v>
      </c>
      <c r="AN298" s="36">
        <f t="shared" si="210"/>
        <v>0.86472148541114058</v>
      </c>
      <c r="AO298" s="69">
        <f>SUM(AO289,AO296)</f>
        <v>35</v>
      </c>
      <c r="AP298" s="69">
        <f>SUM(AP289,AP296)</f>
        <v>41</v>
      </c>
      <c r="AQ298" s="36">
        <f t="shared" si="211"/>
        <v>0.85365853658536583</v>
      </c>
      <c r="AR298" s="69"/>
      <c r="AS298" s="69"/>
      <c r="AT298" s="44" t="str">
        <f t="shared" si="212"/>
        <v>-</v>
      </c>
      <c r="AU298" s="70">
        <f>SUM(AU289,AU296)</f>
        <v>825</v>
      </c>
      <c r="AV298" s="70">
        <f>SUM(AV289,AV296)</f>
        <v>888</v>
      </c>
      <c r="AW298" s="21">
        <f t="shared" si="213"/>
        <v>0.92905405405405406</v>
      </c>
      <c r="AX298" s="70">
        <f>SUM(AX289,AX296)</f>
        <v>6445</v>
      </c>
      <c r="AY298" s="70">
        <f>SUM(AY289,AY296)</f>
        <v>6804</v>
      </c>
      <c r="AZ298" s="21">
        <f t="shared" si="214"/>
        <v>0.94723691945914168</v>
      </c>
      <c r="BA298" s="70"/>
      <c r="BB298" s="70"/>
      <c r="BC298" s="37" t="str">
        <f t="shared" si="215"/>
        <v>-</v>
      </c>
    </row>
    <row r="299" spans="1:55" ht="14.25" customHeight="1">
      <c r="A299" s="12" t="s">
        <v>247</v>
      </c>
      <c r="B299" s="66">
        <f>SUM(B291,B297)</f>
        <v>343</v>
      </c>
      <c r="C299" s="66">
        <f>SUM(C291,C297)</f>
        <v>369</v>
      </c>
      <c r="D299" s="67">
        <f t="shared" si="198"/>
        <v>0.92953929539295388</v>
      </c>
      <c r="E299" s="66">
        <f>SUM(E291,E297)</f>
        <v>332</v>
      </c>
      <c r="F299" s="66">
        <f>SUM(F291,F297)</f>
        <v>356</v>
      </c>
      <c r="G299" s="67">
        <f t="shared" si="199"/>
        <v>0.93258426966292129</v>
      </c>
      <c r="H299" s="66">
        <f t="shared" si="216"/>
        <v>675</v>
      </c>
      <c r="I299" s="66">
        <f t="shared" si="217"/>
        <v>725</v>
      </c>
      <c r="J299" s="67">
        <f t="shared" si="200"/>
        <v>0.93103448275862066</v>
      </c>
      <c r="K299" s="64">
        <f>SUM(K291,K297)</f>
        <v>36</v>
      </c>
      <c r="L299" s="64">
        <f>SUM(L291,L297)</f>
        <v>42</v>
      </c>
      <c r="M299" s="65">
        <f t="shared" si="201"/>
        <v>0.8571428571428571</v>
      </c>
      <c r="N299" s="64">
        <f>SUM(N291,N297)</f>
        <v>6</v>
      </c>
      <c r="O299" s="64">
        <f>SUM(O291,O297)</f>
        <v>6</v>
      </c>
      <c r="P299" s="65">
        <f t="shared" si="202"/>
        <v>1</v>
      </c>
      <c r="Q299" s="64">
        <f t="shared" si="218"/>
        <v>42</v>
      </c>
      <c r="R299" s="64">
        <f t="shared" si="219"/>
        <v>48</v>
      </c>
      <c r="S299" s="65">
        <f t="shared" si="203"/>
        <v>0.875</v>
      </c>
      <c r="T299" s="66">
        <f>SUM(T291,T297)</f>
        <v>7</v>
      </c>
      <c r="U299" s="66">
        <f>SUM(U291,U297)</f>
        <v>11</v>
      </c>
      <c r="V299" s="67">
        <f t="shared" si="204"/>
        <v>0.63636363636363635</v>
      </c>
      <c r="W299" s="66">
        <f>SUM(W291,W297)</f>
        <v>39</v>
      </c>
      <c r="X299" s="66">
        <f>SUM(X291,X297)</f>
        <v>40</v>
      </c>
      <c r="Y299" s="67">
        <f t="shared" si="205"/>
        <v>0.97499999999999998</v>
      </c>
      <c r="Z299" s="66">
        <f t="shared" si="220"/>
        <v>46</v>
      </c>
      <c r="AA299" s="66">
        <f t="shared" si="221"/>
        <v>51</v>
      </c>
      <c r="AB299" s="67">
        <f t="shared" si="206"/>
        <v>0.90196078431372551</v>
      </c>
      <c r="AC299" s="70">
        <f>SUM(AC291,AC297)</f>
        <v>11391</v>
      </c>
      <c r="AD299" s="70">
        <f>SUM(AD291,AD297)</f>
        <v>13529</v>
      </c>
      <c r="AE299" s="21">
        <f t="shared" si="207"/>
        <v>0.84196910340749498</v>
      </c>
      <c r="AF299" s="70">
        <f>SUM(AF291,AF297)</f>
        <v>10128</v>
      </c>
      <c r="AG299" s="70">
        <f>SUM(AG291,AG297)</f>
        <v>12426</v>
      </c>
      <c r="AH299" s="21">
        <f t="shared" si="208"/>
        <v>0.81506518590053112</v>
      </c>
      <c r="AI299" s="70"/>
      <c r="AJ299" s="70"/>
      <c r="AK299" s="37" t="str">
        <f t="shared" si="209"/>
        <v>-</v>
      </c>
      <c r="AL299" s="69">
        <f>SUM(AL291,AL297)</f>
        <v>89</v>
      </c>
      <c r="AM299" s="69">
        <f>SUM(AM291,AM297)</f>
        <v>104</v>
      </c>
      <c r="AN299" s="36">
        <f t="shared" si="210"/>
        <v>0.85576923076923073</v>
      </c>
      <c r="AO299" s="69">
        <f>SUM(AO291,AO297)</f>
        <v>10</v>
      </c>
      <c r="AP299" s="69">
        <f>SUM(AP291,AP297)</f>
        <v>12</v>
      </c>
      <c r="AQ299" s="36">
        <f t="shared" si="211"/>
        <v>0.83333333333333337</v>
      </c>
      <c r="AR299" s="69"/>
      <c r="AS299" s="69"/>
      <c r="AT299" s="44" t="str">
        <f t="shared" si="212"/>
        <v>-</v>
      </c>
      <c r="AU299" s="70">
        <f>SUM(AU291,AU297)</f>
        <v>77</v>
      </c>
      <c r="AV299" s="70">
        <f>SUM(AV291,AV297)</f>
        <v>84</v>
      </c>
      <c r="AW299" s="21">
        <f t="shared" si="213"/>
        <v>0.91666666666666663</v>
      </c>
      <c r="AX299" s="70">
        <f>SUM(AX291,AX297)</f>
        <v>458</v>
      </c>
      <c r="AY299" s="70">
        <f>SUM(AY291,AY297)</f>
        <v>468</v>
      </c>
      <c r="AZ299" s="21">
        <f t="shared" si="214"/>
        <v>0.9786324786324786</v>
      </c>
      <c r="BA299" s="70"/>
      <c r="BB299" s="70"/>
      <c r="BC299" s="37" t="str">
        <f t="shared" si="215"/>
        <v>-</v>
      </c>
    </row>
    <row r="300" spans="1:55" ht="14.25" customHeight="1">
      <c r="A300" s="177"/>
      <c r="B300" s="189"/>
      <c r="C300" s="177"/>
      <c r="D300" s="177"/>
      <c r="E300" s="177"/>
      <c r="F300" s="177"/>
      <c r="G300" s="177"/>
      <c r="H300" s="177"/>
      <c r="I300" s="177"/>
      <c r="J300" s="177"/>
      <c r="K300" s="177"/>
      <c r="L300" s="177"/>
      <c r="M300" s="177"/>
      <c r="N300" s="177"/>
      <c r="O300" s="177"/>
      <c r="P300" s="177"/>
      <c r="Q300" s="177"/>
      <c r="R300" s="177"/>
      <c r="S300" s="177"/>
      <c r="T300" s="189"/>
      <c r="U300" s="189"/>
      <c r="V300" s="177"/>
      <c r="W300" s="177"/>
      <c r="X300" s="177"/>
      <c r="Y300" s="177"/>
      <c r="Z300" s="177"/>
      <c r="AA300" s="177"/>
      <c r="AB300" s="177"/>
      <c r="AC300" s="177"/>
      <c r="AD300" s="177"/>
      <c r="AE300" s="177"/>
      <c r="AF300" s="177"/>
      <c r="AG300" s="177"/>
      <c r="AH300" s="177"/>
      <c r="AI300" s="177"/>
      <c r="AJ300" s="177"/>
      <c r="AK300" s="177"/>
      <c r="AL300" s="177"/>
      <c r="AM300" s="177"/>
      <c r="AN300" s="177"/>
      <c r="AO300" s="177"/>
      <c r="AP300" s="177"/>
      <c r="AQ300" s="177"/>
      <c r="AR300" s="177"/>
      <c r="AS300" s="177"/>
      <c r="AT300" s="177"/>
      <c r="AU300" s="177"/>
      <c r="AV300" s="177"/>
      <c r="AW300" s="177"/>
      <c r="AX300" s="177"/>
      <c r="AY300" s="177"/>
      <c r="AZ300" s="177"/>
      <c r="BA300" s="177"/>
      <c r="BB300" s="177"/>
      <c r="BC300" s="177"/>
    </row>
    <row r="301" spans="1:55" ht="14.25" customHeight="1">
      <c r="A301" s="169"/>
      <c r="B301" s="169"/>
      <c r="C301" s="169"/>
      <c r="D301" s="169"/>
      <c r="E301" s="169"/>
      <c r="F301" s="169"/>
      <c r="G301" s="169"/>
      <c r="H301" s="169"/>
      <c r="I301" s="169"/>
      <c r="J301" s="169"/>
      <c r="K301" s="169"/>
      <c r="L301" s="169"/>
      <c r="M301" s="169"/>
      <c r="N301" s="169"/>
      <c r="O301" s="169"/>
      <c r="P301" s="169"/>
      <c r="Q301" s="169"/>
      <c r="R301" s="169"/>
      <c r="S301" s="169"/>
      <c r="T301" s="169"/>
      <c r="U301" s="169"/>
      <c r="V301" s="169"/>
      <c r="W301" s="169"/>
      <c r="X301" s="169"/>
      <c r="Y301" s="169"/>
      <c r="Z301" s="169"/>
      <c r="AA301" s="169"/>
      <c r="AB301" s="169"/>
      <c r="AC301" s="169"/>
      <c r="AD301" s="169"/>
      <c r="AE301" s="169"/>
      <c r="AF301" s="169"/>
      <c r="AG301" s="169"/>
      <c r="AH301" s="169"/>
      <c r="AI301" s="169"/>
      <c r="AJ301" s="169"/>
      <c r="AK301" s="169"/>
      <c r="AL301" s="169"/>
      <c r="AM301" s="169"/>
      <c r="AN301" s="169"/>
      <c r="AO301" s="169"/>
      <c r="AP301" s="169"/>
      <c r="AQ301" s="169"/>
      <c r="AR301" s="169"/>
      <c r="AS301" s="169"/>
      <c r="AT301" s="169"/>
      <c r="AU301" s="169"/>
      <c r="AV301" s="169"/>
      <c r="AW301" s="169"/>
      <c r="AX301" s="169"/>
      <c r="AY301" s="169"/>
      <c r="AZ301" s="169"/>
      <c r="BA301" s="169"/>
      <c r="BB301" s="169"/>
      <c r="BC301" s="169"/>
    </row>
    <row r="302" spans="1:55" ht="14.25" customHeight="1">
      <c r="A302" s="178" t="s">
        <v>149</v>
      </c>
      <c r="B302" s="179"/>
      <c r="C302" s="179"/>
      <c r="D302" s="179"/>
      <c r="E302" s="179"/>
      <c r="F302" s="179"/>
      <c r="G302" s="179"/>
      <c r="H302" s="179"/>
      <c r="I302" s="179"/>
      <c r="J302" s="179"/>
      <c r="K302" s="179"/>
      <c r="L302" s="179"/>
      <c r="M302" s="179"/>
      <c r="N302" s="179"/>
      <c r="O302" s="179"/>
      <c r="P302" s="179"/>
      <c r="Q302" s="179"/>
      <c r="R302" s="179"/>
      <c r="S302" s="179"/>
      <c r="T302" s="179"/>
      <c r="U302" s="179"/>
      <c r="V302" s="169"/>
      <c r="W302" s="169"/>
      <c r="X302" s="169"/>
      <c r="Y302" s="169"/>
      <c r="Z302" s="169"/>
      <c r="AA302" s="169"/>
      <c r="AB302" s="169"/>
      <c r="AC302" s="169"/>
      <c r="AD302" s="169"/>
      <c r="AE302" s="169"/>
      <c r="AF302" s="169"/>
      <c r="AG302" s="169"/>
      <c r="AH302" s="169"/>
      <c r="AI302" s="169"/>
      <c r="AJ302" s="169"/>
      <c r="AK302" s="169"/>
      <c r="AL302" s="169"/>
      <c r="AM302" s="169"/>
      <c r="AN302" s="169"/>
      <c r="AO302" s="169"/>
      <c r="AP302" s="169"/>
      <c r="AQ302" s="169"/>
      <c r="AR302" s="169"/>
      <c r="AS302" s="169"/>
      <c r="AT302" s="169"/>
      <c r="AU302" s="169"/>
      <c r="AV302" s="169"/>
      <c r="AW302" s="169"/>
      <c r="AX302" s="169"/>
      <c r="AY302" s="169"/>
      <c r="AZ302" s="169"/>
      <c r="BA302" s="169"/>
      <c r="BB302" s="169"/>
      <c r="BC302" s="169"/>
    </row>
    <row r="303" spans="1:55" ht="14.25" customHeight="1">
      <c r="A303" s="213" t="s">
        <v>150</v>
      </c>
      <c r="B303" s="214"/>
      <c r="C303" s="214"/>
      <c r="D303" s="214"/>
      <c r="E303" s="214"/>
      <c r="F303" s="214"/>
      <c r="G303" s="214"/>
      <c r="H303" s="214"/>
      <c r="I303" s="214"/>
      <c r="J303" s="214"/>
      <c r="K303" s="214"/>
      <c r="L303" s="214"/>
      <c r="M303" s="214"/>
      <c r="N303" s="214"/>
      <c r="O303" s="214"/>
      <c r="P303" s="214"/>
      <c r="Q303" s="214"/>
      <c r="R303" s="214"/>
      <c r="S303" s="214"/>
      <c r="T303" s="214"/>
      <c r="U303" s="214"/>
      <c r="V303" s="215"/>
      <c r="W303" s="168"/>
      <c r="X303" s="168"/>
      <c r="Y303" s="169"/>
      <c r="Z303" s="168"/>
      <c r="AA303" s="168"/>
      <c r="AB303" s="168"/>
      <c r="AC303" s="168"/>
      <c r="AD303" s="169"/>
      <c r="AE303" s="169"/>
      <c r="AF303" s="169"/>
      <c r="AG303" s="169"/>
      <c r="AH303" s="169"/>
      <c r="AI303" s="169"/>
      <c r="AJ303" s="169"/>
      <c r="AK303" s="169"/>
      <c r="AL303" s="169"/>
      <c r="AM303" s="169"/>
      <c r="AN303" s="169"/>
      <c r="AO303" s="169"/>
      <c r="AP303" s="169"/>
      <c r="AQ303" s="169"/>
      <c r="AR303" s="169"/>
      <c r="AS303" s="169"/>
      <c r="AT303" s="169"/>
      <c r="AU303" s="169"/>
      <c r="AV303" s="169"/>
      <c r="AW303" s="169"/>
      <c r="AX303" s="169"/>
      <c r="AY303" s="169"/>
      <c r="AZ303" s="169"/>
      <c r="BA303" s="169"/>
      <c r="BB303" s="169"/>
      <c r="BC303" s="169"/>
    </row>
    <row r="304" spans="1:55" ht="15" customHeight="1">
      <c r="A304" s="511" t="s">
        <v>152</v>
      </c>
      <c r="B304" s="502" t="s">
        <v>18</v>
      </c>
      <c r="C304" s="503"/>
      <c r="D304" s="504"/>
      <c r="E304" s="505"/>
      <c r="F304" s="502" t="s">
        <v>21</v>
      </c>
      <c r="G304" s="503"/>
      <c r="H304" s="504"/>
      <c r="I304" s="505"/>
      <c r="J304" s="502" t="s">
        <v>20</v>
      </c>
      <c r="K304" s="503"/>
      <c r="L304" s="504"/>
      <c r="M304" s="505"/>
      <c r="N304" s="502" t="s">
        <v>25</v>
      </c>
      <c r="O304" s="503"/>
      <c r="P304" s="504"/>
      <c r="Q304" s="505"/>
      <c r="R304" s="502" t="s">
        <v>39</v>
      </c>
      <c r="S304" s="503"/>
      <c r="T304" s="504"/>
      <c r="U304" s="505"/>
      <c r="V304" s="511" t="s">
        <v>153</v>
      </c>
      <c r="W304" s="514" t="s">
        <v>154</v>
      </c>
      <c r="X304" s="515"/>
      <c r="Y304" s="216"/>
      <c r="Z304" s="502" t="s">
        <v>155</v>
      </c>
      <c r="AA304" s="503"/>
      <c r="AB304" s="504"/>
      <c r="AC304" s="505"/>
      <c r="AD304" s="170"/>
      <c r="AE304" s="169"/>
      <c r="AF304" s="169"/>
      <c r="AG304" s="169"/>
      <c r="AH304" s="169"/>
      <c r="AI304" s="169"/>
      <c r="AJ304" s="169"/>
      <c r="AK304" s="169"/>
      <c r="AL304" s="169"/>
      <c r="AM304" s="169"/>
      <c r="AN304" s="169"/>
      <c r="AO304" s="169"/>
      <c r="AP304" s="169"/>
      <c r="AQ304" s="169"/>
      <c r="AR304" s="169"/>
      <c r="AS304" s="169"/>
      <c r="AT304" s="169"/>
      <c r="AU304" s="169"/>
      <c r="AV304" s="169"/>
      <c r="AW304" s="169"/>
      <c r="AX304" s="169"/>
      <c r="AY304" s="169"/>
      <c r="AZ304" s="169"/>
      <c r="BA304" s="169"/>
      <c r="BB304" s="169"/>
      <c r="BC304" s="169"/>
    </row>
    <row r="305" spans="1:55" ht="30" customHeight="1">
      <c r="A305" s="510"/>
      <c r="B305" s="502" t="s">
        <v>240</v>
      </c>
      <c r="C305" s="503"/>
      <c r="D305" s="504"/>
      <c r="E305" s="505"/>
      <c r="F305" s="502" t="s">
        <v>240</v>
      </c>
      <c r="G305" s="503"/>
      <c r="H305" s="504"/>
      <c r="I305" s="505"/>
      <c r="J305" s="502" t="s">
        <v>240</v>
      </c>
      <c r="K305" s="503"/>
      <c r="L305" s="504"/>
      <c r="M305" s="505"/>
      <c r="N305" s="502" t="s">
        <v>240</v>
      </c>
      <c r="O305" s="503"/>
      <c r="P305" s="504"/>
      <c r="Q305" s="505"/>
      <c r="R305" s="502" t="s">
        <v>240</v>
      </c>
      <c r="S305" s="503"/>
      <c r="T305" s="504"/>
      <c r="U305" s="505"/>
      <c r="V305" s="510"/>
      <c r="W305" s="516"/>
      <c r="X305" s="517"/>
      <c r="Y305" s="216"/>
      <c r="Z305" s="538">
        <f>U305</f>
        <v>0</v>
      </c>
      <c r="AA305" s="503"/>
      <c r="AB305" s="504"/>
      <c r="AC305" s="505"/>
      <c r="AD305" s="170"/>
      <c r="AE305" s="169"/>
      <c r="AF305" s="169"/>
      <c r="AG305" s="169"/>
      <c r="AH305" s="169"/>
      <c r="AI305" s="169"/>
      <c r="AJ305" s="169"/>
      <c r="AK305" s="169"/>
      <c r="AL305" s="169"/>
      <c r="AM305" s="169"/>
      <c r="AN305" s="169"/>
      <c r="AO305" s="169"/>
      <c r="AP305" s="169"/>
      <c r="AQ305" s="169"/>
      <c r="AR305" s="169"/>
      <c r="AS305" s="169"/>
      <c r="AT305" s="169"/>
      <c r="AU305" s="169"/>
      <c r="AV305" s="169"/>
      <c r="AW305" s="169"/>
      <c r="AX305" s="169"/>
      <c r="AY305" s="169"/>
      <c r="AZ305" s="169"/>
      <c r="BA305" s="169"/>
      <c r="BB305" s="169"/>
      <c r="BC305" s="169"/>
    </row>
    <row r="306" spans="1:55" ht="30" customHeight="1">
      <c r="A306" s="508"/>
      <c r="B306" s="32" t="s">
        <v>117</v>
      </c>
      <c r="C306" s="32" t="s">
        <v>156</v>
      </c>
      <c r="D306" s="32" t="s">
        <v>157</v>
      </c>
      <c r="E306" s="32" t="s">
        <v>158</v>
      </c>
      <c r="F306" s="32" t="s">
        <v>117</v>
      </c>
      <c r="G306" s="32" t="s">
        <v>156</v>
      </c>
      <c r="H306" s="32" t="s">
        <v>157</v>
      </c>
      <c r="I306" s="32" t="s">
        <v>158</v>
      </c>
      <c r="J306" s="32" t="s">
        <v>159</v>
      </c>
      <c r="K306" s="32" t="s">
        <v>156</v>
      </c>
      <c r="L306" s="32" t="s">
        <v>157</v>
      </c>
      <c r="M306" s="32" t="s">
        <v>158</v>
      </c>
      <c r="N306" s="32" t="s">
        <v>159</v>
      </c>
      <c r="O306" s="32" t="s">
        <v>156</v>
      </c>
      <c r="P306" s="32" t="s">
        <v>157</v>
      </c>
      <c r="Q306" s="32" t="s">
        <v>158</v>
      </c>
      <c r="R306" s="32" t="s">
        <v>159</v>
      </c>
      <c r="S306" s="32" t="s">
        <v>156</v>
      </c>
      <c r="T306" s="32" t="s">
        <v>157</v>
      </c>
      <c r="U306" s="32" t="s">
        <v>158</v>
      </c>
      <c r="V306" s="508"/>
      <c r="W306" s="518"/>
      <c r="X306" s="517"/>
      <c r="Y306" s="216"/>
      <c r="Z306" s="32" t="s">
        <v>159</v>
      </c>
      <c r="AA306" s="32" t="s">
        <v>156</v>
      </c>
      <c r="AB306" s="32" t="s">
        <v>157</v>
      </c>
      <c r="AC306" s="32" t="s">
        <v>158</v>
      </c>
      <c r="AD306" s="170"/>
      <c r="AE306" s="169"/>
      <c r="AF306" s="169"/>
      <c r="AG306" s="169"/>
      <c r="AH306" s="169"/>
      <c r="AI306" s="169"/>
      <c r="AJ306" s="169"/>
      <c r="AK306" s="169"/>
      <c r="AL306" s="169"/>
      <c r="AM306" s="169"/>
      <c r="AN306" s="169"/>
      <c r="AO306" s="169"/>
      <c r="AP306" s="169"/>
      <c r="AQ306" s="169"/>
      <c r="AR306" s="169"/>
      <c r="AS306" s="169"/>
      <c r="AT306" s="169"/>
      <c r="AU306" s="169"/>
      <c r="AV306" s="169"/>
      <c r="AW306" s="169"/>
      <c r="AX306" s="169"/>
      <c r="AY306" s="169"/>
      <c r="AZ306" s="169"/>
      <c r="BA306" s="169"/>
      <c r="BB306" s="169"/>
      <c r="BC306" s="169"/>
    </row>
    <row r="307" spans="1:55" ht="14.25" customHeight="1">
      <c r="A307" s="12" t="s">
        <v>160</v>
      </c>
      <c r="B307" s="217"/>
      <c r="C307" s="217"/>
      <c r="D307" s="217"/>
      <c r="E307" s="217"/>
      <c r="F307" s="217"/>
      <c r="G307" s="217"/>
      <c r="H307" s="217"/>
      <c r="I307" s="217"/>
      <c r="J307" s="217"/>
      <c r="K307" s="217"/>
      <c r="L307" s="217"/>
      <c r="M307" s="217"/>
      <c r="N307" s="217"/>
      <c r="O307" s="217"/>
      <c r="P307" s="217"/>
      <c r="Q307" s="217"/>
      <c r="R307" s="148" t="str">
        <f t="shared" ref="R307:U311" si="222">IFERROR(AVERAGE(B307,F307,J307,N307),"0")</f>
        <v>0</v>
      </c>
      <c r="S307" s="148" t="str">
        <f t="shared" si="222"/>
        <v>0</v>
      </c>
      <c r="T307" s="148" t="str">
        <f t="shared" si="222"/>
        <v>0</v>
      </c>
      <c r="U307" s="148" t="str">
        <f t="shared" si="222"/>
        <v>0</v>
      </c>
      <c r="V307" s="513">
        <f>SUM(W307:W311)/5</f>
        <v>0</v>
      </c>
      <c r="W307" s="149">
        <f>((4*R307)+(3*S307)+(2*T307)+U307)/4</f>
        <v>0</v>
      </c>
      <c r="X307" s="218" t="s">
        <v>161</v>
      </c>
      <c r="Y307" s="20"/>
      <c r="Z307" s="151" t="s">
        <v>162</v>
      </c>
      <c r="AA307" s="151" t="s">
        <v>162</v>
      </c>
      <c r="AB307" s="151" t="s">
        <v>162</v>
      </c>
      <c r="AC307" s="151" t="s">
        <v>162</v>
      </c>
      <c r="AD307" s="169"/>
      <c r="AE307" s="169"/>
      <c r="AF307" s="169"/>
      <c r="AG307" s="169"/>
      <c r="AH307" s="169"/>
      <c r="AI307" s="169"/>
      <c r="AJ307" s="169"/>
      <c r="AK307" s="169"/>
      <c r="AL307" s="169"/>
      <c r="AM307" s="169"/>
      <c r="AN307" s="169"/>
      <c r="AO307" s="169"/>
      <c r="AP307" s="169"/>
      <c r="AQ307" s="169"/>
      <c r="AR307" s="169"/>
      <c r="AS307" s="169"/>
      <c r="AT307" s="169"/>
      <c r="AU307" s="169"/>
      <c r="AV307" s="169"/>
      <c r="AW307" s="169"/>
      <c r="AX307" s="169"/>
      <c r="AY307" s="169"/>
      <c r="AZ307" s="169"/>
      <c r="BA307" s="169"/>
      <c r="BB307" s="169"/>
      <c r="BC307" s="169"/>
    </row>
    <row r="308" spans="1:55" ht="14.25" customHeight="1">
      <c r="A308" s="12" t="s">
        <v>163</v>
      </c>
      <c r="B308" s="217"/>
      <c r="C308" s="217"/>
      <c r="D308" s="217"/>
      <c r="E308" s="217"/>
      <c r="F308" s="217"/>
      <c r="G308" s="217"/>
      <c r="H308" s="217"/>
      <c r="I308" s="217"/>
      <c r="J308" s="217"/>
      <c r="K308" s="217"/>
      <c r="L308" s="217"/>
      <c r="M308" s="217"/>
      <c r="N308" s="217"/>
      <c r="O308" s="217"/>
      <c r="P308" s="217"/>
      <c r="Q308" s="217"/>
      <c r="R308" s="148" t="str">
        <f t="shared" si="222"/>
        <v>0</v>
      </c>
      <c r="S308" s="148" t="str">
        <f t="shared" si="222"/>
        <v>0</v>
      </c>
      <c r="T308" s="148" t="str">
        <f t="shared" si="222"/>
        <v>0</v>
      </c>
      <c r="U308" s="148" t="str">
        <f t="shared" si="222"/>
        <v>0</v>
      </c>
      <c r="V308" s="507"/>
      <c r="W308" s="152">
        <f>((4*R308)+(3*S308)+(2*T308)+U308)/4</f>
        <v>0</v>
      </c>
      <c r="X308" s="170"/>
      <c r="Y308" s="20"/>
      <c r="Z308" s="153" t="s">
        <v>162</v>
      </c>
      <c r="AA308" s="153" t="s">
        <v>162</v>
      </c>
      <c r="AB308" s="153" t="s">
        <v>162</v>
      </c>
      <c r="AC308" s="153" t="s">
        <v>162</v>
      </c>
      <c r="AD308" s="169"/>
      <c r="AE308" s="169"/>
      <c r="AF308" s="169"/>
      <c r="AG308" s="169"/>
      <c r="AH308" s="169"/>
      <c r="AI308" s="169"/>
      <c r="AJ308" s="169"/>
      <c r="AK308" s="169"/>
      <c r="AL308" s="169"/>
      <c r="AM308" s="169"/>
      <c r="AN308" s="169"/>
      <c r="AO308" s="169"/>
      <c r="AP308" s="169"/>
      <c r="AQ308" s="169"/>
      <c r="AR308" s="169"/>
      <c r="AS308" s="169"/>
      <c r="AT308" s="169"/>
      <c r="AU308" s="169"/>
      <c r="AV308" s="169"/>
      <c r="AW308" s="169"/>
      <c r="AX308" s="169"/>
      <c r="AY308" s="169"/>
      <c r="AZ308" s="169"/>
      <c r="BA308" s="169"/>
      <c r="BB308" s="169"/>
      <c r="BC308" s="169"/>
    </row>
    <row r="309" spans="1:55" ht="14.25" customHeight="1">
      <c r="A309" s="12" t="s">
        <v>164</v>
      </c>
      <c r="B309" s="217"/>
      <c r="C309" s="217"/>
      <c r="D309" s="217"/>
      <c r="E309" s="217"/>
      <c r="F309" s="217"/>
      <c r="G309" s="217"/>
      <c r="H309" s="217"/>
      <c r="I309" s="217"/>
      <c r="J309" s="217"/>
      <c r="K309" s="217"/>
      <c r="L309" s="217"/>
      <c r="M309" s="217"/>
      <c r="N309" s="217"/>
      <c r="O309" s="217"/>
      <c r="P309" s="217"/>
      <c r="Q309" s="217"/>
      <c r="R309" s="148" t="str">
        <f t="shared" si="222"/>
        <v>0</v>
      </c>
      <c r="S309" s="148" t="str">
        <f t="shared" si="222"/>
        <v>0</v>
      </c>
      <c r="T309" s="148" t="str">
        <f t="shared" si="222"/>
        <v>0</v>
      </c>
      <c r="U309" s="148" t="str">
        <f t="shared" si="222"/>
        <v>0</v>
      </c>
      <c r="V309" s="507"/>
      <c r="W309" s="152">
        <f>((4*R309)+(3*S309)+(2*T309)+U309)/4</f>
        <v>0</v>
      </c>
      <c r="X309" s="170"/>
      <c r="Y309" s="20"/>
      <c r="Z309" s="153" t="s">
        <v>162</v>
      </c>
      <c r="AA309" s="153" t="s">
        <v>162</v>
      </c>
      <c r="AB309" s="153" t="s">
        <v>162</v>
      </c>
      <c r="AC309" s="153" t="s">
        <v>162</v>
      </c>
      <c r="AD309" s="169"/>
      <c r="AE309" s="169"/>
      <c r="AF309" s="169"/>
      <c r="AG309" s="169"/>
      <c r="AH309" s="169"/>
      <c r="AI309" s="169"/>
      <c r="AJ309" s="169"/>
      <c r="AK309" s="169"/>
      <c r="AL309" s="169"/>
      <c r="AM309" s="169"/>
      <c r="AN309" s="169"/>
      <c r="AO309" s="169"/>
      <c r="AP309" s="169"/>
      <c r="AQ309" s="169"/>
      <c r="AR309" s="169"/>
      <c r="AS309" s="169"/>
      <c r="AT309" s="169"/>
      <c r="AU309" s="169"/>
      <c r="AV309" s="169"/>
      <c r="AW309" s="169"/>
      <c r="AX309" s="169"/>
      <c r="AY309" s="169"/>
      <c r="AZ309" s="169"/>
      <c r="BA309" s="169"/>
      <c r="BB309" s="169"/>
      <c r="BC309" s="169"/>
    </row>
    <row r="310" spans="1:55" ht="14.25" customHeight="1">
      <c r="A310" s="12" t="s">
        <v>165</v>
      </c>
      <c r="B310" s="217"/>
      <c r="C310" s="217"/>
      <c r="D310" s="217"/>
      <c r="E310" s="217"/>
      <c r="F310" s="217"/>
      <c r="G310" s="217"/>
      <c r="H310" s="217"/>
      <c r="I310" s="217"/>
      <c r="J310" s="217"/>
      <c r="K310" s="217"/>
      <c r="L310" s="217"/>
      <c r="M310" s="217"/>
      <c r="N310" s="217"/>
      <c r="O310" s="217"/>
      <c r="P310" s="217"/>
      <c r="Q310" s="217"/>
      <c r="R310" s="148" t="str">
        <f t="shared" si="222"/>
        <v>0</v>
      </c>
      <c r="S310" s="148" t="str">
        <f t="shared" si="222"/>
        <v>0</v>
      </c>
      <c r="T310" s="148" t="str">
        <f t="shared" si="222"/>
        <v>0</v>
      </c>
      <c r="U310" s="148" t="str">
        <f t="shared" si="222"/>
        <v>0</v>
      </c>
      <c r="V310" s="507"/>
      <c r="W310" s="152">
        <f>((4*R310)+(3*S310)+(2*T310)+U310)/4</f>
        <v>0</v>
      </c>
      <c r="X310" s="170"/>
      <c r="Y310" s="20"/>
      <c r="Z310" s="153" t="s">
        <v>162</v>
      </c>
      <c r="AA310" s="153" t="s">
        <v>162</v>
      </c>
      <c r="AB310" s="153" t="s">
        <v>162</v>
      </c>
      <c r="AC310" s="153" t="s">
        <v>162</v>
      </c>
      <c r="AD310" s="169"/>
      <c r="AE310" s="169"/>
      <c r="AF310" s="169"/>
      <c r="AG310" s="169"/>
      <c r="AH310" s="169"/>
      <c r="AI310" s="169"/>
      <c r="AJ310" s="169"/>
      <c r="AK310" s="169"/>
      <c r="AL310" s="169"/>
      <c r="AM310" s="169"/>
      <c r="AN310" s="169"/>
      <c r="AO310" s="169"/>
      <c r="AP310" s="169"/>
      <c r="AQ310" s="169"/>
      <c r="AR310" s="169"/>
      <c r="AS310" s="169"/>
      <c r="AT310" s="169"/>
      <c r="AU310" s="169"/>
      <c r="AV310" s="169"/>
      <c r="AW310" s="169"/>
      <c r="AX310" s="169"/>
      <c r="AY310" s="169"/>
      <c r="AZ310" s="169"/>
      <c r="BA310" s="169"/>
      <c r="BB310" s="169"/>
      <c r="BC310" s="169"/>
    </row>
    <row r="311" spans="1:55" ht="14.25" customHeight="1">
      <c r="A311" s="12" t="s">
        <v>166</v>
      </c>
      <c r="B311" s="217"/>
      <c r="C311" s="217"/>
      <c r="D311" s="217"/>
      <c r="E311" s="217"/>
      <c r="F311" s="217"/>
      <c r="G311" s="217"/>
      <c r="H311" s="217"/>
      <c r="I311" s="217"/>
      <c r="J311" s="217"/>
      <c r="K311" s="217"/>
      <c r="L311" s="217"/>
      <c r="M311" s="217"/>
      <c r="N311" s="217"/>
      <c r="O311" s="217"/>
      <c r="P311" s="217"/>
      <c r="Q311" s="217"/>
      <c r="R311" s="148" t="str">
        <f t="shared" si="222"/>
        <v>0</v>
      </c>
      <c r="S311" s="148" t="str">
        <f t="shared" si="222"/>
        <v>0</v>
      </c>
      <c r="T311" s="148" t="str">
        <f t="shared" si="222"/>
        <v>0</v>
      </c>
      <c r="U311" s="148" t="str">
        <f t="shared" si="222"/>
        <v>0</v>
      </c>
      <c r="V311" s="508"/>
      <c r="W311" s="152">
        <f>((4*R311)+(3*S311)+(2*T311)+U311)/4</f>
        <v>0</v>
      </c>
      <c r="X311" s="170"/>
      <c r="Y311" s="20"/>
      <c r="Z311" s="153" t="s">
        <v>162</v>
      </c>
      <c r="AA311" s="153" t="s">
        <v>162</v>
      </c>
      <c r="AB311" s="153" t="s">
        <v>162</v>
      </c>
      <c r="AC311" s="153" t="s">
        <v>162</v>
      </c>
      <c r="AD311" s="169"/>
      <c r="AE311" s="169"/>
      <c r="AF311" s="169"/>
      <c r="AG311" s="169"/>
      <c r="AH311" s="169"/>
      <c r="AI311" s="169"/>
      <c r="AJ311" s="169"/>
      <c r="AK311" s="169"/>
      <c r="AL311" s="169"/>
      <c r="AM311" s="169"/>
      <c r="AN311" s="169"/>
      <c r="AO311" s="169"/>
      <c r="AP311" s="169"/>
      <c r="AQ311" s="169"/>
      <c r="AR311" s="169"/>
      <c r="AS311" s="169"/>
      <c r="AT311" s="169"/>
      <c r="AU311" s="169"/>
      <c r="AV311" s="169"/>
      <c r="AW311" s="169"/>
      <c r="AX311" s="169"/>
      <c r="AY311" s="169"/>
      <c r="AZ311" s="169"/>
      <c r="BA311" s="169"/>
      <c r="BB311" s="169"/>
      <c r="BC311" s="169"/>
    </row>
    <row r="312" spans="1:55" ht="14.25" customHeight="1">
      <c r="A312" s="219"/>
      <c r="B312" s="219"/>
      <c r="C312" s="219"/>
      <c r="D312" s="219"/>
      <c r="E312" s="219"/>
      <c r="F312" s="219"/>
      <c r="G312" s="219"/>
      <c r="H312" s="219"/>
      <c r="I312" s="219"/>
      <c r="J312" s="219"/>
      <c r="K312" s="219"/>
      <c r="L312" s="219"/>
      <c r="M312" s="220"/>
      <c r="N312" s="220"/>
      <c r="O312" s="220"/>
      <c r="P312" s="219"/>
      <c r="Q312" s="219"/>
      <c r="R312" s="219"/>
      <c r="S312" s="219"/>
      <c r="T312" s="219"/>
      <c r="U312" s="219"/>
      <c r="V312" s="219"/>
      <c r="W312" s="177"/>
      <c r="X312" s="169"/>
      <c r="Y312" s="169"/>
      <c r="Z312" s="169"/>
      <c r="AA312" s="169"/>
      <c r="AB312" s="169"/>
      <c r="AC312" s="169"/>
      <c r="AD312" s="169"/>
      <c r="AE312" s="169"/>
      <c r="AF312" s="169"/>
      <c r="AG312" s="169"/>
      <c r="AH312" s="169"/>
      <c r="AI312" s="169"/>
      <c r="AJ312" s="169"/>
      <c r="AK312" s="169"/>
      <c r="AL312" s="169"/>
      <c r="AM312" s="169"/>
      <c r="AN312" s="169"/>
      <c r="AO312" s="169"/>
      <c r="AP312" s="169"/>
      <c r="AQ312" s="169"/>
      <c r="AR312" s="169"/>
      <c r="AS312" s="169"/>
      <c r="AT312" s="169"/>
      <c r="AU312" s="169"/>
      <c r="AV312" s="169"/>
      <c r="AW312" s="169"/>
      <c r="AX312" s="169"/>
      <c r="AY312" s="169"/>
      <c r="AZ312" s="169"/>
      <c r="BA312" s="169"/>
      <c r="BB312" s="169"/>
      <c r="BC312" s="169"/>
    </row>
    <row r="313" spans="1:55" ht="14.25" customHeight="1">
      <c r="A313" s="213" t="s">
        <v>167</v>
      </c>
      <c r="B313" s="214"/>
      <c r="C313" s="214"/>
      <c r="D313" s="214"/>
      <c r="E313" s="214"/>
      <c r="F313" s="214"/>
      <c r="G313" s="214"/>
      <c r="H313" s="214"/>
      <c r="I313" s="214"/>
      <c r="J313" s="214"/>
      <c r="K313" s="214"/>
      <c r="L313" s="214"/>
      <c r="M313" s="214"/>
      <c r="N313" s="214"/>
      <c r="O313" s="214"/>
      <c r="P313" s="214"/>
      <c r="Q313" s="214"/>
      <c r="R313" s="214"/>
      <c r="S313" s="214"/>
      <c r="T313" s="214"/>
      <c r="U313" s="214"/>
      <c r="V313" s="214"/>
      <c r="W313" s="215"/>
      <c r="X313" s="168"/>
      <c r="Y313" s="168"/>
      <c r="Z313" s="169"/>
      <c r="AA313" s="168"/>
      <c r="AB313" s="168"/>
      <c r="AC313" s="168"/>
      <c r="AD313" s="168"/>
      <c r="AE313" s="169"/>
      <c r="AF313" s="169"/>
      <c r="AG313" s="169"/>
      <c r="AH313" s="169"/>
      <c r="AI313" s="169"/>
      <c r="AJ313" s="169"/>
      <c r="AK313" s="169"/>
      <c r="AL313" s="169"/>
      <c r="AM313" s="169"/>
      <c r="AN313" s="169"/>
      <c r="AO313" s="169"/>
      <c r="AP313" s="169"/>
      <c r="AQ313" s="169"/>
      <c r="AR313" s="169"/>
      <c r="AS313" s="169"/>
      <c r="AT313" s="169"/>
      <c r="AU313" s="169"/>
      <c r="AV313" s="169"/>
      <c r="AW313" s="169"/>
      <c r="AX313" s="169"/>
      <c r="AY313" s="169"/>
      <c r="AZ313" s="169"/>
      <c r="BA313" s="169"/>
      <c r="BB313" s="169"/>
      <c r="BC313" s="169"/>
    </row>
    <row r="314" spans="1:55" ht="15" customHeight="1">
      <c r="A314" s="511" t="s">
        <v>37</v>
      </c>
      <c r="B314" s="511" t="s">
        <v>152</v>
      </c>
      <c r="C314" s="502" t="s">
        <v>18</v>
      </c>
      <c r="D314" s="503"/>
      <c r="E314" s="504"/>
      <c r="F314" s="505"/>
      <c r="G314" s="502" t="s">
        <v>21</v>
      </c>
      <c r="H314" s="503"/>
      <c r="I314" s="504"/>
      <c r="J314" s="505"/>
      <c r="K314" s="502" t="s">
        <v>20</v>
      </c>
      <c r="L314" s="503"/>
      <c r="M314" s="504"/>
      <c r="N314" s="505"/>
      <c r="O314" s="502" t="s">
        <v>25</v>
      </c>
      <c r="P314" s="503"/>
      <c r="Q314" s="504"/>
      <c r="R314" s="505"/>
      <c r="S314" s="502" t="s">
        <v>39</v>
      </c>
      <c r="T314" s="503"/>
      <c r="U314" s="504"/>
      <c r="V314" s="505"/>
      <c r="W314" s="511" t="s">
        <v>153</v>
      </c>
      <c r="X314" s="514" t="s">
        <v>154</v>
      </c>
      <c r="Y314" s="515"/>
      <c r="Z314" s="216"/>
      <c r="AA314" s="502" t="s">
        <v>155</v>
      </c>
      <c r="AB314" s="503"/>
      <c r="AC314" s="504"/>
      <c r="AD314" s="505"/>
      <c r="AE314" s="170"/>
      <c r="AF314" s="169"/>
      <c r="AG314" s="169"/>
      <c r="AH314" s="169"/>
      <c r="AI314" s="169"/>
      <c r="AJ314" s="169"/>
      <c r="AK314" s="169"/>
      <c r="AL314" s="169"/>
      <c r="AM314" s="169"/>
      <c r="AN314" s="169"/>
      <c r="AO314" s="169"/>
      <c r="AP314" s="169"/>
      <c r="AQ314" s="169"/>
      <c r="AR314" s="169"/>
      <c r="AS314" s="169"/>
      <c r="AT314" s="169"/>
      <c r="AU314" s="169"/>
      <c r="AV314" s="169"/>
      <c r="AW314" s="169"/>
      <c r="AX314" s="169"/>
      <c r="AY314" s="169"/>
      <c r="AZ314" s="169"/>
      <c r="BA314" s="169"/>
      <c r="BB314" s="169"/>
      <c r="BC314" s="169"/>
    </row>
    <row r="315" spans="1:55" ht="15" customHeight="1">
      <c r="A315" s="510"/>
      <c r="B315" s="510"/>
      <c r="C315" s="502" t="s">
        <v>240</v>
      </c>
      <c r="D315" s="503"/>
      <c r="E315" s="504"/>
      <c r="F315" s="505"/>
      <c r="G315" s="502" t="s">
        <v>240</v>
      </c>
      <c r="H315" s="503"/>
      <c r="I315" s="504"/>
      <c r="J315" s="505"/>
      <c r="K315" s="502" t="s">
        <v>240</v>
      </c>
      <c r="L315" s="503"/>
      <c r="M315" s="504"/>
      <c r="N315" s="505"/>
      <c r="O315" s="502" t="s">
        <v>240</v>
      </c>
      <c r="P315" s="503"/>
      <c r="Q315" s="504"/>
      <c r="R315" s="505"/>
      <c r="S315" s="502" t="s">
        <v>240</v>
      </c>
      <c r="T315" s="503"/>
      <c r="U315" s="504"/>
      <c r="V315" s="505"/>
      <c r="W315" s="510"/>
      <c r="X315" s="516"/>
      <c r="Y315" s="517"/>
      <c r="Z315" s="216"/>
      <c r="AA315" s="538">
        <f>V315</f>
        <v>0</v>
      </c>
      <c r="AB315" s="503"/>
      <c r="AC315" s="504"/>
      <c r="AD315" s="505"/>
      <c r="AE315" s="170"/>
      <c r="AF315" s="169"/>
      <c r="AG315" s="169"/>
      <c r="AH315" s="169"/>
      <c r="AI315" s="169"/>
      <c r="AJ315" s="169"/>
      <c r="AK315" s="169"/>
      <c r="AL315" s="169"/>
      <c r="AM315" s="169"/>
      <c r="AN315" s="169"/>
      <c r="AO315" s="169"/>
      <c r="AP315" s="169"/>
      <c r="AQ315" s="169"/>
      <c r="AR315" s="169"/>
      <c r="AS315" s="169"/>
      <c r="AT315" s="169"/>
      <c r="AU315" s="169"/>
      <c r="AV315" s="169"/>
      <c r="AW315" s="169"/>
      <c r="AX315" s="169"/>
      <c r="AY315" s="169"/>
      <c r="AZ315" s="169"/>
      <c r="BA315" s="169"/>
      <c r="BB315" s="169"/>
      <c r="BC315" s="169"/>
    </row>
    <row r="316" spans="1:55" ht="15" customHeight="1">
      <c r="A316" s="508"/>
      <c r="B316" s="508"/>
      <c r="C316" s="32" t="s">
        <v>117</v>
      </c>
      <c r="D316" s="32" t="s">
        <v>156</v>
      </c>
      <c r="E316" s="32" t="s">
        <v>157</v>
      </c>
      <c r="F316" s="32" t="s">
        <v>158</v>
      </c>
      <c r="G316" s="32" t="s">
        <v>117</v>
      </c>
      <c r="H316" s="32" t="s">
        <v>156</v>
      </c>
      <c r="I316" s="32" t="s">
        <v>157</v>
      </c>
      <c r="J316" s="32" t="s">
        <v>158</v>
      </c>
      <c r="K316" s="32" t="s">
        <v>159</v>
      </c>
      <c r="L316" s="32" t="s">
        <v>156</v>
      </c>
      <c r="M316" s="32" t="s">
        <v>157</v>
      </c>
      <c r="N316" s="32" t="s">
        <v>158</v>
      </c>
      <c r="O316" s="32" t="s">
        <v>159</v>
      </c>
      <c r="P316" s="32" t="s">
        <v>156</v>
      </c>
      <c r="Q316" s="32" t="s">
        <v>157</v>
      </c>
      <c r="R316" s="32" t="s">
        <v>158</v>
      </c>
      <c r="S316" s="32" t="s">
        <v>159</v>
      </c>
      <c r="T316" s="32" t="s">
        <v>156</v>
      </c>
      <c r="U316" s="32" t="s">
        <v>157</v>
      </c>
      <c r="V316" s="32" t="s">
        <v>158</v>
      </c>
      <c r="W316" s="508"/>
      <c r="X316" s="518"/>
      <c r="Y316" s="517"/>
      <c r="Z316" s="216"/>
      <c r="AA316" s="32" t="s">
        <v>159</v>
      </c>
      <c r="AB316" s="32" t="s">
        <v>156</v>
      </c>
      <c r="AC316" s="32" t="s">
        <v>157</v>
      </c>
      <c r="AD316" s="32" t="s">
        <v>158</v>
      </c>
      <c r="AE316" s="170"/>
      <c r="AF316" s="169"/>
      <c r="AG316" s="169"/>
      <c r="AH316" s="169"/>
      <c r="AI316" s="169"/>
      <c r="AJ316" s="169"/>
      <c r="AK316" s="169"/>
      <c r="AL316" s="169"/>
      <c r="AM316" s="169"/>
      <c r="AN316" s="169"/>
      <c r="AO316" s="169"/>
      <c r="AP316" s="169"/>
      <c r="AQ316" s="169"/>
      <c r="AR316" s="169"/>
      <c r="AS316" s="169"/>
      <c r="AT316" s="169"/>
      <c r="AU316" s="169"/>
      <c r="AV316" s="169"/>
      <c r="AW316" s="169"/>
      <c r="AX316" s="169"/>
      <c r="AY316" s="169"/>
      <c r="AZ316" s="169"/>
      <c r="BA316" s="169"/>
      <c r="BB316" s="169"/>
      <c r="BC316" s="169"/>
    </row>
    <row r="317" spans="1:55" ht="14.25" customHeight="1">
      <c r="A317" s="512" t="s">
        <v>69</v>
      </c>
      <c r="B317" s="156" t="s">
        <v>160</v>
      </c>
      <c r="C317" s="217"/>
      <c r="D317" s="217"/>
      <c r="E317" s="217"/>
      <c r="F317" s="217"/>
      <c r="G317" s="217"/>
      <c r="H317" s="217"/>
      <c r="I317" s="217"/>
      <c r="J317" s="217"/>
      <c r="K317" s="217"/>
      <c r="L317" s="217"/>
      <c r="M317" s="217"/>
      <c r="N317" s="217"/>
      <c r="O317" s="217"/>
      <c r="P317" s="217"/>
      <c r="Q317" s="217"/>
      <c r="R317" s="217"/>
      <c r="S317" s="148" t="str">
        <f t="shared" ref="S317:S348" si="223">IFERROR(AVERAGE(C317,G317,K317,O317),"0")</f>
        <v>0</v>
      </c>
      <c r="T317" s="148" t="str">
        <f t="shared" ref="T317:T348" si="224">IFERROR(AVERAGE(D317,H317,L317,P317),"0")</f>
        <v>0</v>
      </c>
      <c r="U317" s="148" t="str">
        <f t="shared" ref="U317:U348" si="225">IFERROR(AVERAGE(E317,I317,M317,Q317),"0")</f>
        <v>0</v>
      </c>
      <c r="V317" s="148" t="str">
        <f t="shared" ref="V317:V348" si="226">IFERROR(AVERAGE(F317,J317,N317,R317),"0")</f>
        <v>0</v>
      </c>
      <c r="W317" s="513">
        <f>SUM(X317:X321)/5</f>
        <v>0</v>
      </c>
      <c r="X317" s="149">
        <f t="shared" ref="X317:X348" si="227">((4*S317)+(3*T317)+(2*U317)+V317)/4</f>
        <v>0</v>
      </c>
      <c r="Y317" s="218" t="s">
        <v>168</v>
      </c>
      <c r="Z317" s="221"/>
      <c r="AA317" s="157" t="s">
        <v>162</v>
      </c>
      <c r="AB317" s="157" t="s">
        <v>162</v>
      </c>
      <c r="AC317" s="157" t="s">
        <v>162</v>
      </c>
      <c r="AD317" s="157" t="s">
        <v>162</v>
      </c>
      <c r="AE317" s="185"/>
      <c r="AF317" s="169"/>
      <c r="AG317" s="169"/>
      <c r="AH317" s="169"/>
      <c r="AI317" s="169"/>
      <c r="AJ317" s="169"/>
      <c r="AK317" s="169"/>
      <c r="AL317" s="169"/>
      <c r="AM317" s="169"/>
      <c r="AN317" s="169"/>
      <c r="AO317" s="169"/>
      <c r="AP317" s="169"/>
      <c r="AQ317" s="169"/>
      <c r="AR317" s="169"/>
      <c r="AS317" s="169"/>
      <c r="AT317" s="169"/>
      <c r="AU317" s="169"/>
      <c r="AV317" s="169"/>
      <c r="AW317" s="169"/>
      <c r="AX317" s="169"/>
      <c r="AY317" s="169"/>
      <c r="AZ317" s="169"/>
      <c r="BA317" s="169"/>
      <c r="BB317" s="169"/>
      <c r="BC317" s="169"/>
    </row>
    <row r="318" spans="1:55" ht="14.25" customHeight="1">
      <c r="A318" s="507"/>
      <c r="B318" s="156" t="s">
        <v>163</v>
      </c>
      <c r="C318" s="217"/>
      <c r="D318" s="217"/>
      <c r="E318" s="217"/>
      <c r="F318" s="217"/>
      <c r="G318" s="217"/>
      <c r="H318" s="217"/>
      <c r="I318" s="217"/>
      <c r="J318" s="217"/>
      <c r="K318" s="217"/>
      <c r="L318" s="217"/>
      <c r="M318" s="217"/>
      <c r="N318" s="217"/>
      <c r="O318" s="217"/>
      <c r="P318" s="217"/>
      <c r="Q318" s="217"/>
      <c r="R318" s="217"/>
      <c r="S318" s="148" t="str">
        <f t="shared" si="223"/>
        <v>0</v>
      </c>
      <c r="T318" s="148" t="str">
        <f t="shared" si="224"/>
        <v>0</v>
      </c>
      <c r="U318" s="148" t="str">
        <f t="shared" si="225"/>
        <v>0</v>
      </c>
      <c r="V318" s="148" t="str">
        <f t="shared" si="226"/>
        <v>0</v>
      </c>
      <c r="W318" s="507"/>
      <c r="X318" s="152">
        <f t="shared" si="227"/>
        <v>0</v>
      </c>
      <c r="Y318" s="218" t="s">
        <v>169</v>
      </c>
      <c r="Z318" s="221"/>
      <c r="AA318" s="159" t="s">
        <v>162</v>
      </c>
      <c r="AB318" s="159" t="s">
        <v>162</v>
      </c>
      <c r="AC318" s="159" t="s">
        <v>162</v>
      </c>
      <c r="AD318" s="159" t="s">
        <v>162</v>
      </c>
      <c r="AE318" s="185"/>
      <c r="AF318" s="169"/>
      <c r="AG318" s="169"/>
      <c r="AH318" s="169"/>
      <c r="AI318" s="169"/>
      <c r="AJ318" s="169"/>
      <c r="AK318" s="169"/>
      <c r="AL318" s="169"/>
      <c r="AM318" s="169"/>
      <c r="AN318" s="169"/>
      <c r="AO318" s="169"/>
      <c r="AP318" s="169"/>
      <c r="AQ318" s="169"/>
      <c r="AR318" s="169"/>
      <c r="AS318" s="169"/>
      <c r="AT318" s="169"/>
      <c r="AU318" s="169"/>
      <c r="AV318" s="169"/>
      <c r="AW318" s="169"/>
      <c r="AX318" s="169"/>
      <c r="AY318" s="169"/>
      <c r="AZ318" s="169"/>
      <c r="BA318" s="169"/>
      <c r="BB318" s="169"/>
      <c r="BC318" s="169"/>
    </row>
    <row r="319" spans="1:55" ht="14.25" customHeight="1">
      <c r="A319" s="507"/>
      <c r="B319" s="156" t="s">
        <v>164</v>
      </c>
      <c r="C319" s="217"/>
      <c r="D319" s="217"/>
      <c r="E319" s="217"/>
      <c r="F319" s="217"/>
      <c r="G319" s="217"/>
      <c r="H319" s="217"/>
      <c r="I319" s="217"/>
      <c r="J319" s="217"/>
      <c r="K319" s="217"/>
      <c r="L319" s="217"/>
      <c r="M319" s="217"/>
      <c r="N319" s="217"/>
      <c r="O319" s="217"/>
      <c r="P319" s="217"/>
      <c r="Q319" s="217"/>
      <c r="R319" s="217"/>
      <c r="S319" s="148" t="str">
        <f t="shared" si="223"/>
        <v>0</v>
      </c>
      <c r="T319" s="148" t="str">
        <f t="shared" si="224"/>
        <v>0</v>
      </c>
      <c r="U319" s="148" t="str">
        <f t="shared" si="225"/>
        <v>0</v>
      </c>
      <c r="V319" s="148" t="str">
        <f t="shared" si="226"/>
        <v>0</v>
      </c>
      <c r="W319" s="507"/>
      <c r="X319" s="152">
        <f t="shared" si="227"/>
        <v>0</v>
      </c>
      <c r="Y319" s="218" t="s">
        <v>169</v>
      </c>
      <c r="Z319" s="221"/>
      <c r="AA319" s="159" t="s">
        <v>162</v>
      </c>
      <c r="AB319" s="159" t="s">
        <v>162</v>
      </c>
      <c r="AC319" s="159" t="s">
        <v>162</v>
      </c>
      <c r="AD319" s="159" t="s">
        <v>162</v>
      </c>
      <c r="AE319" s="185"/>
      <c r="AF319" s="169"/>
      <c r="AG319" s="169"/>
      <c r="AH319" s="169"/>
      <c r="AI319" s="169"/>
      <c r="AJ319" s="169"/>
      <c r="AK319" s="169"/>
      <c r="AL319" s="169"/>
      <c r="AM319" s="169"/>
      <c r="AN319" s="169"/>
      <c r="AO319" s="169"/>
      <c r="AP319" s="169"/>
      <c r="AQ319" s="169"/>
      <c r="AR319" s="169"/>
      <c r="AS319" s="169"/>
      <c r="AT319" s="169"/>
      <c r="AU319" s="169"/>
      <c r="AV319" s="169"/>
      <c r="AW319" s="169"/>
      <c r="AX319" s="169"/>
      <c r="AY319" s="169"/>
      <c r="AZ319" s="169"/>
      <c r="BA319" s="169"/>
      <c r="BB319" s="169"/>
      <c r="BC319" s="169"/>
    </row>
    <row r="320" spans="1:55" ht="14.25" customHeight="1">
      <c r="A320" s="507"/>
      <c r="B320" s="156" t="s">
        <v>165</v>
      </c>
      <c r="C320" s="217"/>
      <c r="D320" s="217"/>
      <c r="E320" s="217"/>
      <c r="F320" s="217"/>
      <c r="G320" s="217"/>
      <c r="H320" s="217"/>
      <c r="I320" s="217"/>
      <c r="J320" s="217"/>
      <c r="K320" s="217"/>
      <c r="L320" s="217"/>
      <c r="M320" s="217"/>
      <c r="N320" s="217"/>
      <c r="O320" s="217"/>
      <c r="P320" s="217"/>
      <c r="Q320" s="217"/>
      <c r="R320" s="217"/>
      <c r="S320" s="148" t="str">
        <f t="shared" si="223"/>
        <v>0</v>
      </c>
      <c r="T320" s="148" t="str">
        <f t="shared" si="224"/>
        <v>0</v>
      </c>
      <c r="U320" s="148" t="str">
        <f t="shared" si="225"/>
        <v>0</v>
      </c>
      <c r="V320" s="148" t="str">
        <f t="shared" si="226"/>
        <v>0</v>
      </c>
      <c r="W320" s="507"/>
      <c r="X320" s="152">
        <f t="shared" si="227"/>
        <v>0</v>
      </c>
      <c r="Y320" s="218" t="s">
        <v>169</v>
      </c>
      <c r="Z320" s="221"/>
      <c r="AA320" s="159" t="s">
        <v>162</v>
      </c>
      <c r="AB320" s="159" t="s">
        <v>162</v>
      </c>
      <c r="AC320" s="159" t="s">
        <v>162</v>
      </c>
      <c r="AD320" s="159" t="s">
        <v>162</v>
      </c>
      <c r="AE320" s="185"/>
      <c r="AF320" s="169"/>
      <c r="AG320" s="169"/>
      <c r="AH320" s="169"/>
      <c r="AI320" s="169"/>
      <c r="AJ320" s="169"/>
      <c r="AK320" s="169"/>
      <c r="AL320" s="169"/>
      <c r="AM320" s="169"/>
      <c r="AN320" s="169"/>
      <c r="AO320" s="169"/>
      <c r="AP320" s="169"/>
      <c r="AQ320" s="169"/>
      <c r="AR320" s="169"/>
      <c r="AS320" s="169"/>
      <c r="AT320" s="169"/>
      <c r="AU320" s="169"/>
      <c r="AV320" s="169"/>
      <c r="AW320" s="169"/>
      <c r="AX320" s="169"/>
      <c r="AY320" s="169"/>
      <c r="AZ320" s="169"/>
      <c r="BA320" s="169"/>
      <c r="BB320" s="169"/>
      <c r="BC320" s="169"/>
    </row>
    <row r="321" spans="1:55" ht="14.25" customHeight="1">
      <c r="A321" s="508"/>
      <c r="B321" s="156" t="s">
        <v>166</v>
      </c>
      <c r="C321" s="217"/>
      <c r="D321" s="217"/>
      <c r="E321" s="217"/>
      <c r="F321" s="217"/>
      <c r="G321" s="217"/>
      <c r="H321" s="217"/>
      <c r="I321" s="217"/>
      <c r="J321" s="217"/>
      <c r="K321" s="217"/>
      <c r="L321" s="217"/>
      <c r="M321" s="217"/>
      <c r="N321" s="217"/>
      <c r="O321" s="217"/>
      <c r="P321" s="217"/>
      <c r="Q321" s="217"/>
      <c r="R321" s="217"/>
      <c r="S321" s="148" t="str">
        <f t="shared" si="223"/>
        <v>0</v>
      </c>
      <c r="T321" s="148" t="str">
        <f t="shared" si="224"/>
        <v>0</v>
      </c>
      <c r="U321" s="148" t="str">
        <f t="shared" si="225"/>
        <v>0</v>
      </c>
      <c r="V321" s="148" t="str">
        <f t="shared" si="226"/>
        <v>0</v>
      </c>
      <c r="W321" s="508"/>
      <c r="X321" s="152">
        <f t="shared" si="227"/>
        <v>0</v>
      </c>
      <c r="Y321" s="218" t="s">
        <v>169</v>
      </c>
      <c r="Z321" s="221"/>
      <c r="AA321" s="159" t="s">
        <v>162</v>
      </c>
      <c r="AB321" s="159" t="s">
        <v>162</v>
      </c>
      <c r="AC321" s="159" t="s">
        <v>162</v>
      </c>
      <c r="AD321" s="159" t="s">
        <v>162</v>
      </c>
      <c r="AE321" s="185"/>
      <c r="AF321" s="169"/>
      <c r="AG321" s="169"/>
      <c r="AH321" s="169"/>
      <c r="AI321" s="169"/>
      <c r="AJ321" s="169"/>
      <c r="AK321" s="169"/>
      <c r="AL321" s="169"/>
      <c r="AM321" s="169"/>
      <c r="AN321" s="169"/>
      <c r="AO321" s="169"/>
      <c r="AP321" s="169"/>
      <c r="AQ321" s="169"/>
      <c r="AR321" s="169"/>
      <c r="AS321" s="169"/>
      <c r="AT321" s="169"/>
      <c r="AU321" s="169"/>
      <c r="AV321" s="169"/>
      <c r="AW321" s="169"/>
      <c r="AX321" s="169"/>
      <c r="AY321" s="169"/>
      <c r="AZ321" s="169"/>
      <c r="BA321" s="169"/>
      <c r="BB321" s="169"/>
      <c r="BC321" s="169"/>
    </row>
    <row r="322" spans="1:55" ht="14.25" customHeight="1">
      <c r="A322" s="506" t="s">
        <v>70</v>
      </c>
      <c r="B322" s="156" t="s">
        <v>160</v>
      </c>
      <c r="C322" s="217"/>
      <c r="D322" s="217"/>
      <c r="E322" s="217"/>
      <c r="F322" s="217"/>
      <c r="G322" s="217"/>
      <c r="H322" s="217"/>
      <c r="I322" s="217"/>
      <c r="J322" s="217"/>
      <c r="K322" s="217"/>
      <c r="L322" s="217"/>
      <c r="M322" s="217"/>
      <c r="N322" s="217"/>
      <c r="O322" s="217"/>
      <c r="P322" s="217"/>
      <c r="Q322" s="217"/>
      <c r="R322" s="217"/>
      <c r="S322" s="148" t="str">
        <f t="shared" si="223"/>
        <v>0</v>
      </c>
      <c r="T322" s="148" t="str">
        <f t="shared" si="224"/>
        <v>0</v>
      </c>
      <c r="U322" s="148" t="str">
        <f t="shared" si="225"/>
        <v>0</v>
      </c>
      <c r="V322" s="148" t="str">
        <f t="shared" si="226"/>
        <v>0</v>
      </c>
      <c r="W322" s="513">
        <f>SUM(X322:X326)/5</f>
        <v>0</v>
      </c>
      <c r="X322" s="152">
        <f t="shared" si="227"/>
        <v>0</v>
      </c>
      <c r="Y322" s="218" t="s">
        <v>170</v>
      </c>
      <c r="Z322" s="169"/>
      <c r="AA322" s="160" t="s">
        <v>162</v>
      </c>
      <c r="AB322" s="160" t="s">
        <v>162</v>
      </c>
      <c r="AC322" s="160" t="s">
        <v>162</v>
      </c>
      <c r="AD322" s="160" t="s">
        <v>162</v>
      </c>
      <c r="AE322" s="169"/>
      <c r="AF322" s="169"/>
      <c r="AG322" s="169"/>
      <c r="AH322" s="169"/>
      <c r="AI322" s="169"/>
      <c r="AJ322" s="169"/>
      <c r="AK322" s="169"/>
      <c r="AL322" s="169"/>
      <c r="AM322" s="169"/>
      <c r="AN322" s="169"/>
      <c r="AO322" s="169"/>
      <c r="AP322" s="169"/>
      <c r="AQ322" s="169"/>
      <c r="AR322" s="169"/>
      <c r="AS322" s="169"/>
      <c r="AT322" s="169"/>
      <c r="AU322" s="169"/>
      <c r="AV322" s="169"/>
      <c r="AW322" s="169"/>
      <c r="AX322" s="169"/>
      <c r="AY322" s="169"/>
      <c r="AZ322" s="169"/>
      <c r="BA322" s="169"/>
      <c r="BB322" s="169"/>
      <c r="BC322" s="169"/>
    </row>
    <row r="323" spans="1:55" ht="14.25" customHeight="1">
      <c r="A323" s="507"/>
      <c r="B323" s="156" t="s">
        <v>163</v>
      </c>
      <c r="C323" s="217"/>
      <c r="D323" s="217"/>
      <c r="E323" s="217"/>
      <c r="F323" s="217"/>
      <c r="G323" s="217"/>
      <c r="H323" s="217"/>
      <c r="I323" s="217"/>
      <c r="J323" s="217"/>
      <c r="K323" s="217"/>
      <c r="L323" s="217"/>
      <c r="M323" s="217"/>
      <c r="N323" s="217"/>
      <c r="O323" s="217"/>
      <c r="P323" s="217"/>
      <c r="Q323" s="217"/>
      <c r="R323" s="217"/>
      <c r="S323" s="148" t="str">
        <f t="shared" si="223"/>
        <v>0</v>
      </c>
      <c r="T323" s="148" t="str">
        <f t="shared" si="224"/>
        <v>0</v>
      </c>
      <c r="U323" s="148" t="str">
        <f t="shared" si="225"/>
        <v>0</v>
      </c>
      <c r="V323" s="148" t="str">
        <f t="shared" si="226"/>
        <v>0</v>
      </c>
      <c r="W323" s="507"/>
      <c r="X323" s="152">
        <f t="shared" si="227"/>
        <v>0</v>
      </c>
      <c r="Y323" s="218" t="s">
        <v>169</v>
      </c>
      <c r="Z323" s="169"/>
      <c r="AA323" s="153" t="s">
        <v>162</v>
      </c>
      <c r="AB323" s="153" t="s">
        <v>162</v>
      </c>
      <c r="AC323" s="153" t="s">
        <v>162</v>
      </c>
      <c r="AD323" s="153" t="s">
        <v>162</v>
      </c>
      <c r="AE323" s="169"/>
      <c r="AF323" s="169"/>
      <c r="AG323" s="169"/>
      <c r="AH323" s="169"/>
      <c r="AI323" s="169"/>
      <c r="AJ323" s="169"/>
      <c r="AK323" s="169"/>
      <c r="AL323" s="169"/>
      <c r="AM323" s="169"/>
      <c r="AN323" s="169"/>
      <c r="AO323" s="169"/>
      <c r="AP323" s="169"/>
      <c r="AQ323" s="169"/>
      <c r="AR323" s="169"/>
      <c r="AS323" s="169"/>
      <c r="AT323" s="169"/>
      <c r="AU323" s="169"/>
      <c r="AV323" s="169"/>
      <c r="AW323" s="169"/>
      <c r="AX323" s="169"/>
      <c r="AY323" s="169"/>
      <c r="AZ323" s="169"/>
      <c r="BA323" s="169"/>
      <c r="BB323" s="169"/>
      <c r="BC323" s="169"/>
    </row>
    <row r="324" spans="1:55" ht="14.25" customHeight="1">
      <c r="A324" s="507"/>
      <c r="B324" s="156" t="s">
        <v>164</v>
      </c>
      <c r="C324" s="217"/>
      <c r="D324" s="217"/>
      <c r="E324" s="217"/>
      <c r="F324" s="217"/>
      <c r="G324" s="217"/>
      <c r="H324" s="217"/>
      <c r="I324" s="217"/>
      <c r="J324" s="217"/>
      <c r="K324" s="217"/>
      <c r="L324" s="217"/>
      <c r="M324" s="217"/>
      <c r="N324" s="217"/>
      <c r="O324" s="217"/>
      <c r="P324" s="217"/>
      <c r="Q324" s="217"/>
      <c r="R324" s="217"/>
      <c r="S324" s="148" t="str">
        <f t="shared" si="223"/>
        <v>0</v>
      </c>
      <c r="T324" s="148" t="str">
        <f t="shared" si="224"/>
        <v>0</v>
      </c>
      <c r="U324" s="148" t="str">
        <f t="shared" si="225"/>
        <v>0</v>
      </c>
      <c r="V324" s="148" t="str">
        <f t="shared" si="226"/>
        <v>0</v>
      </c>
      <c r="W324" s="507"/>
      <c r="X324" s="152">
        <f t="shared" si="227"/>
        <v>0</v>
      </c>
      <c r="Y324" s="218" t="s">
        <v>169</v>
      </c>
      <c r="Z324" s="169"/>
      <c r="AA324" s="153" t="s">
        <v>162</v>
      </c>
      <c r="AB324" s="153" t="s">
        <v>162</v>
      </c>
      <c r="AC324" s="153" t="s">
        <v>162</v>
      </c>
      <c r="AD324" s="153" t="s">
        <v>162</v>
      </c>
      <c r="AE324" s="169"/>
      <c r="AF324" s="169"/>
      <c r="AG324" s="169"/>
      <c r="AH324" s="169"/>
      <c r="AI324" s="169"/>
      <c r="AJ324" s="169"/>
      <c r="AK324" s="169"/>
      <c r="AL324" s="169"/>
      <c r="AM324" s="169"/>
      <c r="AN324" s="169"/>
      <c r="AO324" s="169"/>
      <c r="AP324" s="169"/>
      <c r="AQ324" s="169"/>
      <c r="AR324" s="169"/>
      <c r="AS324" s="169"/>
      <c r="AT324" s="169"/>
      <c r="AU324" s="169"/>
      <c r="AV324" s="169"/>
      <c r="AW324" s="169"/>
      <c r="AX324" s="169"/>
      <c r="AY324" s="169"/>
      <c r="AZ324" s="169"/>
      <c r="BA324" s="169"/>
      <c r="BB324" s="169"/>
      <c r="BC324" s="169"/>
    </row>
    <row r="325" spans="1:55" ht="14.25" customHeight="1">
      <c r="A325" s="507"/>
      <c r="B325" s="156" t="s">
        <v>165</v>
      </c>
      <c r="C325" s="217"/>
      <c r="D325" s="217"/>
      <c r="E325" s="217"/>
      <c r="F325" s="217"/>
      <c r="G325" s="217"/>
      <c r="H325" s="217"/>
      <c r="I325" s="217"/>
      <c r="J325" s="217"/>
      <c r="K325" s="217"/>
      <c r="L325" s="217"/>
      <c r="M325" s="217"/>
      <c r="N325" s="217"/>
      <c r="O325" s="217"/>
      <c r="P325" s="217"/>
      <c r="Q325" s="217"/>
      <c r="R325" s="217"/>
      <c r="S325" s="148" t="str">
        <f t="shared" si="223"/>
        <v>0</v>
      </c>
      <c r="T325" s="148" t="str">
        <f t="shared" si="224"/>
        <v>0</v>
      </c>
      <c r="U325" s="148" t="str">
        <f t="shared" si="225"/>
        <v>0</v>
      </c>
      <c r="V325" s="148" t="str">
        <f t="shared" si="226"/>
        <v>0</v>
      </c>
      <c r="W325" s="507"/>
      <c r="X325" s="152">
        <f t="shared" si="227"/>
        <v>0</v>
      </c>
      <c r="Y325" s="218" t="s">
        <v>169</v>
      </c>
      <c r="Z325" s="169"/>
      <c r="AA325" s="153" t="s">
        <v>162</v>
      </c>
      <c r="AB325" s="153" t="s">
        <v>162</v>
      </c>
      <c r="AC325" s="153" t="s">
        <v>162</v>
      </c>
      <c r="AD325" s="153" t="s">
        <v>162</v>
      </c>
      <c r="AE325" s="169"/>
      <c r="AF325" s="169"/>
      <c r="AG325" s="169"/>
      <c r="AH325" s="169"/>
      <c r="AI325" s="169"/>
      <c r="AJ325" s="169"/>
      <c r="AK325" s="169"/>
      <c r="AL325" s="169"/>
      <c r="AM325" s="169"/>
      <c r="AN325" s="169"/>
      <c r="AO325" s="169"/>
      <c r="AP325" s="169"/>
      <c r="AQ325" s="169"/>
      <c r="AR325" s="169"/>
      <c r="AS325" s="169"/>
      <c r="AT325" s="169"/>
      <c r="AU325" s="169"/>
      <c r="AV325" s="169"/>
      <c r="AW325" s="169"/>
      <c r="AX325" s="169"/>
      <c r="AY325" s="169"/>
      <c r="AZ325" s="169"/>
      <c r="BA325" s="169"/>
      <c r="BB325" s="169"/>
      <c r="BC325" s="169"/>
    </row>
    <row r="326" spans="1:55" ht="14.25" customHeight="1">
      <c r="A326" s="508"/>
      <c r="B326" s="156" t="s">
        <v>166</v>
      </c>
      <c r="C326" s="217"/>
      <c r="D326" s="217"/>
      <c r="E326" s="217"/>
      <c r="F326" s="217"/>
      <c r="G326" s="217"/>
      <c r="H326" s="217"/>
      <c r="I326" s="217"/>
      <c r="J326" s="217"/>
      <c r="K326" s="217"/>
      <c r="L326" s="217"/>
      <c r="M326" s="217"/>
      <c r="N326" s="217"/>
      <c r="O326" s="217"/>
      <c r="P326" s="217"/>
      <c r="Q326" s="217"/>
      <c r="R326" s="217"/>
      <c r="S326" s="148" t="str">
        <f t="shared" si="223"/>
        <v>0</v>
      </c>
      <c r="T326" s="148" t="str">
        <f t="shared" si="224"/>
        <v>0</v>
      </c>
      <c r="U326" s="148" t="str">
        <f t="shared" si="225"/>
        <v>0</v>
      </c>
      <c r="V326" s="148" t="str">
        <f t="shared" si="226"/>
        <v>0</v>
      </c>
      <c r="W326" s="508"/>
      <c r="X326" s="152">
        <f t="shared" si="227"/>
        <v>0</v>
      </c>
      <c r="Y326" s="218" t="s">
        <v>169</v>
      </c>
      <c r="Z326" s="169"/>
      <c r="AA326" s="161" t="s">
        <v>162</v>
      </c>
      <c r="AB326" s="161" t="s">
        <v>162</v>
      </c>
      <c r="AC326" s="161" t="s">
        <v>162</v>
      </c>
      <c r="AD326" s="161" t="s">
        <v>162</v>
      </c>
      <c r="AE326" s="169"/>
      <c r="AF326" s="169"/>
      <c r="AG326" s="169"/>
      <c r="AH326" s="169"/>
      <c r="AI326" s="169"/>
      <c r="AJ326" s="169"/>
      <c r="AK326" s="169"/>
      <c r="AL326" s="169"/>
      <c r="AM326" s="169"/>
      <c r="AN326" s="169"/>
      <c r="AO326" s="169"/>
      <c r="AP326" s="169"/>
      <c r="AQ326" s="169"/>
      <c r="AR326" s="169"/>
      <c r="AS326" s="169"/>
      <c r="AT326" s="169"/>
      <c r="AU326" s="169"/>
      <c r="AV326" s="169"/>
      <c r="AW326" s="169"/>
      <c r="AX326" s="169"/>
      <c r="AY326" s="169"/>
      <c r="AZ326" s="169"/>
      <c r="BA326" s="169"/>
      <c r="BB326" s="169"/>
      <c r="BC326" s="169"/>
    </row>
    <row r="327" spans="1:55" ht="14.25" customHeight="1">
      <c r="A327" s="506" t="s">
        <v>71</v>
      </c>
      <c r="B327" s="156" t="s">
        <v>160</v>
      </c>
      <c r="C327" s="217"/>
      <c r="D327" s="217"/>
      <c r="E327" s="217"/>
      <c r="F327" s="217"/>
      <c r="G327" s="217"/>
      <c r="H327" s="217"/>
      <c r="I327" s="217"/>
      <c r="J327" s="217"/>
      <c r="K327" s="217"/>
      <c r="L327" s="217"/>
      <c r="M327" s="217"/>
      <c r="N327" s="217"/>
      <c r="O327" s="217"/>
      <c r="P327" s="217"/>
      <c r="Q327" s="217"/>
      <c r="R327" s="217"/>
      <c r="S327" s="148" t="str">
        <f t="shared" si="223"/>
        <v>0</v>
      </c>
      <c r="T327" s="148" t="str">
        <f t="shared" si="224"/>
        <v>0</v>
      </c>
      <c r="U327" s="148" t="str">
        <f t="shared" si="225"/>
        <v>0</v>
      </c>
      <c r="V327" s="148" t="str">
        <f t="shared" si="226"/>
        <v>0</v>
      </c>
      <c r="W327" s="513">
        <f>SUM(X327:X331)/5</f>
        <v>0</v>
      </c>
      <c r="X327" s="152">
        <f t="shared" si="227"/>
        <v>0</v>
      </c>
      <c r="Y327" s="218" t="s">
        <v>171</v>
      </c>
      <c r="Z327" s="221"/>
      <c r="AA327" s="159" t="s">
        <v>162</v>
      </c>
      <c r="AB327" s="159" t="s">
        <v>162</v>
      </c>
      <c r="AC327" s="159" t="s">
        <v>162</v>
      </c>
      <c r="AD327" s="159" t="s">
        <v>162</v>
      </c>
      <c r="AE327" s="185"/>
      <c r="AF327" s="169"/>
      <c r="AG327" s="169"/>
      <c r="AH327" s="169"/>
      <c r="AI327" s="169"/>
      <c r="AJ327" s="169"/>
      <c r="AK327" s="169"/>
      <c r="AL327" s="169"/>
      <c r="AM327" s="169"/>
      <c r="AN327" s="169"/>
      <c r="AO327" s="169"/>
      <c r="AP327" s="169"/>
      <c r="AQ327" s="169"/>
      <c r="AR327" s="169"/>
      <c r="AS327" s="169"/>
      <c r="AT327" s="169"/>
      <c r="AU327" s="169"/>
      <c r="AV327" s="169"/>
      <c r="AW327" s="169"/>
      <c r="AX327" s="169"/>
      <c r="AY327" s="169"/>
      <c r="AZ327" s="169"/>
      <c r="BA327" s="169"/>
      <c r="BB327" s="169"/>
      <c r="BC327" s="169"/>
    </row>
    <row r="328" spans="1:55" ht="14.25" customHeight="1">
      <c r="A328" s="507"/>
      <c r="B328" s="156" t="s">
        <v>163</v>
      </c>
      <c r="C328" s="217"/>
      <c r="D328" s="217"/>
      <c r="E328" s="217"/>
      <c r="F328" s="217"/>
      <c r="G328" s="217"/>
      <c r="H328" s="217"/>
      <c r="I328" s="217"/>
      <c r="J328" s="217"/>
      <c r="K328" s="217"/>
      <c r="L328" s="217"/>
      <c r="M328" s="217"/>
      <c r="N328" s="217"/>
      <c r="O328" s="217"/>
      <c r="P328" s="217"/>
      <c r="Q328" s="217"/>
      <c r="R328" s="217"/>
      <c r="S328" s="148" t="str">
        <f t="shared" si="223"/>
        <v>0</v>
      </c>
      <c r="T328" s="148" t="str">
        <f t="shared" si="224"/>
        <v>0</v>
      </c>
      <c r="U328" s="148" t="str">
        <f t="shared" si="225"/>
        <v>0</v>
      </c>
      <c r="V328" s="148" t="str">
        <f t="shared" si="226"/>
        <v>0</v>
      </c>
      <c r="W328" s="507"/>
      <c r="X328" s="152">
        <f t="shared" si="227"/>
        <v>0</v>
      </c>
      <c r="Y328" s="218" t="s">
        <v>169</v>
      </c>
      <c r="Z328" s="221"/>
      <c r="AA328" s="159" t="s">
        <v>162</v>
      </c>
      <c r="AB328" s="159" t="s">
        <v>162</v>
      </c>
      <c r="AC328" s="159" t="s">
        <v>162</v>
      </c>
      <c r="AD328" s="159" t="s">
        <v>162</v>
      </c>
      <c r="AE328" s="185"/>
      <c r="AF328" s="169"/>
      <c r="AG328" s="169"/>
      <c r="AH328" s="169"/>
      <c r="AI328" s="169"/>
      <c r="AJ328" s="169"/>
      <c r="AK328" s="169"/>
      <c r="AL328" s="169"/>
      <c r="AM328" s="169"/>
      <c r="AN328" s="169"/>
      <c r="AO328" s="169"/>
      <c r="AP328" s="169"/>
      <c r="AQ328" s="169"/>
      <c r="AR328" s="169"/>
      <c r="AS328" s="169"/>
      <c r="AT328" s="169"/>
      <c r="AU328" s="169"/>
      <c r="AV328" s="169"/>
      <c r="AW328" s="169"/>
      <c r="AX328" s="169"/>
      <c r="AY328" s="169"/>
      <c r="AZ328" s="169"/>
      <c r="BA328" s="169"/>
      <c r="BB328" s="169"/>
      <c r="BC328" s="169"/>
    </row>
    <row r="329" spans="1:55" ht="14.25" customHeight="1">
      <c r="A329" s="507"/>
      <c r="B329" s="156" t="s">
        <v>164</v>
      </c>
      <c r="C329" s="217"/>
      <c r="D329" s="217"/>
      <c r="E329" s="217"/>
      <c r="F329" s="217"/>
      <c r="G329" s="217"/>
      <c r="H329" s="217"/>
      <c r="I329" s="217"/>
      <c r="J329" s="217"/>
      <c r="K329" s="217"/>
      <c r="L329" s="217"/>
      <c r="M329" s="217"/>
      <c r="N329" s="217"/>
      <c r="O329" s="217"/>
      <c r="P329" s="217"/>
      <c r="Q329" s="217"/>
      <c r="R329" s="217"/>
      <c r="S329" s="148" t="str">
        <f t="shared" si="223"/>
        <v>0</v>
      </c>
      <c r="T329" s="148" t="str">
        <f t="shared" si="224"/>
        <v>0</v>
      </c>
      <c r="U329" s="148" t="str">
        <f t="shared" si="225"/>
        <v>0</v>
      </c>
      <c r="V329" s="148" t="str">
        <f t="shared" si="226"/>
        <v>0</v>
      </c>
      <c r="W329" s="507"/>
      <c r="X329" s="152">
        <f t="shared" si="227"/>
        <v>0</v>
      </c>
      <c r="Y329" s="218" t="s">
        <v>169</v>
      </c>
      <c r="Z329" s="221"/>
      <c r="AA329" s="159" t="s">
        <v>162</v>
      </c>
      <c r="AB329" s="159" t="s">
        <v>162</v>
      </c>
      <c r="AC329" s="159" t="s">
        <v>162</v>
      </c>
      <c r="AD329" s="159" t="s">
        <v>162</v>
      </c>
      <c r="AE329" s="185"/>
      <c r="AF329" s="169"/>
      <c r="AG329" s="169"/>
      <c r="AH329" s="169"/>
      <c r="AI329" s="169"/>
      <c r="AJ329" s="169"/>
      <c r="AK329" s="169"/>
      <c r="AL329" s="169"/>
      <c r="AM329" s="169"/>
      <c r="AN329" s="169"/>
      <c r="AO329" s="169"/>
      <c r="AP329" s="169"/>
      <c r="AQ329" s="169"/>
      <c r="AR329" s="169"/>
      <c r="AS329" s="169"/>
      <c r="AT329" s="169"/>
      <c r="AU329" s="169"/>
      <c r="AV329" s="169"/>
      <c r="AW329" s="169"/>
      <c r="AX329" s="169"/>
      <c r="AY329" s="169"/>
      <c r="AZ329" s="169"/>
      <c r="BA329" s="169"/>
      <c r="BB329" s="169"/>
      <c r="BC329" s="169"/>
    </row>
    <row r="330" spans="1:55" ht="14.25" customHeight="1">
      <c r="A330" s="507"/>
      <c r="B330" s="156" t="s">
        <v>165</v>
      </c>
      <c r="C330" s="217"/>
      <c r="D330" s="217"/>
      <c r="E330" s="217"/>
      <c r="F330" s="217"/>
      <c r="G330" s="217"/>
      <c r="H330" s="217"/>
      <c r="I330" s="217"/>
      <c r="J330" s="217"/>
      <c r="K330" s="217"/>
      <c r="L330" s="217"/>
      <c r="M330" s="217"/>
      <c r="N330" s="217"/>
      <c r="O330" s="217"/>
      <c r="P330" s="217"/>
      <c r="Q330" s="217"/>
      <c r="R330" s="217"/>
      <c r="S330" s="148" t="str">
        <f t="shared" si="223"/>
        <v>0</v>
      </c>
      <c r="T330" s="148" t="str">
        <f t="shared" si="224"/>
        <v>0</v>
      </c>
      <c r="U330" s="148" t="str">
        <f t="shared" si="225"/>
        <v>0</v>
      </c>
      <c r="V330" s="148" t="str">
        <f t="shared" si="226"/>
        <v>0</v>
      </c>
      <c r="W330" s="507"/>
      <c r="X330" s="152">
        <f t="shared" si="227"/>
        <v>0</v>
      </c>
      <c r="Y330" s="218" t="s">
        <v>169</v>
      </c>
      <c r="Z330" s="221"/>
      <c r="AA330" s="159" t="s">
        <v>162</v>
      </c>
      <c r="AB330" s="159" t="s">
        <v>162</v>
      </c>
      <c r="AC330" s="159" t="s">
        <v>162</v>
      </c>
      <c r="AD330" s="159" t="s">
        <v>162</v>
      </c>
      <c r="AE330" s="185"/>
      <c r="AF330" s="169"/>
      <c r="AG330" s="169"/>
      <c r="AH330" s="169"/>
      <c r="AI330" s="169"/>
      <c r="AJ330" s="169"/>
      <c r="AK330" s="169"/>
      <c r="AL330" s="169"/>
      <c r="AM330" s="169"/>
      <c r="AN330" s="169"/>
      <c r="AO330" s="169"/>
      <c r="AP330" s="169"/>
      <c r="AQ330" s="169"/>
      <c r="AR330" s="169"/>
      <c r="AS330" s="169"/>
      <c r="AT330" s="169"/>
      <c r="AU330" s="169"/>
      <c r="AV330" s="169"/>
      <c r="AW330" s="169"/>
      <c r="AX330" s="169"/>
      <c r="AY330" s="169"/>
      <c r="AZ330" s="169"/>
      <c r="BA330" s="169"/>
      <c r="BB330" s="169"/>
      <c r="BC330" s="169"/>
    </row>
    <row r="331" spans="1:55" ht="14.25" customHeight="1">
      <c r="A331" s="508"/>
      <c r="B331" s="156" t="s">
        <v>166</v>
      </c>
      <c r="C331" s="217"/>
      <c r="D331" s="217"/>
      <c r="E331" s="217"/>
      <c r="F331" s="217"/>
      <c r="G331" s="217"/>
      <c r="H331" s="217"/>
      <c r="I331" s="217"/>
      <c r="J331" s="217"/>
      <c r="K331" s="217"/>
      <c r="L331" s="217"/>
      <c r="M331" s="217"/>
      <c r="N331" s="217"/>
      <c r="O331" s="217"/>
      <c r="P331" s="217"/>
      <c r="Q331" s="217"/>
      <c r="R331" s="217"/>
      <c r="S331" s="148" t="str">
        <f t="shared" si="223"/>
        <v>0</v>
      </c>
      <c r="T331" s="148" t="str">
        <f t="shared" si="224"/>
        <v>0</v>
      </c>
      <c r="U331" s="148" t="str">
        <f t="shared" si="225"/>
        <v>0</v>
      </c>
      <c r="V331" s="148" t="str">
        <f t="shared" si="226"/>
        <v>0</v>
      </c>
      <c r="W331" s="508"/>
      <c r="X331" s="152">
        <f t="shared" si="227"/>
        <v>0</v>
      </c>
      <c r="Y331" s="218" t="s">
        <v>169</v>
      </c>
      <c r="Z331" s="221"/>
      <c r="AA331" s="159" t="s">
        <v>162</v>
      </c>
      <c r="AB331" s="159" t="s">
        <v>162</v>
      </c>
      <c r="AC331" s="159" t="s">
        <v>162</v>
      </c>
      <c r="AD331" s="159" t="s">
        <v>162</v>
      </c>
      <c r="AE331" s="185"/>
      <c r="AF331" s="169"/>
      <c r="AG331" s="169"/>
      <c r="AH331" s="169"/>
      <c r="AI331" s="169"/>
      <c r="AJ331" s="169"/>
      <c r="AK331" s="169"/>
      <c r="AL331" s="169"/>
      <c r="AM331" s="169"/>
      <c r="AN331" s="169"/>
      <c r="AO331" s="169"/>
      <c r="AP331" s="169"/>
      <c r="AQ331" s="169"/>
      <c r="AR331" s="169"/>
      <c r="AS331" s="169"/>
      <c r="AT331" s="169"/>
      <c r="AU331" s="169"/>
      <c r="AV331" s="169"/>
      <c r="AW331" s="169"/>
      <c r="AX331" s="169"/>
      <c r="AY331" s="169"/>
      <c r="AZ331" s="169"/>
      <c r="BA331" s="169"/>
      <c r="BB331" s="169"/>
      <c r="BC331" s="169"/>
    </row>
    <row r="332" spans="1:55" ht="14.25" customHeight="1">
      <c r="A332" s="506" t="s">
        <v>73</v>
      </c>
      <c r="B332" s="156" t="s">
        <v>160</v>
      </c>
      <c r="C332" s="217"/>
      <c r="D332" s="217"/>
      <c r="E332" s="217"/>
      <c r="F332" s="217"/>
      <c r="G332" s="217"/>
      <c r="H332" s="217"/>
      <c r="I332" s="217"/>
      <c r="J332" s="217"/>
      <c r="K332" s="217"/>
      <c r="L332" s="217"/>
      <c r="M332" s="217"/>
      <c r="N332" s="217"/>
      <c r="O332" s="217"/>
      <c r="P332" s="217"/>
      <c r="Q332" s="217"/>
      <c r="R332" s="217"/>
      <c r="S332" s="148" t="str">
        <f t="shared" si="223"/>
        <v>0</v>
      </c>
      <c r="T332" s="148" t="str">
        <f t="shared" si="224"/>
        <v>0</v>
      </c>
      <c r="U332" s="148" t="str">
        <f t="shared" si="225"/>
        <v>0</v>
      </c>
      <c r="V332" s="148" t="str">
        <f t="shared" si="226"/>
        <v>0</v>
      </c>
      <c r="W332" s="513">
        <f>SUM(X332:X335)/4</f>
        <v>0</v>
      </c>
      <c r="X332" s="152">
        <f t="shared" si="227"/>
        <v>0</v>
      </c>
      <c r="Y332" s="218" t="s">
        <v>173</v>
      </c>
      <c r="Z332" s="169"/>
      <c r="AA332" s="160" t="s">
        <v>162</v>
      </c>
      <c r="AB332" s="160" t="s">
        <v>162</v>
      </c>
      <c r="AC332" s="160" t="s">
        <v>162</v>
      </c>
      <c r="AD332" s="160" t="s">
        <v>162</v>
      </c>
      <c r="AE332" s="169"/>
      <c r="AF332" s="169"/>
      <c r="AG332" s="169"/>
      <c r="AH332" s="169"/>
      <c r="AI332" s="169"/>
      <c r="AJ332" s="169"/>
      <c r="AK332" s="169"/>
      <c r="AL332" s="169"/>
      <c r="AM332" s="169"/>
      <c r="AN332" s="169"/>
      <c r="AO332" s="169"/>
      <c r="AP332" s="169"/>
      <c r="AQ332" s="169"/>
      <c r="AR332" s="169"/>
      <c r="AS332" s="169"/>
      <c r="AT332" s="169"/>
      <c r="AU332" s="169"/>
      <c r="AV332" s="169"/>
      <c r="AW332" s="169"/>
      <c r="AX332" s="169"/>
      <c r="AY332" s="169"/>
      <c r="AZ332" s="169"/>
      <c r="BA332" s="169"/>
      <c r="BB332" s="169"/>
      <c r="BC332" s="169"/>
    </row>
    <row r="333" spans="1:55" ht="14.25" customHeight="1">
      <c r="A333" s="507"/>
      <c r="B333" s="156" t="s">
        <v>163</v>
      </c>
      <c r="C333" s="217"/>
      <c r="D333" s="217"/>
      <c r="E333" s="217"/>
      <c r="F333" s="217"/>
      <c r="G333" s="217"/>
      <c r="H333" s="217"/>
      <c r="I333" s="217"/>
      <c r="J333" s="217"/>
      <c r="K333" s="217"/>
      <c r="L333" s="217"/>
      <c r="M333" s="217"/>
      <c r="N333" s="217"/>
      <c r="O333" s="217"/>
      <c r="P333" s="217"/>
      <c r="Q333" s="217"/>
      <c r="R333" s="217"/>
      <c r="S333" s="148" t="str">
        <f t="shared" si="223"/>
        <v>0</v>
      </c>
      <c r="T333" s="148" t="str">
        <f t="shared" si="224"/>
        <v>0</v>
      </c>
      <c r="U333" s="148" t="str">
        <f t="shared" si="225"/>
        <v>0</v>
      </c>
      <c r="V333" s="148" t="str">
        <f t="shared" si="226"/>
        <v>0</v>
      </c>
      <c r="W333" s="507"/>
      <c r="X333" s="152">
        <f t="shared" si="227"/>
        <v>0</v>
      </c>
      <c r="Y333" s="218" t="s">
        <v>169</v>
      </c>
      <c r="Z333" s="169"/>
      <c r="AA333" s="153" t="s">
        <v>162</v>
      </c>
      <c r="AB333" s="153" t="s">
        <v>162</v>
      </c>
      <c r="AC333" s="153" t="s">
        <v>162</v>
      </c>
      <c r="AD333" s="153" t="s">
        <v>162</v>
      </c>
      <c r="AE333" s="169"/>
      <c r="AF333" s="169"/>
      <c r="AG333" s="169"/>
      <c r="AH333" s="169"/>
      <c r="AI333" s="169"/>
      <c r="AJ333" s="169"/>
      <c r="AK333" s="169"/>
      <c r="AL333" s="169"/>
      <c r="AM333" s="169"/>
      <c r="AN333" s="169"/>
      <c r="AO333" s="169"/>
      <c r="AP333" s="169"/>
      <c r="AQ333" s="169"/>
      <c r="AR333" s="169"/>
      <c r="AS333" s="169"/>
      <c r="AT333" s="169"/>
      <c r="AU333" s="169"/>
      <c r="AV333" s="169"/>
      <c r="AW333" s="169"/>
      <c r="AX333" s="169"/>
      <c r="AY333" s="169"/>
      <c r="AZ333" s="169"/>
      <c r="BA333" s="169"/>
      <c r="BB333" s="169"/>
      <c r="BC333" s="169"/>
    </row>
    <row r="334" spans="1:55" ht="14.25" customHeight="1">
      <c r="A334" s="507"/>
      <c r="B334" s="156" t="s">
        <v>164</v>
      </c>
      <c r="C334" s="217"/>
      <c r="D334" s="217"/>
      <c r="E334" s="217"/>
      <c r="F334" s="217"/>
      <c r="G334" s="217"/>
      <c r="H334" s="217"/>
      <c r="I334" s="217"/>
      <c r="J334" s="217"/>
      <c r="K334" s="217"/>
      <c r="L334" s="217"/>
      <c r="M334" s="217"/>
      <c r="N334" s="217"/>
      <c r="O334" s="217"/>
      <c r="P334" s="217"/>
      <c r="Q334" s="217"/>
      <c r="R334" s="217"/>
      <c r="S334" s="148" t="str">
        <f t="shared" si="223"/>
        <v>0</v>
      </c>
      <c r="T334" s="148" t="str">
        <f t="shared" si="224"/>
        <v>0</v>
      </c>
      <c r="U334" s="148" t="str">
        <f t="shared" si="225"/>
        <v>0</v>
      </c>
      <c r="V334" s="148" t="str">
        <f t="shared" si="226"/>
        <v>0</v>
      </c>
      <c r="W334" s="507"/>
      <c r="X334" s="152">
        <f t="shared" si="227"/>
        <v>0</v>
      </c>
      <c r="Y334" s="218" t="s">
        <v>169</v>
      </c>
      <c r="Z334" s="169"/>
      <c r="AA334" s="153" t="s">
        <v>162</v>
      </c>
      <c r="AB334" s="153" t="s">
        <v>162</v>
      </c>
      <c r="AC334" s="153" t="s">
        <v>162</v>
      </c>
      <c r="AD334" s="153" t="s">
        <v>162</v>
      </c>
      <c r="AE334" s="169"/>
      <c r="AF334" s="169"/>
      <c r="AG334" s="169"/>
      <c r="AH334" s="169"/>
      <c r="AI334" s="169"/>
      <c r="AJ334" s="169"/>
      <c r="AK334" s="169"/>
      <c r="AL334" s="169"/>
      <c r="AM334" s="169"/>
      <c r="AN334" s="169"/>
      <c r="AO334" s="169"/>
      <c r="AP334" s="169"/>
      <c r="AQ334" s="169"/>
      <c r="AR334" s="169"/>
      <c r="AS334" s="169"/>
      <c r="AT334" s="169"/>
      <c r="AU334" s="169"/>
      <c r="AV334" s="169"/>
      <c r="AW334" s="169"/>
      <c r="AX334" s="169"/>
      <c r="AY334" s="169"/>
      <c r="AZ334" s="169"/>
      <c r="BA334" s="169"/>
      <c r="BB334" s="169"/>
      <c r="BC334" s="169"/>
    </row>
    <row r="335" spans="1:55" ht="14.25" customHeight="1">
      <c r="A335" s="507"/>
      <c r="B335" s="156" t="s">
        <v>165</v>
      </c>
      <c r="C335" s="217"/>
      <c r="D335" s="217"/>
      <c r="E335" s="217"/>
      <c r="F335" s="217"/>
      <c r="G335" s="217"/>
      <c r="H335" s="217"/>
      <c r="I335" s="217"/>
      <c r="J335" s="217"/>
      <c r="K335" s="217"/>
      <c r="L335" s="217"/>
      <c r="M335" s="217"/>
      <c r="N335" s="217"/>
      <c r="O335" s="217"/>
      <c r="P335" s="217"/>
      <c r="Q335" s="217"/>
      <c r="R335" s="217"/>
      <c r="S335" s="148" t="str">
        <f t="shared" si="223"/>
        <v>0</v>
      </c>
      <c r="T335" s="148" t="str">
        <f t="shared" si="224"/>
        <v>0</v>
      </c>
      <c r="U335" s="148" t="str">
        <f t="shared" si="225"/>
        <v>0</v>
      </c>
      <c r="V335" s="148" t="str">
        <f t="shared" si="226"/>
        <v>0</v>
      </c>
      <c r="W335" s="507"/>
      <c r="X335" s="152">
        <f t="shared" si="227"/>
        <v>0</v>
      </c>
      <c r="Y335" s="218" t="s">
        <v>169</v>
      </c>
      <c r="Z335" s="169"/>
      <c r="AA335" s="153" t="s">
        <v>162</v>
      </c>
      <c r="AB335" s="153" t="s">
        <v>162</v>
      </c>
      <c r="AC335" s="153" t="s">
        <v>162</v>
      </c>
      <c r="AD335" s="153" t="s">
        <v>162</v>
      </c>
      <c r="AE335" s="169"/>
      <c r="AF335" s="169"/>
      <c r="AG335" s="169"/>
      <c r="AH335" s="169"/>
      <c r="AI335" s="169"/>
      <c r="AJ335" s="169"/>
      <c r="AK335" s="169"/>
      <c r="AL335" s="169"/>
      <c r="AM335" s="169"/>
      <c r="AN335" s="169"/>
      <c r="AO335" s="169"/>
      <c r="AP335" s="169"/>
      <c r="AQ335" s="169"/>
      <c r="AR335" s="169"/>
      <c r="AS335" s="169"/>
      <c r="AT335" s="169"/>
      <c r="AU335" s="169"/>
      <c r="AV335" s="169"/>
      <c r="AW335" s="169"/>
      <c r="AX335" s="169"/>
      <c r="AY335" s="169"/>
      <c r="AZ335" s="169"/>
      <c r="BA335" s="169"/>
      <c r="BB335" s="169"/>
      <c r="BC335" s="169"/>
    </row>
    <row r="336" spans="1:55" ht="14.25" customHeight="1">
      <c r="A336" s="508"/>
      <c r="B336" s="156" t="s">
        <v>166</v>
      </c>
      <c r="C336" s="217"/>
      <c r="D336" s="217"/>
      <c r="E336" s="217"/>
      <c r="F336" s="217"/>
      <c r="G336" s="217"/>
      <c r="H336" s="217"/>
      <c r="I336" s="217"/>
      <c r="J336" s="217"/>
      <c r="K336" s="217"/>
      <c r="L336" s="217"/>
      <c r="M336" s="217"/>
      <c r="N336" s="217"/>
      <c r="O336" s="217"/>
      <c r="P336" s="217"/>
      <c r="Q336" s="217"/>
      <c r="R336" s="217"/>
      <c r="S336" s="148" t="str">
        <f t="shared" si="223"/>
        <v>0</v>
      </c>
      <c r="T336" s="148" t="str">
        <f t="shared" si="224"/>
        <v>0</v>
      </c>
      <c r="U336" s="148" t="str">
        <f t="shared" si="225"/>
        <v>0</v>
      </c>
      <c r="V336" s="148" t="str">
        <f t="shared" si="226"/>
        <v>0</v>
      </c>
      <c r="W336" s="508"/>
      <c r="X336" s="152">
        <f t="shared" si="227"/>
        <v>0</v>
      </c>
      <c r="Y336" s="218" t="s">
        <v>169</v>
      </c>
      <c r="Z336" s="169"/>
      <c r="AA336" s="161" t="s">
        <v>162</v>
      </c>
      <c r="AB336" s="161" t="s">
        <v>162</v>
      </c>
      <c r="AC336" s="161" t="s">
        <v>162</v>
      </c>
      <c r="AD336" s="161" t="s">
        <v>162</v>
      </c>
      <c r="AE336" s="169"/>
      <c r="AF336" s="169"/>
      <c r="AG336" s="169"/>
      <c r="AH336" s="169"/>
      <c r="AI336" s="169"/>
      <c r="AJ336" s="169"/>
      <c r="AK336" s="169"/>
      <c r="AL336" s="169"/>
      <c r="AM336" s="169"/>
      <c r="AN336" s="169"/>
      <c r="AO336" s="169"/>
      <c r="AP336" s="169"/>
      <c r="AQ336" s="169"/>
      <c r="AR336" s="169"/>
      <c r="AS336" s="169"/>
      <c r="AT336" s="169"/>
      <c r="AU336" s="169"/>
      <c r="AV336" s="169"/>
      <c r="AW336" s="169"/>
      <c r="AX336" s="169"/>
      <c r="AY336" s="169"/>
      <c r="AZ336" s="169"/>
      <c r="BA336" s="169"/>
      <c r="BB336" s="169"/>
      <c r="BC336" s="169"/>
    </row>
    <row r="337" spans="1:55" ht="14.25" customHeight="1">
      <c r="A337" s="506" t="s">
        <v>74</v>
      </c>
      <c r="B337" s="156" t="s">
        <v>160</v>
      </c>
      <c r="C337" s="217"/>
      <c r="D337" s="217"/>
      <c r="E337" s="217"/>
      <c r="F337" s="217"/>
      <c r="G337" s="217"/>
      <c r="H337" s="217"/>
      <c r="I337" s="217"/>
      <c r="J337" s="217"/>
      <c r="K337" s="217"/>
      <c r="L337" s="217"/>
      <c r="M337" s="217"/>
      <c r="N337" s="217"/>
      <c r="O337" s="217"/>
      <c r="P337" s="217"/>
      <c r="Q337" s="217"/>
      <c r="R337" s="217"/>
      <c r="S337" s="148" t="str">
        <f t="shared" si="223"/>
        <v>0</v>
      </c>
      <c r="T337" s="148" t="str">
        <f t="shared" si="224"/>
        <v>0</v>
      </c>
      <c r="U337" s="148" t="str">
        <f t="shared" si="225"/>
        <v>0</v>
      </c>
      <c r="V337" s="148" t="str">
        <f t="shared" si="226"/>
        <v>0</v>
      </c>
      <c r="W337" s="513">
        <f>SUM(X337:X341)/5</f>
        <v>0</v>
      </c>
      <c r="X337" s="152">
        <f t="shared" si="227"/>
        <v>0</v>
      </c>
      <c r="Y337" s="218" t="s">
        <v>174</v>
      </c>
      <c r="Z337" s="221"/>
      <c r="AA337" s="159" t="s">
        <v>162</v>
      </c>
      <c r="AB337" s="159" t="s">
        <v>162</v>
      </c>
      <c r="AC337" s="159" t="s">
        <v>162</v>
      </c>
      <c r="AD337" s="159" t="s">
        <v>162</v>
      </c>
      <c r="AE337" s="185"/>
      <c r="AF337" s="169"/>
      <c r="AG337" s="169"/>
      <c r="AH337" s="169"/>
      <c r="AI337" s="169"/>
      <c r="AJ337" s="169"/>
      <c r="AK337" s="169"/>
      <c r="AL337" s="169"/>
      <c r="AM337" s="169"/>
      <c r="AN337" s="169"/>
      <c r="AO337" s="169"/>
      <c r="AP337" s="169"/>
      <c r="AQ337" s="169"/>
      <c r="AR337" s="169"/>
      <c r="AS337" s="169"/>
      <c r="AT337" s="169"/>
      <c r="AU337" s="169"/>
      <c r="AV337" s="169"/>
      <c r="AW337" s="169"/>
      <c r="AX337" s="169"/>
      <c r="AY337" s="169"/>
      <c r="AZ337" s="169"/>
      <c r="BA337" s="169"/>
      <c r="BB337" s="169"/>
      <c r="BC337" s="169"/>
    </row>
    <row r="338" spans="1:55" ht="14.25" customHeight="1">
      <c r="A338" s="507"/>
      <c r="B338" s="156" t="s">
        <v>163</v>
      </c>
      <c r="C338" s="217"/>
      <c r="D338" s="217"/>
      <c r="E338" s="217"/>
      <c r="F338" s="217"/>
      <c r="G338" s="217"/>
      <c r="H338" s="217"/>
      <c r="I338" s="217"/>
      <c r="J338" s="217"/>
      <c r="K338" s="217"/>
      <c r="L338" s="217"/>
      <c r="M338" s="217"/>
      <c r="N338" s="217"/>
      <c r="O338" s="217"/>
      <c r="P338" s="217"/>
      <c r="Q338" s="217"/>
      <c r="R338" s="217"/>
      <c r="S338" s="148" t="str">
        <f t="shared" si="223"/>
        <v>0</v>
      </c>
      <c r="T338" s="148" t="str">
        <f t="shared" si="224"/>
        <v>0</v>
      </c>
      <c r="U338" s="148" t="str">
        <f t="shared" si="225"/>
        <v>0</v>
      </c>
      <c r="V338" s="148" t="str">
        <f t="shared" si="226"/>
        <v>0</v>
      </c>
      <c r="W338" s="507"/>
      <c r="X338" s="152">
        <f t="shared" si="227"/>
        <v>0</v>
      </c>
      <c r="Y338" s="218" t="s">
        <v>169</v>
      </c>
      <c r="Z338" s="221"/>
      <c r="AA338" s="159" t="s">
        <v>162</v>
      </c>
      <c r="AB338" s="159" t="s">
        <v>162</v>
      </c>
      <c r="AC338" s="159" t="s">
        <v>162</v>
      </c>
      <c r="AD338" s="159" t="s">
        <v>162</v>
      </c>
      <c r="AE338" s="185"/>
      <c r="AF338" s="169"/>
      <c r="AG338" s="169"/>
      <c r="AH338" s="169"/>
      <c r="AI338" s="169"/>
      <c r="AJ338" s="169"/>
      <c r="AK338" s="169"/>
      <c r="AL338" s="169"/>
      <c r="AM338" s="169"/>
      <c r="AN338" s="169"/>
      <c r="AO338" s="169"/>
      <c r="AP338" s="169"/>
      <c r="AQ338" s="169"/>
      <c r="AR338" s="169"/>
      <c r="AS338" s="169"/>
      <c r="AT338" s="169"/>
      <c r="AU338" s="169"/>
      <c r="AV338" s="169"/>
      <c r="AW338" s="169"/>
      <c r="AX338" s="169"/>
      <c r="AY338" s="169"/>
      <c r="AZ338" s="169"/>
      <c r="BA338" s="169"/>
      <c r="BB338" s="169"/>
      <c r="BC338" s="169"/>
    </row>
    <row r="339" spans="1:55" ht="14.25" customHeight="1">
      <c r="A339" s="507"/>
      <c r="B339" s="156" t="s">
        <v>164</v>
      </c>
      <c r="C339" s="217"/>
      <c r="D339" s="217"/>
      <c r="E339" s="217"/>
      <c r="F339" s="217"/>
      <c r="G339" s="217"/>
      <c r="H339" s="217"/>
      <c r="I339" s="217"/>
      <c r="J339" s="217"/>
      <c r="K339" s="217"/>
      <c r="L339" s="217"/>
      <c r="M339" s="217"/>
      <c r="N339" s="217"/>
      <c r="O339" s="217"/>
      <c r="P339" s="217"/>
      <c r="Q339" s="217"/>
      <c r="R339" s="217"/>
      <c r="S339" s="148" t="str">
        <f t="shared" si="223"/>
        <v>0</v>
      </c>
      <c r="T339" s="148" t="str">
        <f t="shared" si="224"/>
        <v>0</v>
      </c>
      <c r="U339" s="148" t="str">
        <f t="shared" si="225"/>
        <v>0</v>
      </c>
      <c r="V339" s="148" t="str">
        <f t="shared" si="226"/>
        <v>0</v>
      </c>
      <c r="W339" s="507"/>
      <c r="X339" s="152">
        <f t="shared" si="227"/>
        <v>0</v>
      </c>
      <c r="Y339" s="218" t="s">
        <v>169</v>
      </c>
      <c r="Z339" s="221"/>
      <c r="AA339" s="159" t="s">
        <v>162</v>
      </c>
      <c r="AB339" s="159" t="s">
        <v>162</v>
      </c>
      <c r="AC339" s="159" t="s">
        <v>162</v>
      </c>
      <c r="AD339" s="159" t="s">
        <v>162</v>
      </c>
      <c r="AE339" s="185"/>
      <c r="AF339" s="169"/>
      <c r="AG339" s="169"/>
      <c r="AH339" s="169"/>
      <c r="AI339" s="169"/>
      <c r="AJ339" s="169"/>
      <c r="AK339" s="169"/>
      <c r="AL339" s="169"/>
      <c r="AM339" s="169"/>
      <c r="AN339" s="169"/>
      <c r="AO339" s="169"/>
      <c r="AP339" s="169"/>
      <c r="AQ339" s="169"/>
      <c r="AR339" s="169"/>
      <c r="AS339" s="169"/>
      <c r="AT339" s="169"/>
      <c r="AU339" s="169"/>
      <c r="AV339" s="169"/>
      <c r="AW339" s="169"/>
      <c r="AX339" s="169"/>
      <c r="AY339" s="169"/>
      <c r="AZ339" s="169"/>
      <c r="BA339" s="169"/>
      <c r="BB339" s="169"/>
      <c r="BC339" s="169"/>
    </row>
    <row r="340" spans="1:55" ht="14.25" customHeight="1">
      <c r="A340" s="507"/>
      <c r="B340" s="156" t="s">
        <v>165</v>
      </c>
      <c r="C340" s="217"/>
      <c r="D340" s="217"/>
      <c r="E340" s="217"/>
      <c r="F340" s="217"/>
      <c r="G340" s="217"/>
      <c r="H340" s="217"/>
      <c r="I340" s="217"/>
      <c r="J340" s="217"/>
      <c r="K340" s="217"/>
      <c r="L340" s="217"/>
      <c r="M340" s="217"/>
      <c r="N340" s="217"/>
      <c r="O340" s="217"/>
      <c r="P340" s="217"/>
      <c r="Q340" s="217"/>
      <c r="R340" s="217"/>
      <c r="S340" s="148" t="str">
        <f t="shared" si="223"/>
        <v>0</v>
      </c>
      <c r="T340" s="148" t="str">
        <f t="shared" si="224"/>
        <v>0</v>
      </c>
      <c r="U340" s="148" t="str">
        <f t="shared" si="225"/>
        <v>0</v>
      </c>
      <c r="V340" s="148" t="str">
        <f t="shared" si="226"/>
        <v>0</v>
      </c>
      <c r="W340" s="507"/>
      <c r="X340" s="152">
        <f t="shared" si="227"/>
        <v>0</v>
      </c>
      <c r="Y340" s="218" t="s">
        <v>169</v>
      </c>
      <c r="Z340" s="221"/>
      <c r="AA340" s="159" t="s">
        <v>162</v>
      </c>
      <c r="AB340" s="159" t="s">
        <v>162</v>
      </c>
      <c r="AC340" s="159" t="s">
        <v>162</v>
      </c>
      <c r="AD340" s="159" t="s">
        <v>162</v>
      </c>
      <c r="AE340" s="185"/>
      <c r="AF340" s="169"/>
      <c r="AG340" s="169"/>
      <c r="AH340" s="169"/>
      <c r="AI340" s="169"/>
      <c r="AJ340" s="169"/>
      <c r="AK340" s="169"/>
      <c r="AL340" s="169"/>
      <c r="AM340" s="169"/>
      <c r="AN340" s="169"/>
      <c r="AO340" s="169"/>
      <c r="AP340" s="169"/>
      <c r="AQ340" s="169"/>
      <c r="AR340" s="169"/>
      <c r="AS340" s="169"/>
      <c r="AT340" s="169"/>
      <c r="AU340" s="169"/>
      <c r="AV340" s="169"/>
      <c r="AW340" s="169"/>
      <c r="AX340" s="169"/>
      <c r="AY340" s="169"/>
      <c r="AZ340" s="169"/>
      <c r="BA340" s="169"/>
      <c r="BB340" s="169"/>
      <c r="BC340" s="169"/>
    </row>
    <row r="341" spans="1:55" ht="14.25" customHeight="1">
      <c r="A341" s="508"/>
      <c r="B341" s="156" t="s">
        <v>166</v>
      </c>
      <c r="C341" s="217"/>
      <c r="D341" s="217"/>
      <c r="E341" s="217"/>
      <c r="F341" s="217"/>
      <c r="G341" s="217"/>
      <c r="H341" s="217"/>
      <c r="I341" s="217"/>
      <c r="J341" s="217"/>
      <c r="K341" s="217"/>
      <c r="L341" s="217"/>
      <c r="M341" s="217"/>
      <c r="N341" s="217"/>
      <c r="O341" s="217"/>
      <c r="P341" s="217"/>
      <c r="Q341" s="217"/>
      <c r="R341" s="217"/>
      <c r="S341" s="148" t="str">
        <f t="shared" si="223"/>
        <v>0</v>
      </c>
      <c r="T341" s="148" t="str">
        <f t="shared" si="224"/>
        <v>0</v>
      </c>
      <c r="U341" s="148" t="str">
        <f t="shared" si="225"/>
        <v>0</v>
      </c>
      <c r="V341" s="148" t="str">
        <f t="shared" si="226"/>
        <v>0</v>
      </c>
      <c r="W341" s="508"/>
      <c r="X341" s="152">
        <f t="shared" si="227"/>
        <v>0</v>
      </c>
      <c r="Y341" s="218" t="s">
        <v>169</v>
      </c>
      <c r="Z341" s="221"/>
      <c r="AA341" s="159" t="s">
        <v>162</v>
      </c>
      <c r="AB341" s="159" t="s">
        <v>162</v>
      </c>
      <c r="AC341" s="159" t="s">
        <v>162</v>
      </c>
      <c r="AD341" s="159" t="s">
        <v>162</v>
      </c>
      <c r="AE341" s="185"/>
      <c r="AF341" s="169"/>
      <c r="AG341" s="169"/>
      <c r="AH341" s="169"/>
      <c r="AI341" s="169"/>
      <c r="AJ341" s="169"/>
      <c r="AK341" s="169"/>
      <c r="AL341" s="169"/>
      <c r="AM341" s="169"/>
      <c r="AN341" s="169"/>
      <c r="AO341" s="169"/>
      <c r="AP341" s="169"/>
      <c r="AQ341" s="169"/>
      <c r="AR341" s="169"/>
      <c r="AS341" s="169"/>
      <c r="AT341" s="169"/>
      <c r="AU341" s="169"/>
      <c r="AV341" s="169"/>
      <c r="AW341" s="169"/>
      <c r="AX341" s="169"/>
      <c r="AY341" s="169"/>
      <c r="AZ341" s="169"/>
      <c r="BA341" s="169"/>
      <c r="BB341" s="169"/>
      <c r="BC341" s="169"/>
    </row>
    <row r="342" spans="1:55" ht="14.25" customHeight="1">
      <c r="A342" s="506" t="s">
        <v>75</v>
      </c>
      <c r="B342" s="156" t="s">
        <v>160</v>
      </c>
      <c r="C342" s="217"/>
      <c r="D342" s="217"/>
      <c r="E342" s="217"/>
      <c r="F342" s="217"/>
      <c r="G342" s="217"/>
      <c r="H342" s="217"/>
      <c r="I342" s="217"/>
      <c r="J342" s="217"/>
      <c r="K342" s="217"/>
      <c r="L342" s="217"/>
      <c r="M342" s="217"/>
      <c r="N342" s="217"/>
      <c r="O342" s="217"/>
      <c r="P342" s="217"/>
      <c r="Q342" s="217"/>
      <c r="R342" s="217"/>
      <c r="S342" s="148" t="str">
        <f t="shared" si="223"/>
        <v>0</v>
      </c>
      <c r="T342" s="148" t="str">
        <f t="shared" si="224"/>
        <v>0</v>
      </c>
      <c r="U342" s="148" t="str">
        <f t="shared" si="225"/>
        <v>0</v>
      </c>
      <c r="V342" s="148" t="str">
        <f t="shared" si="226"/>
        <v>0</v>
      </c>
      <c r="W342" s="513">
        <f>SUM(X342:X346)/5</f>
        <v>0</v>
      </c>
      <c r="X342" s="152">
        <f t="shared" si="227"/>
        <v>0</v>
      </c>
      <c r="Y342" s="218" t="s">
        <v>175</v>
      </c>
      <c r="Z342" s="169"/>
      <c r="AA342" s="160" t="s">
        <v>162</v>
      </c>
      <c r="AB342" s="160" t="s">
        <v>162</v>
      </c>
      <c r="AC342" s="160" t="s">
        <v>162</v>
      </c>
      <c r="AD342" s="160" t="s">
        <v>162</v>
      </c>
      <c r="AE342" s="169"/>
      <c r="AF342" s="169"/>
      <c r="AG342" s="169"/>
      <c r="AH342" s="169"/>
      <c r="AI342" s="169"/>
      <c r="AJ342" s="169"/>
      <c r="AK342" s="169"/>
      <c r="AL342" s="169"/>
      <c r="AM342" s="169"/>
      <c r="AN342" s="169"/>
      <c r="AO342" s="169"/>
      <c r="AP342" s="169"/>
      <c r="AQ342" s="169"/>
      <c r="AR342" s="169"/>
      <c r="AS342" s="169"/>
      <c r="AT342" s="169"/>
      <c r="AU342" s="169"/>
      <c r="AV342" s="169"/>
      <c r="AW342" s="169"/>
      <c r="AX342" s="169"/>
      <c r="AY342" s="169"/>
      <c r="AZ342" s="169"/>
      <c r="BA342" s="169"/>
      <c r="BB342" s="169"/>
      <c r="BC342" s="169"/>
    </row>
    <row r="343" spans="1:55" ht="14.25" customHeight="1">
      <c r="A343" s="507"/>
      <c r="B343" s="156" t="s">
        <v>163</v>
      </c>
      <c r="C343" s="217"/>
      <c r="D343" s="217"/>
      <c r="E343" s="217"/>
      <c r="F343" s="217"/>
      <c r="G343" s="217"/>
      <c r="H343" s="217"/>
      <c r="I343" s="217"/>
      <c r="J343" s="217"/>
      <c r="K343" s="217"/>
      <c r="L343" s="217"/>
      <c r="M343" s="217"/>
      <c r="N343" s="217"/>
      <c r="O343" s="217"/>
      <c r="P343" s="217"/>
      <c r="Q343" s="217"/>
      <c r="R343" s="217"/>
      <c r="S343" s="148" t="str">
        <f t="shared" si="223"/>
        <v>0</v>
      </c>
      <c r="T343" s="148" t="str">
        <f t="shared" si="224"/>
        <v>0</v>
      </c>
      <c r="U343" s="148" t="str">
        <f t="shared" si="225"/>
        <v>0</v>
      </c>
      <c r="V343" s="148" t="str">
        <f t="shared" si="226"/>
        <v>0</v>
      </c>
      <c r="W343" s="507"/>
      <c r="X343" s="152">
        <f t="shared" si="227"/>
        <v>0</v>
      </c>
      <c r="Y343" s="218" t="s">
        <v>169</v>
      </c>
      <c r="Z343" s="169"/>
      <c r="AA343" s="153" t="s">
        <v>162</v>
      </c>
      <c r="AB343" s="153" t="s">
        <v>162</v>
      </c>
      <c r="AC343" s="153" t="s">
        <v>162</v>
      </c>
      <c r="AD343" s="153" t="s">
        <v>162</v>
      </c>
      <c r="AE343" s="169"/>
      <c r="AF343" s="169"/>
      <c r="AG343" s="169"/>
      <c r="AH343" s="169"/>
      <c r="AI343" s="169"/>
      <c r="AJ343" s="169"/>
      <c r="AK343" s="169"/>
      <c r="AL343" s="169"/>
      <c r="AM343" s="169"/>
      <c r="AN343" s="169"/>
      <c r="AO343" s="169"/>
      <c r="AP343" s="169"/>
      <c r="AQ343" s="169"/>
      <c r="AR343" s="169"/>
      <c r="AS343" s="169"/>
      <c r="AT343" s="169"/>
      <c r="AU343" s="169"/>
      <c r="AV343" s="169"/>
      <c r="AW343" s="169"/>
      <c r="AX343" s="169"/>
      <c r="AY343" s="169"/>
      <c r="AZ343" s="169"/>
      <c r="BA343" s="169"/>
      <c r="BB343" s="169"/>
      <c r="BC343" s="169"/>
    </row>
    <row r="344" spans="1:55" ht="14.25" customHeight="1">
      <c r="A344" s="507"/>
      <c r="B344" s="156" t="s">
        <v>164</v>
      </c>
      <c r="C344" s="217"/>
      <c r="D344" s="217"/>
      <c r="E344" s="217"/>
      <c r="F344" s="217"/>
      <c r="G344" s="217"/>
      <c r="H344" s="217"/>
      <c r="I344" s="217"/>
      <c r="J344" s="217"/>
      <c r="K344" s="217"/>
      <c r="L344" s="217"/>
      <c r="M344" s="217"/>
      <c r="N344" s="217"/>
      <c r="O344" s="217"/>
      <c r="P344" s="217"/>
      <c r="Q344" s="217"/>
      <c r="R344" s="217"/>
      <c r="S344" s="148" t="str">
        <f t="shared" si="223"/>
        <v>0</v>
      </c>
      <c r="T344" s="148" t="str">
        <f t="shared" si="224"/>
        <v>0</v>
      </c>
      <c r="U344" s="148" t="str">
        <f t="shared" si="225"/>
        <v>0</v>
      </c>
      <c r="V344" s="148" t="str">
        <f t="shared" si="226"/>
        <v>0</v>
      </c>
      <c r="W344" s="507"/>
      <c r="X344" s="152">
        <f t="shared" si="227"/>
        <v>0</v>
      </c>
      <c r="Y344" s="218" t="s">
        <v>169</v>
      </c>
      <c r="Z344" s="169"/>
      <c r="AA344" s="153" t="s">
        <v>162</v>
      </c>
      <c r="AB344" s="153" t="s">
        <v>162</v>
      </c>
      <c r="AC344" s="153" t="s">
        <v>162</v>
      </c>
      <c r="AD344" s="153" t="s">
        <v>162</v>
      </c>
      <c r="AE344" s="169"/>
      <c r="AF344" s="169"/>
      <c r="AG344" s="169"/>
      <c r="AH344" s="169"/>
      <c r="AI344" s="169"/>
      <c r="AJ344" s="169"/>
      <c r="AK344" s="169"/>
      <c r="AL344" s="169"/>
      <c r="AM344" s="169"/>
      <c r="AN344" s="169"/>
      <c r="AO344" s="169"/>
      <c r="AP344" s="169"/>
      <c r="AQ344" s="169"/>
      <c r="AR344" s="169"/>
      <c r="AS344" s="169"/>
      <c r="AT344" s="169"/>
      <c r="AU344" s="169"/>
      <c r="AV344" s="169"/>
      <c r="AW344" s="169"/>
      <c r="AX344" s="169"/>
      <c r="AY344" s="169"/>
      <c r="AZ344" s="169"/>
      <c r="BA344" s="169"/>
      <c r="BB344" s="169"/>
      <c r="BC344" s="169"/>
    </row>
    <row r="345" spans="1:55" ht="14.25" customHeight="1">
      <c r="A345" s="507"/>
      <c r="B345" s="156" t="s">
        <v>165</v>
      </c>
      <c r="C345" s="217"/>
      <c r="D345" s="217"/>
      <c r="E345" s="217"/>
      <c r="F345" s="217"/>
      <c r="G345" s="217"/>
      <c r="H345" s="217"/>
      <c r="I345" s="217"/>
      <c r="J345" s="217"/>
      <c r="K345" s="217"/>
      <c r="L345" s="217"/>
      <c r="M345" s="217"/>
      <c r="N345" s="217"/>
      <c r="O345" s="217"/>
      <c r="P345" s="217"/>
      <c r="Q345" s="217"/>
      <c r="R345" s="217"/>
      <c r="S345" s="148" t="str">
        <f t="shared" si="223"/>
        <v>0</v>
      </c>
      <c r="T345" s="148" t="str">
        <f t="shared" si="224"/>
        <v>0</v>
      </c>
      <c r="U345" s="148" t="str">
        <f t="shared" si="225"/>
        <v>0</v>
      </c>
      <c r="V345" s="148" t="str">
        <f t="shared" si="226"/>
        <v>0</v>
      </c>
      <c r="W345" s="507"/>
      <c r="X345" s="152">
        <f t="shared" si="227"/>
        <v>0</v>
      </c>
      <c r="Y345" s="218" t="s">
        <v>169</v>
      </c>
      <c r="Z345" s="169"/>
      <c r="AA345" s="153" t="s">
        <v>162</v>
      </c>
      <c r="AB345" s="153" t="s">
        <v>162</v>
      </c>
      <c r="AC345" s="153" t="s">
        <v>162</v>
      </c>
      <c r="AD345" s="153" t="s">
        <v>162</v>
      </c>
      <c r="AE345" s="169"/>
      <c r="AF345" s="169"/>
      <c r="AG345" s="169"/>
      <c r="AH345" s="169"/>
      <c r="AI345" s="169"/>
      <c r="AJ345" s="169"/>
      <c r="AK345" s="169"/>
      <c r="AL345" s="169"/>
      <c r="AM345" s="169"/>
      <c r="AN345" s="169"/>
      <c r="AO345" s="169"/>
      <c r="AP345" s="169"/>
      <c r="AQ345" s="169"/>
      <c r="AR345" s="169"/>
      <c r="AS345" s="169"/>
      <c r="AT345" s="169"/>
      <c r="AU345" s="169"/>
      <c r="AV345" s="169"/>
      <c r="AW345" s="169"/>
      <c r="AX345" s="169"/>
      <c r="AY345" s="169"/>
      <c r="AZ345" s="169"/>
      <c r="BA345" s="169"/>
      <c r="BB345" s="169"/>
      <c r="BC345" s="169"/>
    </row>
    <row r="346" spans="1:55" ht="14.25" customHeight="1">
      <c r="A346" s="508"/>
      <c r="B346" s="156" t="s">
        <v>166</v>
      </c>
      <c r="C346" s="217"/>
      <c r="D346" s="217"/>
      <c r="E346" s="217"/>
      <c r="F346" s="217"/>
      <c r="G346" s="217"/>
      <c r="H346" s="217"/>
      <c r="I346" s="217"/>
      <c r="J346" s="217"/>
      <c r="K346" s="217"/>
      <c r="L346" s="217"/>
      <c r="M346" s="217"/>
      <c r="N346" s="217"/>
      <c r="O346" s="217"/>
      <c r="P346" s="217"/>
      <c r="Q346" s="217"/>
      <c r="R346" s="217"/>
      <c r="S346" s="148" t="str">
        <f t="shared" si="223"/>
        <v>0</v>
      </c>
      <c r="T346" s="148" t="str">
        <f t="shared" si="224"/>
        <v>0</v>
      </c>
      <c r="U346" s="148" t="str">
        <f t="shared" si="225"/>
        <v>0</v>
      </c>
      <c r="V346" s="148" t="str">
        <f t="shared" si="226"/>
        <v>0</v>
      </c>
      <c r="W346" s="508"/>
      <c r="X346" s="152">
        <f t="shared" si="227"/>
        <v>0</v>
      </c>
      <c r="Y346" s="218" t="s">
        <v>169</v>
      </c>
      <c r="Z346" s="169"/>
      <c r="AA346" s="161" t="s">
        <v>162</v>
      </c>
      <c r="AB346" s="161" t="s">
        <v>162</v>
      </c>
      <c r="AC346" s="161" t="s">
        <v>162</v>
      </c>
      <c r="AD346" s="161" t="s">
        <v>162</v>
      </c>
      <c r="AE346" s="169"/>
      <c r="AF346" s="169"/>
      <c r="AG346" s="169"/>
      <c r="AH346" s="169"/>
      <c r="AI346" s="169"/>
      <c r="AJ346" s="169"/>
      <c r="AK346" s="169"/>
      <c r="AL346" s="169"/>
      <c r="AM346" s="169"/>
      <c r="AN346" s="169"/>
      <c r="AO346" s="169"/>
      <c r="AP346" s="169"/>
      <c r="AQ346" s="169"/>
      <c r="AR346" s="169"/>
      <c r="AS346" s="169"/>
      <c r="AT346" s="169"/>
      <c r="AU346" s="169"/>
      <c r="AV346" s="169"/>
      <c r="AW346" s="169"/>
      <c r="AX346" s="169"/>
      <c r="AY346" s="169"/>
      <c r="AZ346" s="169"/>
      <c r="BA346" s="169"/>
      <c r="BB346" s="169"/>
      <c r="BC346" s="169"/>
    </row>
    <row r="347" spans="1:55" ht="14.25" customHeight="1">
      <c r="A347" s="506" t="s">
        <v>76</v>
      </c>
      <c r="B347" s="156" t="s">
        <v>160</v>
      </c>
      <c r="C347" s="217"/>
      <c r="D347" s="217"/>
      <c r="E347" s="217"/>
      <c r="F347" s="217"/>
      <c r="G347" s="217"/>
      <c r="H347" s="217"/>
      <c r="I347" s="217"/>
      <c r="J347" s="217"/>
      <c r="K347" s="217"/>
      <c r="L347" s="217"/>
      <c r="M347" s="217"/>
      <c r="N347" s="217"/>
      <c r="O347" s="217"/>
      <c r="P347" s="217"/>
      <c r="Q347" s="217"/>
      <c r="R347" s="217"/>
      <c r="S347" s="148" t="str">
        <f t="shared" si="223"/>
        <v>0</v>
      </c>
      <c r="T347" s="148" t="str">
        <f t="shared" si="224"/>
        <v>0</v>
      </c>
      <c r="U347" s="148" t="str">
        <f t="shared" si="225"/>
        <v>0</v>
      </c>
      <c r="V347" s="148" t="str">
        <f t="shared" si="226"/>
        <v>0</v>
      </c>
      <c r="W347" s="513">
        <f>SUM(X347:X351)/5</f>
        <v>0</v>
      </c>
      <c r="X347" s="152">
        <f t="shared" si="227"/>
        <v>0</v>
      </c>
      <c r="Y347" s="218" t="s">
        <v>176</v>
      </c>
      <c r="Z347" s="221"/>
      <c r="AA347" s="159" t="s">
        <v>162</v>
      </c>
      <c r="AB347" s="159" t="s">
        <v>162</v>
      </c>
      <c r="AC347" s="159" t="s">
        <v>162</v>
      </c>
      <c r="AD347" s="159" t="s">
        <v>162</v>
      </c>
      <c r="AE347" s="185"/>
      <c r="AF347" s="169"/>
      <c r="AG347" s="169"/>
      <c r="AH347" s="169"/>
      <c r="AI347" s="169"/>
      <c r="AJ347" s="169"/>
      <c r="AK347" s="169"/>
      <c r="AL347" s="169"/>
      <c r="AM347" s="169"/>
      <c r="AN347" s="169"/>
      <c r="AO347" s="169"/>
      <c r="AP347" s="169"/>
      <c r="AQ347" s="169"/>
      <c r="AR347" s="169"/>
      <c r="AS347" s="169"/>
      <c r="AT347" s="169"/>
      <c r="AU347" s="169"/>
      <c r="AV347" s="169"/>
      <c r="AW347" s="169"/>
      <c r="AX347" s="169"/>
      <c r="AY347" s="169"/>
      <c r="AZ347" s="169"/>
      <c r="BA347" s="169"/>
      <c r="BB347" s="169"/>
      <c r="BC347" s="169"/>
    </row>
    <row r="348" spans="1:55" ht="14.25" customHeight="1">
      <c r="A348" s="507"/>
      <c r="B348" s="156" t="s">
        <v>163</v>
      </c>
      <c r="C348" s="217"/>
      <c r="D348" s="217"/>
      <c r="E348" s="217"/>
      <c r="F348" s="217"/>
      <c r="G348" s="217"/>
      <c r="H348" s="217"/>
      <c r="I348" s="217"/>
      <c r="J348" s="217"/>
      <c r="K348" s="217"/>
      <c r="L348" s="217"/>
      <c r="M348" s="217"/>
      <c r="N348" s="217"/>
      <c r="O348" s="217"/>
      <c r="P348" s="217"/>
      <c r="Q348" s="217"/>
      <c r="R348" s="217"/>
      <c r="S348" s="148" t="str">
        <f t="shared" si="223"/>
        <v>0</v>
      </c>
      <c r="T348" s="148" t="str">
        <f t="shared" si="224"/>
        <v>0</v>
      </c>
      <c r="U348" s="148" t="str">
        <f t="shared" si="225"/>
        <v>0</v>
      </c>
      <c r="V348" s="148" t="str">
        <f t="shared" si="226"/>
        <v>0</v>
      </c>
      <c r="W348" s="507"/>
      <c r="X348" s="152">
        <f t="shared" si="227"/>
        <v>0</v>
      </c>
      <c r="Y348" s="218" t="s">
        <v>169</v>
      </c>
      <c r="Z348" s="221"/>
      <c r="AA348" s="159" t="s">
        <v>162</v>
      </c>
      <c r="AB348" s="159" t="s">
        <v>162</v>
      </c>
      <c r="AC348" s="159" t="s">
        <v>162</v>
      </c>
      <c r="AD348" s="159" t="s">
        <v>162</v>
      </c>
      <c r="AE348" s="185"/>
      <c r="AF348" s="169"/>
      <c r="AG348" s="169"/>
      <c r="AH348" s="169"/>
      <c r="AI348" s="169"/>
      <c r="AJ348" s="169"/>
      <c r="AK348" s="169"/>
      <c r="AL348" s="169"/>
      <c r="AM348" s="169"/>
      <c r="AN348" s="169"/>
      <c r="AO348" s="169"/>
      <c r="AP348" s="169"/>
      <c r="AQ348" s="169"/>
      <c r="AR348" s="169"/>
      <c r="AS348" s="169"/>
      <c r="AT348" s="169"/>
      <c r="AU348" s="169"/>
      <c r="AV348" s="169"/>
      <c r="AW348" s="169"/>
      <c r="AX348" s="169"/>
      <c r="AY348" s="169"/>
      <c r="AZ348" s="169"/>
      <c r="BA348" s="169"/>
      <c r="BB348" s="169"/>
      <c r="BC348" s="169"/>
    </row>
    <row r="349" spans="1:55" ht="14.25" customHeight="1">
      <c r="A349" s="507"/>
      <c r="B349" s="156" t="s">
        <v>164</v>
      </c>
      <c r="C349" s="217"/>
      <c r="D349" s="217"/>
      <c r="E349" s="217"/>
      <c r="F349" s="217"/>
      <c r="G349" s="217"/>
      <c r="H349" s="217"/>
      <c r="I349" s="217"/>
      <c r="J349" s="217"/>
      <c r="K349" s="217"/>
      <c r="L349" s="217"/>
      <c r="M349" s="217"/>
      <c r="N349" s="217"/>
      <c r="O349" s="217"/>
      <c r="P349" s="217"/>
      <c r="Q349" s="217"/>
      <c r="R349" s="217"/>
      <c r="S349" s="148" t="str">
        <f t="shared" ref="S349:S380" si="228">IFERROR(AVERAGE(C349,G349,K349,O349),"0")</f>
        <v>0</v>
      </c>
      <c r="T349" s="148" t="str">
        <f t="shared" ref="T349:T380" si="229">IFERROR(AVERAGE(D349,H349,L349,P349),"0")</f>
        <v>0</v>
      </c>
      <c r="U349" s="148" t="str">
        <f t="shared" ref="U349:U380" si="230">IFERROR(AVERAGE(E349,I349,M349,Q349),"0")</f>
        <v>0</v>
      </c>
      <c r="V349" s="148" t="str">
        <f t="shared" ref="V349:V380" si="231">IFERROR(AVERAGE(F349,J349,N349,R349),"0")</f>
        <v>0</v>
      </c>
      <c r="W349" s="507"/>
      <c r="X349" s="152">
        <f t="shared" ref="X349:X380" si="232">((4*S349)+(3*T349)+(2*U349)+V349)/4</f>
        <v>0</v>
      </c>
      <c r="Y349" s="218" t="s">
        <v>169</v>
      </c>
      <c r="Z349" s="221"/>
      <c r="AA349" s="159" t="s">
        <v>162</v>
      </c>
      <c r="AB349" s="159" t="s">
        <v>162</v>
      </c>
      <c r="AC349" s="159" t="s">
        <v>162</v>
      </c>
      <c r="AD349" s="159" t="s">
        <v>162</v>
      </c>
      <c r="AE349" s="185"/>
      <c r="AF349" s="169"/>
      <c r="AG349" s="169"/>
      <c r="AH349" s="169"/>
      <c r="AI349" s="169"/>
      <c r="AJ349" s="169"/>
      <c r="AK349" s="169"/>
      <c r="AL349" s="169"/>
      <c r="AM349" s="169"/>
      <c r="AN349" s="169"/>
      <c r="AO349" s="169"/>
      <c r="AP349" s="169"/>
      <c r="AQ349" s="169"/>
      <c r="AR349" s="169"/>
      <c r="AS349" s="169"/>
      <c r="AT349" s="169"/>
      <c r="AU349" s="169"/>
      <c r="AV349" s="169"/>
      <c r="AW349" s="169"/>
      <c r="AX349" s="169"/>
      <c r="AY349" s="169"/>
      <c r="AZ349" s="169"/>
      <c r="BA349" s="169"/>
      <c r="BB349" s="169"/>
      <c r="BC349" s="169"/>
    </row>
    <row r="350" spans="1:55" ht="14.25" customHeight="1">
      <c r="A350" s="507"/>
      <c r="B350" s="156" t="s">
        <v>165</v>
      </c>
      <c r="C350" s="217"/>
      <c r="D350" s="217"/>
      <c r="E350" s="217"/>
      <c r="F350" s="217"/>
      <c r="G350" s="217"/>
      <c r="H350" s="217"/>
      <c r="I350" s="217"/>
      <c r="J350" s="217"/>
      <c r="K350" s="217"/>
      <c r="L350" s="217"/>
      <c r="M350" s="217"/>
      <c r="N350" s="217"/>
      <c r="O350" s="217"/>
      <c r="P350" s="217"/>
      <c r="Q350" s="217"/>
      <c r="R350" s="217"/>
      <c r="S350" s="148" t="str">
        <f t="shared" si="228"/>
        <v>0</v>
      </c>
      <c r="T350" s="148" t="str">
        <f t="shared" si="229"/>
        <v>0</v>
      </c>
      <c r="U350" s="148" t="str">
        <f t="shared" si="230"/>
        <v>0</v>
      </c>
      <c r="V350" s="148" t="str">
        <f t="shared" si="231"/>
        <v>0</v>
      </c>
      <c r="W350" s="507"/>
      <c r="X350" s="152">
        <f t="shared" si="232"/>
        <v>0</v>
      </c>
      <c r="Y350" s="218" t="s">
        <v>169</v>
      </c>
      <c r="Z350" s="221"/>
      <c r="AA350" s="159" t="s">
        <v>162</v>
      </c>
      <c r="AB350" s="159" t="s">
        <v>162</v>
      </c>
      <c r="AC350" s="159" t="s">
        <v>162</v>
      </c>
      <c r="AD350" s="159" t="s">
        <v>162</v>
      </c>
      <c r="AE350" s="185"/>
      <c r="AF350" s="169"/>
      <c r="AG350" s="169"/>
      <c r="AH350" s="169"/>
      <c r="AI350" s="169"/>
      <c r="AJ350" s="169"/>
      <c r="AK350" s="169"/>
      <c r="AL350" s="169"/>
      <c r="AM350" s="169"/>
      <c r="AN350" s="169"/>
      <c r="AO350" s="169"/>
      <c r="AP350" s="169"/>
      <c r="AQ350" s="169"/>
      <c r="AR350" s="169"/>
      <c r="AS350" s="169"/>
      <c r="AT350" s="169"/>
      <c r="AU350" s="169"/>
      <c r="AV350" s="169"/>
      <c r="AW350" s="169"/>
      <c r="AX350" s="169"/>
      <c r="AY350" s="169"/>
      <c r="AZ350" s="169"/>
      <c r="BA350" s="169"/>
      <c r="BB350" s="169"/>
      <c r="BC350" s="169"/>
    </row>
    <row r="351" spans="1:55" ht="14.25" customHeight="1">
      <c r="A351" s="508"/>
      <c r="B351" s="156" t="s">
        <v>166</v>
      </c>
      <c r="C351" s="217"/>
      <c r="D351" s="217"/>
      <c r="E351" s="217"/>
      <c r="F351" s="217"/>
      <c r="G351" s="217"/>
      <c r="H351" s="217"/>
      <c r="I351" s="217"/>
      <c r="J351" s="217"/>
      <c r="K351" s="217"/>
      <c r="L351" s="217"/>
      <c r="M351" s="217"/>
      <c r="N351" s="217"/>
      <c r="O351" s="217"/>
      <c r="P351" s="217"/>
      <c r="Q351" s="217"/>
      <c r="R351" s="217"/>
      <c r="S351" s="148" t="str">
        <f t="shared" si="228"/>
        <v>0</v>
      </c>
      <c r="T351" s="148" t="str">
        <f t="shared" si="229"/>
        <v>0</v>
      </c>
      <c r="U351" s="148" t="str">
        <f t="shared" si="230"/>
        <v>0</v>
      </c>
      <c r="V351" s="148" t="str">
        <f t="shared" si="231"/>
        <v>0</v>
      </c>
      <c r="W351" s="508"/>
      <c r="X351" s="152">
        <f t="shared" si="232"/>
        <v>0</v>
      </c>
      <c r="Y351" s="218" t="s">
        <v>169</v>
      </c>
      <c r="Z351" s="221"/>
      <c r="AA351" s="159" t="s">
        <v>162</v>
      </c>
      <c r="AB351" s="159" t="s">
        <v>162</v>
      </c>
      <c r="AC351" s="159" t="s">
        <v>162</v>
      </c>
      <c r="AD351" s="159" t="s">
        <v>162</v>
      </c>
      <c r="AE351" s="185"/>
      <c r="AF351" s="169"/>
      <c r="AG351" s="169"/>
      <c r="AH351" s="169"/>
      <c r="AI351" s="169"/>
      <c r="AJ351" s="169"/>
      <c r="AK351" s="169"/>
      <c r="AL351" s="169"/>
      <c r="AM351" s="169"/>
      <c r="AN351" s="169"/>
      <c r="AO351" s="169"/>
      <c r="AP351" s="169"/>
      <c r="AQ351" s="169"/>
      <c r="AR351" s="169"/>
      <c r="AS351" s="169"/>
      <c r="AT351" s="169"/>
      <c r="AU351" s="169"/>
      <c r="AV351" s="169"/>
      <c r="AW351" s="169"/>
      <c r="AX351" s="169"/>
      <c r="AY351" s="169"/>
      <c r="AZ351" s="169"/>
      <c r="BA351" s="169"/>
      <c r="BB351" s="169"/>
      <c r="BC351" s="169"/>
    </row>
    <row r="352" spans="1:55" ht="14.25" customHeight="1">
      <c r="A352" s="506" t="s">
        <v>77</v>
      </c>
      <c r="B352" s="156" t="s">
        <v>160</v>
      </c>
      <c r="C352" s="217"/>
      <c r="D352" s="217"/>
      <c r="E352" s="217"/>
      <c r="F352" s="217"/>
      <c r="G352" s="217"/>
      <c r="H352" s="217"/>
      <c r="I352" s="217"/>
      <c r="J352" s="217"/>
      <c r="K352" s="217"/>
      <c r="L352" s="217"/>
      <c r="M352" s="217"/>
      <c r="N352" s="217"/>
      <c r="O352" s="217"/>
      <c r="P352" s="217"/>
      <c r="Q352" s="217"/>
      <c r="R352" s="217"/>
      <c r="S352" s="148" t="str">
        <f t="shared" si="228"/>
        <v>0</v>
      </c>
      <c r="T352" s="148" t="str">
        <f t="shared" si="229"/>
        <v>0</v>
      </c>
      <c r="U352" s="148" t="str">
        <f t="shared" si="230"/>
        <v>0</v>
      </c>
      <c r="V352" s="148" t="str">
        <f t="shared" si="231"/>
        <v>0</v>
      </c>
      <c r="W352" s="513">
        <f>SUM(X352:X356)/5</f>
        <v>0</v>
      </c>
      <c r="X352" s="152">
        <f t="shared" si="232"/>
        <v>0</v>
      </c>
      <c r="Y352" s="150" t="s">
        <v>177</v>
      </c>
      <c r="Z352" s="169"/>
      <c r="AA352" s="160" t="s">
        <v>162</v>
      </c>
      <c r="AB352" s="160" t="s">
        <v>162</v>
      </c>
      <c r="AC352" s="160" t="s">
        <v>162</v>
      </c>
      <c r="AD352" s="160" t="s">
        <v>162</v>
      </c>
      <c r="AE352" s="169"/>
      <c r="AF352" s="169"/>
      <c r="AG352" s="169"/>
      <c r="AH352" s="169"/>
      <c r="AI352" s="169"/>
      <c r="AJ352" s="169"/>
      <c r="AK352" s="169"/>
      <c r="AL352" s="169"/>
      <c r="AM352" s="169"/>
      <c r="AN352" s="169"/>
      <c r="AO352" s="169"/>
      <c r="AP352" s="169"/>
      <c r="AQ352" s="169"/>
      <c r="AR352" s="169"/>
      <c r="AS352" s="169"/>
      <c r="AT352" s="169"/>
      <c r="AU352" s="169"/>
      <c r="AV352" s="169"/>
      <c r="AW352" s="169"/>
      <c r="AX352" s="169"/>
      <c r="AY352" s="169"/>
      <c r="AZ352" s="169"/>
      <c r="BA352" s="169"/>
      <c r="BB352" s="169"/>
      <c r="BC352" s="169"/>
    </row>
    <row r="353" spans="1:55" ht="14.25" customHeight="1">
      <c r="A353" s="507"/>
      <c r="B353" s="156" t="s">
        <v>163</v>
      </c>
      <c r="C353" s="217"/>
      <c r="D353" s="217"/>
      <c r="E353" s="217"/>
      <c r="F353" s="217"/>
      <c r="G353" s="217"/>
      <c r="H353" s="217"/>
      <c r="I353" s="217"/>
      <c r="J353" s="217"/>
      <c r="K353" s="217"/>
      <c r="L353" s="217"/>
      <c r="M353" s="217"/>
      <c r="N353" s="217"/>
      <c r="O353" s="217"/>
      <c r="P353" s="217"/>
      <c r="Q353" s="217"/>
      <c r="R353" s="217"/>
      <c r="S353" s="148" t="str">
        <f t="shared" si="228"/>
        <v>0</v>
      </c>
      <c r="T353" s="148" t="str">
        <f t="shared" si="229"/>
        <v>0</v>
      </c>
      <c r="U353" s="148" t="str">
        <f t="shared" si="230"/>
        <v>0</v>
      </c>
      <c r="V353" s="148" t="str">
        <f t="shared" si="231"/>
        <v>0</v>
      </c>
      <c r="W353" s="507"/>
      <c r="X353" s="152">
        <f t="shared" si="232"/>
        <v>0</v>
      </c>
      <c r="Y353" s="218" t="s">
        <v>169</v>
      </c>
      <c r="Z353" s="169"/>
      <c r="AA353" s="153" t="s">
        <v>162</v>
      </c>
      <c r="AB353" s="153" t="s">
        <v>162</v>
      </c>
      <c r="AC353" s="153" t="s">
        <v>162</v>
      </c>
      <c r="AD353" s="153" t="s">
        <v>162</v>
      </c>
      <c r="AE353" s="169"/>
      <c r="AF353" s="169"/>
      <c r="AG353" s="169"/>
      <c r="AH353" s="169"/>
      <c r="AI353" s="169"/>
      <c r="AJ353" s="169"/>
      <c r="AK353" s="169"/>
      <c r="AL353" s="169"/>
      <c r="AM353" s="169"/>
      <c r="AN353" s="169"/>
      <c r="AO353" s="169"/>
      <c r="AP353" s="169"/>
      <c r="AQ353" s="169"/>
      <c r="AR353" s="169"/>
      <c r="AS353" s="169"/>
      <c r="AT353" s="169"/>
      <c r="AU353" s="169"/>
      <c r="AV353" s="169"/>
      <c r="AW353" s="169"/>
      <c r="AX353" s="169"/>
      <c r="AY353" s="169"/>
      <c r="AZ353" s="169"/>
      <c r="BA353" s="169"/>
      <c r="BB353" s="169"/>
      <c r="BC353" s="169"/>
    </row>
    <row r="354" spans="1:55" ht="14.25" customHeight="1">
      <c r="A354" s="507"/>
      <c r="B354" s="156" t="s">
        <v>164</v>
      </c>
      <c r="C354" s="217"/>
      <c r="D354" s="217"/>
      <c r="E354" s="217"/>
      <c r="F354" s="217"/>
      <c r="G354" s="217"/>
      <c r="H354" s="217"/>
      <c r="I354" s="217"/>
      <c r="J354" s="217"/>
      <c r="K354" s="217"/>
      <c r="L354" s="217"/>
      <c r="M354" s="217"/>
      <c r="N354" s="217"/>
      <c r="O354" s="217"/>
      <c r="P354" s="217"/>
      <c r="Q354" s="217"/>
      <c r="R354" s="217"/>
      <c r="S354" s="148" t="str">
        <f t="shared" si="228"/>
        <v>0</v>
      </c>
      <c r="T354" s="148" t="str">
        <f t="shared" si="229"/>
        <v>0</v>
      </c>
      <c r="U354" s="148" t="str">
        <f t="shared" si="230"/>
        <v>0</v>
      </c>
      <c r="V354" s="148" t="str">
        <f t="shared" si="231"/>
        <v>0</v>
      </c>
      <c r="W354" s="507"/>
      <c r="X354" s="152">
        <f t="shared" si="232"/>
        <v>0</v>
      </c>
      <c r="Y354" s="218" t="s">
        <v>169</v>
      </c>
      <c r="Z354" s="169"/>
      <c r="AA354" s="153" t="s">
        <v>162</v>
      </c>
      <c r="AB354" s="153" t="s">
        <v>162</v>
      </c>
      <c r="AC354" s="153" t="s">
        <v>162</v>
      </c>
      <c r="AD354" s="153" t="s">
        <v>162</v>
      </c>
      <c r="AE354" s="169"/>
      <c r="AF354" s="169"/>
      <c r="AG354" s="169"/>
      <c r="AH354" s="169"/>
      <c r="AI354" s="169"/>
      <c r="AJ354" s="169"/>
      <c r="AK354" s="169"/>
      <c r="AL354" s="169"/>
      <c r="AM354" s="169"/>
      <c r="AN354" s="169"/>
      <c r="AO354" s="169"/>
      <c r="AP354" s="169"/>
      <c r="AQ354" s="169"/>
      <c r="AR354" s="169"/>
      <c r="AS354" s="169"/>
      <c r="AT354" s="169"/>
      <c r="AU354" s="169"/>
      <c r="AV354" s="169"/>
      <c r="AW354" s="169"/>
      <c r="AX354" s="169"/>
      <c r="AY354" s="169"/>
      <c r="AZ354" s="169"/>
      <c r="BA354" s="169"/>
      <c r="BB354" s="169"/>
      <c r="BC354" s="169"/>
    </row>
    <row r="355" spans="1:55" ht="14.25" customHeight="1">
      <c r="A355" s="507"/>
      <c r="B355" s="156" t="s">
        <v>165</v>
      </c>
      <c r="C355" s="217"/>
      <c r="D355" s="217"/>
      <c r="E355" s="217"/>
      <c r="F355" s="217"/>
      <c r="G355" s="217"/>
      <c r="H355" s="217"/>
      <c r="I355" s="217"/>
      <c r="J355" s="217"/>
      <c r="K355" s="217"/>
      <c r="L355" s="217"/>
      <c r="M355" s="217"/>
      <c r="N355" s="217"/>
      <c r="O355" s="217"/>
      <c r="P355" s="217"/>
      <c r="Q355" s="217"/>
      <c r="R355" s="217"/>
      <c r="S355" s="148" t="str">
        <f t="shared" si="228"/>
        <v>0</v>
      </c>
      <c r="T355" s="148" t="str">
        <f t="shared" si="229"/>
        <v>0</v>
      </c>
      <c r="U355" s="148" t="str">
        <f t="shared" si="230"/>
        <v>0</v>
      </c>
      <c r="V355" s="148" t="str">
        <f t="shared" si="231"/>
        <v>0</v>
      </c>
      <c r="W355" s="507"/>
      <c r="X355" s="152">
        <f t="shared" si="232"/>
        <v>0</v>
      </c>
      <c r="Y355" s="218" t="s">
        <v>169</v>
      </c>
      <c r="Z355" s="169"/>
      <c r="AA355" s="153" t="s">
        <v>162</v>
      </c>
      <c r="AB355" s="153" t="s">
        <v>162</v>
      </c>
      <c r="AC355" s="153" t="s">
        <v>162</v>
      </c>
      <c r="AD355" s="153" t="s">
        <v>162</v>
      </c>
      <c r="AE355" s="169"/>
      <c r="AF355" s="169"/>
      <c r="AG355" s="169"/>
      <c r="AH355" s="169"/>
      <c r="AI355" s="169"/>
      <c r="AJ355" s="169"/>
      <c r="AK355" s="169"/>
      <c r="AL355" s="169"/>
      <c r="AM355" s="169"/>
      <c r="AN355" s="169"/>
      <c r="AO355" s="169"/>
      <c r="AP355" s="169"/>
      <c r="AQ355" s="169"/>
      <c r="AR355" s="169"/>
      <c r="AS355" s="169"/>
      <c r="AT355" s="169"/>
      <c r="AU355" s="169"/>
      <c r="AV355" s="169"/>
      <c r="AW355" s="169"/>
      <c r="AX355" s="169"/>
      <c r="AY355" s="169"/>
      <c r="AZ355" s="169"/>
      <c r="BA355" s="169"/>
      <c r="BB355" s="169"/>
      <c r="BC355" s="169"/>
    </row>
    <row r="356" spans="1:55" ht="14.25" customHeight="1">
      <c r="A356" s="508"/>
      <c r="B356" s="156" t="s">
        <v>166</v>
      </c>
      <c r="C356" s="217"/>
      <c r="D356" s="217"/>
      <c r="E356" s="217"/>
      <c r="F356" s="217"/>
      <c r="G356" s="217"/>
      <c r="H356" s="217"/>
      <c r="I356" s="217"/>
      <c r="J356" s="217"/>
      <c r="K356" s="217"/>
      <c r="L356" s="217"/>
      <c r="M356" s="217"/>
      <c r="N356" s="217"/>
      <c r="O356" s="217"/>
      <c r="P356" s="217"/>
      <c r="Q356" s="217"/>
      <c r="R356" s="217"/>
      <c r="S356" s="148" t="str">
        <f t="shared" si="228"/>
        <v>0</v>
      </c>
      <c r="T356" s="148" t="str">
        <f t="shared" si="229"/>
        <v>0</v>
      </c>
      <c r="U356" s="148" t="str">
        <f t="shared" si="230"/>
        <v>0</v>
      </c>
      <c r="V356" s="148" t="str">
        <f t="shared" si="231"/>
        <v>0</v>
      </c>
      <c r="W356" s="508"/>
      <c r="X356" s="152">
        <f t="shared" si="232"/>
        <v>0</v>
      </c>
      <c r="Y356" s="218" t="s">
        <v>169</v>
      </c>
      <c r="Z356" s="169"/>
      <c r="AA356" s="161" t="s">
        <v>162</v>
      </c>
      <c r="AB356" s="161" t="s">
        <v>162</v>
      </c>
      <c r="AC356" s="161" t="s">
        <v>162</v>
      </c>
      <c r="AD356" s="161" t="s">
        <v>162</v>
      </c>
      <c r="AE356" s="169"/>
      <c r="AF356" s="169"/>
      <c r="AG356" s="169"/>
      <c r="AH356" s="169"/>
      <c r="AI356" s="169"/>
      <c r="AJ356" s="169"/>
      <c r="AK356" s="169"/>
      <c r="AL356" s="169"/>
      <c r="AM356" s="169"/>
      <c r="AN356" s="169"/>
      <c r="AO356" s="169"/>
      <c r="AP356" s="169"/>
      <c r="AQ356" s="169"/>
      <c r="AR356" s="169"/>
      <c r="AS356" s="169"/>
      <c r="AT356" s="169"/>
      <c r="AU356" s="169"/>
      <c r="AV356" s="169"/>
      <c r="AW356" s="169"/>
      <c r="AX356" s="169"/>
      <c r="AY356" s="169"/>
      <c r="AZ356" s="169"/>
      <c r="BA356" s="169"/>
      <c r="BB356" s="169"/>
      <c r="BC356" s="169"/>
    </row>
    <row r="357" spans="1:55" ht="14.25" customHeight="1">
      <c r="A357" s="506" t="s">
        <v>78</v>
      </c>
      <c r="B357" s="156" t="s">
        <v>160</v>
      </c>
      <c r="C357" s="217"/>
      <c r="D357" s="217"/>
      <c r="E357" s="217"/>
      <c r="F357" s="217"/>
      <c r="G357" s="217"/>
      <c r="H357" s="217"/>
      <c r="I357" s="217"/>
      <c r="J357" s="217"/>
      <c r="K357" s="217"/>
      <c r="L357" s="217"/>
      <c r="M357" s="217"/>
      <c r="N357" s="217"/>
      <c r="O357" s="217"/>
      <c r="P357" s="217"/>
      <c r="Q357" s="217"/>
      <c r="R357" s="217"/>
      <c r="S357" s="148" t="str">
        <f t="shared" si="228"/>
        <v>0</v>
      </c>
      <c r="T357" s="148" t="str">
        <f t="shared" si="229"/>
        <v>0</v>
      </c>
      <c r="U357" s="148" t="str">
        <f t="shared" si="230"/>
        <v>0</v>
      </c>
      <c r="V357" s="148" t="str">
        <f t="shared" si="231"/>
        <v>0</v>
      </c>
      <c r="W357" s="513">
        <f>SUM(X357:X361)/5</f>
        <v>0</v>
      </c>
      <c r="X357" s="152">
        <f t="shared" si="232"/>
        <v>0</v>
      </c>
      <c r="Y357" s="150" t="s">
        <v>178</v>
      </c>
      <c r="Z357" s="221"/>
      <c r="AA357" s="159" t="s">
        <v>162</v>
      </c>
      <c r="AB357" s="159" t="s">
        <v>162</v>
      </c>
      <c r="AC357" s="159" t="s">
        <v>162</v>
      </c>
      <c r="AD357" s="159" t="s">
        <v>162</v>
      </c>
      <c r="AE357" s="185"/>
      <c r="AF357" s="169"/>
      <c r="AG357" s="169"/>
      <c r="AH357" s="169"/>
      <c r="AI357" s="169"/>
      <c r="AJ357" s="169"/>
      <c r="AK357" s="169"/>
      <c r="AL357" s="169"/>
      <c r="AM357" s="169"/>
      <c r="AN357" s="169"/>
      <c r="AO357" s="169"/>
      <c r="AP357" s="169"/>
      <c r="AQ357" s="169"/>
      <c r="AR357" s="169"/>
      <c r="AS357" s="169"/>
      <c r="AT357" s="169"/>
      <c r="AU357" s="169"/>
      <c r="AV357" s="169"/>
      <c r="AW357" s="169"/>
      <c r="AX357" s="169"/>
      <c r="AY357" s="169"/>
      <c r="AZ357" s="169"/>
      <c r="BA357" s="169"/>
      <c r="BB357" s="169"/>
      <c r="BC357" s="169"/>
    </row>
    <row r="358" spans="1:55" ht="14.25" customHeight="1">
      <c r="A358" s="507"/>
      <c r="B358" s="156" t="s">
        <v>163</v>
      </c>
      <c r="C358" s="217"/>
      <c r="D358" s="217"/>
      <c r="E358" s="217"/>
      <c r="F358" s="217"/>
      <c r="G358" s="217"/>
      <c r="H358" s="217"/>
      <c r="I358" s="217"/>
      <c r="J358" s="217"/>
      <c r="K358" s="217"/>
      <c r="L358" s="217"/>
      <c r="M358" s="217"/>
      <c r="N358" s="217"/>
      <c r="O358" s="217"/>
      <c r="P358" s="217"/>
      <c r="Q358" s="217"/>
      <c r="R358" s="217"/>
      <c r="S358" s="148" t="str">
        <f t="shared" si="228"/>
        <v>0</v>
      </c>
      <c r="T358" s="148" t="str">
        <f t="shared" si="229"/>
        <v>0</v>
      </c>
      <c r="U358" s="148" t="str">
        <f t="shared" si="230"/>
        <v>0</v>
      </c>
      <c r="V358" s="148" t="str">
        <f t="shared" si="231"/>
        <v>0</v>
      </c>
      <c r="W358" s="507"/>
      <c r="X358" s="152">
        <f t="shared" si="232"/>
        <v>0</v>
      </c>
      <c r="Y358" s="218" t="s">
        <v>169</v>
      </c>
      <c r="Z358" s="221"/>
      <c r="AA358" s="159" t="s">
        <v>162</v>
      </c>
      <c r="AB358" s="159" t="s">
        <v>162</v>
      </c>
      <c r="AC358" s="159" t="s">
        <v>162</v>
      </c>
      <c r="AD358" s="159" t="s">
        <v>162</v>
      </c>
      <c r="AE358" s="185"/>
      <c r="AF358" s="169"/>
      <c r="AG358" s="169"/>
      <c r="AH358" s="169"/>
      <c r="AI358" s="169"/>
      <c r="AJ358" s="169"/>
      <c r="AK358" s="169"/>
      <c r="AL358" s="169"/>
      <c r="AM358" s="169"/>
      <c r="AN358" s="169"/>
      <c r="AO358" s="169"/>
      <c r="AP358" s="169"/>
      <c r="AQ358" s="169"/>
      <c r="AR358" s="169"/>
      <c r="AS358" s="169"/>
      <c r="AT358" s="169"/>
      <c r="AU358" s="169"/>
      <c r="AV358" s="169"/>
      <c r="AW358" s="169"/>
      <c r="AX358" s="169"/>
      <c r="AY358" s="169"/>
      <c r="AZ358" s="169"/>
      <c r="BA358" s="169"/>
      <c r="BB358" s="169"/>
      <c r="BC358" s="169"/>
    </row>
    <row r="359" spans="1:55" ht="14.25" customHeight="1">
      <c r="A359" s="507"/>
      <c r="B359" s="156" t="s">
        <v>164</v>
      </c>
      <c r="C359" s="217"/>
      <c r="D359" s="217"/>
      <c r="E359" s="217"/>
      <c r="F359" s="217"/>
      <c r="G359" s="217"/>
      <c r="H359" s="217"/>
      <c r="I359" s="217"/>
      <c r="J359" s="217"/>
      <c r="K359" s="217"/>
      <c r="L359" s="217"/>
      <c r="M359" s="217"/>
      <c r="N359" s="217"/>
      <c r="O359" s="217"/>
      <c r="P359" s="217"/>
      <c r="Q359" s="217"/>
      <c r="R359" s="217"/>
      <c r="S359" s="148" t="str">
        <f t="shared" si="228"/>
        <v>0</v>
      </c>
      <c r="T359" s="148" t="str">
        <f t="shared" si="229"/>
        <v>0</v>
      </c>
      <c r="U359" s="148" t="str">
        <f t="shared" si="230"/>
        <v>0</v>
      </c>
      <c r="V359" s="148" t="str">
        <f t="shared" si="231"/>
        <v>0</v>
      </c>
      <c r="W359" s="507"/>
      <c r="X359" s="152">
        <f t="shared" si="232"/>
        <v>0</v>
      </c>
      <c r="Y359" s="218" t="s">
        <v>169</v>
      </c>
      <c r="Z359" s="221"/>
      <c r="AA359" s="159" t="s">
        <v>162</v>
      </c>
      <c r="AB359" s="159" t="s">
        <v>162</v>
      </c>
      <c r="AC359" s="159" t="s">
        <v>162</v>
      </c>
      <c r="AD359" s="159" t="s">
        <v>162</v>
      </c>
      <c r="AE359" s="185"/>
      <c r="AF359" s="169"/>
      <c r="AG359" s="169"/>
      <c r="AH359" s="169"/>
      <c r="AI359" s="169"/>
      <c r="AJ359" s="169"/>
      <c r="AK359" s="169"/>
      <c r="AL359" s="169"/>
      <c r="AM359" s="169"/>
      <c r="AN359" s="169"/>
      <c r="AO359" s="169"/>
      <c r="AP359" s="169"/>
      <c r="AQ359" s="169"/>
      <c r="AR359" s="169"/>
      <c r="AS359" s="169"/>
      <c r="AT359" s="169"/>
      <c r="AU359" s="169"/>
      <c r="AV359" s="169"/>
      <c r="AW359" s="169"/>
      <c r="AX359" s="169"/>
      <c r="AY359" s="169"/>
      <c r="AZ359" s="169"/>
      <c r="BA359" s="169"/>
      <c r="BB359" s="169"/>
      <c r="BC359" s="169"/>
    </row>
    <row r="360" spans="1:55" ht="14.25" customHeight="1">
      <c r="A360" s="507"/>
      <c r="B360" s="156" t="s">
        <v>165</v>
      </c>
      <c r="C360" s="217"/>
      <c r="D360" s="217"/>
      <c r="E360" s="217"/>
      <c r="F360" s="217"/>
      <c r="G360" s="217"/>
      <c r="H360" s="217"/>
      <c r="I360" s="217"/>
      <c r="J360" s="217"/>
      <c r="K360" s="217"/>
      <c r="L360" s="217"/>
      <c r="M360" s="217"/>
      <c r="N360" s="217"/>
      <c r="O360" s="217"/>
      <c r="P360" s="217"/>
      <c r="Q360" s="217"/>
      <c r="R360" s="217"/>
      <c r="S360" s="148" t="str">
        <f t="shared" si="228"/>
        <v>0</v>
      </c>
      <c r="T360" s="148" t="str">
        <f t="shared" si="229"/>
        <v>0</v>
      </c>
      <c r="U360" s="148" t="str">
        <f t="shared" si="230"/>
        <v>0</v>
      </c>
      <c r="V360" s="148" t="str">
        <f t="shared" si="231"/>
        <v>0</v>
      </c>
      <c r="W360" s="507"/>
      <c r="X360" s="152">
        <f t="shared" si="232"/>
        <v>0</v>
      </c>
      <c r="Y360" s="218" t="s">
        <v>169</v>
      </c>
      <c r="Z360" s="221"/>
      <c r="AA360" s="159" t="s">
        <v>162</v>
      </c>
      <c r="AB360" s="159" t="s">
        <v>162</v>
      </c>
      <c r="AC360" s="159" t="s">
        <v>162</v>
      </c>
      <c r="AD360" s="159" t="s">
        <v>162</v>
      </c>
      <c r="AE360" s="185"/>
      <c r="AF360" s="169"/>
      <c r="AG360" s="169"/>
      <c r="AH360" s="169"/>
      <c r="AI360" s="169"/>
      <c r="AJ360" s="169"/>
      <c r="AK360" s="169"/>
      <c r="AL360" s="169"/>
      <c r="AM360" s="169"/>
      <c r="AN360" s="169"/>
      <c r="AO360" s="169"/>
      <c r="AP360" s="169"/>
      <c r="AQ360" s="169"/>
      <c r="AR360" s="169"/>
      <c r="AS360" s="169"/>
      <c r="AT360" s="169"/>
      <c r="AU360" s="169"/>
      <c r="AV360" s="169"/>
      <c r="AW360" s="169"/>
      <c r="AX360" s="169"/>
      <c r="AY360" s="169"/>
      <c r="AZ360" s="169"/>
      <c r="BA360" s="169"/>
      <c r="BB360" s="169"/>
      <c r="BC360" s="169"/>
    </row>
    <row r="361" spans="1:55" ht="14.25" customHeight="1">
      <c r="A361" s="508"/>
      <c r="B361" s="156" t="s">
        <v>166</v>
      </c>
      <c r="C361" s="217"/>
      <c r="D361" s="217"/>
      <c r="E361" s="217"/>
      <c r="F361" s="217"/>
      <c r="G361" s="217"/>
      <c r="H361" s="217"/>
      <c r="I361" s="217"/>
      <c r="J361" s="217"/>
      <c r="K361" s="217"/>
      <c r="L361" s="217"/>
      <c r="M361" s="217"/>
      <c r="N361" s="217"/>
      <c r="O361" s="217"/>
      <c r="P361" s="217"/>
      <c r="Q361" s="217"/>
      <c r="R361" s="217"/>
      <c r="S361" s="148" t="str">
        <f t="shared" si="228"/>
        <v>0</v>
      </c>
      <c r="T361" s="148" t="str">
        <f t="shared" si="229"/>
        <v>0</v>
      </c>
      <c r="U361" s="148" t="str">
        <f t="shared" si="230"/>
        <v>0</v>
      </c>
      <c r="V361" s="148" t="str">
        <f t="shared" si="231"/>
        <v>0</v>
      </c>
      <c r="W361" s="508"/>
      <c r="X361" s="152">
        <f t="shared" si="232"/>
        <v>0</v>
      </c>
      <c r="Y361" s="218" t="s">
        <v>169</v>
      </c>
      <c r="Z361" s="221"/>
      <c r="AA361" s="159" t="s">
        <v>162</v>
      </c>
      <c r="AB361" s="159" t="s">
        <v>162</v>
      </c>
      <c r="AC361" s="159" t="s">
        <v>162</v>
      </c>
      <c r="AD361" s="159" t="s">
        <v>162</v>
      </c>
      <c r="AE361" s="185"/>
      <c r="AF361" s="169"/>
      <c r="AG361" s="169"/>
      <c r="AH361" s="169"/>
      <c r="AI361" s="169"/>
      <c r="AJ361" s="169"/>
      <c r="AK361" s="169"/>
      <c r="AL361" s="169"/>
      <c r="AM361" s="169"/>
      <c r="AN361" s="169"/>
      <c r="AO361" s="169"/>
      <c r="AP361" s="169"/>
      <c r="AQ361" s="169"/>
      <c r="AR361" s="169"/>
      <c r="AS361" s="169"/>
      <c r="AT361" s="169"/>
      <c r="AU361" s="169"/>
      <c r="AV361" s="169"/>
      <c r="AW361" s="169"/>
      <c r="AX361" s="169"/>
      <c r="AY361" s="169"/>
      <c r="AZ361" s="169"/>
      <c r="BA361" s="169"/>
      <c r="BB361" s="169"/>
      <c r="BC361" s="169"/>
    </row>
    <row r="362" spans="1:55" ht="14.25" customHeight="1">
      <c r="A362" s="506" t="s">
        <v>79</v>
      </c>
      <c r="B362" s="156" t="s">
        <v>160</v>
      </c>
      <c r="C362" s="217"/>
      <c r="D362" s="217"/>
      <c r="E362" s="217"/>
      <c r="F362" s="217"/>
      <c r="G362" s="217"/>
      <c r="H362" s="217"/>
      <c r="I362" s="217"/>
      <c r="J362" s="217"/>
      <c r="K362" s="217"/>
      <c r="L362" s="217"/>
      <c r="M362" s="217"/>
      <c r="N362" s="217"/>
      <c r="O362" s="217"/>
      <c r="P362" s="217"/>
      <c r="Q362" s="217"/>
      <c r="R362" s="217"/>
      <c r="S362" s="148" t="str">
        <f t="shared" si="228"/>
        <v>0</v>
      </c>
      <c r="T362" s="148" t="str">
        <f t="shared" si="229"/>
        <v>0</v>
      </c>
      <c r="U362" s="148" t="str">
        <f t="shared" si="230"/>
        <v>0</v>
      </c>
      <c r="V362" s="148" t="str">
        <f t="shared" si="231"/>
        <v>0</v>
      </c>
      <c r="W362" s="513">
        <f>SUM(X362:X366)/5</f>
        <v>0</v>
      </c>
      <c r="X362" s="152">
        <f t="shared" si="232"/>
        <v>0</v>
      </c>
      <c r="Y362" s="218" t="s">
        <v>180</v>
      </c>
      <c r="Z362" s="169"/>
      <c r="AA362" s="160" t="s">
        <v>162</v>
      </c>
      <c r="AB362" s="160" t="s">
        <v>162</v>
      </c>
      <c r="AC362" s="160" t="s">
        <v>162</v>
      </c>
      <c r="AD362" s="160" t="s">
        <v>162</v>
      </c>
      <c r="AE362" s="169"/>
      <c r="AF362" s="169"/>
      <c r="AG362" s="169"/>
      <c r="AH362" s="169"/>
      <c r="AI362" s="169"/>
      <c r="AJ362" s="169"/>
      <c r="AK362" s="169"/>
      <c r="AL362" s="169"/>
      <c r="AM362" s="169"/>
      <c r="AN362" s="169"/>
      <c r="AO362" s="169"/>
      <c r="AP362" s="169"/>
      <c r="AQ362" s="169"/>
      <c r="AR362" s="169"/>
      <c r="AS362" s="169"/>
      <c r="AT362" s="169"/>
      <c r="AU362" s="169"/>
      <c r="AV362" s="169"/>
      <c r="AW362" s="169"/>
      <c r="AX362" s="169"/>
      <c r="AY362" s="169"/>
      <c r="AZ362" s="169"/>
      <c r="BA362" s="169"/>
      <c r="BB362" s="169"/>
      <c r="BC362" s="169"/>
    </row>
    <row r="363" spans="1:55" ht="14.25" customHeight="1">
      <c r="A363" s="507"/>
      <c r="B363" s="156" t="s">
        <v>163</v>
      </c>
      <c r="C363" s="217"/>
      <c r="D363" s="217"/>
      <c r="E363" s="217"/>
      <c r="F363" s="217"/>
      <c r="G363" s="217"/>
      <c r="H363" s="217"/>
      <c r="I363" s="217"/>
      <c r="J363" s="217"/>
      <c r="K363" s="217"/>
      <c r="L363" s="217"/>
      <c r="M363" s="217"/>
      <c r="N363" s="217"/>
      <c r="O363" s="217"/>
      <c r="P363" s="217"/>
      <c r="Q363" s="217"/>
      <c r="R363" s="217"/>
      <c r="S363" s="148" t="str">
        <f t="shared" si="228"/>
        <v>0</v>
      </c>
      <c r="T363" s="148" t="str">
        <f t="shared" si="229"/>
        <v>0</v>
      </c>
      <c r="U363" s="148" t="str">
        <f t="shared" si="230"/>
        <v>0</v>
      </c>
      <c r="V363" s="148" t="str">
        <f t="shared" si="231"/>
        <v>0</v>
      </c>
      <c r="W363" s="507"/>
      <c r="X363" s="152">
        <f t="shared" si="232"/>
        <v>0</v>
      </c>
      <c r="Y363" s="218" t="s">
        <v>169</v>
      </c>
      <c r="Z363" s="169"/>
      <c r="AA363" s="153" t="s">
        <v>162</v>
      </c>
      <c r="AB363" s="153" t="s">
        <v>162</v>
      </c>
      <c r="AC363" s="153" t="s">
        <v>162</v>
      </c>
      <c r="AD363" s="153" t="s">
        <v>162</v>
      </c>
      <c r="AE363" s="169"/>
      <c r="AF363" s="169"/>
      <c r="AG363" s="169"/>
      <c r="AH363" s="169"/>
      <c r="AI363" s="169"/>
      <c r="AJ363" s="169"/>
      <c r="AK363" s="169"/>
      <c r="AL363" s="169"/>
      <c r="AM363" s="169"/>
      <c r="AN363" s="169"/>
      <c r="AO363" s="169"/>
      <c r="AP363" s="169"/>
      <c r="AQ363" s="169"/>
      <c r="AR363" s="169"/>
      <c r="AS363" s="169"/>
      <c r="AT363" s="169"/>
      <c r="AU363" s="169"/>
      <c r="AV363" s="169"/>
      <c r="AW363" s="169"/>
      <c r="AX363" s="169"/>
      <c r="AY363" s="169"/>
      <c r="AZ363" s="169"/>
      <c r="BA363" s="169"/>
      <c r="BB363" s="169"/>
      <c r="BC363" s="169"/>
    </row>
    <row r="364" spans="1:55" ht="14.25" customHeight="1">
      <c r="A364" s="507"/>
      <c r="B364" s="156" t="s">
        <v>164</v>
      </c>
      <c r="C364" s="217"/>
      <c r="D364" s="217"/>
      <c r="E364" s="217"/>
      <c r="F364" s="217"/>
      <c r="G364" s="217"/>
      <c r="H364" s="217"/>
      <c r="I364" s="217"/>
      <c r="J364" s="217"/>
      <c r="K364" s="217"/>
      <c r="L364" s="217"/>
      <c r="M364" s="217"/>
      <c r="N364" s="217"/>
      <c r="O364" s="217"/>
      <c r="P364" s="217"/>
      <c r="Q364" s="217"/>
      <c r="R364" s="217"/>
      <c r="S364" s="148" t="str">
        <f t="shared" si="228"/>
        <v>0</v>
      </c>
      <c r="T364" s="148" t="str">
        <f t="shared" si="229"/>
        <v>0</v>
      </c>
      <c r="U364" s="148" t="str">
        <f t="shared" si="230"/>
        <v>0</v>
      </c>
      <c r="V364" s="148" t="str">
        <f t="shared" si="231"/>
        <v>0</v>
      </c>
      <c r="W364" s="507"/>
      <c r="X364" s="152">
        <f t="shared" si="232"/>
        <v>0</v>
      </c>
      <c r="Y364" s="218" t="s">
        <v>169</v>
      </c>
      <c r="Z364" s="169"/>
      <c r="AA364" s="153" t="s">
        <v>162</v>
      </c>
      <c r="AB364" s="153" t="s">
        <v>162</v>
      </c>
      <c r="AC364" s="153" t="s">
        <v>162</v>
      </c>
      <c r="AD364" s="153" t="s">
        <v>162</v>
      </c>
      <c r="AE364" s="169"/>
      <c r="AF364" s="169"/>
      <c r="AG364" s="169"/>
      <c r="AH364" s="169"/>
      <c r="AI364" s="169"/>
      <c r="AJ364" s="169"/>
      <c r="AK364" s="169"/>
      <c r="AL364" s="169"/>
      <c r="AM364" s="169"/>
      <c r="AN364" s="169"/>
      <c r="AO364" s="169"/>
      <c r="AP364" s="169"/>
      <c r="AQ364" s="169"/>
      <c r="AR364" s="169"/>
      <c r="AS364" s="169"/>
      <c r="AT364" s="169"/>
      <c r="AU364" s="169"/>
      <c r="AV364" s="169"/>
      <c r="AW364" s="169"/>
      <c r="AX364" s="169"/>
      <c r="AY364" s="169"/>
      <c r="AZ364" s="169"/>
      <c r="BA364" s="169"/>
      <c r="BB364" s="169"/>
      <c r="BC364" s="169"/>
    </row>
    <row r="365" spans="1:55" ht="14.25" customHeight="1">
      <c r="A365" s="507"/>
      <c r="B365" s="156" t="s">
        <v>165</v>
      </c>
      <c r="C365" s="217"/>
      <c r="D365" s="217"/>
      <c r="E365" s="217"/>
      <c r="F365" s="217"/>
      <c r="G365" s="217"/>
      <c r="H365" s="217"/>
      <c r="I365" s="217"/>
      <c r="J365" s="217"/>
      <c r="K365" s="217"/>
      <c r="L365" s="217"/>
      <c r="M365" s="217"/>
      <c r="N365" s="217"/>
      <c r="O365" s="217"/>
      <c r="P365" s="217"/>
      <c r="Q365" s="217"/>
      <c r="R365" s="217"/>
      <c r="S365" s="148" t="str">
        <f t="shared" si="228"/>
        <v>0</v>
      </c>
      <c r="T365" s="148" t="str">
        <f t="shared" si="229"/>
        <v>0</v>
      </c>
      <c r="U365" s="148" t="str">
        <f t="shared" si="230"/>
        <v>0</v>
      </c>
      <c r="V365" s="148" t="str">
        <f t="shared" si="231"/>
        <v>0</v>
      </c>
      <c r="W365" s="507"/>
      <c r="X365" s="152">
        <f t="shared" si="232"/>
        <v>0</v>
      </c>
      <c r="Y365" s="218" t="s">
        <v>169</v>
      </c>
      <c r="Z365" s="169"/>
      <c r="AA365" s="153" t="s">
        <v>162</v>
      </c>
      <c r="AB365" s="153" t="s">
        <v>162</v>
      </c>
      <c r="AC365" s="153" t="s">
        <v>162</v>
      </c>
      <c r="AD365" s="153" t="s">
        <v>162</v>
      </c>
      <c r="AE365" s="169"/>
      <c r="AF365" s="169"/>
      <c r="AG365" s="169"/>
      <c r="AH365" s="169"/>
      <c r="AI365" s="169"/>
      <c r="AJ365" s="169"/>
      <c r="AK365" s="169"/>
      <c r="AL365" s="169"/>
      <c r="AM365" s="169"/>
      <c r="AN365" s="169"/>
      <c r="AO365" s="169"/>
      <c r="AP365" s="169"/>
      <c r="AQ365" s="169"/>
      <c r="AR365" s="169"/>
      <c r="AS365" s="169"/>
      <c r="AT365" s="169"/>
      <c r="AU365" s="169"/>
      <c r="AV365" s="169"/>
      <c r="AW365" s="169"/>
      <c r="AX365" s="169"/>
      <c r="AY365" s="169"/>
      <c r="AZ365" s="169"/>
      <c r="BA365" s="169"/>
      <c r="BB365" s="169"/>
      <c r="BC365" s="169"/>
    </row>
    <row r="366" spans="1:55" ht="14.25" customHeight="1">
      <c r="A366" s="508"/>
      <c r="B366" s="156" t="s">
        <v>166</v>
      </c>
      <c r="C366" s="217"/>
      <c r="D366" s="217"/>
      <c r="E366" s="217"/>
      <c r="F366" s="217"/>
      <c r="G366" s="217"/>
      <c r="H366" s="217"/>
      <c r="I366" s="217"/>
      <c r="J366" s="217"/>
      <c r="K366" s="217"/>
      <c r="L366" s="217"/>
      <c r="M366" s="217"/>
      <c r="N366" s="217"/>
      <c r="O366" s="217"/>
      <c r="P366" s="217"/>
      <c r="Q366" s="217"/>
      <c r="R366" s="217"/>
      <c r="S366" s="148" t="str">
        <f t="shared" si="228"/>
        <v>0</v>
      </c>
      <c r="T366" s="148" t="str">
        <f t="shared" si="229"/>
        <v>0</v>
      </c>
      <c r="U366" s="148" t="str">
        <f t="shared" si="230"/>
        <v>0</v>
      </c>
      <c r="V366" s="148" t="str">
        <f t="shared" si="231"/>
        <v>0</v>
      </c>
      <c r="W366" s="508"/>
      <c r="X366" s="152">
        <f t="shared" si="232"/>
        <v>0</v>
      </c>
      <c r="Y366" s="218" t="s">
        <v>169</v>
      </c>
      <c r="Z366" s="169"/>
      <c r="AA366" s="161" t="s">
        <v>162</v>
      </c>
      <c r="AB366" s="161" t="s">
        <v>162</v>
      </c>
      <c r="AC366" s="161" t="s">
        <v>162</v>
      </c>
      <c r="AD366" s="161" t="s">
        <v>162</v>
      </c>
      <c r="AE366" s="169"/>
      <c r="AF366" s="169"/>
      <c r="AG366" s="169"/>
      <c r="AH366" s="169"/>
      <c r="AI366" s="169"/>
      <c r="AJ366" s="169"/>
      <c r="AK366" s="169"/>
      <c r="AL366" s="169"/>
      <c r="AM366" s="169"/>
      <c r="AN366" s="169"/>
      <c r="AO366" s="169"/>
      <c r="AP366" s="169"/>
      <c r="AQ366" s="169"/>
      <c r="AR366" s="169"/>
      <c r="AS366" s="169"/>
      <c r="AT366" s="169"/>
      <c r="AU366" s="169"/>
      <c r="AV366" s="169"/>
      <c r="AW366" s="169"/>
      <c r="AX366" s="169"/>
      <c r="AY366" s="169"/>
      <c r="AZ366" s="169"/>
      <c r="BA366" s="169"/>
      <c r="BB366" s="169"/>
      <c r="BC366" s="169"/>
    </row>
    <row r="367" spans="1:55" ht="14.25" customHeight="1">
      <c r="A367" s="512" t="s">
        <v>80</v>
      </c>
      <c r="B367" s="156" t="s">
        <v>160</v>
      </c>
      <c r="C367" s="217"/>
      <c r="D367" s="217"/>
      <c r="E367" s="217"/>
      <c r="F367" s="217"/>
      <c r="G367" s="217"/>
      <c r="H367" s="217"/>
      <c r="I367" s="217"/>
      <c r="J367" s="217"/>
      <c r="K367" s="217"/>
      <c r="L367" s="217"/>
      <c r="M367" s="217"/>
      <c r="N367" s="217"/>
      <c r="O367" s="217"/>
      <c r="P367" s="217"/>
      <c r="Q367" s="217"/>
      <c r="R367" s="217"/>
      <c r="S367" s="148" t="str">
        <f t="shared" si="228"/>
        <v>0</v>
      </c>
      <c r="T367" s="148" t="str">
        <f t="shared" si="229"/>
        <v>0</v>
      </c>
      <c r="U367" s="148" t="str">
        <f t="shared" si="230"/>
        <v>0</v>
      </c>
      <c r="V367" s="148" t="str">
        <f t="shared" si="231"/>
        <v>0</v>
      </c>
      <c r="W367" s="513">
        <f>SUM(X367:X371)/5</f>
        <v>0</v>
      </c>
      <c r="X367" s="152">
        <f t="shared" si="232"/>
        <v>0</v>
      </c>
      <c r="Y367" s="218" t="s">
        <v>182</v>
      </c>
      <c r="Z367" s="221"/>
      <c r="AA367" s="159" t="s">
        <v>162</v>
      </c>
      <c r="AB367" s="159" t="s">
        <v>162</v>
      </c>
      <c r="AC367" s="159" t="s">
        <v>162</v>
      </c>
      <c r="AD367" s="159" t="s">
        <v>162</v>
      </c>
      <c r="AE367" s="185"/>
      <c r="AF367" s="169"/>
      <c r="AG367" s="169"/>
      <c r="AH367" s="169"/>
      <c r="AI367" s="169"/>
      <c r="AJ367" s="169"/>
      <c r="AK367" s="169"/>
      <c r="AL367" s="169"/>
      <c r="AM367" s="169"/>
      <c r="AN367" s="169"/>
      <c r="AO367" s="169"/>
      <c r="AP367" s="169"/>
      <c r="AQ367" s="169"/>
      <c r="AR367" s="169"/>
      <c r="AS367" s="169"/>
      <c r="AT367" s="169"/>
      <c r="AU367" s="169"/>
      <c r="AV367" s="169"/>
      <c r="AW367" s="169"/>
      <c r="AX367" s="169"/>
      <c r="AY367" s="169"/>
      <c r="AZ367" s="169"/>
      <c r="BA367" s="169"/>
      <c r="BB367" s="169"/>
      <c r="BC367" s="169"/>
    </row>
    <row r="368" spans="1:55" ht="14.25" customHeight="1">
      <c r="A368" s="507"/>
      <c r="B368" s="156" t="s">
        <v>163</v>
      </c>
      <c r="C368" s="217"/>
      <c r="D368" s="217"/>
      <c r="E368" s="217"/>
      <c r="F368" s="217"/>
      <c r="G368" s="217"/>
      <c r="H368" s="217"/>
      <c r="I368" s="217"/>
      <c r="J368" s="217"/>
      <c r="K368" s="217"/>
      <c r="L368" s="217"/>
      <c r="M368" s="217"/>
      <c r="N368" s="217"/>
      <c r="O368" s="217"/>
      <c r="P368" s="217"/>
      <c r="Q368" s="217"/>
      <c r="R368" s="217"/>
      <c r="S368" s="148" t="str">
        <f t="shared" si="228"/>
        <v>0</v>
      </c>
      <c r="T368" s="148" t="str">
        <f t="shared" si="229"/>
        <v>0</v>
      </c>
      <c r="U368" s="148" t="str">
        <f t="shared" si="230"/>
        <v>0</v>
      </c>
      <c r="V368" s="148" t="str">
        <f t="shared" si="231"/>
        <v>0</v>
      </c>
      <c r="W368" s="507"/>
      <c r="X368" s="152">
        <f t="shared" si="232"/>
        <v>0</v>
      </c>
      <c r="Y368" s="218" t="s">
        <v>169</v>
      </c>
      <c r="Z368" s="221"/>
      <c r="AA368" s="159" t="s">
        <v>162</v>
      </c>
      <c r="AB368" s="159" t="s">
        <v>162</v>
      </c>
      <c r="AC368" s="159" t="s">
        <v>162</v>
      </c>
      <c r="AD368" s="159" t="s">
        <v>162</v>
      </c>
      <c r="AE368" s="185"/>
      <c r="AF368" s="169"/>
      <c r="AG368" s="169"/>
      <c r="AH368" s="169"/>
      <c r="AI368" s="169"/>
      <c r="AJ368" s="169"/>
      <c r="AK368" s="169"/>
      <c r="AL368" s="169"/>
      <c r="AM368" s="169"/>
      <c r="AN368" s="169"/>
      <c r="AO368" s="169"/>
      <c r="AP368" s="169"/>
      <c r="AQ368" s="169"/>
      <c r="AR368" s="169"/>
      <c r="AS368" s="169"/>
      <c r="AT368" s="169"/>
      <c r="AU368" s="169"/>
      <c r="AV368" s="169"/>
      <c r="AW368" s="169"/>
      <c r="AX368" s="169"/>
      <c r="AY368" s="169"/>
      <c r="AZ368" s="169"/>
      <c r="BA368" s="169"/>
      <c r="BB368" s="169"/>
      <c r="BC368" s="169"/>
    </row>
    <row r="369" spans="1:55" ht="14.25" customHeight="1">
      <c r="A369" s="507"/>
      <c r="B369" s="156" t="s">
        <v>164</v>
      </c>
      <c r="C369" s="217"/>
      <c r="D369" s="217"/>
      <c r="E369" s="217"/>
      <c r="F369" s="217"/>
      <c r="G369" s="217"/>
      <c r="H369" s="217"/>
      <c r="I369" s="217"/>
      <c r="J369" s="217"/>
      <c r="K369" s="217"/>
      <c r="L369" s="217"/>
      <c r="M369" s="217"/>
      <c r="N369" s="217"/>
      <c r="O369" s="217"/>
      <c r="P369" s="217"/>
      <c r="Q369" s="217"/>
      <c r="R369" s="217"/>
      <c r="S369" s="148" t="str">
        <f t="shared" si="228"/>
        <v>0</v>
      </c>
      <c r="T369" s="148" t="str">
        <f t="shared" si="229"/>
        <v>0</v>
      </c>
      <c r="U369" s="148" t="str">
        <f t="shared" si="230"/>
        <v>0</v>
      </c>
      <c r="V369" s="148" t="str">
        <f t="shared" si="231"/>
        <v>0</v>
      </c>
      <c r="W369" s="507"/>
      <c r="X369" s="152">
        <f t="shared" si="232"/>
        <v>0</v>
      </c>
      <c r="Y369" s="218" t="s">
        <v>169</v>
      </c>
      <c r="Z369" s="221"/>
      <c r="AA369" s="159" t="s">
        <v>162</v>
      </c>
      <c r="AB369" s="159" t="s">
        <v>162</v>
      </c>
      <c r="AC369" s="159" t="s">
        <v>162</v>
      </c>
      <c r="AD369" s="159" t="s">
        <v>162</v>
      </c>
      <c r="AE369" s="185"/>
      <c r="AF369" s="169"/>
      <c r="AG369" s="169"/>
      <c r="AH369" s="169"/>
      <c r="AI369" s="169"/>
      <c r="AJ369" s="169"/>
      <c r="AK369" s="169"/>
      <c r="AL369" s="169"/>
      <c r="AM369" s="169"/>
      <c r="AN369" s="169"/>
      <c r="AO369" s="169"/>
      <c r="AP369" s="169"/>
      <c r="AQ369" s="169"/>
      <c r="AR369" s="169"/>
      <c r="AS369" s="169"/>
      <c r="AT369" s="169"/>
      <c r="AU369" s="169"/>
      <c r="AV369" s="169"/>
      <c r="AW369" s="169"/>
      <c r="AX369" s="169"/>
      <c r="AY369" s="169"/>
      <c r="AZ369" s="169"/>
      <c r="BA369" s="169"/>
      <c r="BB369" s="169"/>
      <c r="BC369" s="169"/>
    </row>
    <row r="370" spans="1:55" ht="14.25" customHeight="1">
      <c r="A370" s="507"/>
      <c r="B370" s="156" t="s">
        <v>165</v>
      </c>
      <c r="C370" s="217"/>
      <c r="D370" s="217"/>
      <c r="E370" s="217"/>
      <c r="F370" s="217"/>
      <c r="G370" s="217"/>
      <c r="H370" s="217"/>
      <c r="I370" s="217"/>
      <c r="J370" s="217"/>
      <c r="K370" s="217"/>
      <c r="L370" s="217"/>
      <c r="M370" s="217"/>
      <c r="N370" s="217"/>
      <c r="O370" s="217"/>
      <c r="P370" s="217"/>
      <c r="Q370" s="217"/>
      <c r="R370" s="217"/>
      <c r="S370" s="148" t="str">
        <f t="shared" si="228"/>
        <v>0</v>
      </c>
      <c r="T370" s="148" t="str">
        <f t="shared" si="229"/>
        <v>0</v>
      </c>
      <c r="U370" s="148" t="str">
        <f t="shared" si="230"/>
        <v>0</v>
      </c>
      <c r="V370" s="148" t="str">
        <f t="shared" si="231"/>
        <v>0</v>
      </c>
      <c r="W370" s="507"/>
      <c r="X370" s="152">
        <f t="shared" si="232"/>
        <v>0</v>
      </c>
      <c r="Y370" s="218" t="s">
        <v>169</v>
      </c>
      <c r="Z370" s="221"/>
      <c r="AA370" s="159" t="s">
        <v>162</v>
      </c>
      <c r="AB370" s="159" t="s">
        <v>162</v>
      </c>
      <c r="AC370" s="159" t="s">
        <v>162</v>
      </c>
      <c r="AD370" s="159" t="s">
        <v>162</v>
      </c>
      <c r="AE370" s="185"/>
      <c r="AF370" s="169"/>
      <c r="AG370" s="169"/>
      <c r="AH370" s="169"/>
      <c r="AI370" s="169"/>
      <c r="AJ370" s="169"/>
      <c r="AK370" s="169"/>
      <c r="AL370" s="169"/>
      <c r="AM370" s="169"/>
      <c r="AN370" s="169"/>
      <c r="AO370" s="169"/>
      <c r="AP370" s="169"/>
      <c r="AQ370" s="169"/>
      <c r="AR370" s="169"/>
      <c r="AS370" s="169"/>
      <c r="AT370" s="169"/>
      <c r="AU370" s="169"/>
      <c r="AV370" s="169"/>
      <c r="AW370" s="169"/>
      <c r="AX370" s="169"/>
      <c r="AY370" s="169"/>
      <c r="AZ370" s="169"/>
      <c r="BA370" s="169"/>
      <c r="BB370" s="169"/>
      <c r="BC370" s="169"/>
    </row>
    <row r="371" spans="1:55" ht="14.25" customHeight="1">
      <c r="A371" s="508"/>
      <c r="B371" s="156" t="s">
        <v>166</v>
      </c>
      <c r="C371" s="217"/>
      <c r="D371" s="217"/>
      <c r="E371" s="217"/>
      <c r="F371" s="217"/>
      <c r="G371" s="217"/>
      <c r="H371" s="217"/>
      <c r="I371" s="217"/>
      <c r="J371" s="217"/>
      <c r="K371" s="217"/>
      <c r="L371" s="217"/>
      <c r="M371" s="217"/>
      <c r="N371" s="217"/>
      <c r="O371" s="217"/>
      <c r="P371" s="217"/>
      <c r="Q371" s="217"/>
      <c r="R371" s="217"/>
      <c r="S371" s="148" t="str">
        <f t="shared" si="228"/>
        <v>0</v>
      </c>
      <c r="T371" s="148" t="str">
        <f t="shared" si="229"/>
        <v>0</v>
      </c>
      <c r="U371" s="148" t="str">
        <f t="shared" si="230"/>
        <v>0</v>
      </c>
      <c r="V371" s="148" t="str">
        <f t="shared" si="231"/>
        <v>0</v>
      </c>
      <c r="W371" s="508"/>
      <c r="X371" s="152">
        <f t="shared" si="232"/>
        <v>0</v>
      </c>
      <c r="Y371" s="218" t="s">
        <v>169</v>
      </c>
      <c r="Z371" s="221"/>
      <c r="AA371" s="159" t="s">
        <v>162</v>
      </c>
      <c r="AB371" s="159" t="s">
        <v>162</v>
      </c>
      <c r="AC371" s="159" t="s">
        <v>162</v>
      </c>
      <c r="AD371" s="159" t="s">
        <v>162</v>
      </c>
      <c r="AE371" s="185"/>
      <c r="AF371" s="169"/>
      <c r="AG371" s="169"/>
      <c r="AH371" s="169"/>
      <c r="AI371" s="169"/>
      <c r="AJ371" s="169"/>
      <c r="AK371" s="169"/>
      <c r="AL371" s="169"/>
      <c r="AM371" s="169"/>
      <c r="AN371" s="169"/>
      <c r="AO371" s="169"/>
      <c r="AP371" s="169"/>
      <c r="AQ371" s="169"/>
      <c r="AR371" s="169"/>
      <c r="AS371" s="169"/>
      <c r="AT371" s="169"/>
      <c r="AU371" s="169"/>
      <c r="AV371" s="169"/>
      <c r="AW371" s="169"/>
      <c r="AX371" s="169"/>
      <c r="AY371" s="169"/>
      <c r="AZ371" s="169"/>
      <c r="BA371" s="169"/>
      <c r="BB371" s="169"/>
      <c r="BC371" s="169"/>
    </row>
    <row r="372" spans="1:55" ht="14.25" customHeight="1">
      <c r="A372" s="506" t="s">
        <v>81</v>
      </c>
      <c r="B372" s="156" t="s">
        <v>160</v>
      </c>
      <c r="C372" s="217"/>
      <c r="D372" s="217"/>
      <c r="E372" s="217"/>
      <c r="F372" s="217"/>
      <c r="G372" s="217"/>
      <c r="H372" s="217"/>
      <c r="I372" s="217"/>
      <c r="J372" s="217"/>
      <c r="K372" s="217"/>
      <c r="L372" s="217"/>
      <c r="M372" s="217"/>
      <c r="N372" s="217"/>
      <c r="O372" s="217"/>
      <c r="P372" s="217"/>
      <c r="Q372" s="217"/>
      <c r="R372" s="217"/>
      <c r="S372" s="148" t="str">
        <f t="shared" si="228"/>
        <v>0</v>
      </c>
      <c r="T372" s="148" t="str">
        <f t="shared" si="229"/>
        <v>0</v>
      </c>
      <c r="U372" s="148" t="str">
        <f t="shared" si="230"/>
        <v>0</v>
      </c>
      <c r="V372" s="148" t="str">
        <f t="shared" si="231"/>
        <v>0</v>
      </c>
      <c r="W372" s="513">
        <f>SUM(X372:X376)/5</f>
        <v>0</v>
      </c>
      <c r="X372" s="152">
        <f t="shared" si="232"/>
        <v>0</v>
      </c>
      <c r="Y372" s="218" t="s">
        <v>183</v>
      </c>
      <c r="Z372" s="169"/>
      <c r="AA372" s="160" t="s">
        <v>162</v>
      </c>
      <c r="AB372" s="160" t="s">
        <v>162</v>
      </c>
      <c r="AC372" s="160" t="s">
        <v>162</v>
      </c>
      <c r="AD372" s="160" t="s">
        <v>162</v>
      </c>
      <c r="AE372" s="169"/>
      <c r="AF372" s="169"/>
      <c r="AG372" s="169"/>
      <c r="AH372" s="169"/>
      <c r="AI372" s="169"/>
      <c r="AJ372" s="169"/>
      <c r="AK372" s="169"/>
      <c r="AL372" s="169"/>
      <c r="AM372" s="169"/>
      <c r="AN372" s="169"/>
      <c r="AO372" s="169"/>
      <c r="AP372" s="169"/>
      <c r="AQ372" s="169"/>
      <c r="AR372" s="169"/>
      <c r="AS372" s="169"/>
      <c r="AT372" s="169"/>
      <c r="AU372" s="169"/>
      <c r="AV372" s="169"/>
      <c r="AW372" s="169"/>
      <c r="AX372" s="169"/>
      <c r="AY372" s="169"/>
      <c r="AZ372" s="169"/>
      <c r="BA372" s="169"/>
      <c r="BB372" s="169"/>
      <c r="BC372" s="169"/>
    </row>
    <row r="373" spans="1:55" ht="14.25" customHeight="1">
      <c r="A373" s="507"/>
      <c r="B373" s="156" t="s">
        <v>163</v>
      </c>
      <c r="C373" s="217"/>
      <c r="D373" s="217"/>
      <c r="E373" s="217"/>
      <c r="F373" s="217"/>
      <c r="G373" s="217"/>
      <c r="H373" s="217"/>
      <c r="I373" s="217"/>
      <c r="J373" s="217"/>
      <c r="K373" s="217"/>
      <c r="L373" s="217"/>
      <c r="M373" s="217"/>
      <c r="N373" s="217"/>
      <c r="O373" s="217"/>
      <c r="P373" s="217"/>
      <c r="Q373" s="217"/>
      <c r="R373" s="217"/>
      <c r="S373" s="148" t="str">
        <f t="shared" si="228"/>
        <v>0</v>
      </c>
      <c r="T373" s="148" t="str">
        <f t="shared" si="229"/>
        <v>0</v>
      </c>
      <c r="U373" s="148" t="str">
        <f t="shared" si="230"/>
        <v>0</v>
      </c>
      <c r="V373" s="148" t="str">
        <f t="shared" si="231"/>
        <v>0</v>
      </c>
      <c r="W373" s="507"/>
      <c r="X373" s="152">
        <f t="shared" si="232"/>
        <v>0</v>
      </c>
      <c r="Y373" s="218" t="s">
        <v>169</v>
      </c>
      <c r="Z373" s="169"/>
      <c r="AA373" s="153" t="s">
        <v>162</v>
      </c>
      <c r="AB373" s="153" t="s">
        <v>162</v>
      </c>
      <c r="AC373" s="153" t="s">
        <v>162</v>
      </c>
      <c r="AD373" s="153" t="s">
        <v>162</v>
      </c>
      <c r="AE373" s="169"/>
      <c r="AF373" s="169"/>
      <c r="AG373" s="169"/>
      <c r="AH373" s="169"/>
      <c r="AI373" s="169"/>
      <c r="AJ373" s="169"/>
      <c r="AK373" s="169"/>
      <c r="AL373" s="169"/>
      <c r="AM373" s="169"/>
      <c r="AN373" s="169"/>
      <c r="AO373" s="169"/>
      <c r="AP373" s="169"/>
      <c r="AQ373" s="169"/>
      <c r="AR373" s="169"/>
      <c r="AS373" s="169"/>
      <c r="AT373" s="169"/>
      <c r="AU373" s="169"/>
      <c r="AV373" s="169"/>
      <c r="AW373" s="169"/>
      <c r="AX373" s="169"/>
      <c r="AY373" s="169"/>
      <c r="AZ373" s="169"/>
      <c r="BA373" s="169"/>
      <c r="BB373" s="169"/>
      <c r="BC373" s="169"/>
    </row>
    <row r="374" spans="1:55" ht="14.25" customHeight="1">
      <c r="A374" s="507"/>
      <c r="B374" s="156" t="s">
        <v>164</v>
      </c>
      <c r="C374" s="217"/>
      <c r="D374" s="217"/>
      <c r="E374" s="217"/>
      <c r="F374" s="217"/>
      <c r="G374" s="217"/>
      <c r="H374" s="217"/>
      <c r="I374" s="217"/>
      <c r="J374" s="217"/>
      <c r="K374" s="217"/>
      <c r="L374" s="217"/>
      <c r="M374" s="217"/>
      <c r="N374" s="217"/>
      <c r="O374" s="217"/>
      <c r="P374" s="217"/>
      <c r="Q374" s="217"/>
      <c r="R374" s="217"/>
      <c r="S374" s="148" t="str">
        <f t="shared" si="228"/>
        <v>0</v>
      </c>
      <c r="T374" s="148" t="str">
        <f t="shared" si="229"/>
        <v>0</v>
      </c>
      <c r="U374" s="148" t="str">
        <f t="shared" si="230"/>
        <v>0</v>
      </c>
      <c r="V374" s="148" t="str">
        <f t="shared" si="231"/>
        <v>0</v>
      </c>
      <c r="W374" s="507"/>
      <c r="X374" s="152">
        <f t="shared" si="232"/>
        <v>0</v>
      </c>
      <c r="Y374" s="218" t="s">
        <v>169</v>
      </c>
      <c r="Z374" s="169"/>
      <c r="AA374" s="153" t="s">
        <v>162</v>
      </c>
      <c r="AB374" s="153" t="s">
        <v>162</v>
      </c>
      <c r="AC374" s="153" t="s">
        <v>162</v>
      </c>
      <c r="AD374" s="153" t="s">
        <v>162</v>
      </c>
      <c r="AE374" s="169"/>
      <c r="AF374" s="169"/>
      <c r="AG374" s="169"/>
      <c r="AH374" s="169"/>
      <c r="AI374" s="169"/>
      <c r="AJ374" s="169"/>
      <c r="AK374" s="169"/>
      <c r="AL374" s="169"/>
      <c r="AM374" s="169"/>
      <c r="AN374" s="169"/>
      <c r="AO374" s="169"/>
      <c r="AP374" s="169"/>
      <c r="AQ374" s="169"/>
      <c r="AR374" s="169"/>
      <c r="AS374" s="169"/>
      <c r="AT374" s="169"/>
      <c r="AU374" s="169"/>
      <c r="AV374" s="169"/>
      <c r="AW374" s="169"/>
      <c r="AX374" s="169"/>
      <c r="AY374" s="169"/>
      <c r="AZ374" s="169"/>
      <c r="BA374" s="169"/>
      <c r="BB374" s="169"/>
      <c r="BC374" s="169"/>
    </row>
    <row r="375" spans="1:55" ht="14.25" customHeight="1">
      <c r="A375" s="507"/>
      <c r="B375" s="156" t="s">
        <v>165</v>
      </c>
      <c r="C375" s="217"/>
      <c r="D375" s="217"/>
      <c r="E375" s="217"/>
      <c r="F375" s="217"/>
      <c r="G375" s="217"/>
      <c r="H375" s="217"/>
      <c r="I375" s="217"/>
      <c r="J375" s="217"/>
      <c r="K375" s="217"/>
      <c r="L375" s="217"/>
      <c r="M375" s="217"/>
      <c r="N375" s="217"/>
      <c r="O375" s="217"/>
      <c r="P375" s="217"/>
      <c r="Q375" s="217"/>
      <c r="R375" s="217"/>
      <c r="S375" s="148" t="str">
        <f t="shared" si="228"/>
        <v>0</v>
      </c>
      <c r="T375" s="148" t="str">
        <f t="shared" si="229"/>
        <v>0</v>
      </c>
      <c r="U375" s="148" t="str">
        <f t="shared" si="230"/>
        <v>0</v>
      </c>
      <c r="V375" s="148" t="str">
        <f t="shared" si="231"/>
        <v>0</v>
      </c>
      <c r="W375" s="507"/>
      <c r="X375" s="152">
        <f t="shared" si="232"/>
        <v>0</v>
      </c>
      <c r="Y375" s="218" t="s">
        <v>169</v>
      </c>
      <c r="Z375" s="169"/>
      <c r="AA375" s="153" t="s">
        <v>162</v>
      </c>
      <c r="AB375" s="153" t="s">
        <v>162</v>
      </c>
      <c r="AC375" s="153" t="s">
        <v>162</v>
      </c>
      <c r="AD375" s="153" t="s">
        <v>162</v>
      </c>
      <c r="AE375" s="169"/>
      <c r="AF375" s="169"/>
      <c r="AG375" s="169"/>
      <c r="AH375" s="169"/>
      <c r="AI375" s="169"/>
      <c r="AJ375" s="169"/>
      <c r="AK375" s="169"/>
      <c r="AL375" s="169"/>
      <c r="AM375" s="169"/>
      <c r="AN375" s="169"/>
      <c r="AO375" s="169"/>
      <c r="AP375" s="169"/>
      <c r="AQ375" s="169"/>
      <c r="AR375" s="169"/>
      <c r="AS375" s="169"/>
      <c r="AT375" s="169"/>
      <c r="AU375" s="169"/>
      <c r="AV375" s="169"/>
      <c r="AW375" s="169"/>
      <c r="AX375" s="169"/>
      <c r="AY375" s="169"/>
      <c r="AZ375" s="169"/>
      <c r="BA375" s="169"/>
      <c r="BB375" s="169"/>
      <c r="BC375" s="169"/>
    </row>
    <row r="376" spans="1:55" ht="14.25" customHeight="1">
      <c r="A376" s="508"/>
      <c r="B376" s="156" t="s">
        <v>166</v>
      </c>
      <c r="C376" s="217"/>
      <c r="D376" s="217"/>
      <c r="E376" s="217"/>
      <c r="F376" s="217"/>
      <c r="G376" s="217"/>
      <c r="H376" s="217"/>
      <c r="I376" s="217"/>
      <c r="J376" s="217"/>
      <c r="K376" s="217"/>
      <c r="L376" s="217"/>
      <c r="M376" s="217"/>
      <c r="N376" s="217"/>
      <c r="O376" s="217"/>
      <c r="P376" s="217"/>
      <c r="Q376" s="217"/>
      <c r="R376" s="217"/>
      <c r="S376" s="148" t="str">
        <f t="shared" si="228"/>
        <v>0</v>
      </c>
      <c r="T376" s="148" t="str">
        <f t="shared" si="229"/>
        <v>0</v>
      </c>
      <c r="U376" s="148" t="str">
        <f t="shared" si="230"/>
        <v>0</v>
      </c>
      <c r="V376" s="148" t="str">
        <f t="shared" si="231"/>
        <v>0</v>
      </c>
      <c r="W376" s="508"/>
      <c r="X376" s="152">
        <f t="shared" si="232"/>
        <v>0</v>
      </c>
      <c r="Y376" s="218" t="s">
        <v>169</v>
      </c>
      <c r="Z376" s="169"/>
      <c r="AA376" s="161" t="s">
        <v>162</v>
      </c>
      <c r="AB376" s="161" t="s">
        <v>162</v>
      </c>
      <c r="AC376" s="161" t="s">
        <v>162</v>
      </c>
      <c r="AD376" s="161" t="s">
        <v>162</v>
      </c>
      <c r="AE376" s="169"/>
      <c r="AF376" s="169"/>
      <c r="AG376" s="169"/>
      <c r="AH376" s="169"/>
      <c r="AI376" s="169"/>
      <c r="AJ376" s="169"/>
      <c r="AK376" s="169"/>
      <c r="AL376" s="169"/>
      <c r="AM376" s="169"/>
      <c r="AN376" s="169"/>
      <c r="AO376" s="169"/>
      <c r="AP376" s="169"/>
      <c r="AQ376" s="169"/>
      <c r="AR376" s="169"/>
      <c r="AS376" s="169"/>
      <c r="AT376" s="169"/>
      <c r="AU376" s="169"/>
      <c r="AV376" s="169"/>
      <c r="AW376" s="169"/>
      <c r="AX376" s="169"/>
      <c r="AY376" s="169"/>
      <c r="AZ376" s="169"/>
      <c r="BA376" s="169"/>
      <c r="BB376" s="169"/>
      <c r="BC376" s="169"/>
    </row>
    <row r="377" spans="1:55" ht="14.25" customHeight="1">
      <c r="A377" s="506" t="s">
        <v>82</v>
      </c>
      <c r="B377" s="156" t="s">
        <v>160</v>
      </c>
      <c r="C377" s="217"/>
      <c r="D377" s="217"/>
      <c r="E377" s="217"/>
      <c r="F377" s="217"/>
      <c r="G377" s="217"/>
      <c r="H377" s="217"/>
      <c r="I377" s="217"/>
      <c r="J377" s="217"/>
      <c r="K377" s="217"/>
      <c r="L377" s="217"/>
      <c r="M377" s="217"/>
      <c r="N377" s="217"/>
      <c r="O377" s="217"/>
      <c r="P377" s="217"/>
      <c r="Q377" s="217"/>
      <c r="R377" s="217"/>
      <c r="S377" s="148" t="str">
        <f t="shared" si="228"/>
        <v>0</v>
      </c>
      <c r="T377" s="148" t="str">
        <f t="shared" si="229"/>
        <v>0</v>
      </c>
      <c r="U377" s="148" t="str">
        <f t="shared" si="230"/>
        <v>0</v>
      </c>
      <c r="V377" s="148" t="str">
        <f t="shared" si="231"/>
        <v>0</v>
      </c>
      <c r="W377" s="513">
        <f>SUM(X377:X381)/5</f>
        <v>0</v>
      </c>
      <c r="X377" s="152">
        <f t="shared" si="232"/>
        <v>0</v>
      </c>
      <c r="Y377" s="218" t="s">
        <v>184</v>
      </c>
      <c r="Z377" s="221"/>
      <c r="AA377" s="159" t="s">
        <v>162</v>
      </c>
      <c r="AB377" s="159" t="s">
        <v>162</v>
      </c>
      <c r="AC377" s="159" t="s">
        <v>162</v>
      </c>
      <c r="AD377" s="159" t="s">
        <v>162</v>
      </c>
      <c r="AE377" s="185"/>
      <c r="AF377" s="169"/>
      <c r="AG377" s="169"/>
      <c r="AH377" s="169"/>
      <c r="AI377" s="169"/>
      <c r="AJ377" s="169"/>
      <c r="AK377" s="169"/>
      <c r="AL377" s="169"/>
      <c r="AM377" s="169"/>
      <c r="AN377" s="169"/>
      <c r="AO377" s="169"/>
      <c r="AP377" s="169"/>
      <c r="AQ377" s="169"/>
      <c r="AR377" s="169"/>
      <c r="AS377" s="169"/>
      <c r="AT377" s="169"/>
      <c r="AU377" s="169"/>
      <c r="AV377" s="169"/>
      <c r="AW377" s="169"/>
      <c r="AX377" s="169"/>
      <c r="AY377" s="169"/>
      <c r="AZ377" s="169"/>
      <c r="BA377" s="169"/>
      <c r="BB377" s="169"/>
      <c r="BC377" s="169"/>
    </row>
    <row r="378" spans="1:55" ht="14.25" customHeight="1">
      <c r="A378" s="507"/>
      <c r="B378" s="156" t="s">
        <v>163</v>
      </c>
      <c r="C378" s="217"/>
      <c r="D378" s="217"/>
      <c r="E378" s="217"/>
      <c r="F378" s="217"/>
      <c r="G378" s="217"/>
      <c r="H378" s="217"/>
      <c r="I378" s="217"/>
      <c r="J378" s="217"/>
      <c r="K378" s="217"/>
      <c r="L378" s="217"/>
      <c r="M378" s="217"/>
      <c r="N378" s="217"/>
      <c r="O378" s="217"/>
      <c r="P378" s="217"/>
      <c r="Q378" s="217"/>
      <c r="R378" s="217"/>
      <c r="S378" s="148" t="str">
        <f t="shared" si="228"/>
        <v>0</v>
      </c>
      <c r="T378" s="148" t="str">
        <f t="shared" si="229"/>
        <v>0</v>
      </c>
      <c r="U378" s="148" t="str">
        <f t="shared" si="230"/>
        <v>0</v>
      </c>
      <c r="V378" s="148" t="str">
        <f t="shared" si="231"/>
        <v>0</v>
      </c>
      <c r="W378" s="507"/>
      <c r="X378" s="152">
        <f t="shared" si="232"/>
        <v>0</v>
      </c>
      <c r="Y378" s="218" t="s">
        <v>169</v>
      </c>
      <c r="Z378" s="221"/>
      <c r="AA378" s="159" t="s">
        <v>162</v>
      </c>
      <c r="AB378" s="159" t="s">
        <v>162</v>
      </c>
      <c r="AC378" s="159" t="s">
        <v>162</v>
      </c>
      <c r="AD378" s="159" t="s">
        <v>162</v>
      </c>
      <c r="AE378" s="185"/>
      <c r="AF378" s="169"/>
      <c r="AG378" s="169"/>
      <c r="AH378" s="169"/>
      <c r="AI378" s="169"/>
      <c r="AJ378" s="169"/>
      <c r="AK378" s="169"/>
      <c r="AL378" s="169"/>
      <c r="AM378" s="169"/>
      <c r="AN378" s="169"/>
      <c r="AO378" s="169"/>
      <c r="AP378" s="169"/>
      <c r="AQ378" s="169"/>
      <c r="AR378" s="169"/>
      <c r="AS378" s="169"/>
      <c r="AT378" s="169"/>
      <c r="AU378" s="169"/>
      <c r="AV378" s="169"/>
      <c r="AW378" s="169"/>
      <c r="AX378" s="169"/>
      <c r="AY378" s="169"/>
      <c r="AZ378" s="169"/>
      <c r="BA378" s="169"/>
      <c r="BB378" s="169"/>
      <c r="BC378" s="169"/>
    </row>
    <row r="379" spans="1:55" ht="14.25" customHeight="1">
      <c r="A379" s="507"/>
      <c r="B379" s="156" t="s">
        <v>164</v>
      </c>
      <c r="C379" s="217"/>
      <c r="D379" s="217"/>
      <c r="E379" s="217"/>
      <c r="F379" s="217"/>
      <c r="G379" s="217"/>
      <c r="H379" s="217"/>
      <c r="I379" s="217"/>
      <c r="J379" s="217"/>
      <c r="K379" s="217"/>
      <c r="L379" s="217"/>
      <c r="M379" s="217"/>
      <c r="N379" s="217"/>
      <c r="O379" s="217"/>
      <c r="P379" s="217"/>
      <c r="Q379" s="217"/>
      <c r="R379" s="217"/>
      <c r="S379" s="148" t="str">
        <f t="shared" si="228"/>
        <v>0</v>
      </c>
      <c r="T379" s="148" t="str">
        <f t="shared" si="229"/>
        <v>0</v>
      </c>
      <c r="U379" s="148" t="str">
        <f t="shared" si="230"/>
        <v>0</v>
      </c>
      <c r="V379" s="148" t="str">
        <f t="shared" si="231"/>
        <v>0</v>
      </c>
      <c r="W379" s="507"/>
      <c r="X379" s="152">
        <f t="shared" si="232"/>
        <v>0</v>
      </c>
      <c r="Y379" s="218" t="s">
        <v>169</v>
      </c>
      <c r="Z379" s="221"/>
      <c r="AA379" s="159" t="s">
        <v>162</v>
      </c>
      <c r="AB379" s="159" t="s">
        <v>162</v>
      </c>
      <c r="AC379" s="159" t="s">
        <v>162</v>
      </c>
      <c r="AD379" s="159" t="s">
        <v>162</v>
      </c>
      <c r="AE379" s="185"/>
      <c r="AF379" s="169"/>
      <c r="AG379" s="169"/>
      <c r="AH379" s="169"/>
      <c r="AI379" s="169"/>
      <c r="AJ379" s="169"/>
      <c r="AK379" s="169"/>
      <c r="AL379" s="169"/>
      <c r="AM379" s="169"/>
      <c r="AN379" s="169"/>
      <c r="AO379" s="169"/>
      <c r="AP379" s="169"/>
      <c r="AQ379" s="169"/>
      <c r="AR379" s="169"/>
      <c r="AS379" s="169"/>
      <c r="AT379" s="169"/>
      <c r="AU379" s="169"/>
      <c r="AV379" s="169"/>
      <c r="AW379" s="169"/>
      <c r="AX379" s="169"/>
      <c r="AY379" s="169"/>
      <c r="AZ379" s="169"/>
      <c r="BA379" s="169"/>
      <c r="BB379" s="169"/>
      <c r="BC379" s="169"/>
    </row>
    <row r="380" spans="1:55" ht="14.25" customHeight="1">
      <c r="A380" s="507"/>
      <c r="B380" s="156" t="s">
        <v>165</v>
      </c>
      <c r="C380" s="217"/>
      <c r="D380" s="217"/>
      <c r="E380" s="217"/>
      <c r="F380" s="217"/>
      <c r="G380" s="217"/>
      <c r="H380" s="217"/>
      <c r="I380" s="217"/>
      <c r="J380" s="217"/>
      <c r="K380" s="217"/>
      <c r="L380" s="217"/>
      <c r="M380" s="217"/>
      <c r="N380" s="217"/>
      <c r="O380" s="217"/>
      <c r="P380" s="217"/>
      <c r="Q380" s="217"/>
      <c r="R380" s="217"/>
      <c r="S380" s="148" t="str">
        <f t="shared" si="228"/>
        <v>0</v>
      </c>
      <c r="T380" s="148" t="str">
        <f t="shared" si="229"/>
        <v>0</v>
      </c>
      <c r="U380" s="148" t="str">
        <f t="shared" si="230"/>
        <v>0</v>
      </c>
      <c r="V380" s="148" t="str">
        <f t="shared" si="231"/>
        <v>0</v>
      </c>
      <c r="W380" s="507"/>
      <c r="X380" s="152">
        <f t="shared" si="232"/>
        <v>0</v>
      </c>
      <c r="Y380" s="218" t="s">
        <v>169</v>
      </c>
      <c r="Z380" s="221"/>
      <c r="AA380" s="159" t="s">
        <v>162</v>
      </c>
      <c r="AB380" s="159" t="s">
        <v>162</v>
      </c>
      <c r="AC380" s="159" t="s">
        <v>162</v>
      </c>
      <c r="AD380" s="159" t="s">
        <v>162</v>
      </c>
      <c r="AE380" s="185"/>
      <c r="AF380" s="169"/>
      <c r="AG380" s="169"/>
      <c r="AH380" s="169"/>
      <c r="AI380" s="169"/>
      <c r="AJ380" s="169"/>
      <c r="AK380" s="169"/>
      <c r="AL380" s="169"/>
      <c r="AM380" s="169"/>
      <c r="AN380" s="169"/>
      <c r="AO380" s="169"/>
      <c r="AP380" s="169"/>
      <c r="AQ380" s="169"/>
      <c r="AR380" s="169"/>
      <c r="AS380" s="169"/>
      <c r="AT380" s="169"/>
      <c r="AU380" s="169"/>
      <c r="AV380" s="169"/>
      <c r="AW380" s="169"/>
      <c r="AX380" s="169"/>
      <c r="AY380" s="169"/>
      <c r="AZ380" s="169"/>
      <c r="BA380" s="169"/>
      <c r="BB380" s="169"/>
      <c r="BC380" s="169"/>
    </row>
    <row r="381" spans="1:55" ht="14.25" customHeight="1">
      <c r="A381" s="508"/>
      <c r="B381" s="156" t="s">
        <v>166</v>
      </c>
      <c r="C381" s="217"/>
      <c r="D381" s="217"/>
      <c r="E381" s="217"/>
      <c r="F381" s="217"/>
      <c r="G381" s="217"/>
      <c r="H381" s="217"/>
      <c r="I381" s="217"/>
      <c r="J381" s="217"/>
      <c r="K381" s="217"/>
      <c r="L381" s="217"/>
      <c r="M381" s="217"/>
      <c r="N381" s="217"/>
      <c r="O381" s="217"/>
      <c r="P381" s="217"/>
      <c r="Q381" s="217"/>
      <c r="R381" s="217"/>
      <c r="S381" s="148" t="str">
        <f t="shared" ref="S381:S412" si="233">IFERROR(AVERAGE(C381,G381,K381,O381),"0")</f>
        <v>0</v>
      </c>
      <c r="T381" s="148" t="str">
        <f t="shared" ref="T381:T412" si="234">IFERROR(AVERAGE(D381,H381,L381,P381),"0")</f>
        <v>0</v>
      </c>
      <c r="U381" s="148" t="str">
        <f t="shared" ref="U381:U412" si="235">IFERROR(AVERAGE(E381,I381,M381,Q381),"0")</f>
        <v>0</v>
      </c>
      <c r="V381" s="148" t="str">
        <f t="shared" ref="V381:V412" si="236">IFERROR(AVERAGE(F381,J381,N381,R381),"0")</f>
        <v>0</v>
      </c>
      <c r="W381" s="508"/>
      <c r="X381" s="152">
        <f t="shared" ref="X381:X412" si="237">((4*S381)+(3*T381)+(2*U381)+V381)/4</f>
        <v>0</v>
      </c>
      <c r="Y381" s="218" t="s">
        <v>169</v>
      </c>
      <c r="Z381" s="221"/>
      <c r="AA381" s="159" t="s">
        <v>162</v>
      </c>
      <c r="AB381" s="159" t="s">
        <v>162</v>
      </c>
      <c r="AC381" s="159" t="s">
        <v>162</v>
      </c>
      <c r="AD381" s="159" t="s">
        <v>162</v>
      </c>
      <c r="AE381" s="185"/>
      <c r="AF381" s="169"/>
      <c r="AG381" s="169"/>
      <c r="AH381" s="169"/>
      <c r="AI381" s="169"/>
      <c r="AJ381" s="169"/>
      <c r="AK381" s="169"/>
      <c r="AL381" s="169"/>
      <c r="AM381" s="169"/>
      <c r="AN381" s="169"/>
      <c r="AO381" s="169"/>
      <c r="AP381" s="169"/>
      <c r="AQ381" s="169"/>
      <c r="AR381" s="169"/>
      <c r="AS381" s="169"/>
      <c r="AT381" s="169"/>
      <c r="AU381" s="169"/>
      <c r="AV381" s="169"/>
      <c r="AW381" s="169"/>
      <c r="AX381" s="169"/>
      <c r="AY381" s="169"/>
      <c r="AZ381" s="169"/>
      <c r="BA381" s="169"/>
      <c r="BB381" s="169"/>
      <c r="BC381" s="169"/>
    </row>
    <row r="382" spans="1:55" ht="14.25" customHeight="1">
      <c r="A382" s="506" t="s">
        <v>83</v>
      </c>
      <c r="B382" s="156" t="s">
        <v>160</v>
      </c>
      <c r="C382" s="217"/>
      <c r="D382" s="217"/>
      <c r="E382" s="217"/>
      <c r="F382" s="217"/>
      <c r="G382" s="217"/>
      <c r="H382" s="217"/>
      <c r="I382" s="217"/>
      <c r="J382" s="217"/>
      <c r="K382" s="217"/>
      <c r="L382" s="217"/>
      <c r="M382" s="217"/>
      <c r="N382" s="217"/>
      <c r="O382" s="217"/>
      <c r="P382" s="217"/>
      <c r="Q382" s="217"/>
      <c r="R382" s="217"/>
      <c r="S382" s="148" t="str">
        <f t="shared" si="233"/>
        <v>0</v>
      </c>
      <c r="T382" s="148" t="str">
        <f t="shared" si="234"/>
        <v>0</v>
      </c>
      <c r="U382" s="148" t="str">
        <f t="shared" si="235"/>
        <v>0</v>
      </c>
      <c r="V382" s="148" t="str">
        <f t="shared" si="236"/>
        <v>0</v>
      </c>
      <c r="W382" s="513">
        <f>SUM(X382:X386)/5</f>
        <v>0</v>
      </c>
      <c r="X382" s="152">
        <f t="shared" si="237"/>
        <v>0</v>
      </c>
      <c r="Y382" s="218" t="s">
        <v>185</v>
      </c>
      <c r="Z382" s="169"/>
      <c r="AA382" s="160" t="s">
        <v>162</v>
      </c>
      <c r="AB382" s="160" t="s">
        <v>162</v>
      </c>
      <c r="AC382" s="160" t="s">
        <v>162</v>
      </c>
      <c r="AD382" s="160" t="s">
        <v>162</v>
      </c>
      <c r="AE382" s="169"/>
      <c r="AF382" s="169"/>
      <c r="AG382" s="169"/>
      <c r="AH382" s="169"/>
      <c r="AI382" s="169"/>
      <c r="AJ382" s="169"/>
      <c r="AK382" s="169"/>
      <c r="AL382" s="169"/>
      <c r="AM382" s="169"/>
      <c r="AN382" s="169"/>
      <c r="AO382" s="169"/>
      <c r="AP382" s="169"/>
      <c r="AQ382" s="169"/>
      <c r="AR382" s="169"/>
      <c r="AS382" s="169"/>
      <c r="AT382" s="169"/>
      <c r="AU382" s="169"/>
      <c r="AV382" s="169"/>
      <c r="AW382" s="169"/>
      <c r="AX382" s="169"/>
      <c r="AY382" s="169"/>
      <c r="AZ382" s="169"/>
      <c r="BA382" s="169"/>
      <c r="BB382" s="169"/>
      <c r="BC382" s="169"/>
    </row>
    <row r="383" spans="1:55" ht="14.25" customHeight="1">
      <c r="A383" s="507"/>
      <c r="B383" s="156" t="s">
        <v>163</v>
      </c>
      <c r="C383" s="217"/>
      <c r="D383" s="217"/>
      <c r="E383" s="217"/>
      <c r="F383" s="217"/>
      <c r="G383" s="217"/>
      <c r="H383" s="217"/>
      <c r="I383" s="217"/>
      <c r="J383" s="217"/>
      <c r="K383" s="217"/>
      <c r="L383" s="217"/>
      <c r="M383" s="217"/>
      <c r="N383" s="217"/>
      <c r="O383" s="217"/>
      <c r="P383" s="217"/>
      <c r="Q383" s="217"/>
      <c r="R383" s="217"/>
      <c r="S383" s="148" t="str">
        <f t="shared" si="233"/>
        <v>0</v>
      </c>
      <c r="T383" s="148" t="str">
        <f t="shared" si="234"/>
        <v>0</v>
      </c>
      <c r="U383" s="148" t="str">
        <f t="shared" si="235"/>
        <v>0</v>
      </c>
      <c r="V383" s="148" t="str">
        <f t="shared" si="236"/>
        <v>0</v>
      </c>
      <c r="W383" s="507"/>
      <c r="X383" s="152">
        <f t="shared" si="237"/>
        <v>0</v>
      </c>
      <c r="Y383" s="218" t="s">
        <v>169</v>
      </c>
      <c r="Z383" s="169"/>
      <c r="AA383" s="153" t="s">
        <v>162</v>
      </c>
      <c r="AB383" s="153" t="s">
        <v>162</v>
      </c>
      <c r="AC383" s="153" t="s">
        <v>162</v>
      </c>
      <c r="AD383" s="153" t="s">
        <v>162</v>
      </c>
      <c r="AE383" s="169"/>
      <c r="AF383" s="169"/>
      <c r="AG383" s="169"/>
      <c r="AH383" s="169"/>
      <c r="AI383" s="169"/>
      <c r="AJ383" s="169"/>
      <c r="AK383" s="169"/>
      <c r="AL383" s="169"/>
      <c r="AM383" s="169"/>
      <c r="AN383" s="169"/>
      <c r="AO383" s="169"/>
      <c r="AP383" s="169"/>
      <c r="AQ383" s="169"/>
      <c r="AR383" s="169"/>
      <c r="AS383" s="169"/>
      <c r="AT383" s="169"/>
      <c r="AU383" s="169"/>
      <c r="AV383" s="169"/>
      <c r="AW383" s="169"/>
      <c r="AX383" s="169"/>
      <c r="AY383" s="169"/>
      <c r="AZ383" s="169"/>
      <c r="BA383" s="169"/>
      <c r="BB383" s="169"/>
      <c r="BC383" s="169"/>
    </row>
    <row r="384" spans="1:55" ht="14.25" customHeight="1">
      <c r="A384" s="507"/>
      <c r="B384" s="156" t="s">
        <v>164</v>
      </c>
      <c r="C384" s="217"/>
      <c r="D384" s="217"/>
      <c r="E384" s="217"/>
      <c r="F384" s="217"/>
      <c r="G384" s="217"/>
      <c r="H384" s="217"/>
      <c r="I384" s="217"/>
      <c r="J384" s="217"/>
      <c r="K384" s="217"/>
      <c r="L384" s="217"/>
      <c r="M384" s="217"/>
      <c r="N384" s="217"/>
      <c r="O384" s="217"/>
      <c r="P384" s="217"/>
      <c r="Q384" s="217"/>
      <c r="R384" s="217"/>
      <c r="S384" s="148" t="str">
        <f t="shared" si="233"/>
        <v>0</v>
      </c>
      <c r="T384" s="148" t="str">
        <f t="shared" si="234"/>
        <v>0</v>
      </c>
      <c r="U384" s="148" t="str">
        <f t="shared" si="235"/>
        <v>0</v>
      </c>
      <c r="V384" s="148" t="str">
        <f t="shared" si="236"/>
        <v>0</v>
      </c>
      <c r="W384" s="507"/>
      <c r="X384" s="152">
        <f t="shared" si="237"/>
        <v>0</v>
      </c>
      <c r="Y384" s="218" t="s">
        <v>169</v>
      </c>
      <c r="Z384" s="169"/>
      <c r="AA384" s="153" t="s">
        <v>162</v>
      </c>
      <c r="AB384" s="153" t="s">
        <v>162</v>
      </c>
      <c r="AC384" s="153" t="s">
        <v>162</v>
      </c>
      <c r="AD384" s="153" t="s">
        <v>162</v>
      </c>
      <c r="AE384" s="169"/>
      <c r="AF384" s="169"/>
      <c r="AG384" s="169"/>
      <c r="AH384" s="169"/>
      <c r="AI384" s="169"/>
      <c r="AJ384" s="169"/>
      <c r="AK384" s="169"/>
      <c r="AL384" s="169"/>
      <c r="AM384" s="169"/>
      <c r="AN384" s="169"/>
      <c r="AO384" s="169"/>
      <c r="AP384" s="169"/>
      <c r="AQ384" s="169"/>
      <c r="AR384" s="169"/>
      <c r="AS384" s="169"/>
      <c r="AT384" s="169"/>
      <c r="AU384" s="169"/>
      <c r="AV384" s="169"/>
      <c r="AW384" s="169"/>
      <c r="AX384" s="169"/>
      <c r="AY384" s="169"/>
      <c r="AZ384" s="169"/>
      <c r="BA384" s="169"/>
      <c r="BB384" s="169"/>
      <c r="BC384" s="169"/>
    </row>
    <row r="385" spans="1:55" ht="14.25" customHeight="1">
      <c r="A385" s="507"/>
      <c r="B385" s="156" t="s">
        <v>165</v>
      </c>
      <c r="C385" s="217"/>
      <c r="D385" s="217"/>
      <c r="E385" s="217"/>
      <c r="F385" s="217"/>
      <c r="G385" s="217"/>
      <c r="H385" s="217"/>
      <c r="I385" s="217"/>
      <c r="J385" s="217"/>
      <c r="K385" s="217"/>
      <c r="L385" s="217"/>
      <c r="M385" s="217"/>
      <c r="N385" s="217"/>
      <c r="O385" s="217"/>
      <c r="P385" s="217"/>
      <c r="Q385" s="217"/>
      <c r="R385" s="217"/>
      <c r="S385" s="148" t="str">
        <f t="shared" si="233"/>
        <v>0</v>
      </c>
      <c r="T385" s="148" t="str">
        <f t="shared" si="234"/>
        <v>0</v>
      </c>
      <c r="U385" s="148" t="str">
        <f t="shared" si="235"/>
        <v>0</v>
      </c>
      <c r="V385" s="148" t="str">
        <f t="shared" si="236"/>
        <v>0</v>
      </c>
      <c r="W385" s="507"/>
      <c r="X385" s="152">
        <f t="shared" si="237"/>
        <v>0</v>
      </c>
      <c r="Y385" s="218" t="s">
        <v>169</v>
      </c>
      <c r="Z385" s="169"/>
      <c r="AA385" s="153" t="s">
        <v>162</v>
      </c>
      <c r="AB385" s="153" t="s">
        <v>162</v>
      </c>
      <c r="AC385" s="153" t="s">
        <v>162</v>
      </c>
      <c r="AD385" s="153" t="s">
        <v>162</v>
      </c>
      <c r="AE385" s="169"/>
      <c r="AF385" s="169"/>
      <c r="AG385" s="169"/>
      <c r="AH385" s="169"/>
      <c r="AI385" s="169"/>
      <c r="AJ385" s="169"/>
      <c r="AK385" s="169"/>
      <c r="AL385" s="169"/>
      <c r="AM385" s="169"/>
      <c r="AN385" s="169"/>
      <c r="AO385" s="169"/>
      <c r="AP385" s="169"/>
      <c r="AQ385" s="169"/>
      <c r="AR385" s="169"/>
      <c r="AS385" s="169"/>
      <c r="AT385" s="169"/>
      <c r="AU385" s="169"/>
      <c r="AV385" s="169"/>
      <c r="AW385" s="169"/>
      <c r="AX385" s="169"/>
      <c r="AY385" s="169"/>
      <c r="AZ385" s="169"/>
      <c r="BA385" s="169"/>
      <c r="BB385" s="169"/>
      <c r="BC385" s="169"/>
    </row>
    <row r="386" spans="1:55" ht="14.25" customHeight="1">
      <c r="A386" s="508"/>
      <c r="B386" s="156" t="s">
        <v>166</v>
      </c>
      <c r="C386" s="217"/>
      <c r="D386" s="217"/>
      <c r="E386" s="217"/>
      <c r="F386" s="217"/>
      <c r="G386" s="217"/>
      <c r="H386" s="217"/>
      <c r="I386" s="217"/>
      <c r="J386" s="217"/>
      <c r="K386" s="217"/>
      <c r="L386" s="217"/>
      <c r="M386" s="217"/>
      <c r="N386" s="217"/>
      <c r="O386" s="217"/>
      <c r="P386" s="217"/>
      <c r="Q386" s="217"/>
      <c r="R386" s="217"/>
      <c r="S386" s="148" t="str">
        <f t="shared" si="233"/>
        <v>0</v>
      </c>
      <c r="T386" s="148" t="str">
        <f t="shared" si="234"/>
        <v>0</v>
      </c>
      <c r="U386" s="148" t="str">
        <f t="shared" si="235"/>
        <v>0</v>
      </c>
      <c r="V386" s="148" t="str">
        <f t="shared" si="236"/>
        <v>0</v>
      </c>
      <c r="W386" s="508"/>
      <c r="X386" s="152">
        <f t="shared" si="237"/>
        <v>0</v>
      </c>
      <c r="Y386" s="218" t="s">
        <v>169</v>
      </c>
      <c r="Z386" s="169"/>
      <c r="AA386" s="161" t="s">
        <v>162</v>
      </c>
      <c r="AB386" s="161" t="s">
        <v>162</v>
      </c>
      <c r="AC386" s="161" t="s">
        <v>162</v>
      </c>
      <c r="AD386" s="161" t="s">
        <v>162</v>
      </c>
      <c r="AE386" s="169"/>
      <c r="AF386" s="169"/>
      <c r="AG386" s="169"/>
      <c r="AH386" s="169"/>
      <c r="AI386" s="169"/>
      <c r="AJ386" s="169"/>
      <c r="AK386" s="169"/>
      <c r="AL386" s="169"/>
      <c r="AM386" s="169"/>
      <c r="AN386" s="169"/>
      <c r="AO386" s="169"/>
      <c r="AP386" s="169"/>
      <c r="AQ386" s="169"/>
      <c r="AR386" s="169"/>
      <c r="AS386" s="169"/>
      <c r="AT386" s="169"/>
      <c r="AU386" s="169"/>
      <c r="AV386" s="169"/>
      <c r="AW386" s="169"/>
      <c r="AX386" s="169"/>
      <c r="AY386" s="169"/>
      <c r="AZ386" s="169"/>
      <c r="BA386" s="169"/>
      <c r="BB386" s="169"/>
      <c r="BC386" s="169"/>
    </row>
    <row r="387" spans="1:55" ht="14.25" customHeight="1">
      <c r="A387" s="512" t="s">
        <v>84</v>
      </c>
      <c r="B387" s="156" t="s">
        <v>160</v>
      </c>
      <c r="C387" s="217"/>
      <c r="D387" s="217"/>
      <c r="E387" s="217"/>
      <c r="F387" s="217"/>
      <c r="G387" s="217"/>
      <c r="H387" s="217"/>
      <c r="I387" s="217"/>
      <c r="J387" s="217"/>
      <c r="K387" s="217"/>
      <c r="L387" s="217"/>
      <c r="M387" s="217"/>
      <c r="N387" s="217"/>
      <c r="O387" s="217"/>
      <c r="P387" s="217"/>
      <c r="Q387" s="217"/>
      <c r="R387" s="217"/>
      <c r="S387" s="148" t="str">
        <f t="shared" si="233"/>
        <v>0</v>
      </c>
      <c r="T387" s="148" t="str">
        <f t="shared" si="234"/>
        <v>0</v>
      </c>
      <c r="U387" s="148" t="str">
        <f t="shared" si="235"/>
        <v>0</v>
      </c>
      <c r="V387" s="148" t="str">
        <f t="shared" si="236"/>
        <v>0</v>
      </c>
      <c r="W387" s="513">
        <f>SUM(X387:X391)/5</f>
        <v>0</v>
      </c>
      <c r="X387" s="152">
        <f t="shared" si="237"/>
        <v>0</v>
      </c>
      <c r="Y387" s="218" t="s">
        <v>186</v>
      </c>
      <c r="Z387" s="221"/>
      <c r="AA387" s="159" t="s">
        <v>162</v>
      </c>
      <c r="AB387" s="159" t="s">
        <v>162</v>
      </c>
      <c r="AC387" s="159" t="s">
        <v>162</v>
      </c>
      <c r="AD387" s="159" t="s">
        <v>162</v>
      </c>
      <c r="AE387" s="185"/>
      <c r="AF387" s="169"/>
      <c r="AG387" s="169"/>
      <c r="AH387" s="169"/>
      <c r="AI387" s="169"/>
      <c r="AJ387" s="169"/>
      <c r="AK387" s="169"/>
      <c r="AL387" s="169"/>
      <c r="AM387" s="169"/>
      <c r="AN387" s="169"/>
      <c r="AO387" s="169"/>
      <c r="AP387" s="169"/>
      <c r="AQ387" s="169"/>
      <c r="AR387" s="169"/>
      <c r="AS387" s="169"/>
      <c r="AT387" s="169"/>
      <c r="AU387" s="169"/>
      <c r="AV387" s="169"/>
      <c r="AW387" s="169"/>
      <c r="AX387" s="169"/>
      <c r="AY387" s="169"/>
      <c r="AZ387" s="169"/>
      <c r="BA387" s="169"/>
      <c r="BB387" s="169"/>
      <c r="BC387" s="169"/>
    </row>
    <row r="388" spans="1:55" ht="14.25" customHeight="1">
      <c r="A388" s="507"/>
      <c r="B388" s="156" t="s">
        <v>163</v>
      </c>
      <c r="C388" s="217"/>
      <c r="D388" s="217"/>
      <c r="E388" s="217"/>
      <c r="F388" s="217"/>
      <c r="G388" s="217"/>
      <c r="H388" s="217"/>
      <c r="I388" s="217"/>
      <c r="J388" s="217"/>
      <c r="K388" s="217"/>
      <c r="L388" s="217"/>
      <c r="M388" s="217"/>
      <c r="N388" s="217"/>
      <c r="O388" s="217"/>
      <c r="P388" s="217"/>
      <c r="Q388" s="217"/>
      <c r="R388" s="217"/>
      <c r="S388" s="148" t="str">
        <f t="shared" si="233"/>
        <v>0</v>
      </c>
      <c r="T388" s="148" t="str">
        <f t="shared" si="234"/>
        <v>0</v>
      </c>
      <c r="U388" s="148" t="str">
        <f t="shared" si="235"/>
        <v>0</v>
      </c>
      <c r="V388" s="148" t="str">
        <f t="shared" si="236"/>
        <v>0</v>
      </c>
      <c r="W388" s="507"/>
      <c r="X388" s="152">
        <f t="shared" si="237"/>
        <v>0</v>
      </c>
      <c r="Y388" s="218" t="s">
        <v>169</v>
      </c>
      <c r="Z388" s="221"/>
      <c r="AA388" s="159" t="s">
        <v>162</v>
      </c>
      <c r="AB388" s="159" t="s">
        <v>162</v>
      </c>
      <c r="AC388" s="159" t="s">
        <v>162</v>
      </c>
      <c r="AD388" s="159" t="s">
        <v>162</v>
      </c>
      <c r="AE388" s="185"/>
      <c r="AF388" s="169"/>
      <c r="AG388" s="169"/>
      <c r="AH388" s="169"/>
      <c r="AI388" s="169"/>
      <c r="AJ388" s="169"/>
      <c r="AK388" s="169"/>
      <c r="AL388" s="169"/>
      <c r="AM388" s="169"/>
      <c r="AN388" s="169"/>
      <c r="AO388" s="169"/>
      <c r="AP388" s="169"/>
      <c r="AQ388" s="169"/>
      <c r="AR388" s="169"/>
      <c r="AS388" s="169"/>
      <c r="AT388" s="169"/>
      <c r="AU388" s="169"/>
      <c r="AV388" s="169"/>
      <c r="AW388" s="169"/>
      <c r="AX388" s="169"/>
      <c r="AY388" s="169"/>
      <c r="AZ388" s="169"/>
      <c r="BA388" s="169"/>
      <c r="BB388" s="169"/>
      <c r="BC388" s="169"/>
    </row>
    <row r="389" spans="1:55" ht="14.25" customHeight="1">
      <c r="A389" s="507"/>
      <c r="B389" s="156" t="s">
        <v>164</v>
      </c>
      <c r="C389" s="217"/>
      <c r="D389" s="217"/>
      <c r="E389" s="217"/>
      <c r="F389" s="217"/>
      <c r="G389" s="217"/>
      <c r="H389" s="217"/>
      <c r="I389" s="217"/>
      <c r="J389" s="217"/>
      <c r="K389" s="217"/>
      <c r="L389" s="217"/>
      <c r="M389" s="217"/>
      <c r="N389" s="217"/>
      <c r="O389" s="217"/>
      <c r="P389" s="217"/>
      <c r="Q389" s="217"/>
      <c r="R389" s="217"/>
      <c r="S389" s="148" t="str">
        <f t="shared" si="233"/>
        <v>0</v>
      </c>
      <c r="T389" s="148" t="str">
        <f t="shared" si="234"/>
        <v>0</v>
      </c>
      <c r="U389" s="148" t="str">
        <f t="shared" si="235"/>
        <v>0</v>
      </c>
      <c r="V389" s="148" t="str">
        <f t="shared" si="236"/>
        <v>0</v>
      </c>
      <c r="W389" s="507"/>
      <c r="X389" s="152">
        <f t="shared" si="237"/>
        <v>0</v>
      </c>
      <c r="Y389" s="218" t="s">
        <v>169</v>
      </c>
      <c r="Z389" s="221"/>
      <c r="AA389" s="159" t="s">
        <v>162</v>
      </c>
      <c r="AB389" s="159" t="s">
        <v>162</v>
      </c>
      <c r="AC389" s="159" t="s">
        <v>162</v>
      </c>
      <c r="AD389" s="159" t="s">
        <v>162</v>
      </c>
      <c r="AE389" s="185"/>
      <c r="AF389" s="169"/>
      <c r="AG389" s="169"/>
      <c r="AH389" s="169"/>
      <c r="AI389" s="169"/>
      <c r="AJ389" s="169"/>
      <c r="AK389" s="169"/>
      <c r="AL389" s="169"/>
      <c r="AM389" s="169"/>
      <c r="AN389" s="169"/>
      <c r="AO389" s="169"/>
      <c r="AP389" s="169"/>
      <c r="AQ389" s="169"/>
      <c r="AR389" s="169"/>
      <c r="AS389" s="169"/>
      <c r="AT389" s="169"/>
      <c r="AU389" s="169"/>
      <c r="AV389" s="169"/>
      <c r="AW389" s="169"/>
      <c r="AX389" s="169"/>
      <c r="AY389" s="169"/>
      <c r="AZ389" s="169"/>
      <c r="BA389" s="169"/>
      <c r="BB389" s="169"/>
      <c r="BC389" s="169"/>
    </row>
    <row r="390" spans="1:55" ht="14.25" customHeight="1">
      <c r="A390" s="507"/>
      <c r="B390" s="156" t="s">
        <v>165</v>
      </c>
      <c r="C390" s="217"/>
      <c r="D390" s="217"/>
      <c r="E390" s="217"/>
      <c r="F390" s="217"/>
      <c r="G390" s="217"/>
      <c r="H390" s="217"/>
      <c r="I390" s="217"/>
      <c r="J390" s="217"/>
      <c r="K390" s="217"/>
      <c r="L390" s="217"/>
      <c r="M390" s="217"/>
      <c r="N390" s="217"/>
      <c r="O390" s="217"/>
      <c r="P390" s="217"/>
      <c r="Q390" s="217"/>
      <c r="R390" s="217"/>
      <c r="S390" s="148" t="str">
        <f t="shared" si="233"/>
        <v>0</v>
      </c>
      <c r="T390" s="148" t="str">
        <f t="shared" si="234"/>
        <v>0</v>
      </c>
      <c r="U390" s="148" t="str">
        <f t="shared" si="235"/>
        <v>0</v>
      </c>
      <c r="V390" s="148" t="str">
        <f t="shared" si="236"/>
        <v>0</v>
      </c>
      <c r="W390" s="507"/>
      <c r="X390" s="152">
        <f t="shared" si="237"/>
        <v>0</v>
      </c>
      <c r="Y390" s="218" t="s">
        <v>169</v>
      </c>
      <c r="Z390" s="221"/>
      <c r="AA390" s="159" t="s">
        <v>162</v>
      </c>
      <c r="AB390" s="159" t="s">
        <v>162</v>
      </c>
      <c r="AC390" s="159" t="s">
        <v>162</v>
      </c>
      <c r="AD390" s="159" t="s">
        <v>162</v>
      </c>
      <c r="AE390" s="185"/>
      <c r="AF390" s="169"/>
      <c r="AG390" s="169"/>
      <c r="AH390" s="169"/>
      <c r="AI390" s="169"/>
      <c r="AJ390" s="169"/>
      <c r="AK390" s="169"/>
      <c r="AL390" s="169"/>
      <c r="AM390" s="169"/>
      <c r="AN390" s="169"/>
      <c r="AO390" s="169"/>
      <c r="AP390" s="169"/>
      <c r="AQ390" s="169"/>
      <c r="AR390" s="169"/>
      <c r="AS390" s="169"/>
      <c r="AT390" s="169"/>
      <c r="AU390" s="169"/>
      <c r="AV390" s="169"/>
      <c r="AW390" s="169"/>
      <c r="AX390" s="169"/>
      <c r="AY390" s="169"/>
      <c r="AZ390" s="169"/>
      <c r="BA390" s="169"/>
      <c r="BB390" s="169"/>
      <c r="BC390" s="169"/>
    </row>
    <row r="391" spans="1:55" ht="14.25" customHeight="1">
      <c r="A391" s="508"/>
      <c r="B391" s="156" t="s">
        <v>166</v>
      </c>
      <c r="C391" s="217"/>
      <c r="D391" s="217"/>
      <c r="E391" s="217"/>
      <c r="F391" s="217"/>
      <c r="G391" s="217"/>
      <c r="H391" s="217"/>
      <c r="I391" s="217"/>
      <c r="J391" s="217"/>
      <c r="K391" s="217"/>
      <c r="L391" s="217"/>
      <c r="M391" s="217"/>
      <c r="N391" s="217"/>
      <c r="O391" s="217"/>
      <c r="P391" s="217"/>
      <c r="Q391" s="217"/>
      <c r="R391" s="217"/>
      <c r="S391" s="148" t="str">
        <f t="shared" si="233"/>
        <v>0</v>
      </c>
      <c r="T391" s="148" t="str">
        <f t="shared" si="234"/>
        <v>0</v>
      </c>
      <c r="U391" s="148" t="str">
        <f t="shared" si="235"/>
        <v>0</v>
      </c>
      <c r="V391" s="148" t="str">
        <f t="shared" si="236"/>
        <v>0</v>
      </c>
      <c r="W391" s="508"/>
      <c r="X391" s="152">
        <f t="shared" si="237"/>
        <v>0</v>
      </c>
      <c r="Y391" s="218" t="s">
        <v>169</v>
      </c>
      <c r="Z391" s="221"/>
      <c r="AA391" s="159" t="s">
        <v>162</v>
      </c>
      <c r="AB391" s="159" t="s">
        <v>162</v>
      </c>
      <c r="AC391" s="159" t="s">
        <v>162</v>
      </c>
      <c r="AD391" s="159" t="s">
        <v>162</v>
      </c>
      <c r="AE391" s="185"/>
      <c r="AF391" s="169"/>
      <c r="AG391" s="169"/>
      <c r="AH391" s="169"/>
      <c r="AI391" s="169"/>
      <c r="AJ391" s="169"/>
      <c r="AK391" s="169"/>
      <c r="AL391" s="169"/>
      <c r="AM391" s="169"/>
      <c r="AN391" s="169"/>
      <c r="AO391" s="169"/>
      <c r="AP391" s="169"/>
      <c r="AQ391" s="169"/>
      <c r="AR391" s="169"/>
      <c r="AS391" s="169"/>
      <c r="AT391" s="169"/>
      <c r="AU391" s="169"/>
      <c r="AV391" s="169"/>
      <c r="AW391" s="169"/>
      <c r="AX391" s="169"/>
      <c r="AY391" s="169"/>
      <c r="AZ391" s="169"/>
      <c r="BA391" s="169"/>
      <c r="BB391" s="169"/>
      <c r="BC391" s="169"/>
    </row>
    <row r="392" spans="1:55" ht="14.25" customHeight="1">
      <c r="A392" s="506" t="s">
        <v>85</v>
      </c>
      <c r="B392" s="156" t="s">
        <v>160</v>
      </c>
      <c r="C392" s="217"/>
      <c r="D392" s="217"/>
      <c r="E392" s="217"/>
      <c r="F392" s="217"/>
      <c r="G392" s="217"/>
      <c r="H392" s="217"/>
      <c r="I392" s="217"/>
      <c r="J392" s="217"/>
      <c r="K392" s="217"/>
      <c r="L392" s="217"/>
      <c r="M392" s="217"/>
      <c r="N392" s="217"/>
      <c r="O392" s="217"/>
      <c r="P392" s="217"/>
      <c r="Q392" s="217"/>
      <c r="R392" s="217"/>
      <c r="S392" s="148" t="str">
        <f t="shared" si="233"/>
        <v>0</v>
      </c>
      <c r="T392" s="148" t="str">
        <f t="shared" si="234"/>
        <v>0</v>
      </c>
      <c r="U392" s="148" t="str">
        <f t="shared" si="235"/>
        <v>0</v>
      </c>
      <c r="V392" s="148" t="str">
        <f t="shared" si="236"/>
        <v>0</v>
      </c>
      <c r="W392" s="513">
        <f>SUM(X392:X396)/5</f>
        <v>0</v>
      </c>
      <c r="X392" s="152">
        <f t="shared" si="237"/>
        <v>0</v>
      </c>
      <c r="Y392" s="218" t="s">
        <v>187</v>
      </c>
      <c r="Z392" s="169"/>
      <c r="AA392" s="160" t="s">
        <v>162</v>
      </c>
      <c r="AB392" s="160" t="s">
        <v>162</v>
      </c>
      <c r="AC392" s="160" t="s">
        <v>162</v>
      </c>
      <c r="AD392" s="160" t="s">
        <v>162</v>
      </c>
      <c r="AE392" s="169"/>
      <c r="AF392" s="169"/>
      <c r="AG392" s="169"/>
      <c r="AH392" s="169"/>
      <c r="AI392" s="169"/>
      <c r="AJ392" s="169"/>
      <c r="AK392" s="169"/>
      <c r="AL392" s="169"/>
      <c r="AM392" s="169"/>
      <c r="AN392" s="169"/>
      <c r="AO392" s="169"/>
      <c r="AP392" s="169"/>
      <c r="AQ392" s="169"/>
      <c r="AR392" s="169"/>
      <c r="AS392" s="169"/>
      <c r="AT392" s="169"/>
      <c r="AU392" s="169"/>
      <c r="AV392" s="169"/>
      <c r="AW392" s="169"/>
      <c r="AX392" s="169"/>
      <c r="AY392" s="169"/>
      <c r="AZ392" s="169"/>
      <c r="BA392" s="169"/>
      <c r="BB392" s="169"/>
      <c r="BC392" s="169"/>
    </row>
    <row r="393" spans="1:55" ht="14.25" customHeight="1">
      <c r="A393" s="507"/>
      <c r="B393" s="156" t="s">
        <v>163</v>
      </c>
      <c r="C393" s="217"/>
      <c r="D393" s="217"/>
      <c r="E393" s="217"/>
      <c r="F393" s="217"/>
      <c r="G393" s="217"/>
      <c r="H393" s="217"/>
      <c r="I393" s="217"/>
      <c r="J393" s="217"/>
      <c r="K393" s="217"/>
      <c r="L393" s="217"/>
      <c r="M393" s="217"/>
      <c r="N393" s="217"/>
      <c r="O393" s="217"/>
      <c r="P393" s="217"/>
      <c r="Q393" s="217"/>
      <c r="R393" s="217"/>
      <c r="S393" s="148" t="str">
        <f t="shared" si="233"/>
        <v>0</v>
      </c>
      <c r="T393" s="148" t="str">
        <f t="shared" si="234"/>
        <v>0</v>
      </c>
      <c r="U393" s="148" t="str">
        <f t="shared" si="235"/>
        <v>0</v>
      </c>
      <c r="V393" s="148" t="str">
        <f t="shared" si="236"/>
        <v>0</v>
      </c>
      <c r="W393" s="507"/>
      <c r="X393" s="152">
        <f t="shared" si="237"/>
        <v>0</v>
      </c>
      <c r="Y393" s="218" t="s">
        <v>169</v>
      </c>
      <c r="Z393" s="169"/>
      <c r="AA393" s="153" t="s">
        <v>162</v>
      </c>
      <c r="AB393" s="153" t="s">
        <v>162</v>
      </c>
      <c r="AC393" s="153" t="s">
        <v>162</v>
      </c>
      <c r="AD393" s="153" t="s">
        <v>162</v>
      </c>
      <c r="AE393" s="169"/>
      <c r="AF393" s="169"/>
      <c r="AG393" s="169"/>
      <c r="AH393" s="169"/>
      <c r="AI393" s="169"/>
      <c r="AJ393" s="169"/>
      <c r="AK393" s="169"/>
      <c r="AL393" s="169"/>
      <c r="AM393" s="169"/>
      <c r="AN393" s="169"/>
      <c r="AO393" s="169"/>
      <c r="AP393" s="169"/>
      <c r="AQ393" s="169"/>
      <c r="AR393" s="169"/>
      <c r="AS393" s="169"/>
      <c r="AT393" s="169"/>
      <c r="AU393" s="169"/>
      <c r="AV393" s="169"/>
      <c r="AW393" s="169"/>
      <c r="AX393" s="169"/>
      <c r="AY393" s="169"/>
      <c r="AZ393" s="169"/>
      <c r="BA393" s="169"/>
      <c r="BB393" s="169"/>
      <c r="BC393" s="169"/>
    </row>
    <row r="394" spans="1:55" ht="14.25" customHeight="1">
      <c r="A394" s="507"/>
      <c r="B394" s="156" t="s">
        <v>164</v>
      </c>
      <c r="C394" s="217"/>
      <c r="D394" s="217"/>
      <c r="E394" s="217"/>
      <c r="F394" s="217"/>
      <c r="G394" s="217"/>
      <c r="H394" s="217"/>
      <c r="I394" s="217"/>
      <c r="J394" s="217"/>
      <c r="K394" s="217"/>
      <c r="L394" s="217"/>
      <c r="M394" s="217"/>
      <c r="N394" s="217"/>
      <c r="O394" s="217"/>
      <c r="P394" s="217"/>
      <c r="Q394" s="217"/>
      <c r="R394" s="217"/>
      <c r="S394" s="148" t="str">
        <f t="shared" si="233"/>
        <v>0</v>
      </c>
      <c r="T394" s="148" t="str">
        <f t="shared" si="234"/>
        <v>0</v>
      </c>
      <c r="U394" s="148" t="str">
        <f t="shared" si="235"/>
        <v>0</v>
      </c>
      <c r="V394" s="148" t="str">
        <f t="shared" si="236"/>
        <v>0</v>
      </c>
      <c r="W394" s="507"/>
      <c r="X394" s="152">
        <f t="shared" si="237"/>
        <v>0</v>
      </c>
      <c r="Y394" s="218" t="s">
        <v>169</v>
      </c>
      <c r="Z394" s="169"/>
      <c r="AA394" s="153" t="s">
        <v>162</v>
      </c>
      <c r="AB394" s="153" t="s">
        <v>162</v>
      </c>
      <c r="AC394" s="153" t="s">
        <v>162</v>
      </c>
      <c r="AD394" s="153" t="s">
        <v>162</v>
      </c>
      <c r="AE394" s="169"/>
      <c r="AF394" s="169"/>
      <c r="AG394" s="169"/>
      <c r="AH394" s="169"/>
      <c r="AI394" s="169"/>
      <c r="AJ394" s="169"/>
      <c r="AK394" s="169"/>
      <c r="AL394" s="169"/>
      <c r="AM394" s="169"/>
      <c r="AN394" s="169"/>
      <c r="AO394" s="169"/>
      <c r="AP394" s="169"/>
      <c r="AQ394" s="169"/>
      <c r="AR394" s="169"/>
      <c r="AS394" s="169"/>
      <c r="AT394" s="169"/>
      <c r="AU394" s="169"/>
      <c r="AV394" s="169"/>
      <c r="AW394" s="169"/>
      <c r="AX394" s="169"/>
      <c r="AY394" s="169"/>
      <c r="AZ394" s="169"/>
      <c r="BA394" s="169"/>
      <c r="BB394" s="169"/>
      <c r="BC394" s="169"/>
    </row>
    <row r="395" spans="1:55" ht="14.25" customHeight="1">
      <c r="A395" s="507"/>
      <c r="B395" s="156" t="s">
        <v>165</v>
      </c>
      <c r="C395" s="217"/>
      <c r="D395" s="217"/>
      <c r="E395" s="217"/>
      <c r="F395" s="217"/>
      <c r="G395" s="217"/>
      <c r="H395" s="217"/>
      <c r="I395" s="217"/>
      <c r="J395" s="217"/>
      <c r="K395" s="217"/>
      <c r="L395" s="217"/>
      <c r="M395" s="217"/>
      <c r="N395" s="217"/>
      <c r="O395" s="217"/>
      <c r="P395" s="217"/>
      <c r="Q395" s="217"/>
      <c r="R395" s="217"/>
      <c r="S395" s="148" t="str">
        <f t="shared" si="233"/>
        <v>0</v>
      </c>
      <c r="T395" s="148" t="str">
        <f t="shared" si="234"/>
        <v>0</v>
      </c>
      <c r="U395" s="148" t="str">
        <f t="shared" si="235"/>
        <v>0</v>
      </c>
      <c r="V395" s="148" t="str">
        <f t="shared" si="236"/>
        <v>0</v>
      </c>
      <c r="W395" s="507"/>
      <c r="X395" s="152">
        <f t="shared" si="237"/>
        <v>0</v>
      </c>
      <c r="Y395" s="218" t="s">
        <v>169</v>
      </c>
      <c r="Z395" s="169"/>
      <c r="AA395" s="153" t="s">
        <v>162</v>
      </c>
      <c r="AB395" s="153" t="s">
        <v>162</v>
      </c>
      <c r="AC395" s="153" t="s">
        <v>162</v>
      </c>
      <c r="AD395" s="153" t="s">
        <v>162</v>
      </c>
      <c r="AE395" s="169"/>
      <c r="AF395" s="169"/>
      <c r="AG395" s="169"/>
      <c r="AH395" s="169"/>
      <c r="AI395" s="169"/>
      <c r="AJ395" s="169"/>
      <c r="AK395" s="169"/>
      <c r="AL395" s="169"/>
      <c r="AM395" s="169"/>
      <c r="AN395" s="169"/>
      <c r="AO395" s="169"/>
      <c r="AP395" s="169"/>
      <c r="AQ395" s="169"/>
      <c r="AR395" s="169"/>
      <c r="AS395" s="169"/>
      <c r="AT395" s="169"/>
      <c r="AU395" s="169"/>
      <c r="AV395" s="169"/>
      <c r="AW395" s="169"/>
      <c r="AX395" s="169"/>
      <c r="AY395" s="169"/>
      <c r="AZ395" s="169"/>
      <c r="BA395" s="169"/>
      <c r="BB395" s="169"/>
      <c r="BC395" s="169"/>
    </row>
    <row r="396" spans="1:55" ht="14.25" customHeight="1">
      <c r="A396" s="508"/>
      <c r="B396" s="156" t="s">
        <v>166</v>
      </c>
      <c r="C396" s="217"/>
      <c r="D396" s="217"/>
      <c r="E396" s="217"/>
      <c r="F396" s="217"/>
      <c r="G396" s="217"/>
      <c r="H396" s="217"/>
      <c r="I396" s="217"/>
      <c r="J396" s="217"/>
      <c r="K396" s="217"/>
      <c r="L396" s="217"/>
      <c r="M396" s="217"/>
      <c r="N396" s="217"/>
      <c r="O396" s="217"/>
      <c r="P396" s="217"/>
      <c r="Q396" s="217"/>
      <c r="R396" s="217"/>
      <c r="S396" s="148" t="str">
        <f t="shared" si="233"/>
        <v>0</v>
      </c>
      <c r="T396" s="148" t="str">
        <f t="shared" si="234"/>
        <v>0</v>
      </c>
      <c r="U396" s="148" t="str">
        <f t="shared" si="235"/>
        <v>0</v>
      </c>
      <c r="V396" s="148" t="str">
        <f t="shared" si="236"/>
        <v>0</v>
      </c>
      <c r="W396" s="508"/>
      <c r="X396" s="152">
        <f t="shared" si="237"/>
        <v>0</v>
      </c>
      <c r="Y396" s="218" t="s">
        <v>169</v>
      </c>
      <c r="Z396" s="169"/>
      <c r="AA396" s="161" t="s">
        <v>162</v>
      </c>
      <c r="AB396" s="161" t="s">
        <v>162</v>
      </c>
      <c r="AC396" s="161" t="s">
        <v>162</v>
      </c>
      <c r="AD396" s="161" t="s">
        <v>162</v>
      </c>
      <c r="AE396" s="169"/>
      <c r="AF396" s="169"/>
      <c r="AG396" s="169"/>
      <c r="AH396" s="169"/>
      <c r="AI396" s="169"/>
      <c r="AJ396" s="169"/>
      <c r="AK396" s="169"/>
      <c r="AL396" s="169"/>
      <c r="AM396" s="169"/>
      <c r="AN396" s="169"/>
      <c r="AO396" s="169"/>
      <c r="AP396" s="169"/>
      <c r="AQ396" s="169"/>
      <c r="AR396" s="169"/>
      <c r="AS396" s="169"/>
      <c r="AT396" s="169"/>
      <c r="AU396" s="169"/>
      <c r="AV396" s="169"/>
      <c r="AW396" s="169"/>
      <c r="AX396" s="169"/>
      <c r="AY396" s="169"/>
      <c r="AZ396" s="169"/>
      <c r="BA396" s="169"/>
      <c r="BB396" s="169"/>
      <c r="BC396" s="169"/>
    </row>
    <row r="397" spans="1:55" ht="14.25" customHeight="1">
      <c r="A397" s="506" t="s">
        <v>86</v>
      </c>
      <c r="B397" s="156" t="s">
        <v>160</v>
      </c>
      <c r="C397" s="217"/>
      <c r="D397" s="217"/>
      <c r="E397" s="217"/>
      <c r="F397" s="217"/>
      <c r="G397" s="217"/>
      <c r="H397" s="217"/>
      <c r="I397" s="217"/>
      <c r="J397" s="217"/>
      <c r="K397" s="217"/>
      <c r="L397" s="217"/>
      <c r="M397" s="217"/>
      <c r="N397" s="217"/>
      <c r="O397" s="217"/>
      <c r="P397" s="217"/>
      <c r="Q397" s="217"/>
      <c r="R397" s="217"/>
      <c r="S397" s="148" t="str">
        <f t="shared" si="233"/>
        <v>0</v>
      </c>
      <c r="T397" s="148" t="str">
        <f t="shared" si="234"/>
        <v>0</v>
      </c>
      <c r="U397" s="148" t="str">
        <f t="shared" si="235"/>
        <v>0</v>
      </c>
      <c r="V397" s="148" t="str">
        <f t="shared" si="236"/>
        <v>0</v>
      </c>
      <c r="W397" s="513">
        <f>SUM(X397:X400)/4</f>
        <v>0</v>
      </c>
      <c r="X397" s="152">
        <f t="shared" si="237"/>
        <v>0</v>
      </c>
      <c r="Y397" s="218" t="s">
        <v>189</v>
      </c>
      <c r="Z397" s="221"/>
      <c r="AA397" s="159" t="s">
        <v>162</v>
      </c>
      <c r="AB397" s="159" t="s">
        <v>162</v>
      </c>
      <c r="AC397" s="159" t="s">
        <v>162</v>
      </c>
      <c r="AD397" s="159" t="s">
        <v>162</v>
      </c>
      <c r="AE397" s="185"/>
      <c r="AF397" s="169"/>
      <c r="AG397" s="169"/>
      <c r="AH397" s="169"/>
      <c r="AI397" s="169"/>
      <c r="AJ397" s="169"/>
      <c r="AK397" s="169"/>
      <c r="AL397" s="169"/>
      <c r="AM397" s="169"/>
      <c r="AN397" s="169"/>
      <c r="AO397" s="169"/>
      <c r="AP397" s="169"/>
      <c r="AQ397" s="169"/>
      <c r="AR397" s="169"/>
      <c r="AS397" s="169"/>
      <c r="AT397" s="169"/>
      <c r="AU397" s="169"/>
      <c r="AV397" s="169"/>
      <c r="AW397" s="169"/>
      <c r="AX397" s="169"/>
      <c r="AY397" s="169"/>
      <c r="AZ397" s="169"/>
      <c r="BA397" s="169"/>
      <c r="BB397" s="169"/>
      <c r="BC397" s="169"/>
    </row>
    <row r="398" spans="1:55" ht="14.25" customHeight="1">
      <c r="A398" s="507"/>
      <c r="B398" s="156" t="s">
        <v>163</v>
      </c>
      <c r="C398" s="217"/>
      <c r="D398" s="217"/>
      <c r="E398" s="217"/>
      <c r="F398" s="217"/>
      <c r="G398" s="217"/>
      <c r="H398" s="217"/>
      <c r="I398" s="217"/>
      <c r="J398" s="217"/>
      <c r="K398" s="217"/>
      <c r="L398" s="217"/>
      <c r="M398" s="217"/>
      <c r="N398" s="217"/>
      <c r="O398" s="217"/>
      <c r="P398" s="217"/>
      <c r="Q398" s="217"/>
      <c r="R398" s="217"/>
      <c r="S398" s="148" t="str">
        <f t="shared" si="233"/>
        <v>0</v>
      </c>
      <c r="T398" s="148" t="str">
        <f t="shared" si="234"/>
        <v>0</v>
      </c>
      <c r="U398" s="148" t="str">
        <f t="shared" si="235"/>
        <v>0</v>
      </c>
      <c r="V398" s="148" t="str">
        <f t="shared" si="236"/>
        <v>0</v>
      </c>
      <c r="W398" s="507"/>
      <c r="X398" s="152">
        <f t="shared" si="237"/>
        <v>0</v>
      </c>
      <c r="Y398" s="218" t="s">
        <v>169</v>
      </c>
      <c r="Z398" s="221"/>
      <c r="AA398" s="159" t="s">
        <v>162</v>
      </c>
      <c r="AB398" s="159" t="s">
        <v>162</v>
      </c>
      <c r="AC398" s="159" t="s">
        <v>162</v>
      </c>
      <c r="AD398" s="159" t="s">
        <v>162</v>
      </c>
      <c r="AE398" s="185"/>
      <c r="AF398" s="169"/>
      <c r="AG398" s="169"/>
      <c r="AH398" s="169"/>
      <c r="AI398" s="169"/>
      <c r="AJ398" s="169"/>
      <c r="AK398" s="169"/>
      <c r="AL398" s="169"/>
      <c r="AM398" s="169"/>
      <c r="AN398" s="169"/>
      <c r="AO398" s="169"/>
      <c r="AP398" s="169"/>
      <c r="AQ398" s="169"/>
      <c r="AR398" s="169"/>
      <c r="AS398" s="169"/>
      <c r="AT398" s="169"/>
      <c r="AU398" s="169"/>
      <c r="AV398" s="169"/>
      <c r="AW398" s="169"/>
      <c r="AX398" s="169"/>
      <c r="AY398" s="169"/>
      <c r="AZ398" s="169"/>
      <c r="BA398" s="169"/>
      <c r="BB398" s="169"/>
      <c r="BC398" s="169"/>
    </row>
    <row r="399" spans="1:55" ht="14.25" customHeight="1">
      <c r="A399" s="507"/>
      <c r="B399" s="156" t="s">
        <v>164</v>
      </c>
      <c r="C399" s="217"/>
      <c r="D399" s="217"/>
      <c r="E399" s="217"/>
      <c r="F399" s="217"/>
      <c r="G399" s="217"/>
      <c r="H399" s="217"/>
      <c r="I399" s="217"/>
      <c r="J399" s="217"/>
      <c r="K399" s="217"/>
      <c r="L399" s="217"/>
      <c r="M399" s="217"/>
      <c r="N399" s="217"/>
      <c r="O399" s="217"/>
      <c r="P399" s="217"/>
      <c r="Q399" s="217"/>
      <c r="R399" s="217"/>
      <c r="S399" s="148" t="str">
        <f t="shared" si="233"/>
        <v>0</v>
      </c>
      <c r="T399" s="148" t="str">
        <f t="shared" si="234"/>
        <v>0</v>
      </c>
      <c r="U399" s="148" t="str">
        <f t="shared" si="235"/>
        <v>0</v>
      </c>
      <c r="V399" s="148" t="str">
        <f t="shared" si="236"/>
        <v>0</v>
      </c>
      <c r="W399" s="507"/>
      <c r="X399" s="152">
        <f t="shared" si="237"/>
        <v>0</v>
      </c>
      <c r="Y399" s="218" t="s">
        <v>169</v>
      </c>
      <c r="Z399" s="221"/>
      <c r="AA399" s="159" t="s">
        <v>162</v>
      </c>
      <c r="AB399" s="159" t="s">
        <v>162</v>
      </c>
      <c r="AC399" s="159" t="s">
        <v>162</v>
      </c>
      <c r="AD399" s="159" t="s">
        <v>162</v>
      </c>
      <c r="AE399" s="185"/>
      <c r="AF399" s="169"/>
      <c r="AG399" s="169"/>
      <c r="AH399" s="169"/>
      <c r="AI399" s="169"/>
      <c r="AJ399" s="169"/>
      <c r="AK399" s="169"/>
      <c r="AL399" s="169"/>
      <c r="AM399" s="169"/>
      <c r="AN399" s="169"/>
      <c r="AO399" s="169"/>
      <c r="AP399" s="169"/>
      <c r="AQ399" s="169"/>
      <c r="AR399" s="169"/>
      <c r="AS399" s="169"/>
      <c r="AT399" s="169"/>
      <c r="AU399" s="169"/>
      <c r="AV399" s="169"/>
      <c r="AW399" s="169"/>
      <c r="AX399" s="169"/>
      <c r="AY399" s="169"/>
      <c r="AZ399" s="169"/>
      <c r="BA399" s="169"/>
      <c r="BB399" s="169"/>
      <c r="BC399" s="169"/>
    </row>
    <row r="400" spans="1:55" ht="14.25" customHeight="1">
      <c r="A400" s="507"/>
      <c r="B400" s="156" t="s">
        <v>165</v>
      </c>
      <c r="C400" s="217"/>
      <c r="D400" s="217"/>
      <c r="E400" s="217"/>
      <c r="F400" s="217"/>
      <c r="G400" s="217"/>
      <c r="H400" s="217"/>
      <c r="I400" s="217"/>
      <c r="J400" s="217"/>
      <c r="K400" s="217"/>
      <c r="L400" s="217"/>
      <c r="M400" s="217"/>
      <c r="N400" s="217"/>
      <c r="O400" s="217"/>
      <c r="P400" s="217"/>
      <c r="Q400" s="217"/>
      <c r="R400" s="217"/>
      <c r="S400" s="148" t="str">
        <f t="shared" si="233"/>
        <v>0</v>
      </c>
      <c r="T400" s="148" t="str">
        <f t="shared" si="234"/>
        <v>0</v>
      </c>
      <c r="U400" s="148" t="str">
        <f t="shared" si="235"/>
        <v>0</v>
      </c>
      <c r="V400" s="148" t="str">
        <f t="shared" si="236"/>
        <v>0</v>
      </c>
      <c r="W400" s="507"/>
      <c r="X400" s="152">
        <f t="shared" si="237"/>
        <v>0</v>
      </c>
      <c r="Y400" s="218" t="s">
        <v>169</v>
      </c>
      <c r="Z400" s="221"/>
      <c r="AA400" s="159" t="s">
        <v>162</v>
      </c>
      <c r="AB400" s="159" t="s">
        <v>162</v>
      </c>
      <c r="AC400" s="159" t="s">
        <v>162</v>
      </c>
      <c r="AD400" s="159" t="s">
        <v>162</v>
      </c>
      <c r="AE400" s="185"/>
      <c r="AF400" s="169"/>
      <c r="AG400" s="169"/>
      <c r="AH400" s="169"/>
      <c r="AI400" s="169"/>
      <c r="AJ400" s="169"/>
      <c r="AK400" s="169"/>
      <c r="AL400" s="169"/>
      <c r="AM400" s="169"/>
      <c r="AN400" s="169"/>
      <c r="AO400" s="169"/>
      <c r="AP400" s="169"/>
      <c r="AQ400" s="169"/>
      <c r="AR400" s="169"/>
      <c r="AS400" s="169"/>
      <c r="AT400" s="169"/>
      <c r="AU400" s="169"/>
      <c r="AV400" s="169"/>
      <c r="AW400" s="169"/>
      <c r="AX400" s="169"/>
      <c r="AY400" s="169"/>
      <c r="AZ400" s="169"/>
      <c r="BA400" s="169"/>
      <c r="BB400" s="169"/>
      <c r="BC400" s="169"/>
    </row>
    <row r="401" spans="1:55" ht="14.25" customHeight="1">
      <c r="A401" s="508"/>
      <c r="B401" s="156" t="s">
        <v>166</v>
      </c>
      <c r="C401" s="217"/>
      <c r="D401" s="217"/>
      <c r="E401" s="217"/>
      <c r="F401" s="217"/>
      <c r="G401" s="217"/>
      <c r="H401" s="217"/>
      <c r="I401" s="217"/>
      <c r="J401" s="217"/>
      <c r="K401" s="217"/>
      <c r="L401" s="217"/>
      <c r="M401" s="217"/>
      <c r="N401" s="217"/>
      <c r="O401" s="217"/>
      <c r="P401" s="217"/>
      <c r="Q401" s="217"/>
      <c r="R401" s="217"/>
      <c r="S401" s="148" t="str">
        <f t="shared" si="233"/>
        <v>0</v>
      </c>
      <c r="T401" s="148" t="str">
        <f t="shared" si="234"/>
        <v>0</v>
      </c>
      <c r="U401" s="148" t="str">
        <f t="shared" si="235"/>
        <v>0</v>
      </c>
      <c r="V401" s="148" t="str">
        <f t="shared" si="236"/>
        <v>0</v>
      </c>
      <c r="W401" s="508"/>
      <c r="X401" s="152">
        <f t="shared" si="237"/>
        <v>0</v>
      </c>
      <c r="Y401" s="218" t="s">
        <v>169</v>
      </c>
      <c r="Z401" s="221"/>
      <c r="AA401" s="159" t="s">
        <v>162</v>
      </c>
      <c r="AB401" s="159" t="s">
        <v>162</v>
      </c>
      <c r="AC401" s="159" t="s">
        <v>162</v>
      </c>
      <c r="AD401" s="159" t="s">
        <v>162</v>
      </c>
      <c r="AE401" s="185"/>
      <c r="AF401" s="169"/>
      <c r="AG401" s="169"/>
      <c r="AH401" s="169"/>
      <c r="AI401" s="169"/>
      <c r="AJ401" s="169"/>
      <c r="AK401" s="169"/>
      <c r="AL401" s="169"/>
      <c r="AM401" s="169"/>
      <c r="AN401" s="169"/>
      <c r="AO401" s="169"/>
      <c r="AP401" s="169"/>
      <c r="AQ401" s="169"/>
      <c r="AR401" s="169"/>
      <c r="AS401" s="169"/>
      <c r="AT401" s="169"/>
      <c r="AU401" s="169"/>
      <c r="AV401" s="169"/>
      <c r="AW401" s="169"/>
      <c r="AX401" s="169"/>
      <c r="AY401" s="169"/>
      <c r="AZ401" s="169"/>
      <c r="BA401" s="169"/>
      <c r="BB401" s="169"/>
      <c r="BC401" s="169"/>
    </row>
    <row r="402" spans="1:55" ht="14.25" customHeight="1">
      <c r="A402" s="512" t="s">
        <v>87</v>
      </c>
      <c r="B402" s="156" t="s">
        <v>160</v>
      </c>
      <c r="C402" s="217"/>
      <c r="D402" s="217"/>
      <c r="E402" s="217"/>
      <c r="F402" s="217"/>
      <c r="G402" s="217"/>
      <c r="H402" s="217"/>
      <c r="I402" s="217"/>
      <c r="J402" s="217"/>
      <c r="K402" s="217"/>
      <c r="L402" s="217"/>
      <c r="M402" s="217"/>
      <c r="N402" s="217"/>
      <c r="O402" s="217"/>
      <c r="P402" s="217"/>
      <c r="Q402" s="217"/>
      <c r="R402" s="217"/>
      <c r="S402" s="148" t="str">
        <f t="shared" si="233"/>
        <v>0</v>
      </c>
      <c r="T402" s="148" t="str">
        <f t="shared" si="234"/>
        <v>0</v>
      </c>
      <c r="U402" s="148" t="str">
        <f t="shared" si="235"/>
        <v>0</v>
      </c>
      <c r="V402" s="148" t="str">
        <f t="shared" si="236"/>
        <v>0</v>
      </c>
      <c r="W402" s="513">
        <f>SUM(X402:X406)/5</f>
        <v>0</v>
      </c>
      <c r="X402" s="152">
        <f t="shared" si="237"/>
        <v>0</v>
      </c>
      <c r="Y402" s="218" t="s">
        <v>190</v>
      </c>
      <c r="Z402" s="169"/>
      <c r="AA402" s="160" t="s">
        <v>162</v>
      </c>
      <c r="AB402" s="160" t="s">
        <v>162</v>
      </c>
      <c r="AC402" s="160" t="s">
        <v>162</v>
      </c>
      <c r="AD402" s="160" t="s">
        <v>162</v>
      </c>
      <c r="AE402" s="169"/>
      <c r="AF402" s="169"/>
      <c r="AG402" s="169"/>
      <c r="AH402" s="169"/>
      <c r="AI402" s="169"/>
      <c r="AJ402" s="169"/>
      <c r="AK402" s="169"/>
      <c r="AL402" s="169"/>
      <c r="AM402" s="169"/>
      <c r="AN402" s="169"/>
      <c r="AO402" s="169"/>
      <c r="AP402" s="169"/>
      <c r="AQ402" s="169"/>
      <c r="AR402" s="169"/>
      <c r="AS402" s="169"/>
      <c r="AT402" s="169"/>
      <c r="AU402" s="169"/>
      <c r="AV402" s="169"/>
      <c r="AW402" s="169"/>
      <c r="AX402" s="169"/>
      <c r="AY402" s="169"/>
      <c r="AZ402" s="169"/>
      <c r="BA402" s="169"/>
      <c r="BB402" s="169"/>
      <c r="BC402" s="169"/>
    </row>
    <row r="403" spans="1:55" ht="14.25" customHeight="1">
      <c r="A403" s="507"/>
      <c r="B403" s="156" t="s">
        <v>163</v>
      </c>
      <c r="C403" s="217"/>
      <c r="D403" s="217"/>
      <c r="E403" s="217"/>
      <c r="F403" s="217"/>
      <c r="G403" s="217"/>
      <c r="H403" s="217"/>
      <c r="I403" s="217"/>
      <c r="J403" s="217"/>
      <c r="K403" s="217"/>
      <c r="L403" s="217"/>
      <c r="M403" s="217"/>
      <c r="N403" s="217"/>
      <c r="O403" s="217"/>
      <c r="P403" s="217"/>
      <c r="Q403" s="217"/>
      <c r="R403" s="217"/>
      <c r="S403" s="148" t="str">
        <f t="shared" si="233"/>
        <v>0</v>
      </c>
      <c r="T403" s="148" t="str">
        <f t="shared" si="234"/>
        <v>0</v>
      </c>
      <c r="U403" s="148" t="str">
        <f t="shared" si="235"/>
        <v>0</v>
      </c>
      <c r="V403" s="148" t="str">
        <f t="shared" si="236"/>
        <v>0</v>
      </c>
      <c r="W403" s="507"/>
      <c r="X403" s="152">
        <f t="shared" si="237"/>
        <v>0</v>
      </c>
      <c r="Y403" s="218" t="s">
        <v>169</v>
      </c>
      <c r="Z403" s="169"/>
      <c r="AA403" s="153" t="s">
        <v>162</v>
      </c>
      <c r="AB403" s="153" t="s">
        <v>162</v>
      </c>
      <c r="AC403" s="153" t="s">
        <v>162</v>
      </c>
      <c r="AD403" s="153" t="s">
        <v>162</v>
      </c>
      <c r="AE403" s="169"/>
      <c r="AF403" s="169"/>
      <c r="AG403" s="169"/>
      <c r="AH403" s="169"/>
      <c r="AI403" s="169"/>
      <c r="AJ403" s="169"/>
      <c r="AK403" s="169"/>
      <c r="AL403" s="169"/>
      <c r="AM403" s="169"/>
      <c r="AN403" s="169"/>
      <c r="AO403" s="169"/>
      <c r="AP403" s="169"/>
      <c r="AQ403" s="169"/>
      <c r="AR403" s="169"/>
      <c r="AS403" s="169"/>
      <c r="AT403" s="169"/>
      <c r="AU403" s="169"/>
      <c r="AV403" s="169"/>
      <c r="AW403" s="169"/>
      <c r="AX403" s="169"/>
      <c r="AY403" s="169"/>
      <c r="AZ403" s="169"/>
      <c r="BA403" s="169"/>
      <c r="BB403" s="169"/>
      <c r="BC403" s="169"/>
    </row>
    <row r="404" spans="1:55" ht="14.25" customHeight="1">
      <c r="A404" s="507"/>
      <c r="B404" s="156" t="s">
        <v>164</v>
      </c>
      <c r="C404" s="217"/>
      <c r="D404" s="217"/>
      <c r="E404" s="217"/>
      <c r="F404" s="217"/>
      <c r="G404" s="217"/>
      <c r="H404" s="217"/>
      <c r="I404" s="217"/>
      <c r="J404" s="217"/>
      <c r="K404" s="217"/>
      <c r="L404" s="217"/>
      <c r="M404" s="217"/>
      <c r="N404" s="217"/>
      <c r="O404" s="217"/>
      <c r="P404" s="217"/>
      <c r="Q404" s="217"/>
      <c r="R404" s="217"/>
      <c r="S404" s="148" t="str">
        <f t="shared" si="233"/>
        <v>0</v>
      </c>
      <c r="T404" s="148" t="str">
        <f t="shared" si="234"/>
        <v>0</v>
      </c>
      <c r="U404" s="148" t="str">
        <f t="shared" si="235"/>
        <v>0</v>
      </c>
      <c r="V404" s="148" t="str">
        <f t="shared" si="236"/>
        <v>0</v>
      </c>
      <c r="W404" s="507"/>
      <c r="X404" s="152">
        <f t="shared" si="237"/>
        <v>0</v>
      </c>
      <c r="Y404" s="218" t="s">
        <v>169</v>
      </c>
      <c r="Z404" s="169"/>
      <c r="AA404" s="153" t="s">
        <v>162</v>
      </c>
      <c r="AB404" s="153" t="s">
        <v>162</v>
      </c>
      <c r="AC404" s="153" t="s">
        <v>162</v>
      </c>
      <c r="AD404" s="153" t="s">
        <v>162</v>
      </c>
      <c r="AE404" s="169"/>
      <c r="AF404" s="169"/>
      <c r="AG404" s="169"/>
      <c r="AH404" s="169"/>
      <c r="AI404" s="169"/>
      <c r="AJ404" s="169"/>
      <c r="AK404" s="169"/>
      <c r="AL404" s="169"/>
      <c r="AM404" s="169"/>
      <c r="AN404" s="169"/>
      <c r="AO404" s="169"/>
      <c r="AP404" s="169"/>
      <c r="AQ404" s="169"/>
      <c r="AR404" s="169"/>
      <c r="AS404" s="169"/>
      <c r="AT404" s="169"/>
      <c r="AU404" s="169"/>
      <c r="AV404" s="169"/>
      <c r="AW404" s="169"/>
      <c r="AX404" s="169"/>
      <c r="AY404" s="169"/>
      <c r="AZ404" s="169"/>
      <c r="BA404" s="169"/>
      <c r="BB404" s="169"/>
      <c r="BC404" s="169"/>
    </row>
    <row r="405" spans="1:55" ht="14.25" customHeight="1">
      <c r="A405" s="507"/>
      <c r="B405" s="156" t="s">
        <v>165</v>
      </c>
      <c r="C405" s="217"/>
      <c r="D405" s="217"/>
      <c r="E405" s="217"/>
      <c r="F405" s="217"/>
      <c r="G405" s="217"/>
      <c r="H405" s="217"/>
      <c r="I405" s="217"/>
      <c r="J405" s="217"/>
      <c r="K405" s="217"/>
      <c r="L405" s="217"/>
      <c r="M405" s="217"/>
      <c r="N405" s="217"/>
      <c r="O405" s="217"/>
      <c r="P405" s="217"/>
      <c r="Q405" s="217"/>
      <c r="R405" s="217"/>
      <c r="S405" s="148" t="str">
        <f t="shared" si="233"/>
        <v>0</v>
      </c>
      <c r="T405" s="148" t="str">
        <f t="shared" si="234"/>
        <v>0</v>
      </c>
      <c r="U405" s="148" t="str">
        <f t="shared" si="235"/>
        <v>0</v>
      </c>
      <c r="V405" s="148" t="str">
        <f t="shared" si="236"/>
        <v>0</v>
      </c>
      <c r="W405" s="507"/>
      <c r="X405" s="152">
        <f t="shared" si="237"/>
        <v>0</v>
      </c>
      <c r="Y405" s="218" t="s">
        <v>169</v>
      </c>
      <c r="Z405" s="169"/>
      <c r="AA405" s="153" t="s">
        <v>162</v>
      </c>
      <c r="AB405" s="153" t="s">
        <v>162</v>
      </c>
      <c r="AC405" s="153" t="s">
        <v>162</v>
      </c>
      <c r="AD405" s="153" t="s">
        <v>162</v>
      </c>
      <c r="AE405" s="169"/>
      <c r="AF405" s="169"/>
      <c r="AG405" s="169"/>
      <c r="AH405" s="169"/>
      <c r="AI405" s="169"/>
      <c r="AJ405" s="169"/>
      <c r="AK405" s="169"/>
      <c r="AL405" s="169"/>
      <c r="AM405" s="169"/>
      <c r="AN405" s="169"/>
      <c r="AO405" s="169"/>
      <c r="AP405" s="169"/>
      <c r="AQ405" s="169"/>
      <c r="AR405" s="169"/>
      <c r="AS405" s="169"/>
      <c r="AT405" s="169"/>
      <c r="AU405" s="169"/>
      <c r="AV405" s="169"/>
      <c r="AW405" s="169"/>
      <c r="AX405" s="169"/>
      <c r="AY405" s="169"/>
      <c r="AZ405" s="169"/>
      <c r="BA405" s="169"/>
      <c r="BB405" s="169"/>
      <c r="BC405" s="169"/>
    </row>
    <row r="406" spans="1:55" ht="14.25" customHeight="1">
      <c r="A406" s="508"/>
      <c r="B406" s="156" t="s">
        <v>166</v>
      </c>
      <c r="C406" s="217"/>
      <c r="D406" s="217"/>
      <c r="E406" s="217"/>
      <c r="F406" s="217"/>
      <c r="G406" s="217"/>
      <c r="H406" s="217"/>
      <c r="I406" s="217"/>
      <c r="J406" s="217"/>
      <c r="K406" s="217"/>
      <c r="L406" s="217"/>
      <c r="M406" s="217"/>
      <c r="N406" s="217"/>
      <c r="O406" s="217"/>
      <c r="P406" s="217"/>
      <c r="Q406" s="217"/>
      <c r="R406" s="217"/>
      <c r="S406" s="148" t="str">
        <f t="shared" si="233"/>
        <v>0</v>
      </c>
      <c r="T406" s="148" t="str">
        <f t="shared" si="234"/>
        <v>0</v>
      </c>
      <c r="U406" s="148" t="str">
        <f t="shared" si="235"/>
        <v>0</v>
      </c>
      <c r="V406" s="148" t="str">
        <f t="shared" si="236"/>
        <v>0</v>
      </c>
      <c r="W406" s="508"/>
      <c r="X406" s="152">
        <f t="shared" si="237"/>
        <v>0</v>
      </c>
      <c r="Y406" s="218" t="s">
        <v>169</v>
      </c>
      <c r="Z406" s="169"/>
      <c r="AA406" s="161" t="s">
        <v>162</v>
      </c>
      <c r="AB406" s="161" t="s">
        <v>162</v>
      </c>
      <c r="AC406" s="161" t="s">
        <v>162</v>
      </c>
      <c r="AD406" s="161" t="s">
        <v>162</v>
      </c>
      <c r="AE406" s="169"/>
      <c r="AF406" s="169"/>
      <c r="AG406" s="169"/>
      <c r="AH406" s="169"/>
      <c r="AI406" s="169"/>
      <c r="AJ406" s="169"/>
      <c r="AK406" s="169"/>
      <c r="AL406" s="169"/>
      <c r="AM406" s="169"/>
      <c r="AN406" s="169"/>
      <c r="AO406" s="169"/>
      <c r="AP406" s="169"/>
      <c r="AQ406" s="169"/>
      <c r="AR406" s="169"/>
      <c r="AS406" s="169"/>
      <c r="AT406" s="169"/>
      <c r="AU406" s="169"/>
      <c r="AV406" s="169"/>
      <c r="AW406" s="169"/>
      <c r="AX406" s="169"/>
      <c r="AY406" s="169"/>
      <c r="AZ406" s="169"/>
      <c r="BA406" s="169"/>
      <c r="BB406" s="169"/>
      <c r="BC406" s="169"/>
    </row>
    <row r="407" spans="1:55" ht="14.25" customHeight="1">
      <c r="A407" s="506" t="s">
        <v>88</v>
      </c>
      <c r="B407" s="156" t="s">
        <v>160</v>
      </c>
      <c r="C407" s="217"/>
      <c r="D407" s="217"/>
      <c r="E407" s="217"/>
      <c r="F407" s="217"/>
      <c r="G407" s="217"/>
      <c r="H407" s="217"/>
      <c r="I407" s="217"/>
      <c r="J407" s="217"/>
      <c r="K407" s="217"/>
      <c r="L407" s="217"/>
      <c r="M407" s="217"/>
      <c r="N407" s="217"/>
      <c r="O407" s="217"/>
      <c r="P407" s="217"/>
      <c r="Q407" s="217"/>
      <c r="R407" s="217"/>
      <c r="S407" s="148" t="str">
        <f t="shared" si="233"/>
        <v>0</v>
      </c>
      <c r="T407" s="148" t="str">
        <f t="shared" si="234"/>
        <v>0</v>
      </c>
      <c r="U407" s="148" t="str">
        <f t="shared" si="235"/>
        <v>0</v>
      </c>
      <c r="V407" s="148" t="str">
        <f t="shared" si="236"/>
        <v>0</v>
      </c>
      <c r="W407" s="513">
        <f>SUM(X407:X411)/5</f>
        <v>0</v>
      </c>
      <c r="X407" s="152">
        <f t="shared" si="237"/>
        <v>0</v>
      </c>
      <c r="Y407" s="218" t="s">
        <v>191</v>
      </c>
      <c r="Z407" s="221"/>
      <c r="AA407" s="159" t="s">
        <v>162</v>
      </c>
      <c r="AB407" s="159" t="s">
        <v>162</v>
      </c>
      <c r="AC407" s="159" t="s">
        <v>162</v>
      </c>
      <c r="AD407" s="159" t="s">
        <v>162</v>
      </c>
      <c r="AE407" s="185"/>
      <c r="AF407" s="169"/>
      <c r="AG407" s="169"/>
      <c r="AH407" s="169"/>
      <c r="AI407" s="169"/>
      <c r="AJ407" s="169"/>
      <c r="AK407" s="169"/>
      <c r="AL407" s="169"/>
      <c r="AM407" s="169"/>
      <c r="AN407" s="169"/>
      <c r="AO407" s="169"/>
      <c r="AP407" s="169"/>
      <c r="AQ407" s="169"/>
      <c r="AR407" s="169"/>
      <c r="AS407" s="169"/>
      <c r="AT407" s="169"/>
      <c r="AU407" s="169"/>
      <c r="AV407" s="169"/>
      <c r="AW407" s="169"/>
      <c r="AX407" s="169"/>
      <c r="AY407" s="169"/>
      <c r="AZ407" s="169"/>
      <c r="BA407" s="169"/>
      <c r="BB407" s="169"/>
      <c r="BC407" s="169"/>
    </row>
    <row r="408" spans="1:55" ht="14.25" customHeight="1">
      <c r="A408" s="507"/>
      <c r="B408" s="156" t="s">
        <v>163</v>
      </c>
      <c r="C408" s="217"/>
      <c r="D408" s="217"/>
      <c r="E408" s="217"/>
      <c r="F408" s="217"/>
      <c r="G408" s="217"/>
      <c r="H408" s="217"/>
      <c r="I408" s="217"/>
      <c r="J408" s="217"/>
      <c r="K408" s="217"/>
      <c r="L408" s="217"/>
      <c r="M408" s="217"/>
      <c r="N408" s="217"/>
      <c r="O408" s="217"/>
      <c r="P408" s="217"/>
      <c r="Q408" s="217"/>
      <c r="R408" s="217"/>
      <c r="S408" s="148" t="str">
        <f t="shared" si="233"/>
        <v>0</v>
      </c>
      <c r="T408" s="148" t="str">
        <f t="shared" si="234"/>
        <v>0</v>
      </c>
      <c r="U408" s="148" t="str">
        <f t="shared" si="235"/>
        <v>0</v>
      </c>
      <c r="V408" s="148" t="str">
        <f t="shared" si="236"/>
        <v>0</v>
      </c>
      <c r="W408" s="507"/>
      <c r="X408" s="152">
        <f t="shared" si="237"/>
        <v>0</v>
      </c>
      <c r="Y408" s="218" t="s">
        <v>169</v>
      </c>
      <c r="Z408" s="221"/>
      <c r="AA408" s="159" t="s">
        <v>162</v>
      </c>
      <c r="AB408" s="159" t="s">
        <v>162</v>
      </c>
      <c r="AC408" s="159" t="s">
        <v>162</v>
      </c>
      <c r="AD408" s="159" t="s">
        <v>162</v>
      </c>
      <c r="AE408" s="185"/>
      <c r="AF408" s="169"/>
      <c r="AG408" s="169"/>
      <c r="AH408" s="169"/>
      <c r="AI408" s="169"/>
      <c r="AJ408" s="169"/>
      <c r="AK408" s="169"/>
      <c r="AL408" s="169"/>
      <c r="AM408" s="169"/>
      <c r="AN408" s="169"/>
      <c r="AO408" s="169"/>
      <c r="AP408" s="169"/>
      <c r="AQ408" s="169"/>
      <c r="AR408" s="169"/>
      <c r="AS408" s="169"/>
      <c r="AT408" s="169"/>
      <c r="AU408" s="169"/>
      <c r="AV408" s="169"/>
      <c r="AW408" s="169"/>
      <c r="AX408" s="169"/>
      <c r="AY408" s="169"/>
      <c r="AZ408" s="169"/>
      <c r="BA408" s="169"/>
      <c r="BB408" s="169"/>
      <c r="BC408" s="169"/>
    </row>
    <row r="409" spans="1:55" ht="14.25" customHeight="1">
      <c r="A409" s="507"/>
      <c r="B409" s="156" t="s">
        <v>164</v>
      </c>
      <c r="C409" s="217"/>
      <c r="D409" s="217"/>
      <c r="E409" s="217"/>
      <c r="F409" s="217"/>
      <c r="G409" s="217"/>
      <c r="H409" s="217"/>
      <c r="I409" s="217"/>
      <c r="J409" s="217"/>
      <c r="K409" s="217"/>
      <c r="L409" s="217"/>
      <c r="M409" s="217"/>
      <c r="N409" s="217"/>
      <c r="O409" s="217"/>
      <c r="P409" s="217"/>
      <c r="Q409" s="217"/>
      <c r="R409" s="217"/>
      <c r="S409" s="148" t="str">
        <f t="shared" si="233"/>
        <v>0</v>
      </c>
      <c r="T409" s="148" t="str">
        <f t="shared" si="234"/>
        <v>0</v>
      </c>
      <c r="U409" s="148" t="str">
        <f t="shared" si="235"/>
        <v>0</v>
      </c>
      <c r="V409" s="148" t="str">
        <f t="shared" si="236"/>
        <v>0</v>
      </c>
      <c r="W409" s="507"/>
      <c r="X409" s="152">
        <f t="shared" si="237"/>
        <v>0</v>
      </c>
      <c r="Y409" s="218" t="s">
        <v>169</v>
      </c>
      <c r="Z409" s="221"/>
      <c r="AA409" s="159" t="s">
        <v>162</v>
      </c>
      <c r="AB409" s="159" t="s">
        <v>162</v>
      </c>
      <c r="AC409" s="159" t="s">
        <v>162</v>
      </c>
      <c r="AD409" s="159" t="s">
        <v>162</v>
      </c>
      <c r="AE409" s="185"/>
      <c r="AF409" s="169"/>
      <c r="AG409" s="169"/>
      <c r="AH409" s="169"/>
      <c r="AI409" s="169"/>
      <c r="AJ409" s="169"/>
      <c r="AK409" s="169"/>
      <c r="AL409" s="169"/>
      <c r="AM409" s="169"/>
      <c r="AN409" s="169"/>
      <c r="AO409" s="169"/>
      <c r="AP409" s="169"/>
      <c r="AQ409" s="169"/>
      <c r="AR409" s="169"/>
      <c r="AS409" s="169"/>
      <c r="AT409" s="169"/>
      <c r="AU409" s="169"/>
      <c r="AV409" s="169"/>
      <c r="AW409" s="169"/>
      <c r="AX409" s="169"/>
      <c r="AY409" s="169"/>
      <c r="AZ409" s="169"/>
      <c r="BA409" s="169"/>
      <c r="BB409" s="169"/>
      <c r="BC409" s="169"/>
    </row>
    <row r="410" spans="1:55" ht="14.25" customHeight="1">
      <c r="A410" s="507"/>
      <c r="B410" s="156" t="s">
        <v>165</v>
      </c>
      <c r="C410" s="217"/>
      <c r="D410" s="217"/>
      <c r="E410" s="217"/>
      <c r="F410" s="217"/>
      <c r="G410" s="217"/>
      <c r="H410" s="217"/>
      <c r="I410" s="217"/>
      <c r="J410" s="217"/>
      <c r="K410" s="217"/>
      <c r="L410" s="217"/>
      <c r="M410" s="217"/>
      <c r="N410" s="217"/>
      <c r="O410" s="217"/>
      <c r="P410" s="217"/>
      <c r="Q410" s="217"/>
      <c r="R410" s="217"/>
      <c r="S410" s="148" t="str">
        <f t="shared" si="233"/>
        <v>0</v>
      </c>
      <c r="T410" s="148" t="str">
        <f t="shared" si="234"/>
        <v>0</v>
      </c>
      <c r="U410" s="148" t="str">
        <f t="shared" si="235"/>
        <v>0</v>
      </c>
      <c r="V410" s="148" t="str">
        <f t="shared" si="236"/>
        <v>0</v>
      </c>
      <c r="W410" s="507"/>
      <c r="X410" s="152">
        <f t="shared" si="237"/>
        <v>0</v>
      </c>
      <c r="Y410" s="218" t="s">
        <v>169</v>
      </c>
      <c r="Z410" s="221"/>
      <c r="AA410" s="159" t="s">
        <v>162</v>
      </c>
      <c r="AB410" s="159" t="s">
        <v>162</v>
      </c>
      <c r="AC410" s="159" t="s">
        <v>162</v>
      </c>
      <c r="AD410" s="159" t="s">
        <v>162</v>
      </c>
      <c r="AE410" s="185"/>
      <c r="AF410" s="169"/>
      <c r="AG410" s="169"/>
      <c r="AH410" s="169"/>
      <c r="AI410" s="169"/>
      <c r="AJ410" s="169"/>
      <c r="AK410" s="169"/>
      <c r="AL410" s="169"/>
      <c r="AM410" s="169"/>
      <c r="AN410" s="169"/>
      <c r="AO410" s="169"/>
      <c r="AP410" s="169"/>
      <c r="AQ410" s="169"/>
      <c r="AR410" s="169"/>
      <c r="AS410" s="169"/>
      <c r="AT410" s="169"/>
      <c r="AU410" s="169"/>
      <c r="AV410" s="169"/>
      <c r="AW410" s="169"/>
      <c r="AX410" s="169"/>
      <c r="AY410" s="169"/>
      <c r="AZ410" s="169"/>
      <c r="BA410" s="169"/>
      <c r="BB410" s="169"/>
      <c r="BC410" s="169"/>
    </row>
    <row r="411" spans="1:55" ht="14.25" customHeight="1">
      <c r="A411" s="508"/>
      <c r="B411" s="156" t="s">
        <v>166</v>
      </c>
      <c r="C411" s="217"/>
      <c r="D411" s="217"/>
      <c r="E411" s="217"/>
      <c r="F411" s="217"/>
      <c r="G411" s="217"/>
      <c r="H411" s="217"/>
      <c r="I411" s="217"/>
      <c r="J411" s="217"/>
      <c r="K411" s="217"/>
      <c r="L411" s="217"/>
      <c r="M411" s="217"/>
      <c r="N411" s="217"/>
      <c r="O411" s="217"/>
      <c r="P411" s="217"/>
      <c r="Q411" s="217"/>
      <c r="R411" s="217"/>
      <c r="S411" s="148" t="str">
        <f t="shared" si="233"/>
        <v>0</v>
      </c>
      <c r="T411" s="148" t="str">
        <f t="shared" si="234"/>
        <v>0</v>
      </c>
      <c r="U411" s="148" t="str">
        <f t="shared" si="235"/>
        <v>0</v>
      </c>
      <c r="V411" s="148" t="str">
        <f t="shared" si="236"/>
        <v>0</v>
      </c>
      <c r="W411" s="508"/>
      <c r="X411" s="152">
        <f t="shared" si="237"/>
        <v>0</v>
      </c>
      <c r="Y411" s="218" t="s">
        <v>169</v>
      </c>
      <c r="Z411" s="221"/>
      <c r="AA411" s="159" t="s">
        <v>162</v>
      </c>
      <c r="AB411" s="159" t="s">
        <v>162</v>
      </c>
      <c r="AC411" s="159" t="s">
        <v>162</v>
      </c>
      <c r="AD411" s="159" t="s">
        <v>162</v>
      </c>
      <c r="AE411" s="185"/>
      <c r="AF411" s="169"/>
      <c r="AG411" s="169"/>
      <c r="AH411" s="169"/>
      <c r="AI411" s="169"/>
      <c r="AJ411" s="169"/>
      <c r="AK411" s="169"/>
      <c r="AL411" s="169"/>
      <c r="AM411" s="169"/>
      <c r="AN411" s="169"/>
      <c r="AO411" s="169"/>
      <c r="AP411" s="169"/>
      <c r="AQ411" s="169"/>
      <c r="AR411" s="169"/>
      <c r="AS411" s="169"/>
      <c r="AT411" s="169"/>
      <c r="AU411" s="169"/>
      <c r="AV411" s="169"/>
      <c r="AW411" s="169"/>
      <c r="AX411" s="169"/>
      <c r="AY411" s="169"/>
      <c r="AZ411" s="169"/>
      <c r="BA411" s="169"/>
      <c r="BB411" s="169"/>
      <c r="BC411" s="169"/>
    </row>
    <row r="412" spans="1:55" ht="14.25" customHeight="1">
      <c r="A412" s="506" t="s">
        <v>89</v>
      </c>
      <c r="B412" s="156" t="s">
        <v>160</v>
      </c>
      <c r="C412" s="217"/>
      <c r="D412" s="217"/>
      <c r="E412" s="217"/>
      <c r="F412" s="217"/>
      <c r="G412" s="217"/>
      <c r="H412" s="217"/>
      <c r="I412" s="217"/>
      <c r="J412" s="217"/>
      <c r="K412" s="217"/>
      <c r="L412" s="217"/>
      <c r="M412" s="217"/>
      <c r="N412" s="217"/>
      <c r="O412" s="217"/>
      <c r="P412" s="217"/>
      <c r="Q412" s="217"/>
      <c r="R412" s="217"/>
      <c r="S412" s="148" t="str">
        <f t="shared" si="233"/>
        <v>0</v>
      </c>
      <c r="T412" s="148" t="str">
        <f t="shared" si="234"/>
        <v>0</v>
      </c>
      <c r="U412" s="148" t="str">
        <f t="shared" si="235"/>
        <v>0</v>
      </c>
      <c r="V412" s="148" t="str">
        <f t="shared" si="236"/>
        <v>0</v>
      </c>
      <c r="W412" s="513">
        <f>SUM(X412:X416)/5</f>
        <v>0</v>
      </c>
      <c r="X412" s="152">
        <f t="shared" si="237"/>
        <v>0</v>
      </c>
      <c r="Y412" s="150" t="s">
        <v>192</v>
      </c>
      <c r="Z412" s="169"/>
      <c r="AA412" s="160" t="s">
        <v>162</v>
      </c>
      <c r="AB412" s="160" t="s">
        <v>162</v>
      </c>
      <c r="AC412" s="160" t="s">
        <v>162</v>
      </c>
      <c r="AD412" s="160" t="s">
        <v>162</v>
      </c>
      <c r="AE412" s="169"/>
      <c r="AF412" s="169"/>
      <c r="AG412" s="169"/>
      <c r="AH412" s="169"/>
      <c r="AI412" s="169"/>
      <c r="AJ412" s="169"/>
      <c r="AK412" s="169"/>
      <c r="AL412" s="169"/>
      <c r="AM412" s="169"/>
      <c r="AN412" s="169"/>
      <c r="AO412" s="169"/>
      <c r="AP412" s="169"/>
      <c r="AQ412" s="169"/>
      <c r="AR412" s="169"/>
      <c r="AS412" s="169"/>
      <c r="AT412" s="169"/>
      <c r="AU412" s="169"/>
      <c r="AV412" s="169"/>
      <c r="AW412" s="169"/>
      <c r="AX412" s="169"/>
      <c r="AY412" s="169"/>
      <c r="AZ412" s="169"/>
      <c r="BA412" s="169"/>
      <c r="BB412" s="169"/>
      <c r="BC412" s="169"/>
    </row>
    <row r="413" spans="1:55" ht="14.25" customHeight="1">
      <c r="A413" s="507"/>
      <c r="B413" s="156" t="s">
        <v>163</v>
      </c>
      <c r="C413" s="217"/>
      <c r="D413" s="217"/>
      <c r="E413" s="217"/>
      <c r="F413" s="217"/>
      <c r="G413" s="217"/>
      <c r="H413" s="217"/>
      <c r="I413" s="217"/>
      <c r="J413" s="217"/>
      <c r="K413" s="217"/>
      <c r="L413" s="217"/>
      <c r="M413" s="217"/>
      <c r="N413" s="217"/>
      <c r="O413" s="217"/>
      <c r="P413" s="217"/>
      <c r="Q413" s="217"/>
      <c r="R413" s="217"/>
      <c r="S413" s="148" t="str">
        <f t="shared" ref="S413:S431" si="238">IFERROR(AVERAGE(C413,G413,K413,O413),"0")</f>
        <v>0</v>
      </c>
      <c r="T413" s="148" t="str">
        <f t="shared" ref="T413:T431" si="239">IFERROR(AVERAGE(D413,H413,L413,P413),"0")</f>
        <v>0</v>
      </c>
      <c r="U413" s="148" t="str">
        <f t="shared" ref="U413:U431" si="240">IFERROR(AVERAGE(E413,I413,M413,Q413),"0")</f>
        <v>0</v>
      </c>
      <c r="V413" s="148" t="str">
        <f t="shared" ref="V413:V431" si="241">IFERROR(AVERAGE(F413,J413,N413,R413),"0")</f>
        <v>0</v>
      </c>
      <c r="W413" s="507"/>
      <c r="X413" s="152">
        <f t="shared" ref="X413:X431" si="242">((4*S413)+(3*T413)+(2*U413)+V413)/4</f>
        <v>0</v>
      </c>
      <c r="Y413" s="218" t="s">
        <v>169</v>
      </c>
      <c r="Z413" s="169"/>
      <c r="AA413" s="153" t="s">
        <v>162</v>
      </c>
      <c r="AB413" s="153" t="s">
        <v>162</v>
      </c>
      <c r="AC413" s="153" t="s">
        <v>162</v>
      </c>
      <c r="AD413" s="153" t="s">
        <v>162</v>
      </c>
      <c r="AE413" s="169"/>
      <c r="AF413" s="169"/>
      <c r="AG413" s="169"/>
      <c r="AH413" s="169"/>
      <c r="AI413" s="169"/>
      <c r="AJ413" s="169"/>
      <c r="AK413" s="169"/>
      <c r="AL413" s="169"/>
      <c r="AM413" s="169"/>
      <c r="AN413" s="169"/>
      <c r="AO413" s="169"/>
      <c r="AP413" s="169"/>
      <c r="AQ413" s="169"/>
      <c r="AR413" s="169"/>
      <c r="AS413" s="169"/>
      <c r="AT413" s="169"/>
      <c r="AU413" s="169"/>
      <c r="AV413" s="169"/>
      <c r="AW413" s="169"/>
      <c r="AX413" s="169"/>
      <c r="AY413" s="169"/>
      <c r="AZ413" s="169"/>
      <c r="BA413" s="169"/>
      <c r="BB413" s="169"/>
      <c r="BC413" s="169"/>
    </row>
    <row r="414" spans="1:55" ht="14.25" customHeight="1">
      <c r="A414" s="507"/>
      <c r="B414" s="156" t="s">
        <v>164</v>
      </c>
      <c r="C414" s="217"/>
      <c r="D414" s="217"/>
      <c r="E414" s="217"/>
      <c r="F414" s="217"/>
      <c r="G414" s="217"/>
      <c r="H414" s="217"/>
      <c r="I414" s="217"/>
      <c r="J414" s="217"/>
      <c r="K414" s="217"/>
      <c r="L414" s="217"/>
      <c r="M414" s="217"/>
      <c r="N414" s="217"/>
      <c r="O414" s="217"/>
      <c r="P414" s="217"/>
      <c r="Q414" s="217"/>
      <c r="R414" s="217"/>
      <c r="S414" s="148" t="str">
        <f t="shared" si="238"/>
        <v>0</v>
      </c>
      <c r="T414" s="148" t="str">
        <f t="shared" si="239"/>
        <v>0</v>
      </c>
      <c r="U414" s="148" t="str">
        <f t="shared" si="240"/>
        <v>0</v>
      </c>
      <c r="V414" s="148" t="str">
        <f t="shared" si="241"/>
        <v>0</v>
      </c>
      <c r="W414" s="507"/>
      <c r="X414" s="152">
        <f t="shared" si="242"/>
        <v>0</v>
      </c>
      <c r="Y414" s="218" t="s">
        <v>169</v>
      </c>
      <c r="Z414" s="169"/>
      <c r="AA414" s="153" t="s">
        <v>162</v>
      </c>
      <c r="AB414" s="153" t="s">
        <v>162</v>
      </c>
      <c r="AC414" s="153" t="s">
        <v>162</v>
      </c>
      <c r="AD414" s="153" t="s">
        <v>162</v>
      </c>
      <c r="AE414" s="169"/>
      <c r="AF414" s="169"/>
      <c r="AG414" s="169"/>
      <c r="AH414" s="169"/>
      <c r="AI414" s="169"/>
      <c r="AJ414" s="169"/>
      <c r="AK414" s="169"/>
      <c r="AL414" s="169"/>
      <c r="AM414" s="169"/>
      <c r="AN414" s="169"/>
      <c r="AO414" s="169"/>
      <c r="AP414" s="169"/>
      <c r="AQ414" s="169"/>
      <c r="AR414" s="169"/>
      <c r="AS414" s="169"/>
      <c r="AT414" s="169"/>
      <c r="AU414" s="169"/>
      <c r="AV414" s="169"/>
      <c r="AW414" s="169"/>
      <c r="AX414" s="169"/>
      <c r="AY414" s="169"/>
      <c r="AZ414" s="169"/>
      <c r="BA414" s="169"/>
      <c r="BB414" s="169"/>
      <c r="BC414" s="169"/>
    </row>
    <row r="415" spans="1:55" ht="14.25" customHeight="1">
      <c r="A415" s="507"/>
      <c r="B415" s="156" t="s">
        <v>165</v>
      </c>
      <c r="C415" s="217"/>
      <c r="D415" s="217"/>
      <c r="E415" s="217"/>
      <c r="F415" s="217"/>
      <c r="G415" s="217"/>
      <c r="H415" s="217"/>
      <c r="I415" s="217"/>
      <c r="J415" s="217"/>
      <c r="K415" s="217"/>
      <c r="L415" s="217"/>
      <c r="M415" s="217"/>
      <c r="N415" s="217"/>
      <c r="O415" s="217"/>
      <c r="P415" s="217"/>
      <c r="Q415" s="217"/>
      <c r="R415" s="217"/>
      <c r="S415" s="148" t="str">
        <f t="shared" si="238"/>
        <v>0</v>
      </c>
      <c r="T415" s="148" t="str">
        <f t="shared" si="239"/>
        <v>0</v>
      </c>
      <c r="U415" s="148" t="str">
        <f t="shared" si="240"/>
        <v>0</v>
      </c>
      <c r="V415" s="148" t="str">
        <f t="shared" si="241"/>
        <v>0</v>
      </c>
      <c r="W415" s="507"/>
      <c r="X415" s="152">
        <f t="shared" si="242"/>
        <v>0</v>
      </c>
      <c r="Y415" s="218" t="s">
        <v>169</v>
      </c>
      <c r="Z415" s="169"/>
      <c r="AA415" s="153" t="s">
        <v>162</v>
      </c>
      <c r="AB415" s="153" t="s">
        <v>162</v>
      </c>
      <c r="AC415" s="153" t="s">
        <v>162</v>
      </c>
      <c r="AD415" s="153" t="s">
        <v>162</v>
      </c>
      <c r="AE415" s="169"/>
      <c r="AF415" s="169"/>
      <c r="AG415" s="169"/>
      <c r="AH415" s="169"/>
      <c r="AI415" s="169"/>
      <c r="AJ415" s="169"/>
      <c r="AK415" s="169"/>
      <c r="AL415" s="169"/>
      <c r="AM415" s="169"/>
      <c r="AN415" s="169"/>
      <c r="AO415" s="169"/>
      <c r="AP415" s="169"/>
      <c r="AQ415" s="169"/>
      <c r="AR415" s="169"/>
      <c r="AS415" s="169"/>
      <c r="AT415" s="169"/>
      <c r="AU415" s="169"/>
      <c r="AV415" s="169"/>
      <c r="AW415" s="169"/>
      <c r="AX415" s="169"/>
      <c r="AY415" s="169"/>
      <c r="AZ415" s="169"/>
      <c r="BA415" s="169"/>
      <c r="BB415" s="169"/>
      <c r="BC415" s="169"/>
    </row>
    <row r="416" spans="1:55" ht="14.25" customHeight="1">
      <c r="A416" s="508"/>
      <c r="B416" s="156" t="s">
        <v>166</v>
      </c>
      <c r="C416" s="217"/>
      <c r="D416" s="217"/>
      <c r="E416" s="217"/>
      <c r="F416" s="217"/>
      <c r="G416" s="217"/>
      <c r="H416" s="217"/>
      <c r="I416" s="217"/>
      <c r="J416" s="217"/>
      <c r="K416" s="217"/>
      <c r="L416" s="217"/>
      <c r="M416" s="217"/>
      <c r="N416" s="217"/>
      <c r="O416" s="217"/>
      <c r="P416" s="217"/>
      <c r="Q416" s="217"/>
      <c r="R416" s="217"/>
      <c r="S416" s="148" t="str">
        <f t="shared" si="238"/>
        <v>0</v>
      </c>
      <c r="T416" s="148" t="str">
        <f t="shared" si="239"/>
        <v>0</v>
      </c>
      <c r="U416" s="148" t="str">
        <f t="shared" si="240"/>
        <v>0</v>
      </c>
      <c r="V416" s="148" t="str">
        <f t="shared" si="241"/>
        <v>0</v>
      </c>
      <c r="W416" s="508"/>
      <c r="X416" s="152">
        <f t="shared" si="242"/>
        <v>0</v>
      </c>
      <c r="Y416" s="218" t="s">
        <v>169</v>
      </c>
      <c r="Z416" s="169"/>
      <c r="AA416" s="161" t="s">
        <v>162</v>
      </c>
      <c r="AB416" s="161" t="s">
        <v>162</v>
      </c>
      <c r="AC416" s="161" t="s">
        <v>162</v>
      </c>
      <c r="AD416" s="161" t="s">
        <v>162</v>
      </c>
      <c r="AE416" s="169"/>
      <c r="AF416" s="169"/>
      <c r="AG416" s="169"/>
      <c r="AH416" s="169"/>
      <c r="AI416" s="169"/>
      <c r="AJ416" s="169"/>
      <c r="AK416" s="169"/>
      <c r="AL416" s="169"/>
      <c r="AM416" s="169"/>
      <c r="AN416" s="169"/>
      <c r="AO416" s="169"/>
      <c r="AP416" s="169"/>
      <c r="AQ416" s="169"/>
      <c r="AR416" s="169"/>
      <c r="AS416" s="169"/>
      <c r="AT416" s="169"/>
      <c r="AU416" s="169"/>
      <c r="AV416" s="169"/>
      <c r="AW416" s="169"/>
      <c r="AX416" s="169"/>
      <c r="AY416" s="169"/>
      <c r="AZ416" s="169"/>
      <c r="BA416" s="169"/>
      <c r="BB416" s="169"/>
      <c r="BC416" s="169"/>
    </row>
    <row r="417" spans="1:55" ht="14.25" customHeight="1">
      <c r="A417" s="512" t="s">
        <v>90</v>
      </c>
      <c r="B417" s="156" t="s">
        <v>160</v>
      </c>
      <c r="C417" s="217"/>
      <c r="D417" s="217"/>
      <c r="E417" s="217"/>
      <c r="F417" s="217"/>
      <c r="G417" s="217"/>
      <c r="H417" s="217"/>
      <c r="I417" s="217"/>
      <c r="J417" s="217"/>
      <c r="K417" s="217"/>
      <c r="L417" s="217"/>
      <c r="M417" s="217"/>
      <c r="N417" s="217"/>
      <c r="O417" s="217"/>
      <c r="P417" s="217"/>
      <c r="Q417" s="217"/>
      <c r="R417" s="217"/>
      <c r="S417" s="148" t="str">
        <f t="shared" si="238"/>
        <v>0</v>
      </c>
      <c r="T417" s="148" t="str">
        <f t="shared" si="239"/>
        <v>0</v>
      </c>
      <c r="U417" s="148" t="str">
        <f t="shared" si="240"/>
        <v>0</v>
      </c>
      <c r="V417" s="148" t="str">
        <f t="shared" si="241"/>
        <v>0</v>
      </c>
      <c r="W417" s="513">
        <f>SUM(X417:X421)/5</f>
        <v>0</v>
      </c>
      <c r="X417" s="152">
        <f t="shared" si="242"/>
        <v>0</v>
      </c>
      <c r="Y417" s="150" t="s">
        <v>193</v>
      </c>
      <c r="Z417" s="221"/>
      <c r="AA417" s="159" t="s">
        <v>162</v>
      </c>
      <c r="AB417" s="159" t="s">
        <v>162</v>
      </c>
      <c r="AC417" s="159" t="s">
        <v>162</v>
      </c>
      <c r="AD417" s="159" t="s">
        <v>162</v>
      </c>
      <c r="AE417" s="185"/>
      <c r="AF417" s="169"/>
      <c r="AG417" s="169"/>
      <c r="AH417" s="169"/>
      <c r="AI417" s="169"/>
      <c r="AJ417" s="169"/>
      <c r="AK417" s="169"/>
      <c r="AL417" s="169"/>
      <c r="AM417" s="169"/>
      <c r="AN417" s="169"/>
      <c r="AO417" s="169"/>
      <c r="AP417" s="169"/>
      <c r="AQ417" s="169"/>
      <c r="AR417" s="169"/>
      <c r="AS417" s="169"/>
      <c r="AT417" s="169"/>
      <c r="AU417" s="169"/>
      <c r="AV417" s="169"/>
      <c r="AW417" s="169"/>
      <c r="AX417" s="169"/>
      <c r="AY417" s="169"/>
      <c r="AZ417" s="169"/>
      <c r="BA417" s="169"/>
      <c r="BB417" s="169"/>
      <c r="BC417" s="169"/>
    </row>
    <row r="418" spans="1:55" ht="14.25" customHeight="1">
      <c r="A418" s="507"/>
      <c r="B418" s="156" t="s">
        <v>163</v>
      </c>
      <c r="C418" s="217"/>
      <c r="D418" s="217"/>
      <c r="E418" s="217"/>
      <c r="F418" s="217"/>
      <c r="G418" s="217"/>
      <c r="H418" s="217"/>
      <c r="I418" s="217"/>
      <c r="J418" s="217"/>
      <c r="K418" s="217"/>
      <c r="L418" s="217"/>
      <c r="M418" s="217"/>
      <c r="N418" s="217"/>
      <c r="O418" s="217"/>
      <c r="P418" s="217"/>
      <c r="Q418" s="217"/>
      <c r="R418" s="217"/>
      <c r="S418" s="148" t="str">
        <f t="shared" si="238"/>
        <v>0</v>
      </c>
      <c r="T418" s="148" t="str">
        <f t="shared" si="239"/>
        <v>0</v>
      </c>
      <c r="U418" s="148" t="str">
        <f t="shared" si="240"/>
        <v>0</v>
      </c>
      <c r="V418" s="148" t="str">
        <f t="shared" si="241"/>
        <v>0</v>
      </c>
      <c r="W418" s="507"/>
      <c r="X418" s="152">
        <f t="shared" si="242"/>
        <v>0</v>
      </c>
      <c r="Y418" s="218" t="s">
        <v>169</v>
      </c>
      <c r="Z418" s="221"/>
      <c r="AA418" s="159" t="s">
        <v>162</v>
      </c>
      <c r="AB418" s="159" t="s">
        <v>162</v>
      </c>
      <c r="AC418" s="159" t="s">
        <v>162</v>
      </c>
      <c r="AD418" s="159" t="s">
        <v>162</v>
      </c>
      <c r="AE418" s="185"/>
      <c r="AF418" s="169"/>
      <c r="AG418" s="169"/>
      <c r="AH418" s="169"/>
      <c r="AI418" s="169"/>
      <c r="AJ418" s="169"/>
      <c r="AK418" s="169"/>
      <c r="AL418" s="169"/>
      <c r="AM418" s="169"/>
      <c r="AN418" s="169"/>
      <c r="AO418" s="169"/>
      <c r="AP418" s="169"/>
      <c r="AQ418" s="169"/>
      <c r="AR418" s="169"/>
      <c r="AS418" s="169"/>
      <c r="AT418" s="169"/>
      <c r="AU418" s="169"/>
      <c r="AV418" s="169"/>
      <c r="AW418" s="169"/>
      <c r="AX418" s="169"/>
      <c r="AY418" s="169"/>
      <c r="AZ418" s="169"/>
      <c r="BA418" s="169"/>
      <c r="BB418" s="169"/>
      <c r="BC418" s="169"/>
    </row>
    <row r="419" spans="1:55" ht="14.25" customHeight="1">
      <c r="A419" s="507"/>
      <c r="B419" s="156" t="s">
        <v>164</v>
      </c>
      <c r="C419" s="217"/>
      <c r="D419" s="217"/>
      <c r="E419" s="217"/>
      <c r="F419" s="217"/>
      <c r="G419" s="217"/>
      <c r="H419" s="217"/>
      <c r="I419" s="217"/>
      <c r="J419" s="217"/>
      <c r="K419" s="217"/>
      <c r="L419" s="217"/>
      <c r="M419" s="217"/>
      <c r="N419" s="217"/>
      <c r="O419" s="217"/>
      <c r="P419" s="217"/>
      <c r="Q419" s="217"/>
      <c r="R419" s="217"/>
      <c r="S419" s="148" t="str">
        <f t="shared" si="238"/>
        <v>0</v>
      </c>
      <c r="T419" s="148" t="str">
        <f t="shared" si="239"/>
        <v>0</v>
      </c>
      <c r="U419" s="148" t="str">
        <f t="shared" si="240"/>
        <v>0</v>
      </c>
      <c r="V419" s="148" t="str">
        <f t="shared" si="241"/>
        <v>0</v>
      </c>
      <c r="W419" s="507"/>
      <c r="X419" s="152">
        <f t="shared" si="242"/>
        <v>0</v>
      </c>
      <c r="Y419" s="218" t="s">
        <v>169</v>
      </c>
      <c r="Z419" s="221"/>
      <c r="AA419" s="159" t="s">
        <v>162</v>
      </c>
      <c r="AB419" s="159" t="s">
        <v>162</v>
      </c>
      <c r="AC419" s="159" t="s">
        <v>162</v>
      </c>
      <c r="AD419" s="159" t="s">
        <v>162</v>
      </c>
      <c r="AE419" s="185"/>
      <c r="AF419" s="169"/>
      <c r="AG419" s="169"/>
      <c r="AH419" s="169"/>
      <c r="AI419" s="169"/>
      <c r="AJ419" s="169"/>
      <c r="AK419" s="169"/>
      <c r="AL419" s="169"/>
      <c r="AM419" s="169"/>
      <c r="AN419" s="169"/>
      <c r="AO419" s="169"/>
      <c r="AP419" s="169"/>
      <c r="AQ419" s="169"/>
      <c r="AR419" s="169"/>
      <c r="AS419" s="169"/>
      <c r="AT419" s="169"/>
      <c r="AU419" s="169"/>
      <c r="AV419" s="169"/>
      <c r="AW419" s="169"/>
      <c r="AX419" s="169"/>
      <c r="AY419" s="169"/>
      <c r="AZ419" s="169"/>
      <c r="BA419" s="169"/>
      <c r="BB419" s="169"/>
      <c r="BC419" s="169"/>
    </row>
    <row r="420" spans="1:55" ht="14.25" customHeight="1">
      <c r="A420" s="507"/>
      <c r="B420" s="156" t="s">
        <v>165</v>
      </c>
      <c r="C420" s="217"/>
      <c r="D420" s="217"/>
      <c r="E420" s="217"/>
      <c r="F420" s="217"/>
      <c r="G420" s="217"/>
      <c r="H420" s="217"/>
      <c r="I420" s="217"/>
      <c r="J420" s="217"/>
      <c r="K420" s="217"/>
      <c r="L420" s="217"/>
      <c r="M420" s="217"/>
      <c r="N420" s="217"/>
      <c r="O420" s="217"/>
      <c r="P420" s="217"/>
      <c r="Q420" s="217"/>
      <c r="R420" s="217"/>
      <c r="S420" s="148" t="str">
        <f t="shared" si="238"/>
        <v>0</v>
      </c>
      <c r="T420" s="148" t="str">
        <f t="shared" si="239"/>
        <v>0</v>
      </c>
      <c r="U420" s="148" t="str">
        <f t="shared" si="240"/>
        <v>0</v>
      </c>
      <c r="V420" s="148" t="str">
        <f t="shared" si="241"/>
        <v>0</v>
      </c>
      <c r="W420" s="507"/>
      <c r="X420" s="152">
        <f t="shared" si="242"/>
        <v>0</v>
      </c>
      <c r="Y420" s="218" t="s">
        <v>169</v>
      </c>
      <c r="Z420" s="221"/>
      <c r="AA420" s="159" t="s">
        <v>162</v>
      </c>
      <c r="AB420" s="159" t="s">
        <v>162</v>
      </c>
      <c r="AC420" s="159" t="s">
        <v>162</v>
      </c>
      <c r="AD420" s="159" t="s">
        <v>162</v>
      </c>
      <c r="AE420" s="185"/>
      <c r="AF420" s="169"/>
      <c r="AG420" s="169"/>
      <c r="AH420" s="169"/>
      <c r="AI420" s="169"/>
      <c r="AJ420" s="169"/>
      <c r="AK420" s="169"/>
      <c r="AL420" s="169"/>
      <c r="AM420" s="169"/>
      <c r="AN420" s="169"/>
      <c r="AO420" s="169"/>
      <c r="AP420" s="169"/>
      <c r="AQ420" s="169"/>
      <c r="AR420" s="169"/>
      <c r="AS420" s="169"/>
      <c r="AT420" s="169"/>
      <c r="AU420" s="169"/>
      <c r="AV420" s="169"/>
      <c r="AW420" s="169"/>
      <c r="AX420" s="169"/>
      <c r="AY420" s="169"/>
      <c r="AZ420" s="169"/>
      <c r="BA420" s="169"/>
      <c r="BB420" s="169"/>
      <c r="BC420" s="169"/>
    </row>
    <row r="421" spans="1:55" ht="14.25" customHeight="1">
      <c r="A421" s="508"/>
      <c r="B421" s="156" t="s">
        <v>166</v>
      </c>
      <c r="C421" s="217"/>
      <c r="D421" s="217"/>
      <c r="E421" s="217"/>
      <c r="F421" s="217"/>
      <c r="G421" s="217"/>
      <c r="H421" s="217"/>
      <c r="I421" s="217"/>
      <c r="J421" s="217"/>
      <c r="K421" s="217"/>
      <c r="L421" s="217"/>
      <c r="M421" s="217"/>
      <c r="N421" s="217"/>
      <c r="O421" s="217"/>
      <c r="P421" s="217"/>
      <c r="Q421" s="217"/>
      <c r="R421" s="217"/>
      <c r="S421" s="148" t="str">
        <f t="shared" si="238"/>
        <v>0</v>
      </c>
      <c r="T421" s="148" t="str">
        <f t="shared" si="239"/>
        <v>0</v>
      </c>
      <c r="U421" s="148" t="str">
        <f t="shared" si="240"/>
        <v>0</v>
      </c>
      <c r="V421" s="148" t="str">
        <f t="shared" si="241"/>
        <v>0</v>
      </c>
      <c r="W421" s="508"/>
      <c r="X421" s="152">
        <f t="shared" si="242"/>
        <v>0</v>
      </c>
      <c r="Y421" s="218" t="s">
        <v>169</v>
      </c>
      <c r="Z421" s="221"/>
      <c r="AA421" s="159" t="s">
        <v>162</v>
      </c>
      <c r="AB421" s="159" t="s">
        <v>162</v>
      </c>
      <c r="AC421" s="159" t="s">
        <v>162</v>
      </c>
      <c r="AD421" s="159" t="s">
        <v>162</v>
      </c>
      <c r="AE421" s="185"/>
      <c r="AF421" s="169"/>
      <c r="AG421" s="169"/>
      <c r="AH421" s="169"/>
      <c r="AI421" s="169"/>
      <c r="AJ421" s="169"/>
      <c r="AK421" s="169"/>
      <c r="AL421" s="169"/>
      <c r="AM421" s="169"/>
      <c r="AN421" s="169"/>
      <c r="AO421" s="169"/>
      <c r="AP421" s="169"/>
      <c r="AQ421" s="169"/>
      <c r="AR421" s="169"/>
      <c r="AS421" s="169"/>
      <c r="AT421" s="169"/>
      <c r="AU421" s="169"/>
      <c r="AV421" s="169"/>
      <c r="AW421" s="169"/>
      <c r="AX421" s="169"/>
      <c r="AY421" s="169"/>
      <c r="AZ421" s="169"/>
      <c r="BA421" s="169"/>
      <c r="BB421" s="169"/>
      <c r="BC421" s="169"/>
    </row>
    <row r="422" spans="1:55" ht="14.25" customHeight="1">
      <c r="A422" s="506" t="s">
        <v>91</v>
      </c>
      <c r="B422" s="156" t="s">
        <v>160</v>
      </c>
      <c r="C422" s="217"/>
      <c r="D422" s="217"/>
      <c r="E422" s="217"/>
      <c r="F422" s="217"/>
      <c r="G422" s="217"/>
      <c r="H422" s="217"/>
      <c r="I422" s="217"/>
      <c r="J422" s="217"/>
      <c r="K422" s="217"/>
      <c r="L422" s="217"/>
      <c r="M422" s="217"/>
      <c r="N422" s="217"/>
      <c r="O422" s="217"/>
      <c r="P422" s="217"/>
      <c r="Q422" s="217"/>
      <c r="R422" s="217"/>
      <c r="S422" s="148" t="str">
        <f t="shared" si="238"/>
        <v>0</v>
      </c>
      <c r="T422" s="148" t="str">
        <f t="shared" si="239"/>
        <v>0</v>
      </c>
      <c r="U422" s="148" t="str">
        <f t="shared" si="240"/>
        <v>0</v>
      </c>
      <c r="V422" s="148" t="str">
        <f t="shared" si="241"/>
        <v>0</v>
      </c>
      <c r="W422" s="513">
        <f>SUM(X422:X426)/5</f>
        <v>0</v>
      </c>
      <c r="X422" s="152">
        <f t="shared" si="242"/>
        <v>0</v>
      </c>
      <c r="Y422" s="150" t="s">
        <v>194</v>
      </c>
      <c r="Z422" s="169"/>
      <c r="AA422" s="160" t="s">
        <v>162</v>
      </c>
      <c r="AB422" s="160" t="s">
        <v>162</v>
      </c>
      <c r="AC422" s="160" t="s">
        <v>162</v>
      </c>
      <c r="AD422" s="160" t="s">
        <v>162</v>
      </c>
      <c r="AE422" s="169"/>
      <c r="AF422" s="169"/>
      <c r="AG422" s="169"/>
      <c r="AH422" s="169"/>
      <c r="AI422" s="169"/>
      <c r="AJ422" s="169"/>
      <c r="AK422" s="169"/>
      <c r="AL422" s="169"/>
      <c r="AM422" s="169"/>
      <c r="AN422" s="169"/>
      <c r="AO422" s="169"/>
      <c r="AP422" s="169"/>
      <c r="AQ422" s="169"/>
      <c r="AR422" s="169"/>
      <c r="AS422" s="169"/>
      <c r="AT422" s="169"/>
      <c r="AU422" s="169"/>
      <c r="AV422" s="169"/>
      <c r="AW422" s="169"/>
      <c r="AX422" s="169"/>
      <c r="AY422" s="169"/>
      <c r="AZ422" s="169"/>
      <c r="BA422" s="169"/>
      <c r="BB422" s="169"/>
      <c r="BC422" s="169"/>
    </row>
    <row r="423" spans="1:55" ht="14.25" customHeight="1">
      <c r="A423" s="507"/>
      <c r="B423" s="156" t="s">
        <v>163</v>
      </c>
      <c r="C423" s="217"/>
      <c r="D423" s="217"/>
      <c r="E423" s="217"/>
      <c r="F423" s="217"/>
      <c r="G423" s="217"/>
      <c r="H423" s="217"/>
      <c r="I423" s="217"/>
      <c r="J423" s="217"/>
      <c r="K423" s="217"/>
      <c r="L423" s="217"/>
      <c r="M423" s="217"/>
      <c r="N423" s="217"/>
      <c r="O423" s="217"/>
      <c r="P423" s="217"/>
      <c r="Q423" s="217"/>
      <c r="R423" s="217"/>
      <c r="S423" s="148" t="str">
        <f t="shared" si="238"/>
        <v>0</v>
      </c>
      <c r="T423" s="148" t="str">
        <f t="shared" si="239"/>
        <v>0</v>
      </c>
      <c r="U423" s="148" t="str">
        <f t="shared" si="240"/>
        <v>0</v>
      </c>
      <c r="V423" s="148" t="str">
        <f t="shared" si="241"/>
        <v>0</v>
      </c>
      <c r="W423" s="507"/>
      <c r="X423" s="152">
        <f t="shared" si="242"/>
        <v>0</v>
      </c>
      <c r="Y423" s="218" t="s">
        <v>169</v>
      </c>
      <c r="Z423" s="169"/>
      <c r="AA423" s="153" t="s">
        <v>162</v>
      </c>
      <c r="AB423" s="153" t="s">
        <v>162</v>
      </c>
      <c r="AC423" s="153" t="s">
        <v>162</v>
      </c>
      <c r="AD423" s="153" t="s">
        <v>162</v>
      </c>
      <c r="AE423" s="169"/>
      <c r="AF423" s="169"/>
      <c r="AG423" s="169"/>
      <c r="AH423" s="169"/>
      <c r="AI423" s="169"/>
      <c r="AJ423" s="169"/>
      <c r="AK423" s="169"/>
      <c r="AL423" s="169"/>
      <c r="AM423" s="169"/>
      <c r="AN423" s="169"/>
      <c r="AO423" s="169"/>
      <c r="AP423" s="169"/>
      <c r="AQ423" s="169"/>
      <c r="AR423" s="169"/>
      <c r="AS423" s="169"/>
      <c r="AT423" s="169"/>
      <c r="AU423" s="169"/>
      <c r="AV423" s="169"/>
      <c r="AW423" s="169"/>
      <c r="AX423" s="169"/>
      <c r="AY423" s="169"/>
      <c r="AZ423" s="169"/>
      <c r="BA423" s="169"/>
      <c r="BB423" s="169"/>
      <c r="BC423" s="169"/>
    </row>
    <row r="424" spans="1:55" ht="14.25" customHeight="1">
      <c r="A424" s="507"/>
      <c r="B424" s="156" t="s">
        <v>164</v>
      </c>
      <c r="C424" s="217"/>
      <c r="D424" s="217"/>
      <c r="E424" s="217"/>
      <c r="F424" s="217"/>
      <c r="G424" s="217"/>
      <c r="H424" s="217"/>
      <c r="I424" s="217"/>
      <c r="J424" s="217"/>
      <c r="K424" s="217"/>
      <c r="L424" s="217"/>
      <c r="M424" s="217"/>
      <c r="N424" s="217"/>
      <c r="O424" s="217"/>
      <c r="P424" s="217"/>
      <c r="Q424" s="217"/>
      <c r="R424" s="217"/>
      <c r="S424" s="148" t="str">
        <f t="shared" si="238"/>
        <v>0</v>
      </c>
      <c r="T424" s="148" t="str">
        <f t="shared" si="239"/>
        <v>0</v>
      </c>
      <c r="U424" s="148" t="str">
        <f t="shared" si="240"/>
        <v>0</v>
      </c>
      <c r="V424" s="148" t="str">
        <f t="shared" si="241"/>
        <v>0</v>
      </c>
      <c r="W424" s="507"/>
      <c r="X424" s="152">
        <f t="shared" si="242"/>
        <v>0</v>
      </c>
      <c r="Y424" s="218" t="s">
        <v>169</v>
      </c>
      <c r="Z424" s="169"/>
      <c r="AA424" s="153" t="s">
        <v>162</v>
      </c>
      <c r="AB424" s="153" t="s">
        <v>162</v>
      </c>
      <c r="AC424" s="153" t="s">
        <v>162</v>
      </c>
      <c r="AD424" s="153" t="s">
        <v>162</v>
      </c>
      <c r="AE424" s="169"/>
      <c r="AF424" s="169"/>
      <c r="AG424" s="169"/>
      <c r="AH424" s="169"/>
      <c r="AI424" s="169"/>
      <c r="AJ424" s="169"/>
      <c r="AK424" s="169"/>
      <c r="AL424" s="169"/>
      <c r="AM424" s="169"/>
      <c r="AN424" s="169"/>
      <c r="AO424" s="169"/>
      <c r="AP424" s="169"/>
      <c r="AQ424" s="169"/>
      <c r="AR424" s="169"/>
      <c r="AS424" s="169"/>
      <c r="AT424" s="169"/>
      <c r="AU424" s="169"/>
      <c r="AV424" s="169"/>
      <c r="AW424" s="169"/>
      <c r="AX424" s="169"/>
      <c r="AY424" s="169"/>
      <c r="AZ424" s="169"/>
      <c r="BA424" s="169"/>
      <c r="BB424" s="169"/>
      <c r="BC424" s="169"/>
    </row>
    <row r="425" spans="1:55" ht="14.25" customHeight="1">
      <c r="A425" s="507"/>
      <c r="B425" s="156" t="s">
        <v>165</v>
      </c>
      <c r="C425" s="217"/>
      <c r="D425" s="217"/>
      <c r="E425" s="217"/>
      <c r="F425" s="217"/>
      <c r="G425" s="217"/>
      <c r="H425" s="217"/>
      <c r="I425" s="217"/>
      <c r="J425" s="217"/>
      <c r="K425" s="217"/>
      <c r="L425" s="217"/>
      <c r="M425" s="217"/>
      <c r="N425" s="217"/>
      <c r="O425" s="217"/>
      <c r="P425" s="217"/>
      <c r="Q425" s="217"/>
      <c r="R425" s="217"/>
      <c r="S425" s="148" t="str">
        <f t="shared" si="238"/>
        <v>0</v>
      </c>
      <c r="T425" s="148" t="str">
        <f t="shared" si="239"/>
        <v>0</v>
      </c>
      <c r="U425" s="148" t="str">
        <f t="shared" si="240"/>
        <v>0</v>
      </c>
      <c r="V425" s="148" t="str">
        <f t="shared" si="241"/>
        <v>0</v>
      </c>
      <c r="W425" s="507"/>
      <c r="X425" s="152">
        <f t="shared" si="242"/>
        <v>0</v>
      </c>
      <c r="Y425" s="218" t="s">
        <v>169</v>
      </c>
      <c r="Z425" s="169"/>
      <c r="AA425" s="153" t="s">
        <v>162</v>
      </c>
      <c r="AB425" s="153" t="s">
        <v>162</v>
      </c>
      <c r="AC425" s="153" t="s">
        <v>162</v>
      </c>
      <c r="AD425" s="153" t="s">
        <v>162</v>
      </c>
      <c r="AE425" s="169"/>
      <c r="AF425" s="169"/>
      <c r="AG425" s="169"/>
      <c r="AH425" s="169"/>
      <c r="AI425" s="169"/>
      <c r="AJ425" s="169"/>
      <c r="AK425" s="169"/>
      <c r="AL425" s="169"/>
      <c r="AM425" s="169"/>
      <c r="AN425" s="169"/>
      <c r="AO425" s="169"/>
      <c r="AP425" s="169"/>
      <c r="AQ425" s="169"/>
      <c r="AR425" s="169"/>
      <c r="AS425" s="169"/>
      <c r="AT425" s="169"/>
      <c r="AU425" s="169"/>
      <c r="AV425" s="169"/>
      <c r="AW425" s="169"/>
      <c r="AX425" s="169"/>
      <c r="AY425" s="169"/>
      <c r="AZ425" s="169"/>
      <c r="BA425" s="169"/>
      <c r="BB425" s="169"/>
      <c r="BC425" s="169"/>
    </row>
    <row r="426" spans="1:55" ht="14.25" customHeight="1">
      <c r="A426" s="508"/>
      <c r="B426" s="156" t="s">
        <v>166</v>
      </c>
      <c r="C426" s="217"/>
      <c r="D426" s="217"/>
      <c r="E426" s="217"/>
      <c r="F426" s="217"/>
      <c r="G426" s="217"/>
      <c r="H426" s="217"/>
      <c r="I426" s="217"/>
      <c r="J426" s="217"/>
      <c r="K426" s="217"/>
      <c r="L426" s="217"/>
      <c r="M426" s="217"/>
      <c r="N426" s="217"/>
      <c r="O426" s="217"/>
      <c r="P426" s="217"/>
      <c r="Q426" s="217"/>
      <c r="R426" s="217"/>
      <c r="S426" s="148" t="str">
        <f t="shared" si="238"/>
        <v>0</v>
      </c>
      <c r="T426" s="148" t="str">
        <f t="shared" si="239"/>
        <v>0</v>
      </c>
      <c r="U426" s="148" t="str">
        <f t="shared" si="240"/>
        <v>0</v>
      </c>
      <c r="V426" s="148" t="str">
        <f t="shared" si="241"/>
        <v>0</v>
      </c>
      <c r="W426" s="508"/>
      <c r="X426" s="152">
        <f t="shared" si="242"/>
        <v>0</v>
      </c>
      <c r="Y426" s="218" t="s">
        <v>169</v>
      </c>
      <c r="Z426" s="169"/>
      <c r="AA426" s="161" t="s">
        <v>162</v>
      </c>
      <c r="AB426" s="161" t="s">
        <v>162</v>
      </c>
      <c r="AC426" s="161" t="s">
        <v>162</v>
      </c>
      <c r="AD426" s="161" t="s">
        <v>162</v>
      </c>
      <c r="AE426" s="169"/>
      <c r="AF426" s="169"/>
      <c r="AG426" s="169"/>
      <c r="AH426" s="169"/>
      <c r="AI426" s="169"/>
      <c r="AJ426" s="169"/>
      <c r="AK426" s="169"/>
      <c r="AL426" s="169"/>
      <c r="AM426" s="169"/>
      <c r="AN426" s="169"/>
      <c r="AO426" s="169"/>
      <c r="AP426" s="169"/>
      <c r="AQ426" s="169"/>
      <c r="AR426" s="169"/>
      <c r="AS426" s="169"/>
      <c r="AT426" s="169"/>
      <c r="AU426" s="169"/>
      <c r="AV426" s="169"/>
      <c r="AW426" s="169"/>
      <c r="AX426" s="169"/>
      <c r="AY426" s="169"/>
      <c r="AZ426" s="169"/>
      <c r="BA426" s="169"/>
      <c r="BB426" s="169"/>
      <c r="BC426" s="169"/>
    </row>
    <row r="427" spans="1:55" ht="14.25" customHeight="1">
      <c r="A427" s="506" t="s">
        <v>248</v>
      </c>
      <c r="B427" s="156" t="s">
        <v>160</v>
      </c>
      <c r="C427" s="217"/>
      <c r="D427" s="217"/>
      <c r="E427" s="217"/>
      <c r="F427" s="217"/>
      <c r="G427" s="217"/>
      <c r="H427" s="217"/>
      <c r="I427" s="217"/>
      <c r="J427" s="217"/>
      <c r="K427" s="217"/>
      <c r="L427" s="217"/>
      <c r="M427" s="217"/>
      <c r="N427" s="217"/>
      <c r="O427" s="217"/>
      <c r="P427" s="217"/>
      <c r="Q427" s="217"/>
      <c r="R427" s="217"/>
      <c r="S427" s="148" t="str">
        <f t="shared" si="238"/>
        <v>0</v>
      </c>
      <c r="T427" s="148" t="str">
        <f t="shared" si="239"/>
        <v>0</v>
      </c>
      <c r="U427" s="148" t="str">
        <f t="shared" si="240"/>
        <v>0</v>
      </c>
      <c r="V427" s="148" t="str">
        <f t="shared" si="241"/>
        <v>0</v>
      </c>
      <c r="W427" s="513">
        <f>SUM(X427:X431)/5</f>
        <v>0</v>
      </c>
      <c r="X427" s="152">
        <f t="shared" si="242"/>
        <v>0</v>
      </c>
      <c r="Y427" s="150" t="s">
        <v>249</v>
      </c>
      <c r="Z427" s="221"/>
      <c r="AA427" s="159" t="s">
        <v>162</v>
      </c>
      <c r="AB427" s="159" t="s">
        <v>162</v>
      </c>
      <c r="AC427" s="159" t="s">
        <v>162</v>
      </c>
      <c r="AD427" s="159" t="s">
        <v>162</v>
      </c>
      <c r="AE427" s="185"/>
      <c r="AF427" s="169"/>
      <c r="AG427" s="169"/>
      <c r="AH427" s="169"/>
      <c r="AI427" s="169"/>
      <c r="AJ427" s="169"/>
      <c r="AK427" s="169"/>
      <c r="AL427" s="169"/>
      <c r="AM427" s="169"/>
      <c r="AN427" s="169"/>
      <c r="AO427" s="169"/>
      <c r="AP427" s="169"/>
      <c r="AQ427" s="169"/>
      <c r="AR427" s="169"/>
      <c r="AS427" s="169"/>
      <c r="AT427" s="169"/>
      <c r="AU427" s="169"/>
      <c r="AV427" s="169"/>
      <c r="AW427" s="169"/>
      <c r="AX427" s="169"/>
      <c r="AY427" s="169"/>
      <c r="AZ427" s="169"/>
      <c r="BA427" s="169"/>
      <c r="BB427" s="169"/>
      <c r="BC427" s="169"/>
    </row>
    <row r="428" spans="1:55" ht="14.25" customHeight="1">
      <c r="A428" s="507"/>
      <c r="B428" s="156" t="s">
        <v>163</v>
      </c>
      <c r="C428" s="217"/>
      <c r="D428" s="217"/>
      <c r="E428" s="217"/>
      <c r="F428" s="217"/>
      <c r="G428" s="217"/>
      <c r="H428" s="217"/>
      <c r="I428" s="217"/>
      <c r="J428" s="217"/>
      <c r="K428" s="217"/>
      <c r="L428" s="217"/>
      <c r="M428" s="217"/>
      <c r="N428" s="217"/>
      <c r="O428" s="217"/>
      <c r="P428" s="217"/>
      <c r="Q428" s="217"/>
      <c r="R428" s="217"/>
      <c r="S428" s="148" t="str">
        <f t="shared" si="238"/>
        <v>0</v>
      </c>
      <c r="T428" s="148" t="str">
        <f t="shared" si="239"/>
        <v>0</v>
      </c>
      <c r="U428" s="148" t="str">
        <f t="shared" si="240"/>
        <v>0</v>
      </c>
      <c r="V428" s="148" t="str">
        <f t="shared" si="241"/>
        <v>0</v>
      </c>
      <c r="W428" s="507"/>
      <c r="X428" s="152">
        <f t="shared" si="242"/>
        <v>0</v>
      </c>
      <c r="Y428" s="218" t="s">
        <v>169</v>
      </c>
      <c r="Z428" s="221"/>
      <c r="AA428" s="159" t="s">
        <v>162</v>
      </c>
      <c r="AB428" s="159" t="s">
        <v>162</v>
      </c>
      <c r="AC428" s="159" t="s">
        <v>162</v>
      </c>
      <c r="AD428" s="159" t="s">
        <v>162</v>
      </c>
      <c r="AE428" s="185"/>
      <c r="AF428" s="169"/>
      <c r="AG428" s="169"/>
      <c r="AH428" s="169"/>
      <c r="AI428" s="169"/>
      <c r="AJ428" s="169"/>
      <c r="AK428" s="169"/>
      <c r="AL428" s="169"/>
      <c r="AM428" s="169"/>
      <c r="AN428" s="169"/>
      <c r="AO428" s="169"/>
      <c r="AP428" s="169"/>
      <c r="AQ428" s="169"/>
      <c r="AR428" s="169"/>
      <c r="AS428" s="169"/>
      <c r="AT428" s="169"/>
      <c r="AU428" s="169"/>
      <c r="AV428" s="169"/>
      <c r="AW428" s="169"/>
      <c r="AX428" s="169"/>
      <c r="AY428" s="169"/>
      <c r="AZ428" s="169"/>
      <c r="BA428" s="169"/>
      <c r="BB428" s="169"/>
      <c r="BC428" s="169"/>
    </row>
    <row r="429" spans="1:55" ht="14.25" customHeight="1">
      <c r="A429" s="507"/>
      <c r="B429" s="156" t="s">
        <v>164</v>
      </c>
      <c r="C429" s="217"/>
      <c r="D429" s="217"/>
      <c r="E429" s="217"/>
      <c r="F429" s="217"/>
      <c r="G429" s="217"/>
      <c r="H429" s="217"/>
      <c r="I429" s="217"/>
      <c r="J429" s="217"/>
      <c r="K429" s="217"/>
      <c r="L429" s="217"/>
      <c r="M429" s="217"/>
      <c r="N429" s="217"/>
      <c r="O429" s="217"/>
      <c r="P429" s="217"/>
      <c r="Q429" s="217"/>
      <c r="R429" s="217"/>
      <c r="S429" s="148" t="str">
        <f t="shared" si="238"/>
        <v>0</v>
      </c>
      <c r="T429" s="148" t="str">
        <f t="shared" si="239"/>
        <v>0</v>
      </c>
      <c r="U429" s="148" t="str">
        <f t="shared" si="240"/>
        <v>0</v>
      </c>
      <c r="V429" s="148" t="str">
        <f t="shared" si="241"/>
        <v>0</v>
      </c>
      <c r="W429" s="507"/>
      <c r="X429" s="152">
        <f t="shared" si="242"/>
        <v>0</v>
      </c>
      <c r="Y429" s="218" t="s">
        <v>169</v>
      </c>
      <c r="Z429" s="221"/>
      <c r="AA429" s="159" t="s">
        <v>162</v>
      </c>
      <c r="AB429" s="159" t="s">
        <v>162</v>
      </c>
      <c r="AC429" s="159" t="s">
        <v>162</v>
      </c>
      <c r="AD429" s="159" t="s">
        <v>162</v>
      </c>
      <c r="AE429" s="185"/>
      <c r="AF429" s="169"/>
      <c r="AG429" s="169"/>
      <c r="AH429" s="169"/>
      <c r="AI429" s="169"/>
      <c r="AJ429" s="169"/>
      <c r="AK429" s="169"/>
      <c r="AL429" s="169"/>
      <c r="AM429" s="169"/>
      <c r="AN429" s="169"/>
      <c r="AO429" s="169"/>
      <c r="AP429" s="169"/>
      <c r="AQ429" s="169"/>
      <c r="AR429" s="169"/>
      <c r="AS429" s="169"/>
      <c r="AT429" s="169"/>
      <c r="AU429" s="169"/>
      <c r="AV429" s="169"/>
      <c r="AW429" s="169"/>
      <c r="AX429" s="169"/>
      <c r="AY429" s="169"/>
      <c r="AZ429" s="169"/>
      <c r="BA429" s="169"/>
      <c r="BB429" s="169"/>
      <c r="BC429" s="169"/>
    </row>
    <row r="430" spans="1:55" ht="14.25" customHeight="1">
      <c r="A430" s="507"/>
      <c r="B430" s="156" t="s">
        <v>165</v>
      </c>
      <c r="C430" s="217"/>
      <c r="D430" s="217"/>
      <c r="E430" s="217"/>
      <c r="F430" s="217"/>
      <c r="G430" s="217"/>
      <c r="H430" s="217"/>
      <c r="I430" s="217"/>
      <c r="J430" s="217"/>
      <c r="K430" s="217"/>
      <c r="L430" s="217"/>
      <c r="M430" s="217"/>
      <c r="N430" s="217"/>
      <c r="O430" s="217"/>
      <c r="P430" s="217"/>
      <c r="Q430" s="217"/>
      <c r="R430" s="217"/>
      <c r="S430" s="148" t="str">
        <f t="shared" si="238"/>
        <v>0</v>
      </c>
      <c r="T430" s="148" t="str">
        <f t="shared" si="239"/>
        <v>0</v>
      </c>
      <c r="U430" s="148" t="str">
        <f t="shared" si="240"/>
        <v>0</v>
      </c>
      <c r="V430" s="148" t="str">
        <f t="shared" si="241"/>
        <v>0</v>
      </c>
      <c r="W430" s="507"/>
      <c r="X430" s="152">
        <f t="shared" si="242"/>
        <v>0</v>
      </c>
      <c r="Y430" s="218" t="s">
        <v>169</v>
      </c>
      <c r="Z430" s="221"/>
      <c r="AA430" s="159" t="s">
        <v>162</v>
      </c>
      <c r="AB430" s="159" t="s">
        <v>162</v>
      </c>
      <c r="AC430" s="159" t="s">
        <v>162</v>
      </c>
      <c r="AD430" s="159" t="s">
        <v>162</v>
      </c>
      <c r="AE430" s="185"/>
      <c r="AF430" s="169"/>
      <c r="AG430" s="169"/>
      <c r="AH430" s="169"/>
      <c r="AI430" s="169"/>
      <c r="AJ430" s="169"/>
      <c r="AK430" s="169"/>
      <c r="AL430" s="169"/>
      <c r="AM430" s="169"/>
      <c r="AN430" s="169"/>
      <c r="AO430" s="169"/>
      <c r="AP430" s="169"/>
      <c r="AQ430" s="169"/>
      <c r="AR430" s="169"/>
      <c r="AS430" s="169"/>
      <c r="AT430" s="169"/>
      <c r="AU430" s="169"/>
      <c r="AV430" s="169"/>
      <c r="AW430" s="169"/>
      <c r="AX430" s="169"/>
      <c r="AY430" s="169"/>
      <c r="AZ430" s="169"/>
      <c r="BA430" s="169"/>
      <c r="BB430" s="169"/>
      <c r="BC430" s="169"/>
    </row>
    <row r="431" spans="1:55" ht="14.25" customHeight="1">
      <c r="A431" s="508"/>
      <c r="B431" s="156" t="s">
        <v>166</v>
      </c>
      <c r="C431" s="217"/>
      <c r="D431" s="217"/>
      <c r="E431" s="217"/>
      <c r="F431" s="217"/>
      <c r="G431" s="217"/>
      <c r="H431" s="217"/>
      <c r="I431" s="217"/>
      <c r="J431" s="217"/>
      <c r="K431" s="217"/>
      <c r="L431" s="217"/>
      <c r="M431" s="217"/>
      <c r="N431" s="217"/>
      <c r="O431" s="217"/>
      <c r="P431" s="217"/>
      <c r="Q431" s="217"/>
      <c r="R431" s="217"/>
      <c r="S431" s="148" t="str">
        <f t="shared" si="238"/>
        <v>0</v>
      </c>
      <c r="T431" s="148" t="str">
        <f t="shared" si="239"/>
        <v>0</v>
      </c>
      <c r="U431" s="148" t="str">
        <f t="shared" si="240"/>
        <v>0</v>
      </c>
      <c r="V431" s="148" t="str">
        <f t="shared" si="241"/>
        <v>0</v>
      </c>
      <c r="W431" s="508"/>
      <c r="X431" s="152">
        <f t="shared" si="242"/>
        <v>0</v>
      </c>
      <c r="Y431" s="218" t="s">
        <v>169</v>
      </c>
      <c r="Z431" s="221"/>
      <c r="AA431" s="159" t="s">
        <v>162</v>
      </c>
      <c r="AB431" s="159" t="s">
        <v>162</v>
      </c>
      <c r="AC431" s="159" t="s">
        <v>162</v>
      </c>
      <c r="AD431" s="159" t="s">
        <v>162</v>
      </c>
      <c r="AE431" s="185"/>
      <c r="AF431" s="169"/>
      <c r="AG431" s="169"/>
      <c r="AH431" s="169"/>
      <c r="AI431" s="169"/>
      <c r="AJ431" s="169"/>
      <c r="AK431" s="169"/>
      <c r="AL431" s="169"/>
      <c r="AM431" s="169"/>
      <c r="AN431" s="169"/>
      <c r="AO431" s="169"/>
      <c r="AP431" s="169"/>
      <c r="AQ431" s="169"/>
      <c r="AR431" s="169"/>
      <c r="AS431" s="169"/>
      <c r="AT431" s="169"/>
      <c r="AU431" s="169"/>
      <c r="AV431" s="169"/>
      <c r="AW431" s="169"/>
      <c r="AX431" s="169"/>
      <c r="AY431" s="169"/>
      <c r="AZ431" s="169"/>
      <c r="BA431" s="169"/>
      <c r="BB431" s="169"/>
      <c r="BC431" s="169"/>
    </row>
    <row r="432" spans="1:55" ht="14.25" customHeight="1">
      <c r="A432" s="219"/>
      <c r="B432" s="219"/>
      <c r="C432" s="219"/>
      <c r="D432" s="219"/>
      <c r="E432" s="219"/>
      <c r="F432" s="219"/>
      <c r="G432" s="219"/>
      <c r="H432" s="219"/>
      <c r="I432" s="219"/>
      <c r="J432" s="219"/>
      <c r="K432" s="219"/>
      <c r="L432" s="219"/>
      <c r="M432" s="219"/>
      <c r="N432" s="219"/>
      <c r="O432" s="219"/>
      <c r="P432" s="219"/>
      <c r="Q432" s="219"/>
      <c r="R432" s="219"/>
      <c r="S432" s="219"/>
      <c r="T432" s="219"/>
      <c r="U432" s="219"/>
      <c r="V432" s="219"/>
      <c r="W432" s="177"/>
      <c r="X432" s="177"/>
      <c r="Y432" s="169"/>
      <c r="Z432" s="169"/>
      <c r="AA432" s="222"/>
      <c r="AB432" s="222"/>
      <c r="AC432" s="222"/>
      <c r="AD432" s="222"/>
      <c r="AE432" s="169"/>
      <c r="AF432" s="169"/>
      <c r="AG432" s="169"/>
      <c r="AH432" s="169"/>
      <c r="AI432" s="169"/>
      <c r="AJ432" s="169"/>
      <c r="AK432" s="169"/>
      <c r="AL432" s="169"/>
      <c r="AM432" s="169"/>
      <c r="AN432" s="169"/>
      <c r="AO432" s="169"/>
      <c r="AP432" s="169"/>
      <c r="AQ432" s="169"/>
      <c r="AR432" s="169"/>
      <c r="AS432" s="169"/>
      <c r="AT432" s="169"/>
      <c r="AU432" s="169"/>
      <c r="AV432" s="169"/>
      <c r="AW432" s="169"/>
      <c r="AX432" s="169"/>
      <c r="AY432" s="169"/>
      <c r="AZ432" s="169"/>
      <c r="BA432" s="169"/>
      <c r="BB432" s="169"/>
      <c r="BC432" s="169"/>
    </row>
    <row r="433" spans="1:55" ht="14.25" customHeight="1">
      <c r="A433" s="213" t="s">
        <v>202</v>
      </c>
      <c r="B433" s="214"/>
      <c r="C433" s="214"/>
      <c r="D433" s="214"/>
      <c r="E433" s="214"/>
      <c r="F433" s="214"/>
      <c r="G433" s="214"/>
      <c r="H433" s="214"/>
      <c r="I433" s="214"/>
      <c r="J433" s="214"/>
      <c r="K433" s="214"/>
      <c r="L433" s="214"/>
      <c r="M433" s="214"/>
      <c r="N433" s="214"/>
      <c r="O433" s="214"/>
      <c r="P433" s="214"/>
      <c r="Q433" s="214"/>
      <c r="R433" s="214"/>
      <c r="S433" s="214"/>
      <c r="T433" s="214"/>
      <c r="U433" s="214"/>
      <c r="V433" s="214"/>
      <c r="W433" s="215"/>
      <c r="X433" s="168"/>
      <c r="Y433" s="168"/>
      <c r="Z433" s="168"/>
      <c r="AA433" s="169"/>
      <c r="AB433" s="168"/>
      <c r="AC433" s="168"/>
      <c r="AD433" s="168"/>
      <c r="AE433" s="168"/>
      <c r="AF433" s="169"/>
      <c r="AG433" s="169"/>
      <c r="AH433" s="169"/>
      <c r="AI433" s="169"/>
      <c r="AJ433" s="169"/>
      <c r="AK433" s="169"/>
      <c r="AL433" s="169"/>
      <c r="AM433" s="169"/>
      <c r="AN433" s="169"/>
      <c r="AO433" s="169"/>
      <c r="AP433" s="169"/>
      <c r="AQ433" s="169"/>
      <c r="AR433" s="169"/>
      <c r="AS433" s="169"/>
      <c r="AT433" s="169"/>
      <c r="AU433" s="169"/>
      <c r="AV433" s="169"/>
      <c r="AW433" s="169"/>
      <c r="AX433" s="169"/>
      <c r="AY433" s="169"/>
      <c r="AZ433" s="169"/>
      <c r="BA433" s="169"/>
      <c r="BB433" s="169"/>
      <c r="BC433" s="169"/>
    </row>
    <row r="434" spans="1:55" ht="15" customHeight="1">
      <c r="A434" s="511" t="s">
        <v>37</v>
      </c>
      <c r="B434" s="511" t="s">
        <v>152</v>
      </c>
      <c r="C434" s="502" t="s">
        <v>18</v>
      </c>
      <c r="D434" s="503"/>
      <c r="E434" s="504"/>
      <c r="F434" s="505"/>
      <c r="G434" s="502" t="s">
        <v>21</v>
      </c>
      <c r="H434" s="503"/>
      <c r="I434" s="504"/>
      <c r="J434" s="505"/>
      <c r="K434" s="502" t="s">
        <v>20</v>
      </c>
      <c r="L434" s="503"/>
      <c r="M434" s="504"/>
      <c r="N434" s="505"/>
      <c r="O434" s="502" t="s">
        <v>25</v>
      </c>
      <c r="P434" s="503"/>
      <c r="Q434" s="504"/>
      <c r="R434" s="505"/>
      <c r="S434" s="502" t="s">
        <v>39</v>
      </c>
      <c r="T434" s="503"/>
      <c r="U434" s="504"/>
      <c r="V434" s="505"/>
      <c r="W434" s="511" t="s">
        <v>153</v>
      </c>
      <c r="X434" s="511" t="s">
        <v>153</v>
      </c>
      <c r="Y434" s="514" t="s">
        <v>154</v>
      </c>
      <c r="Z434" s="515"/>
      <c r="AA434" s="216"/>
      <c r="AB434" s="502" t="s">
        <v>155</v>
      </c>
      <c r="AC434" s="503"/>
      <c r="AD434" s="504"/>
      <c r="AE434" s="505"/>
      <c r="AF434" s="170"/>
      <c r="AG434" s="169"/>
      <c r="AH434" s="169"/>
      <c r="AI434" s="169"/>
      <c r="AJ434" s="169"/>
      <c r="AK434" s="169"/>
      <c r="AL434" s="169"/>
      <c r="AM434" s="169"/>
      <c r="AN434" s="169"/>
      <c r="AO434" s="169"/>
      <c r="AP434" s="169"/>
      <c r="AQ434" s="169"/>
      <c r="AR434" s="169"/>
      <c r="AS434" s="169"/>
      <c r="AT434" s="169"/>
      <c r="AU434" s="169"/>
      <c r="AV434" s="169"/>
      <c r="AW434" s="169"/>
      <c r="AX434" s="169"/>
      <c r="AY434" s="169"/>
      <c r="AZ434" s="169"/>
      <c r="BA434" s="169"/>
      <c r="BB434" s="169"/>
      <c r="BC434" s="169"/>
    </row>
    <row r="435" spans="1:55" ht="15" customHeight="1">
      <c r="A435" s="510"/>
      <c r="B435" s="510"/>
      <c r="C435" s="502" t="s">
        <v>240</v>
      </c>
      <c r="D435" s="503"/>
      <c r="E435" s="504"/>
      <c r="F435" s="505"/>
      <c r="G435" s="502" t="s">
        <v>240</v>
      </c>
      <c r="H435" s="503"/>
      <c r="I435" s="504"/>
      <c r="J435" s="505"/>
      <c r="K435" s="502" t="s">
        <v>240</v>
      </c>
      <c r="L435" s="503"/>
      <c r="M435" s="504"/>
      <c r="N435" s="505"/>
      <c r="O435" s="502" t="s">
        <v>240</v>
      </c>
      <c r="P435" s="503"/>
      <c r="Q435" s="504"/>
      <c r="R435" s="505"/>
      <c r="S435" s="502" t="s">
        <v>240</v>
      </c>
      <c r="T435" s="503"/>
      <c r="U435" s="504"/>
      <c r="V435" s="505"/>
      <c r="W435" s="510"/>
      <c r="X435" s="510"/>
      <c r="Y435" s="516"/>
      <c r="Z435" s="517"/>
      <c r="AA435" s="216"/>
      <c r="AB435" s="538">
        <f>W435</f>
        <v>0</v>
      </c>
      <c r="AC435" s="503"/>
      <c r="AD435" s="504"/>
      <c r="AE435" s="505"/>
      <c r="AF435" s="170"/>
      <c r="AG435" s="169"/>
      <c r="AH435" s="169"/>
      <c r="AI435" s="169"/>
      <c r="AJ435" s="169"/>
      <c r="AK435" s="169"/>
      <c r="AL435" s="169"/>
      <c r="AM435" s="169"/>
      <c r="AN435" s="169"/>
      <c r="AO435" s="169"/>
      <c r="AP435" s="169"/>
      <c r="AQ435" s="169"/>
      <c r="AR435" s="169"/>
      <c r="AS435" s="169"/>
      <c r="AT435" s="169"/>
      <c r="AU435" s="169"/>
      <c r="AV435" s="169"/>
      <c r="AW435" s="169"/>
      <c r="AX435" s="169"/>
      <c r="AY435" s="169"/>
      <c r="AZ435" s="169"/>
      <c r="BA435" s="169"/>
      <c r="BB435" s="169"/>
      <c r="BC435" s="169"/>
    </row>
    <row r="436" spans="1:55" ht="15" customHeight="1">
      <c r="A436" s="508"/>
      <c r="B436" s="508"/>
      <c r="C436" s="32" t="s">
        <v>117</v>
      </c>
      <c r="D436" s="32" t="s">
        <v>156</v>
      </c>
      <c r="E436" s="32" t="s">
        <v>157</v>
      </c>
      <c r="F436" s="32" t="s">
        <v>158</v>
      </c>
      <c r="G436" s="32" t="s">
        <v>117</v>
      </c>
      <c r="H436" s="32" t="s">
        <v>156</v>
      </c>
      <c r="I436" s="32" t="s">
        <v>157</v>
      </c>
      <c r="J436" s="32" t="s">
        <v>158</v>
      </c>
      <c r="K436" s="32" t="s">
        <v>159</v>
      </c>
      <c r="L436" s="32" t="s">
        <v>156</v>
      </c>
      <c r="M436" s="32" t="s">
        <v>157</v>
      </c>
      <c r="N436" s="32" t="s">
        <v>158</v>
      </c>
      <c r="O436" s="32" t="s">
        <v>159</v>
      </c>
      <c r="P436" s="32" t="s">
        <v>156</v>
      </c>
      <c r="Q436" s="32" t="s">
        <v>157</v>
      </c>
      <c r="R436" s="32" t="s">
        <v>158</v>
      </c>
      <c r="S436" s="32" t="s">
        <v>159</v>
      </c>
      <c r="T436" s="32" t="s">
        <v>156</v>
      </c>
      <c r="U436" s="32" t="s">
        <v>157</v>
      </c>
      <c r="V436" s="32" t="s">
        <v>158</v>
      </c>
      <c r="W436" s="508"/>
      <c r="X436" s="508"/>
      <c r="Y436" s="518"/>
      <c r="Z436" s="517"/>
      <c r="AA436" s="216"/>
      <c r="AB436" s="32" t="s">
        <v>159</v>
      </c>
      <c r="AC436" s="32" t="s">
        <v>156</v>
      </c>
      <c r="AD436" s="32" t="s">
        <v>157</v>
      </c>
      <c r="AE436" s="32" t="s">
        <v>158</v>
      </c>
      <c r="AF436" s="170"/>
      <c r="AG436" s="169"/>
      <c r="AH436" s="169"/>
      <c r="AI436" s="169"/>
      <c r="AJ436" s="169"/>
      <c r="AK436" s="169"/>
      <c r="AL436" s="169"/>
      <c r="AM436" s="169"/>
      <c r="AN436" s="169"/>
      <c r="AO436" s="169"/>
      <c r="AP436" s="169"/>
      <c r="AQ436" s="169"/>
      <c r="AR436" s="169"/>
      <c r="AS436" s="169"/>
      <c r="AT436" s="169"/>
      <c r="AU436" s="169"/>
      <c r="AV436" s="169"/>
      <c r="AW436" s="169"/>
      <c r="AX436" s="169"/>
      <c r="AY436" s="169"/>
      <c r="AZ436" s="169"/>
      <c r="BA436" s="169"/>
      <c r="BB436" s="169"/>
      <c r="BC436" s="169"/>
    </row>
    <row r="437" spans="1:55" ht="14.25" customHeight="1">
      <c r="A437" s="512" t="s">
        <v>119</v>
      </c>
      <c r="B437" s="156" t="s">
        <v>160</v>
      </c>
      <c r="C437" s="217"/>
      <c r="D437" s="217"/>
      <c r="E437" s="217"/>
      <c r="F437" s="217"/>
      <c r="G437" s="217"/>
      <c r="H437" s="217"/>
      <c r="I437" s="217"/>
      <c r="J437" s="217"/>
      <c r="K437" s="217"/>
      <c r="L437" s="217"/>
      <c r="M437" s="217"/>
      <c r="N437" s="217"/>
      <c r="O437" s="217"/>
      <c r="P437" s="217"/>
      <c r="Q437" s="217"/>
      <c r="R437" s="217"/>
      <c r="S437" s="148" t="str">
        <f t="shared" ref="S437:S471" si="243">IFERROR(AVERAGE(C437,G437,K437,O437),"0")</f>
        <v>0</v>
      </c>
      <c r="T437" s="148" t="str">
        <f t="shared" ref="T437:T471" si="244">IFERROR(AVERAGE(D437,H437,L437,P437),"0")</f>
        <v>0</v>
      </c>
      <c r="U437" s="148" t="str">
        <f t="shared" ref="U437:U471" si="245">IFERROR(AVERAGE(E437,I437,M437,Q437),"0")</f>
        <v>0</v>
      </c>
      <c r="V437" s="148" t="str">
        <f t="shared" ref="V437:V471" si="246">IFERROR(AVERAGE(F437,J437,N437,R437),"0")</f>
        <v>0</v>
      </c>
      <c r="W437" s="513">
        <f>SUM(X437:X441)/5</f>
        <v>0</v>
      </c>
      <c r="X437" s="152">
        <f t="shared" ref="X437:X471" si="247">((4*S437)+(3*T437)+(2*U437)+V437)/4</f>
        <v>0</v>
      </c>
      <c r="Y437" s="218" t="s">
        <v>203</v>
      </c>
      <c r="Z437" s="169"/>
      <c r="AA437" s="169"/>
      <c r="AB437" s="177"/>
      <c r="AC437" s="177"/>
      <c r="AD437" s="177"/>
      <c r="AE437" s="177"/>
      <c r="AF437" s="169"/>
      <c r="AG437" s="169"/>
      <c r="AH437" s="169"/>
      <c r="AI437" s="169"/>
      <c r="AJ437" s="169"/>
      <c r="AK437" s="169"/>
      <c r="AL437" s="169"/>
      <c r="AM437" s="169"/>
      <c r="AN437" s="169"/>
      <c r="AO437" s="169"/>
      <c r="AP437" s="169"/>
      <c r="AQ437" s="169"/>
      <c r="AR437" s="169"/>
      <c r="AS437" s="169"/>
      <c r="AT437" s="169"/>
      <c r="AU437" s="169"/>
      <c r="AV437" s="169"/>
      <c r="AW437" s="169"/>
      <c r="AX437" s="169"/>
      <c r="AY437" s="169"/>
      <c r="AZ437" s="169"/>
      <c r="BA437" s="169"/>
      <c r="BB437" s="169"/>
      <c r="BC437" s="169"/>
    </row>
    <row r="438" spans="1:55" ht="14.25" customHeight="1">
      <c r="A438" s="507"/>
      <c r="B438" s="156" t="s">
        <v>163</v>
      </c>
      <c r="C438" s="217"/>
      <c r="D438" s="217"/>
      <c r="E438" s="217"/>
      <c r="F438" s="217"/>
      <c r="G438" s="217"/>
      <c r="H438" s="217"/>
      <c r="I438" s="217"/>
      <c r="J438" s="217"/>
      <c r="K438" s="217"/>
      <c r="L438" s="217"/>
      <c r="M438" s="217"/>
      <c r="N438" s="217"/>
      <c r="O438" s="217"/>
      <c r="P438" s="217"/>
      <c r="Q438" s="217"/>
      <c r="R438" s="217"/>
      <c r="S438" s="148" t="str">
        <f t="shared" si="243"/>
        <v>0</v>
      </c>
      <c r="T438" s="148" t="str">
        <f t="shared" si="244"/>
        <v>0</v>
      </c>
      <c r="U438" s="148" t="str">
        <f t="shared" si="245"/>
        <v>0</v>
      </c>
      <c r="V438" s="148" t="str">
        <f t="shared" si="246"/>
        <v>0</v>
      </c>
      <c r="W438" s="507"/>
      <c r="X438" s="152">
        <f t="shared" si="247"/>
        <v>0</v>
      </c>
      <c r="Y438" s="218" t="s">
        <v>169</v>
      </c>
      <c r="Z438" s="204" t="s">
        <v>204</v>
      </c>
      <c r="AA438" s="169"/>
      <c r="AB438" s="169"/>
      <c r="AC438" s="169"/>
      <c r="AD438" s="169"/>
      <c r="AE438" s="169"/>
      <c r="AF438" s="169"/>
      <c r="AG438" s="169"/>
      <c r="AH438" s="169"/>
      <c r="AI438" s="169"/>
      <c r="AJ438" s="169"/>
      <c r="AK438" s="169"/>
      <c r="AL438" s="169"/>
      <c r="AM438" s="169"/>
      <c r="AN438" s="169"/>
      <c r="AO438" s="169"/>
      <c r="AP438" s="169"/>
      <c r="AQ438" s="169"/>
      <c r="AR438" s="169"/>
      <c r="AS438" s="169"/>
      <c r="AT438" s="169"/>
      <c r="AU438" s="169"/>
      <c r="AV438" s="169"/>
      <c r="AW438" s="169"/>
      <c r="AX438" s="169"/>
      <c r="AY438" s="169"/>
      <c r="AZ438" s="169"/>
      <c r="BA438" s="169"/>
      <c r="BB438" s="169"/>
      <c r="BC438" s="169"/>
    </row>
    <row r="439" spans="1:55" ht="14.25" customHeight="1">
      <c r="A439" s="507"/>
      <c r="B439" s="156" t="s">
        <v>164</v>
      </c>
      <c r="C439" s="217"/>
      <c r="D439" s="217"/>
      <c r="E439" s="217"/>
      <c r="F439" s="217"/>
      <c r="G439" s="217"/>
      <c r="H439" s="217"/>
      <c r="I439" s="217"/>
      <c r="J439" s="217"/>
      <c r="K439" s="217"/>
      <c r="L439" s="217"/>
      <c r="M439" s="217"/>
      <c r="N439" s="217"/>
      <c r="O439" s="217"/>
      <c r="P439" s="217"/>
      <c r="Q439" s="217"/>
      <c r="R439" s="217"/>
      <c r="S439" s="148" t="str">
        <f t="shared" si="243"/>
        <v>0</v>
      </c>
      <c r="T439" s="148" t="str">
        <f t="shared" si="244"/>
        <v>0</v>
      </c>
      <c r="U439" s="148" t="str">
        <f t="shared" si="245"/>
        <v>0</v>
      </c>
      <c r="V439" s="148" t="str">
        <f t="shared" si="246"/>
        <v>0</v>
      </c>
      <c r="W439" s="507"/>
      <c r="X439" s="152">
        <f t="shared" si="247"/>
        <v>0</v>
      </c>
      <c r="Y439" s="218" t="s">
        <v>169</v>
      </c>
      <c r="Z439" s="204" t="s">
        <v>205</v>
      </c>
      <c r="AA439" s="169"/>
      <c r="AB439" s="169"/>
      <c r="AC439" s="169"/>
      <c r="AD439" s="169"/>
      <c r="AE439" s="169"/>
      <c r="AF439" s="169"/>
      <c r="AG439" s="169"/>
      <c r="AH439" s="169"/>
      <c r="AI439" s="169"/>
      <c r="AJ439" s="169"/>
      <c r="AK439" s="169"/>
      <c r="AL439" s="169"/>
      <c r="AM439" s="169"/>
      <c r="AN439" s="169"/>
      <c r="AO439" s="169"/>
      <c r="AP439" s="169"/>
      <c r="AQ439" s="169"/>
      <c r="AR439" s="169"/>
      <c r="AS439" s="169"/>
      <c r="AT439" s="169"/>
      <c r="AU439" s="169"/>
      <c r="AV439" s="169"/>
      <c r="AW439" s="169"/>
      <c r="AX439" s="169"/>
      <c r="AY439" s="169"/>
      <c r="AZ439" s="169"/>
      <c r="BA439" s="169"/>
      <c r="BB439" s="169"/>
      <c r="BC439" s="169"/>
    </row>
    <row r="440" spans="1:55" ht="14.25" customHeight="1">
      <c r="A440" s="507"/>
      <c r="B440" s="156" t="s">
        <v>165</v>
      </c>
      <c r="C440" s="217"/>
      <c r="D440" s="217"/>
      <c r="E440" s="217"/>
      <c r="F440" s="217"/>
      <c r="G440" s="217"/>
      <c r="H440" s="217"/>
      <c r="I440" s="217"/>
      <c r="J440" s="217"/>
      <c r="K440" s="217"/>
      <c r="L440" s="217"/>
      <c r="M440" s="217"/>
      <c r="N440" s="217"/>
      <c r="O440" s="217"/>
      <c r="P440" s="217"/>
      <c r="Q440" s="217"/>
      <c r="R440" s="217"/>
      <c r="S440" s="148" t="str">
        <f t="shared" si="243"/>
        <v>0</v>
      </c>
      <c r="T440" s="148" t="str">
        <f t="shared" si="244"/>
        <v>0</v>
      </c>
      <c r="U440" s="148" t="str">
        <f t="shared" si="245"/>
        <v>0</v>
      </c>
      <c r="V440" s="148" t="str">
        <f t="shared" si="246"/>
        <v>0</v>
      </c>
      <c r="W440" s="507"/>
      <c r="X440" s="152">
        <f t="shared" si="247"/>
        <v>0</v>
      </c>
      <c r="Y440" s="218" t="s">
        <v>169</v>
      </c>
      <c r="Z440" s="204" t="s">
        <v>206</v>
      </c>
      <c r="AA440" s="169"/>
      <c r="AB440" s="169"/>
      <c r="AC440" s="169"/>
      <c r="AD440" s="169"/>
      <c r="AE440" s="169"/>
      <c r="AF440" s="169"/>
      <c r="AG440" s="169"/>
      <c r="AH440" s="169"/>
      <c r="AI440" s="169"/>
      <c r="AJ440" s="169"/>
      <c r="AK440" s="169"/>
      <c r="AL440" s="169"/>
      <c r="AM440" s="169"/>
      <c r="AN440" s="169"/>
      <c r="AO440" s="169"/>
      <c r="AP440" s="169"/>
      <c r="AQ440" s="169"/>
      <c r="AR440" s="169"/>
      <c r="AS440" s="169"/>
      <c r="AT440" s="169"/>
      <c r="AU440" s="169"/>
      <c r="AV440" s="169"/>
      <c r="AW440" s="169"/>
      <c r="AX440" s="169"/>
      <c r="AY440" s="169"/>
      <c r="AZ440" s="169"/>
      <c r="BA440" s="169"/>
      <c r="BB440" s="169"/>
      <c r="BC440" s="169"/>
    </row>
    <row r="441" spans="1:55" ht="14.25" customHeight="1">
      <c r="A441" s="508"/>
      <c r="B441" s="156" t="s">
        <v>166</v>
      </c>
      <c r="C441" s="217"/>
      <c r="D441" s="217"/>
      <c r="E441" s="217"/>
      <c r="F441" s="217"/>
      <c r="G441" s="217"/>
      <c r="H441" s="217"/>
      <c r="I441" s="217"/>
      <c r="J441" s="217"/>
      <c r="K441" s="217"/>
      <c r="L441" s="217"/>
      <c r="M441" s="217"/>
      <c r="N441" s="217"/>
      <c r="O441" s="217"/>
      <c r="P441" s="217"/>
      <c r="Q441" s="217"/>
      <c r="R441" s="217"/>
      <c r="S441" s="148" t="str">
        <f t="shared" si="243"/>
        <v>0</v>
      </c>
      <c r="T441" s="148" t="str">
        <f t="shared" si="244"/>
        <v>0</v>
      </c>
      <c r="U441" s="148" t="str">
        <f t="shared" si="245"/>
        <v>0</v>
      </c>
      <c r="V441" s="148" t="str">
        <f t="shared" si="246"/>
        <v>0</v>
      </c>
      <c r="W441" s="508"/>
      <c r="X441" s="152">
        <f t="shared" si="247"/>
        <v>0</v>
      </c>
      <c r="Y441" s="218" t="s">
        <v>169</v>
      </c>
      <c r="Z441" s="204" t="s">
        <v>207</v>
      </c>
      <c r="AA441" s="169"/>
      <c r="AB441" s="169"/>
      <c r="AC441" s="169"/>
      <c r="AD441" s="169"/>
      <c r="AE441" s="169"/>
      <c r="AF441" s="169"/>
      <c r="AG441" s="169"/>
      <c r="AH441" s="169"/>
      <c r="AI441" s="169"/>
      <c r="AJ441" s="169"/>
      <c r="AK441" s="169"/>
      <c r="AL441" s="169"/>
      <c r="AM441" s="169"/>
      <c r="AN441" s="169"/>
      <c r="AO441" s="169"/>
      <c r="AP441" s="169"/>
      <c r="AQ441" s="169"/>
      <c r="AR441" s="169"/>
      <c r="AS441" s="169"/>
      <c r="AT441" s="169"/>
      <c r="AU441" s="169"/>
      <c r="AV441" s="169"/>
      <c r="AW441" s="169"/>
      <c r="AX441" s="169"/>
      <c r="AY441" s="169"/>
      <c r="AZ441" s="169"/>
      <c r="BA441" s="169"/>
      <c r="BB441" s="169"/>
      <c r="BC441" s="169"/>
    </row>
    <row r="442" spans="1:55" ht="14.25" customHeight="1">
      <c r="A442" s="506" t="s">
        <v>120</v>
      </c>
      <c r="B442" s="156" t="s">
        <v>160</v>
      </c>
      <c r="C442" s="217"/>
      <c r="D442" s="217"/>
      <c r="E442" s="217"/>
      <c r="F442" s="217"/>
      <c r="G442" s="217"/>
      <c r="H442" s="217"/>
      <c r="I442" s="217"/>
      <c r="J442" s="217"/>
      <c r="K442" s="217"/>
      <c r="L442" s="217"/>
      <c r="M442" s="217"/>
      <c r="N442" s="217"/>
      <c r="O442" s="217"/>
      <c r="P442" s="217"/>
      <c r="Q442" s="217"/>
      <c r="R442" s="217"/>
      <c r="S442" s="148" t="str">
        <f t="shared" si="243"/>
        <v>0</v>
      </c>
      <c r="T442" s="148" t="str">
        <f t="shared" si="244"/>
        <v>0</v>
      </c>
      <c r="U442" s="148" t="str">
        <f t="shared" si="245"/>
        <v>0</v>
      </c>
      <c r="V442" s="148" t="str">
        <f t="shared" si="246"/>
        <v>0</v>
      </c>
      <c r="W442" s="513">
        <f>SUM(X442:X446)/5</f>
        <v>0</v>
      </c>
      <c r="X442" s="152">
        <f t="shared" si="247"/>
        <v>0</v>
      </c>
      <c r="Y442" s="218" t="s">
        <v>208</v>
      </c>
      <c r="Z442" s="204" t="s">
        <v>209</v>
      </c>
      <c r="AA442" s="169"/>
      <c r="AB442" s="169"/>
      <c r="AC442" s="169"/>
      <c r="AD442" s="169"/>
      <c r="AE442" s="169"/>
      <c r="AF442" s="169"/>
      <c r="AG442" s="169"/>
      <c r="AH442" s="169"/>
      <c r="AI442" s="169"/>
      <c r="AJ442" s="169"/>
      <c r="AK442" s="169"/>
      <c r="AL442" s="169"/>
      <c r="AM442" s="169"/>
      <c r="AN442" s="169"/>
      <c r="AO442" s="169"/>
      <c r="AP442" s="169"/>
      <c r="AQ442" s="169"/>
      <c r="AR442" s="169"/>
      <c r="AS442" s="169"/>
      <c r="AT442" s="169"/>
      <c r="AU442" s="169"/>
      <c r="AV442" s="169"/>
      <c r="AW442" s="169"/>
      <c r="AX442" s="169"/>
      <c r="AY442" s="169"/>
      <c r="AZ442" s="169"/>
      <c r="BA442" s="169"/>
      <c r="BB442" s="169"/>
      <c r="BC442" s="169"/>
    </row>
    <row r="443" spans="1:55" ht="14.25" customHeight="1">
      <c r="A443" s="507"/>
      <c r="B443" s="156" t="s">
        <v>163</v>
      </c>
      <c r="C443" s="217"/>
      <c r="D443" s="217"/>
      <c r="E443" s="217"/>
      <c r="F443" s="217"/>
      <c r="G443" s="217"/>
      <c r="H443" s="217"/>
      <c r="I443" s="217"/>
      <c r="J443" s="217"/>
      <c r="K443" s="217"/>
      <c r="L443" s="217"/>
      <c r="M443" s="217"/>
      <c r="N443" s="217"/>
      <c r="O443" s="217"/>
      <c r="P443" s="217"/>
      <c r="Q443" s="217"/>
      <c r="R443" s="217"/>
      <c r="S443" s="148" t="str">
        <f t="shared" si="243"/>
        <v>0</v>
      </c>
      <c r="T443" s="148" t="str">
        <f t="shared" si="244"/>
        <v>0</v>
      </c>
      <c r="U443" s="148" t="str">
        <f t="shared" si="245"/>
        <v>0</v>
      </c>
      <c r="V443" s="148" t="str">
        <f t="shared" si="246"/>
        <v>0</v>
      </c>
      <c r="W443" s="507"/>
      <c r="X443" s="152">
        <f t="shared" si="247"/>
        <v>0</v>
      </c>
      <c r="Y443" s="218" t="s">
        <v>169</v>
      </c>
      <c r="Z443" s="204" t="s">
        <v>210</v>
      </c>
      <c r="AA443" s="169"/>
      <c r="AB443" s="169"/>
      <c r="AC443" s="169"/>
      <c r="AD443" s="169"/>
      <c r="AE443" s="169"/>
      <c r="AF443" s="169"/>
      <c r="AG443" s="169"/>
      <c r="AH443" s="169"/>
      <c r="AI443" s="169"/>
      <c r="AJ443" s="169"/>
      <c r="AK443" s="169"/>
      <c r="AL443" s="169"/>
      <c r="AM443" s="169"/>
      <c r="AN443" s="169"/>
      <c r="AO443" s="169"/>
      <c r="AP443" s="169"/>
      <c r="AQ443" s="169"/>
      <c r="AR443" s="169"/>
      <c r="AS443" s="169"/>
      <c r="AT443" s="169"/>
      <c r="AU443" s="169"/>
      <c r="AV443" s="169"/>
      <c r="AW443" s="169"/>
      <c r="AX443" s="169"/>
      <c r="AY443" s="169"/>
      <c r="AZ443" s="169"/>
      <c r="BA443" s="169"/>
      <c r="BB443" s="169"/>
      <c r="BC443" s="169"/>
    </row>
    <row r="444" spans="1:55" ht="14.25" customHeight="1">
      <c r="A444" s="507"/>
      <c r="B444" s="156" t="s">
        <v>164</v>
      </c>
      <c r="C444" s="217"/>
      <c r="D444" s="217"/>
      <c r="E444" s="217"/>
      <c r="F444" s="217"/>
      <c r="G444" s="217"/>
      <c r="H444" s="217"/>
      <c r="I444" s="217"/>
      <c r="J444" s="217"/>
      <c r="K444" s="217"/>
      <c r="L444" s="217"/>
      <c r="M444" s="217"/>
      <c r="N444" s="217"/>
      <c r="O444" s="217"/>
      <c r="P444" s="217"/>
      <c r="Q444" s="217"/>
      <c r="R444" s="217"/>
      <c r="S444" s="148" t="str">
        <f t="shared" si="243"/>
        <v>0</v>
      </c>
      <c r="T444" s="148" t="str">
        <f t="shared" si="244"/>
        <v>0</v>
      </c>
      <c r="U444" s="148" t="str">
        <f t="shared" si="245"/>
        <v>0</v>
      </c>
      <c r="V444" s="148" t="str">
        <f t="shared" si="246"/>
        <v>0</v>
      </c>
      <c r="W444" s="507"/>
      <c r="X444" s="152">
        <f t="shared" si="247"/>
        <v>0</v>
      </c>
      <c r="Y444" s="218" t="s">
        <v>169</v>
      </c>
      <c r="Z444" s="204" t="s">
        <v>211</v>
      </c>
      <c r="AA444" s="169"/>
      <c r="AB444" s="169"/>
      <c r="AC444" s="169"/>
      <c r="AD444" s="169"/>
      <c r="AE444" s="169"/>
      <c r="AF444" s="169"/>
      <c r="AG444" s="169"/>
      <c r="AH444" s="169"/>
      <c r="AI444" s="169"/>
      <c r="AJ444" s="169"/>
      <c r="AK444" s="169"/>
      <c r="AL444" s="169"/>
      <c r="AM444" s="169"/>
      <c r="AN444" s="169"/>
      <c r="AO444" s="169"/>
      <c r="AP444" s="169"/>
      <c r="AQ444" s="169"/>
      <c r="AR444" s="169"/>
      <c r="AS444" s="169"/>
      <c r="AT444" s="169"/>
      <c r="AU444" s="169"/>
      <c r="AV444" s="169"/>
      <c r="AW444" s="169"/>
      <c r="AX444" s="169"/>
      <c r="AY444" s="169"/>
      <c r="AZ444" s="169"/>
      <c r="BA444" s="169"/>
      <c r="BB444" s="169"/>
      <c r="BC444" s="169"/>
    </row>
    <row r="445" spans="1:55" ht="14.25" customHeight="1">
      <c r="A445" s="507"/>
      <c r="B445" s="156" t="s">
        <v>165</v>
      </c>
      <c r="C445" s="217"/>
      <c r="D445" s="217"/>
      <c r="E445" s="217"/>
      <c r="F445" s="217"/>
      <c r="G445" s="217"/>
      <c r="H445" s="217"/>
      <c r="I445" s="217"/>
      <c r="J445" s="217"/>
      <c r="K445" s="217"/>
      <c r="L445" s="217"/>
      <c r="M445" s="217"/>
      <c r="N445" s="217"/>
      <c r="O445" s="217"/>
      <c r="P445" s="217"/>
      <c r="Q445" s="217"/>
      <c r="R445" s="217"/>
      <c r="S445" s="148" t="str">
        <f t="shared" si="243"/>
        <v>0</v>
      </c>
      <c r="T445" s="148" t="str">
        <f t="shared" si="244"/>
        <v>0</v>
      </c>
      <c r="U445" s="148" t="str">
        <f t="shared" si="245"/>
        <v>0</v>
      </c>
      <c r="V445" s="148" t="str">
        <f t="shared" si="246"/>
        <v>0</v>
      </c>
      <c r="W445" s="507"/>
      <c r="X445" s="152">
        <f t="shared" si="247"/>
        <v>0</v>
      </c>
      <c r="Y445" s="218" t="s">
        <v>169</v>
      </c>
      <c r="Z445" s="169"/>
      <c r="AA445" s="169"/>
      <c r="AB445" s="169"/>
      <c r="AC445" s="169"/>
      <c r="AD445" s="169"/>
      <c r="AE445" s="169"/>
      <c r="AF445" s="169"/>
      <c r="AG445" s="169"/>
      <c r="AH445" s="169"/>
      <c r="AI445" s="169"/>
      <c r="AJ445" s="169"/>
      <c r="AK445" s="169"/>
      <c r="AL445" s="169"/>
      <c r="AM445" s="169"/>
      <c r="AN445" s="169"/>
      <c r="AO445" s="169"/>
      <c r="AP445" s="169"/>
      <c r="AQ445" s="169"/>
      <c r="AR445" s="169"/>
      <c r="AS445" s="169"/>
      <c r="AT445" s="169"/>
      <c r="AU445" s="169"/>
      <c r="AV445" s="169"/>
      <c r="AW445" s="169"/>
      <c r="AX445" s="169"/>
      <c r="AY445" s="169"/>
      <c r="AZ445" s="169"/>
      <c r="BA445" s="169"/>
      <c r="BB445" s="169"/>
      <c r="BC445" s="169"/>
    </row>
    <row r="446" spans="1:55" ht="14.25" customHeight="1">
      <c r="A446" s="508"/>
      <c r="B446" s="156" t="s">
        <v>166</v>
      </c>
      <c r="C446" s="217"/>
      <c r="D446" s="217"/>
      <c r="E446" s="217"/>
      <c r="F446" s="217"/>
      <c r="G446" s="217"/>
      <c r="H446" s="217"/>
      <c r="I446" s="217"/>
      <c r="J446" s="217"/>
      <c r="K446" s="217"/>
      <c r="L446" s="217"/>
      <c r="M446" s="217"/>
      <c r="N446" s="217"/>
      <c r="O446" s="217"/>
      <c r="P446" s="217"/>
      <c r="Q446" s="217"/>
      <c r="R446" s="217"/>
      <c r="S446" s="148" t="str">
        <f t="shared" si="243"/>
        <v>0</v>
      </c>
      <c r="T446" s="148" t="str">
        <f t="shared" si="244"/>
        <v>0</v>
      </c>
      <c r="U446" s="148" t="str">
        <f t="shared" si="245"/>
        <v>0</v>
      </c>
      <c r="V446" s="148" t="str">
        <f t="shared" si="246"/>
        <v>0</v>
      </c>
      <c r="W446" s="508"/>
      <c r="X446" s="152">
        <f t="shared" si="247"/>
        <v>0</v>
      </c>
      <c r="Y446" s="218" t="s">
        <v>169</v>
      </c>
      <c r="Z446" s="169"/>
      <c r="AA446" s="169"/>
      <c r="AB446" s="169"/>
      <c r="AC446" s="169"/>
      <c r="AD446" s="169"/>
      <c r="AE446" s="169"/>
      <c r="AF446" s="169"/>
      <c r="AG446" s="169"/>
      <c r="AH446" s="169"/>
      <c r="AI446" s="169"/>
      <c r="AJ446" s="169"/>
      <c r="AK446" s="169"/>
      <c r="AL446" s="169"/>
      <c r="AM446" s="169"/>
      <c r="AN446" s="169"/>
      <c r="AO446" s="169"/>
      <c r="AP446" s="169"/>
      <c r="AQ446" s="169"/>
      <c r="AR446" s="169"/>
      <c r="AS446" s="169"/>
      <c r="AT446" s="169"/>
      <c r="AU446" s="169"/>
      <c r="AV446" s="169"/>
      <c r="AW446" s="169"/>
      <c r="AX446" s="169"/>
      <c r="AY446" s="169"/>
      <c r="AZ446" s="169"/>
      <c r="BA446" s="169"/>
      <c r="BB446" s="169"/>
      <c r="BC446" s="169"/>
    </row>
    <row r="447" spans="1:55" ht="14.25" customHeight="1">
      <c r="A447" s="506" t="s">
        <v>121</v>
      </c>
      <c r="B447" s="156" t="s">
        <v>160</v>
      </c>
      <c r="C447" s="217"/>
      <c r="D447" s="217"/>
      <c r="E447" s="217"/>
      <c r="F447" s="217"/>
      <c r="G447" s="217"/>
      <c r="H447" s="217"/>
      <c r="I447" s="217"/>
      <c r="J447" s="217"/>
      <c r="K447" s="217"/>
      <c r="L447" s="217"/>
      <c r="M447" s="217"/>
      <c r="N447" s="217"/>
      <c r="O447" s="217"/>
      <c r="P447" s="217"/>
      <c r="Q447" s="217"/>
      <c r="R447" s="217"/>
      <c r="S447" s="148" t="str">
        <f t="shared" si="243"/>
        <v>0</v>
      </c>
      <c r="T447" s="148" t="str">
        <f t="shared" si="244"/>
        <v>0</v>
      </c>
      <c r="U447" s="148" t="str">
        <f t="shared" si="245"/>
        <v>0</v>
      </c>
      <c r="V447" s="148" t="str">
        <f t="shared" si="246"/>
        <v>0</v>
      </c>
      <c r="W447" s="513">
        <f>SUM(X447:X451)/5</f>
        <v>0</v>
      </c>
      <c r="X447" s="152">
        <f t="shared" si="247"/>
        <v>0</v>
      </c>
      <c r="Y447" s="218" t="s">
        <v>212</v>
      </c>
      <c r="Z447" s="169"/>
      <c r="AA447" s="169"/>
      <c r="AB447" s="169"/>
      <c r="AC447" s="169"/>
      <c r="AD447" s="169"/>
      <c r="AE447" s="169"/>
      <c r="AF447" s="169"/>
      <c r="AG447" s="169"/>
      <c r="AH447" s="169"/>
      <c r="AI447" s="169"/>
      <c r="AJ447" s="169"/>
      <c r="AK447" s="169"/>
      <c r="AL447" s="169"/>
      <c r="AM447" s="169"/>
      <c r="AN447" s="169"/>
      <c r="AO447" s="169"/>
      <c r="AP447" s="169"/>
      <c r="AQ447" s="169"/>
      <c r="AR447" s="169"/>
      <c r="AS447" s="169"/>
      <c r="AT447" s="169"/>
      <c r="AU447" s="169"/>
      <c r="AV447" s="169"/>
      <c r="AW447" s="169"/>
      <c r="AX447" s="169"/>
      <c r="AY447" s="169"/>
      <c r="AZ447" s="169"/>
      <c r="BA447" s="169"/>
      <c r="BB447" s="169"/>
      <c r="BC447" s="169"/>
    </row>
    <row r="448" spans="1:55" ht="14.25" customHeight="1">
      <c r="A448" s="507"/>
      <c r="B448" s="156" t="s">
        <v>163</v>
      </c>
      <c r="C448" s="217"/>
      <c r="D448" s="217"/>
      <c r="E448" s="217"/>
      <c r="F448" s="217"/>
      <c r="G448" s="217"/>
      <c r="H448" s="217"/>
      <c r="I448" s="217"/>
      <c r="J448" s="217"/>
      <c r="K448" s="217"/>
      <c r="L448" s="217"/>
      <c r="M448" s="217"/>
      <c r="N448" s="217"/>
      <c r="O448" s="217"/>
      <c r="P448" s="217"/>
      <c r="Q448" s="217"/>
      <c r="R448" s="217"/>
      <c r="S448" s="148" t="str">
        <f t="shared" si="243"/>
        <v>0</v>
      </c>
      <c r="T448" s="148" t="str">
        <f t="shared" si="244"/>
        <v>0</v>
      </c>
      <c r="U448" s="148" t="str">
        <f t="shared" si="245"/>
        <v>0</v>
      </c>
      <c r="V448" s="148" t="str">
        <f t="shared" si="246"/>
        <v>0</v>
      </c>
      <c r="W448" s="507"/>
      <c r="X448" s="152">
        <f t="shared" si="247"/>
        <v>0</v>
      </c>
      <c r="Y448" s="218" t="s">
        <v>169</v>
      </c>
      <c r="Z448" s="169"/>
      <c r="AA448" s="169"/>
      <c r="AB448" s="169"/>
      <c r="AC448" s="169"/>
      <c r="AD448" s="169"/>
      <c r="AE448" s="169"/>
      <c r="AF448" s="169"/>
      <c r="AG448" s="169"/>
      <c r="AH448" s="169"/>
      <c r="AI448" s="169"/>
      <c r="AJ448" s="169"/>
      <c r="AK448" s="169"/>
      <c r="AL448" s="169"/>
      <c r="AM448" s="169"/>
      <c r="AN448" s="169"/>
      <c r="AO448" s="169"/>
      <c r="AP448" s="169"/>
      <c r="AQ448" s="169"/>
      <c r="AR448" s="169"/>
      <c r="AS448" s="169"/>
      <c r="AT448" s="169"/>
      <c r="AU448" s="169"/>
      <c r="AV448" s="169"/>
      <c r="AW448" s="169"/>
      <c r="AX448" s="169"/>
      <c r="AY448" s="169"/>
      <c r="AZ448" s="169"/>
      <c r="BA448" s="169"/>
      <c r="BB448" s="169"/>
      <c r="BC448" s="169"/>
    </row>
    <row r="449" spans="1:55" ht="14.25" customHeight="1">
      <c r="A449" s="507"/>
      <c r="B449" s="156" t="s">
        <v>164</v>
      </c>
      <c r="C449" s="217"/>
      <c r="D449" s="217"/>
      <c r="E449" s="217"/>
      <c r="F449" s="217"/>
      <c r="G449" s="217"/>
      <c r="H449" s="217"/>
      <c r="I449" s="217"/>
      <c r="J449" s="217"/>
      <c r="K449" s="217"/>
      <c r="L449" s="217"/>
      <c r="M449" s="217"/>
      <c r="N449" s="217"/>
      <c r="O449" s="217"/>
      <c r="P449" s="217"/>
      <c r="Q449" s="217"/>
      <c r="R449" s="217"/>
      <c r="S449" s="148" t="str">
        <f t="shared" si="243"/>
        <v>0</v>
      </c>
      <c r="T449" s="148" t="str">
        <f t="shared" si="244"/>
        <v>0</v>
      </c>
      <c r="U449" s="148" t="str">
        <f t="shared" si="245"/>
        <v>0</v>
      </c>
      <c r="V449" s="148" t="str">
        <f t="shared" si="246"/>
        <v>0</v>
      </c>
      <c r="W449" s="507"/>
      <c r="X449" s="152">
        <f t="shared" si="247"/>
        <v>0</v>
      </c>
      <c r="Y449" s="218" t="s">
        <v>169</v>
      </c>
      <c r="Z449" s="169"/>
      <c r="AA449" s="169"/>
      <c r="AB449" s="169"/>
      <c r="AC449" s="169"/>
      <c r="AD449" s="169"/>
      <c r="AE449" s="169"/>
      <c r="AF449" s="169"/>
      <c r="AG449" s="169"/>
      <c r="AH449" s="169"/>
      <c r="AI449" s="169"/>
      <c r="AJ449" s="169"/>
      <c r="AK449" s="169"/>
      <c r="AL449" s="169"/>
      <c r="AM449" s="169"/>
      <c r="AN449" s="169"/>
      <c r="AO449" s="169"/>
      <c r="AP449" s="169"/>
      <c r="AQ449" s="169"/>
      <c r="AR449" s="169"/>
      <c r="AS449" s="169"/>
      <c r="AT449" s="169"/>
      <c r="AU449" s="169"/>
      <c r="AV449" s="169"/>
      <c r="AW449" s="169"/>
      <c r="AX449" s="169"/>
      <c r="AY449" s="169"/>
      <c r="AZ449" s="169"/>
      <c r="BA449" s="169"/>
      <c r="BB449" s="169"/>
      <c r="BC449" s="169"/>
    </row>
    <row r="450" spans="1:55" ht="14.25" customHeight="1">
      <c r="A450" s="507"/>
      <c r="B450" s="156" t="s">
        <v>165</v>
      </c>
      <c r="C450" s="217"/>
      <c r="D450" s="217"/>
      <c r="E450" s="217"/>
      <c r="F450" s="217"/>
      <c r="G450" s="217"/>
      <c r="H450" s="217"/>
      <c r="I450" s="217"/>
      <c r="J450" s="217"/>
      <c r="K450" s="217"/>
      <c r="L450" s="217"/>
      <c r="M450" s="217"/>
      <c r="N450" s="217"/>
      <c r="O450" s="217"/>
      <c r="P450" s="217"/>
      <c r="Q450" s="217"/>
      <c r="R450" s="217"/>
      <c r="S450" s="148" t="str">
        <f t="shared" si="243"/>
        <v>0</v>
      </c>
      <c r="T450" s="148" t="str">
        <f t="shared" si="244"/>
        <v>0</v>
      </c>
      <c r="U450" s="148" t="str">
        <f t="shared" si="245"/>
        <v>0</v>
      </c>
      <c r="V450" s="148" t="str">
        <f t="shared" si="246"/>
        <v>0</v>
      </c>
      <c r="W450" s="507"/>
      <c r="X450" s="152">
        <f t="shared" si="247"/>
        <v>0</v>
      </c>
      <c r="Y450" s="218" t="s">
        <v>169</v>
      </c>
      <c r="Z450" s="169"/>
      <c r="AA450" s="169"/>
      <c r="AB450" s="169"/>
      <c r="AC450" s="169"/>
      <c r="AD450" s="169"/>
      <c r="AE450" s="169"/>
      <c r="AF450" s="169"/>
      <c r="AG450" s="169"/>
      <c r="AH450" s="169"/>
      <c r="AI450" s="169"/>
      <c r="AJ450" s="169"/>
      <c r="AK450" s="169"/>
      <c r="AL450" s="169"/>
      <c r="AM450" s="169"/>
      <c r="AN450" s="169"/>
      <c r="AO450" s="169"/>
      <c r="AP450" s="169"/>
      <c r="AQ450" s="169"/>
      <c r="AR450" s="169"/>
      <c r="AS450" s="169"/>
      <c r="AT450" s="169"/>
      <c r="AU450" s="169"/>
      <c r="AV450" s="169"/>
      <c r="AW450" s="169"/>
      <c r="AX450" s="169"/>
      <c r="AY450" s="169"/>
      <c r="AZ450" s="169"/>
      <c r="BA450" s="169"/>
      <c r="BB450" s="169"/>
      <c r="BC450" s="169"/>
    </row>
    <row r="451" spans="1:55" ht="14.25" customHeight="1">
      <c r="A451" s="508"/>
      <c r="B451" s="156" t="s">
        <v>166</v>
      </c>
      <c r="C451" s="217"/>
      <c r="D451" s="217"/>
      <c r="E451" s="217"/>
      <c r="F451" s="217"/>
      <c r="G451" s="217"/>
      <c r="H451" s="217"/>
      <c r="I451" s="217"/>
      <c r="J451" s="217"/>
      <c r="K451" s="217"/>
      <c r="L451" s="217"/>
      <c r="M451" s="217"/>
      <c r="N451" s="217"/>
      <c r="O451" s="217"/>
      <c r="P451" s="217"/>
      <c r="Q451" s="217"/>
      <c r="R451" s="217"/>
      <c r="S451" s="148" t="str">
        <f t="shared" si="243"/>
        <v>0</v>
      </c>
      <c r="T451" s="148" t="str">
        <f t="shared" si="244"/>
        <v>0</v>
      </c>
      <c r="U451" s="148" t="str">
        <f t="shared" si="245"/>
        <v>0</v>
      </c>
      <c r="V451" s="148" t="str">
        <f t="shared" si="246"/>
        <v>0</v>
      </c>
      <c r="W451" s="508"/>
      <c r="X451" s="152">
        <f t="shared" si="247"/>
        <v>0</v>
      </c>
      <c r="Y451" s="218" t="s">
        <v>169</v>
      </c>
      <c r="Z451" s="169"/>
      <c r="AA451" s="169"/>
      <c r="AB451" s="169"/>
      <c r="AC451" s="169"/>
      <c r="AD451" s="169"/>
      <c r="AE451" s="169"/>
      <c r="AF451" s="169"/>
      <c r="AG451" s="169"/>
      <c r="AH451" s="169"/>
      <c r="AI451" s="169"/>
      <c r="AJ451" s="169"/>
      <c r="AK451" s="169"/>
      <c r="AL451" s="169"/>
      <c r="AM451" s="169"/>
      <c r="AN451" s="169"/>
      <c r="AO451" s="169"/>
      <c r="AP451" s="169"/>
      <c r="AQ451" s="169"/>
      <c r="AR451" s="169"/>
      <c r="AS451" s="169"/>
      <c r="AT451" s="169"/>
      <c r="AU451" s="169"/>
      <c r="AV451" s="169"/>
      <c r="AW451" s="169"/>
      <c r="AX451" s="169"/>
      <c r="AY451" s="169"/>
      <c r="AZ451" s="169"/>
      <c r="BA451" s="169"/>
      <c r="BB451" s="169"/>
      <c r="BC451" s="169"/>
    </row>
    <row r="452" spans="1:55" ht="14.25" customHeight="1">
      <c r="A452" s="506" t="s">
        <v>122</v>
      </c>
      <c r="B452" s="156" t="s">
        <v>160</v>
      </c>
      <c r="C452" s="217"/>
      <c r="D452" s="217"/>
      <c r="E452" s="217"/>
      <c r="F452" s="217"/>
      <c r="G452" s="217"/>
      <c r="H452" s="217"/>
      <c r="I452" s="217"/>
      <c r="J452" s="217"/>
      <c r="K452" s="217"/>
      <c r="L452" s="217"/>
      <c r="M452" s="217"/>
      <c r="N452" s="217"/>
      <c r="O452" s="217"/>
      <c r="P452" s="217"/>
      <c r="Q452" s="217"/>
      <c r="R452" s="217"/>
      <c r="S452" s="148" t="str">
        <f t="shared" si="243"/>
        <v>0</v>
      </c>
      <c r="T452" s="148" t="str">
        <f t="shared" si="244"/>
        <v>0</v>
      </c>
      <c r="U452" s="148" t="str">
        <f t="shared" si="245"/>
        <v>0</v>
      </c>
      <c r="V452" s="148" t="str">
        <f t="shared" si="246"/>
        <v>0</v>
      </c>
      <c r="W452" s="513">
        <f>SUM(X452:X456)/5</f>
        <v>0</v>
      </c>
      <c r="X452" s="152">
        <f t="shared" si="247"/>
        <v>0</v>
      </c>
      <c r="Y452" s="218" t="s">
        <v>213</v>
      </c>
      <c r="Z452" s="169"/>
      <c r="AA452" s="169"/>
      <c r="AB452" s="169"/>
      <c r="AC452" s="169"/>
      <c r="AD452" s="169"/>
      <c r="AE452" s="169"/>
      <c r="AF452" s="169"/>
      <c r="AG452" s="169"/>
      <c r="AH452" s="169"/>
      <c r="AI452" s="169"/>
      <c r="AJ452" s="169"/>
      <c r="AK452" s="169"/>
      <c r="AL452" s="169"/>
      <c r="AM452" s="169"/>
      <c r="AN452" s="169"/>
      <c r="AO452" s="169"/>
      <c r="AP452" s="169"/>
      <c r="AQ452" s="169"/>
      <c r="AR452" s="169"/>
      <c r="AS452" s="169"/>
      <c r="AT452" s="169"/>
      <c r="AU452" s="169"/>
      <c r="AV452" s="169"/>
      <c r="AW452" s="169"/>
      <c r="AX452" s="169"/>
      <c r="AY452" s="169"/>
      <c r="AZ452" s="169"/>
      <c r="BA452" s="169"/>
      <c r="BB452" s="169"/>
      <c r="BC452" s="169"/>
    </row>
    <row r="453" spans="1:55" ht="14.25" customHeight="1">
      <c r="A453" s="507"/>
      <c r="B453" s="156" t="s">
        <v>163</v>
      </c>
      <c r="C453" s="217"/>
      <c r="D453" s="217"/>
      <c r="E453" s="217"/>
      <c r="F453" s="217"/>
      <c r="G453" s="217"/>
      <c r="H453" s="217"/>
      <c r="I453" s="217"/>
      <c r="J453" s="217"/>
      <c r="K453" s="217"/>
      <c r="L453" s="217"/>
      <c r="M453" s="217"/>
      <c r="N453" s="217"/>
      <c r="O453" s="217"/>
      <c r="P453" s="217"/>
      <c r="Q453" s="217"/>
      <c r="R453" s="217"/>
      <c r="S453" s="148" t="str">
        <f t="shared" si="243"/>
        <v>0</v>
      </c>
      <c r="T453" s="148" t="str">
        <f t="shared" si="244"/>
        <v>0</v>
      </c>
      <c r="U453" s="148" t="str">
        <f t="shared" si="245"/>
        <v>0</v>
      </c>
      <c r="V453" s="148" t="str">
        <f t="shared" si="246"/>
        <v>0</v>
      </c>
      <c r="W453" s="507"/>
      <c r="X453" s="152">
        <f t="shared" si="247"/>
        <v>0</v>
      </c>
      <c r="Y453" s="218" t="s">
        <v>169</v>
      </c>
      <c r="Z453" s="169"/>
      <c r="AA453" s="169"/>
      <c r="AB453" s="169"/>
      <c r="AC453" s="169"/>
      <c r="AD453" s="169"/>
      <c r="AE453" s="169"/>
      <c r="AF453" s="169"/>
      <c r="AG453" s="169"/>
      <c r="AH453" s="169"/>
      <c r="AI453" s="169"/>
      <c r="AJ453" s="169"/>
      <c r="AK453" s="169"/>
      <c r="AL453" s="169"/>
      <c r="AM453" s="169"/>
      <c r="AN453" s="169"/>
      <c r="AO453" s="169"/>
      <c r="AP453" s="169"/>
      <c r="AQ453" s="169"/>
      <c r="AR453" s="169"/>
      <c r="AS453" s="169"/>
      <c r="AT453" s="169"/>
      <c r="AU453" s="169"/>
      <c r="AV453" s="169"/>
      <c r="AW453" s="169"/>
      <c r="AX453" s="169"/>
      <c r="AY453" s="169"/>
      <c r="AZ453" s="169"/>
      <c r="BA453" s="169"/>
      <c r="BB453" s="169"/>
      <c r="BC453" s="169"/>
    </row>
    <row r="454" spans="1:55" ht="14.25" customHeight="1">
      <c r="A454" s="507"/>
      <c r="B454" s="156" t="s">
        <v>164</v>
      </c>
      <c r="C454" s="217"/>
      <c r="D454" s="217"/>
      <c r="E454" s="217"/>
      <c r="F454" s="217"/>
      <c r="G454" s="217"/>
      <c r="H454" s="217"/>
      <c r="I454" s="217"/>
      <c r="J454" s="217"/>
      <c r="K454" s="217"/>
      <c r="L454" s="217"/>
      <c r="M454" s="217"/>
      <c r="N454" s="217"/>
      <c r="O454" s="217"/>
      <c r="P454" s="217"/>
      <c r="Q454" s="217"/>
      <c r="R454" s="217"/>
      <c r="S454" s="148" t="str">
        <f t="shared" si="243"/>
        <v>0</v>
      </c>
      <c r="T454" s="148" t="str">
        <f t="shared" si="244"/>
        <v>0</v>
      </c>
      <c r="U454" s="148" t="str">
        <f t="shared" si="245"/>
        <v>0</v>
      </c>
      <c r="V454" s="148" t="str">
        <f t="shared" si="246"/>
        <v>0</v>
      </c>
      <c r="W454" s="507"/>
      <c r="X454" s="152">
        <f t="shared" si="247"/>
        <v>0</v>
      </c>
      <c r="Y454" s="218" t="s">
        <v>169</v>
      </c>
      <c r="Z454" s="169"/>
      <c r="AA454" s="169"/>
      <c r="AB454" s="169"/>
      <c r="AC454" s="169"/>
      <c r="AD454" s="169"/>
      <c r="AE454" s="169"/>
      <c r="AF454" s="169"/>
      <c r="AG454" s="169"/>
      <c r="AH454" s="169"/>
      <c r="AI454" s="169"/>
      <c r="AJ454" s="169"/>
      <c r="AK454" s="169"/>
      <c r="AL454" s="169"/>
      <c r="AM454" s="169"/>
      <c r="AN454" s="169"/>
      <c r="AO454" s="169"/>
      <c r="AP454" s="169"/>
      <c r="AQ454" s="169"/>
      <c r="AR454" s="169"/>
      <c r="AS454" s="169"/>
      <c r="AT454" s="169"/>
      <c r="AU454" s="169"/>
      <c r="AV454" s="169"/>
      <c r="AW454" s="169"/>
      <c r="AX454" s="169"/>
      <c r="AY454" s="169"/>
      <c r="AZ454" s="169"/>
      <c r="BA454" s="169"/>
      <c r="BB454" s="169"/>
      <c r="BC454" s="169"/>
    </row>
    <row r="455" spans="1:55" ht="14.25" customHeight="1">
      <c r="A455" s="507"/>
      <c r="B455" s="156" t="s">
        <v>165</v>
      </c>
      <c r="C455" s="217"/>
      <c r="D455" s="217"/>
      <c r="E455" s="217"/>
      <c r="F455" s="217"/>
      <c r="G455" s="217"/>
      <c r="H455" s="217"/>
      <c r="I455" s="217"/>
      <c r="J455" s="217"/>
      <c r="K455" s="217"/>
      <c r="L455" s="217"/>
      <c r="M455" s="217"/>
      <c r="N455" s="217"/>
      <c r="O455" s="217"/>
      <c r="P455" s="217"/>
      <c r="Q455" s="217"/>
      <c r="R455" s="217"/>
      <c r="S455" s="148" t="str">
        <f t="shared" si="243"/>
        <v>0</v>
      </c>
      <c r="T455" s="148" t="str">
        <f t="shared" si="244"/>
        <v>0</v>
      </c>
      <c r="U455" s="148" t="str">
        <f t="shared" si="245"/>
        <v>0</v>
      </c>
      <c r="V455" s="148" t="str">
        <f t="shared" si="246"/>
        <v>0</v>
      </c>
      <c r="W455" s="507"/>
      <c r="X455" s="152">
        <f t="shared" si="247"/>
        <v>0</v>
      </c>
      <c r="Y455" s="218" t="s">
        <v>169</v>
      </c>
      <c r="Z455" s="169"/>
      <c r="AA455" s="169"/>
      <c r="AB455" s="169"/>
      <c r="AC455" s="169"/>
      <c r="AD455" s="169"/>
      <c r="AE455" s="169"/>
      <c r="AF455" s="169"/>
      <c r="AG455" s="169"/>
      <c r="AH455" s="169"/>
      <c r="AI455" s="169"/>
      <c r="AJ455" s="169"/>
      <c r="AK455" s="169"/>
      <c r="AL455" s="169"/>
      <c r="AM455" s="169"/>
      <c r="AN455" s="169"/>
      <c r="AO455" s="169"/>
      <c r="AP455" s="169"/>
      <c r="AQ455" s="169"/>
      <c r="AR455" s="169"/>
      <c r="AS455" s="169"/>
      <c r="AT455" s="169"/>
      <c r="AU455" s="169"/>
      <c r="AV455" s="169"/>
      <c r="AW455" s="169"/>
      <c r="AX455" s="169"/>
      <c r="AY455" s="169"/>
      <c r="AZ455" s="169"/>
      <c r="BA455" s="169"/>
      <c r="BB455" s="169"/>
      <c r="BC455" s="169"/>
    </row>
    <row r="456" spans="1:55" ht="14.25" customHeight="1">
      <c r="A456" s="508"/>
      <c r="B456" s="156" t="s">
        <v>166</v>
      </c>
      <c r="C456" s="217"/>
      <c r="D456" s="217"/>
      <c r="E456" s="217"/>
      <c r="F456" s="217"/>
      <c r="G456" s="217"/>
      <c r="H456" s="217"/>
      <c r="I456" s="217"/>
      <c r="J456" s="217"/>
      <c r="K456" s="217"/>
      <c r="L456" s="217"/>
      <c r="M456" s="217"/>
      <c r="N456" s="217"/>
      <c r="O456" s="217"/>
      <c r="P456" s="217"/>
      <c r="Q456" s="217"/>
      <c r="R456" s="217"/>
      <c r="S456" s="148" t="str">
        <f t="shared" si="243"/>
        <v>0</v>
      </c>
      <c r="T456" s="148" t="str">
        <f t="shared" si="244"/>
        <v>0</v>
      </c>
      <c r="U456" s="148" t="str">
        <f t="shared" si="245"/>
        <v>0</v>
      </c>
      <c r="V456" s="148" t="str">
        <f t="shared" si="246"/>
        <v>0</v>
      </c>
      <c r="W456" s="508"/>
      <c r="X456" s="152">
        <f t="shared" si="247"/>
        <v>0</v>
      </c>
      <c r="Y456" s="218" t="s">
        <v>169</v>
      </c>
      <c r="Z456" s="169"/>
      <c r="AA456" s="169"/>
      <c r="AB456" s="169"/>
      <c r="AC456" s="169"/>
      <c r="AD456" s="169"/>
      <c r="AE456" s="169"/>
      <c r="AF456" s="169"/>
      <c r="AG456" s="169"/>
      <c r="AH456" s="169"/>
      <c r="AI456" s="169"/>
      <c r="AJ456" s="169"/>
      <c r="AK456" s="169"/>
      <c r="AL456" s="169"/>
      <c r="AM456" s="169"/>
      <c r="AN456" s="169"/>
      <c r="AO456" s="169"/>
      <c r="AP456" s="169"/>
      <c r="AQ456" s="169"/>
      <c r="AR456" s="169"/>
      <c r="AS456" s="169"/>
      <c r="AT456" s="169"/>
      <c r="AU456" s="169"/>
      <c r="AV456" s="169"/>
      <c r="AW456" s="169"/>
      <c r="AX456" s="169"/>
      <c r="AY456" s="169"/>
      <c r="AZ456" s="169"/>
      <c r="BA456" s="169"/>
      <c r="BB456" s="169"/>
      <c r="BC456" s="169"/>
    </row>
    <row r="457" spans="1:55" ht="14.25" customHeight="1">
      <c r="A457" s="506" t="s">
        <v>123</v>
      </c>
      <c r="B457" s="156" t="s">
        <v>160</v>
      </c>
      <c r="C457" s="217"/>
      <c r="D457" s="217"/>
      <c r="E457" s="217"/>
      <c r="F457" s="217"/>
      <c r="G457" s="217"/>
      <c r="H457" s="217"/>
      <c r="I457" s="217"/>
      <c r="J457" s="217"/>
      <c r="K457" s="217"/>
      <c r="L457" s="217"/>
      <c r="M457" s="217"/>
      <c r="N457" s="217"/>
      <c r="O457" s="217"/>
      <c r="P457" s="217"/>
      <c r="Q457" s="217"/>
      <c r="R457" s="217"/>
      <c r="S457" s="148" t="str">
        <f t="shared" si="243"/>
        <v>0</v>
      </c>
      <c r="T457" s="148" t="str">
        <f t="shared" si="244"/>
        <v>0</v>
      </c>
      <c r="U457" s="148" t="str">
        <f t="shared" si="245"/>
        <v>0</v>
      </c>
      <c r="V457" s="148" t="str">
        <f t="shared" si="246"/>
        <v>0</v>
      </c>
      <c r="W457" s="513">
        <f>SUM(X457:X461)/5</f>
        <v>0</v>
      </c>
      <c r="X457" s="152">
        <f t="shared" si="247"/>
        <v>0</v>
      </c>
      <c r="Y457" s="218" t="s">
        <v>214</v>
      </c>
      <c r="Z457" s="169"/>
      <c r="AA457" s="169"/>
      <c r="AB457" s="169"/>
      <c r="AC457" s="169"/>
      <c r="AD457" s="169"/>
      <c r="AE457" s="169"/>
      <c r="AF457" s="169"/>
      <c r="AG457" s="169"/>
      <c r="AH457" s="169"/>
      <c r="AI457" s="169"/>
      <c r="AJ457" s="169"/>
      <c r="AK457" s="169"/>
      <c r="AL457" s="169"/>
      <c r="AM457" s="169"/>
      <c r="AN457" s="169"/>
      <c r="AO457" s="169"/>
      <c r="AP457" s="169"/>
      <c r="AQ457" s="169"/>
      <c r="AR457" s="169"/>
      <c r="AS457" s="169"/>
      <c r="AT457" s="169"/>
      <c r="AU457" s="169"/>
      <c r="AV457" s="169"/>
      <c r="AW457" s="169"/>
      <c r="AX457" s="169"/>
      <c r="AY457" s="169"/>
      <c r="AZ457" s="169"/>
      <c r="BA457" s="169"/>
      <c r="BB457" s="169"/>
      <c r="BC457" s="169"/>
    </row>
    <row r="458" spans="1:55" ht="14.25" customHeight="1">
      <c r="A458" s="507"/>
      <c r="B458" s="156" t="s">
        <v>163</v>
      </c>
      <c r="C458" s="217"/>
      <c r="D458" s="217"/>
      <c r="E458" s="217"/>
      <c r="F458" s="217"/>
      <c r="G458" s="217"/>
      <c r="H458" s="217"/>
      <c r="I458" s="217"/>
      <c r="J458" s="217"/>
      <c r="K458" s="217"/>
      <c r="L458" s="217"/>
      <c r="M458" s="217"/>
      <c r="N458" s="217"/>
      <c r="O458" s="217"/>
      <c r="P458" s="217"/>
      <c r="Q458" s="217"/>
      <c r="R458" s="217"/>
      <c r="S458" s="148" t="str">
        <f t="shared" si="243"/>
        <v>0</v>
      </c>
      <c r="T458" s="148" t="str">
        <f t="shared" si="244"/>
        <v>0</v>
      </c>
      <c r="U458" s="148" t="str">
        <f t="shared" si="245"/>
        <v>0</v>
      </c>
      <c r="V458" s="148" t="str">
        <f t="shared" si="246"/>
        <v>0</v>
      </c>
      <c r="W458" s="507"/>
      <c r="X458" s="152">
        <f t="shared" si="247"/>
        <v>0</v>
      </c>
      <c r="Y458" s="218" t="s">
        <v>169</v>
      </c>
      <c r="Z458" s="169"/>
      <c r="AA458" s="169"/>
      <c r="AB458" s="169"/>
      <c r="AC458" s="169"/>
      <c r="AD458" s="169"/>
      <c r="AE458" s="169"/>
      <c r="AF458" s="169"/>
      <c r="AG458" s="169"/>
      <c r="AH458" s="169"/>
      <c r="AI458" s="169"/>
      <c r="AJ458" s="169"/>
      <c r="AK458" s="169"/>
      <c r="AL458" s="169"/>
      <c r="AM458" s="169"/>
      <c r="AN458" s="169"/>
      <c r="AO458" s="169"/>
      <c r="AP458" s="169"/>
      <c r="AQ458" s="169"/>
      <c r="AR458" s="169"/>
      <c r="AS458" s="169"/>
      <c r="AT458" s="169"/>
      <c r="AU458" s="169"/>
      <c r="AV458" s="169"/>
      <c r="AW458" s="169"/>
      <c r="AX458" s="169"/>
      <c r="AY458" s="169"/>
      <c r="AZ458" s="169"/>
      <c r="BA458" s="169"/>
      <c r="BB458" s="169"/>
      <c r="BC458" s="169"/>
    </row>
    <row r="459" spans="1:55" ht="14.25" customHeight="1">
      <c r="A459" s="507"/>
      <c r="B459" s="156" t="s">
        <v>164</v>
      </c>
      <c r="C459" s="217"/>
      <c r="D459" s="217"/>
      <c r="E459" s="217"/>
      <c r="F459" s="217"/>
      <c r="G459" s="217"/>
      <c r="H459" s="217"/>
      <c r="I459" s="217"/>
      <c r="J459" s="217"/>
      <c r="K459" s="217"/>
      <c r="L459" s="217"/>
      <c r="M459" s="217"/>
      <c r="N459" s="217"/>
      <c r="O459" s="217"/>
      <c r="P459" s="217"/>
      <c r="Q459" s="217"/>
      <c r="R459" s="217"/>
      <c r="S459" s="148" t="str">
        <f t="shared" si="243"/>
        <v>0</v>
      </c>
      <c r="T459" s="148" t="str">
        <f t="shared" si="244"/>
        <v>0</v>
      </c>
      <c r="U459" s="148" t="str">
        <f t="shared" si="245"/>
        <v>0</v>
      </c>
      <c r="V459" s="148" t="str">
        <f t="shared" si="246"/>
        <v>0</v>
      </c>
      <c r="W459" s="507"/>
      <c r="X459" s="152">
        <f t="shared" si="247"/>
        <v>0</v>
      </c>
      <c r="Y459" s="218" t="s">
        <v>169</v>
      </c>
      <c r="Z459" s="169"/>
      <c r="AA459" s="169"/>
      <c r="AB459" s="169"/>
      <c r="AC459" s="169"/>
      <c r="AD459" s="169"/>
      <c r="AE459" s="169"/>
      <c r="AF459" s="169"/>
      <c r="AG459" s="169"/>
      <c r="AH459" s="169"/>
      <c r="AI459" s="169"/>
      <c r="AJ459" s="169"/>
      <c r="AK459" s="169"/>
      <c r="AL459" s="169"/>
      <c r="AM459" s="169"/>
      <c r="AN459" s="169"/>
      <c r="AO459" s="169"/>
      <c r="AP459" s="169"/>
      <c r="AQ459" s="169"/>
      <c r="AR459" s="169"/>
      <c r="AS459" s="169"/>
      <c r="AT459" s="169"/>
      <c r="AU459" s="169"/>
      <c r="AV459" s="169"/>
      <c r="AW459" s="169"/>
      <c r="AX459" s="169"/>
      <c r="AY459" s="169"/>
      <c r="AZ459" s="169"/>
      <c r="BA459" s="169"/>
      <c r="BB459" s="169"/>
      <c r="BC459" s="169"/>
    </row>
    <row r="460" spans="1:55" ht="14.25" customHeight="1">
      <c r="A460" s="507"/>
      <c r="B460" s="156" t="s">
        <v>165</v>
      </c>
      <c r="C460" s="217"/>
      <c r="D460" s="217"/>
      <c r="E460" s="217"/>
      <c r="F460" s="217"/>
      <c r="G460" s="217"/>
      <c r="H460" s="217"/>
      <c r="I460" s="217"/>
      <c r="J460" s="217"/>
      <c r="K460" s="217"/>
      <c r="L460" s="217"/>
      <c r="M460" s="217"/>
      <c r="N460" s="217"/>
      <c r="O460" s="217"/>
      <c r="P460" s="217"/>
      <c r="Q460" s="217"/>
      <c r="R460" s="217"/>
      <c r="S460" s="148" t="str">
        <f t="shared" si="243"/>
        <v>0</v>
      </c>
      <c r="T460" s="148" t="str">
        <f t="shared" si="244"/>
        <v>0</v>
      </c>
      <c r="U460" s="148" t="str">
        <f t="shared" si="245"/>
        <v>0</v>
      </c>
      <c r="V460" s="148" t="str">
        <f t="shared" si="246"/>
        <v>0</v>
      </c>
      <c r="W460" s="507"/>
      <c r="X460" s="152">
        <f t="shared" si="247"/>
        <v>0</v>
      </c>
      <c r="Y460" s="218" t="s">
        <v>169</v>
      </c>
      <c r="Z460" s="169"/>
      <c r="AA460" s="169"/>
      <c r="AB460" s="169"/>
      <c r="AC460" s="169"/>
      <c r="AD460" s="169"/>
      <c r="AE460" s="169"/>
      <c r="AF460" s="169"/>
      <c r="AG460" s="169"/>
      <c r="AH460" s="169"/>
      <c r="AI460" s="169"/>
      <c r="AJ460" s="169"/>
      <c r="AK460" s="169"/>
      <c r="AL460" s="169"/>
      <c r="AM460" s="169"/>
      <c r="AN460" s="169"/>
      <c r="AO460" s="169"/>
      <c r="AP460" s="169"/>
      <c r="AQ460" s="169"/>
      <c r="AR460" s="169"/>
      <c r="AS460" s="169"/>
      <c r="AT460" s="169"/>
      <c r="AU460" s="169"/>
      <c r="AV460" s="169"/>
      <c r="AW460" s="169"/>
      <c r="AX460" s="169"/>
      <c r="AY460" s="169"/>
      <c r="AZ460" s="169"/>
      <c r="BA460" s="169"/>
      <c r="BB460" s="169"/>
      <c r="BC460" s="169"/>
    </row>
    <row r="461" spans="1:55" ht="14.25" customHeight="1">
      <c r="A461" s="508"/>
      <c r="B461" s="156" t="s">
        <v>166</v>
      </c>
      <c r="C461" s="217"/>
      <c r="D461" s="217"/>
      <c r="E461" s="217"/>
      <c r="F461" s="217"/>
      <c r="G461" s="217"/>
      <c r="H461" s="217"/>
      <c r="I461" s="217"/>
      <c r="J461" s="217"/>
      <c r="K461" s="217"/>
      <c r="L461" s="217"/>
      <c r="M461" s="217"/>
      <c r="N461" s="217"/>
      <c r="O461" s="217"/>
      <c r="P461" s="217"/>
      <c r="Q461" s="217"/>
      <c r="R461" s="217"/>
      <c r="S461" s="148" t="str">
        <f t="shared" si="243"/>
        <v>0</v>
      </c>
      <c r="T461" s="148" t="str">
        <f t="shared" si="244"/>
        <v>0</v>
      </c>
      <c r="U461" s="148" t="str">
        <f t="shared" si="245"/>
        <v>0</v>
      </c>
      <c r="V461" s="148" t="str">
        <f t="shared" si="246"/>
        <v>0</v>
      </c>
      <c r="W461" s="508"/>
      <c r="X461" s="152">
        <f t="shared" si="247"/>
        <v>0</v>
      </c>
      <c r="Y461" s="218" t="s">
        <v>169</v>
      </c>
      <c r="Z461" s="169"/>
      <c r="AA461" s="169"/>
      <c r="AB461" s="169"/>
      <c r="AC461" s="169"/>
      <c r="AD461" s="169"/>
      <c r="AE461" s="169"/>
      <c r="AF461" s="169"/>
      <c r="AG461" s="169"/>
      <c r="AH461" s="169"/>
      <c r="AI461" s="169"/>
      <c r="AJ461" s="169"/>
      <c r="AK461" s="169"/>
      <c r="AL461" s="169"/>
      <c r="AM461" s="169"/>
      <c r="AN461" s="169"/>
      <c r="AO461" s="169"/>
      <c r="AP461" s="169"/>
      <c r="AQ461" s="169"/>
      <c r="AR461" s="169"/>
      <c r="AS461" s="169"/>
      <c r="AT461" s="169"/>
      <c r="AU461" s="169"/>
      <c r="AV461" s="169"/>
      <c r="AW461" s="169"/>
      <c r="AX461" s="169"/>
      <c r="AY461" s="169"/>
      <c r="AZ461" s="169"/>
      <c r="BA461" s="169"/>
      <c r="BB461" s="169"/>
      <c r="BC461" s="169"/>
    </row>
    <row r="462" spans="1:55" ht="14.25" customHeight="1">
      <c r="A462" s="506" t="s">
        <v>124</v>
      </c>
      <c r="B462" s="156" t="s">
        <v>160</v>
      </c>
      <c r="C462" s="217"/>
      <c r="D462" s="217"/>
      <c r="E462" s="217"/>
      <c r="F462" s="217"/>
      <c r="G462" s="217"/>
      <c r="H462" s="217"/>
      <c r="I462" s="217"/>
      <c r="J462" s="217"/>
      <c r="K462" s="217"/>
      <c r="L462" s="217"/>
      <c r="M462" s="217"/>
      <c r="N462" s="217"/>
      <c r="O462" s="217"/>
      <c r="P462" s="217"/>
      <c r="Q462" s="217"/>
      <c r="R462" s="217"/>
      <c r="S462" s="148" t="str">
        <f t="shared" si="243"/>
        <v>0</v>
      </c>
      <c r="T462" s="148" t="str">
        <f t="shared" si="244"/>
        <v>0</v>
      </c>
      <c r="U462" s="148" t="str">
        <f t="shared" si="245"/>
        <v>0</v>
      </c>
      <c r="V462" s="148" t="str">
        <f t="shared" si="246"/>
        <v>0</v>
      </c>
      <c r="W462" s="513">
        <f>SUM(X462:X466)/5</f>
        <v>0</v>
      </c>
      <c r="X462" s="152">
        <f t="shared" si="247"/>
        <v>0</v>
      </c>
      <c r="Y462" s="218" t="s">
        <v>215</v>
      </c>
      <c r="Z462" s="169"/>
      <c r="AA462" s="169"/>
      <c r="AB462" s="169"/>
      <c r="AC462" s="169"/>
      <c r="AD462" s="169"/>
      <c r="AE462" s="169"/>
      <c r="AF462" s="169"/>
      <c r="AG462" s="169"/>
      <c r="AH462" s="169"/>
      <c r="AI462" s="169"/>
      <c r="AJ462" s="169"/>
      <c r="AK462" s="169"/>
      <c r="AL462" s="169"/>
      <c r="AM462" s="169"/>
      <c r="AN462" s="169"/>
      <c r="AO462" s="169"/>
      <c r="AP462" s="169"/>
      <c r="AQ462" s="169"/>
      <c r="AR462" s="169"/>
      <c r="AS462" s="169"/>
      <c r="AT462" s="169"/>
      <c r="AU462" s="169"/>
      <c r="AV462" s="169"/>
      <c r="AW462" s="169"/>
      <c r="AX462" s="169"/>
      <c r="AY462" s="169"/>
      <c r="AZ462" s="169"/>
      <c r="BA462" s="169"/>
      <c r="BB462" s="169"/>
      <c r="BC462" s="169"/>
    </row>
    <row r="463" spans="1:55" ht="14.25" customHeight="1">
      <c r="A463" s="507"/>
      <c r="B463" s="156" t="s">
        <v>163</v>
      </c>
      <c r="C463" s="217"/>
      <c r="D463" s="217"/>
      <c r="E463" s="217"/>
      <c r="F463" s="217"/>
      <c r="G463" s="217"/>
      <c r="H463" s="217"/>
      <c r="I463" s="217"/>
      <c r="J463" s="217"/>
      <c r="K463" s="217"/>
      <c r="L463" s="217"/>
      <c r="M463" s="217"/>
      <c r="N463" s="217"/>
      <c r="O463" s="217"/>
      <c r="P463" s="217"/>
      <c r="Q463" s="217"/>
      <c r="R463" s="217"/>
      <c r="S463" s="148" t="str">
        <f t="shared" si="243"/>
        <v>0</v>
      </c>
      <c r="T463" s="148" t="str">
        <f t="shared" si="244"/>
        <v>0</v>
      </c>
      <c r="U463" s="148" t="str">
        <f t="shared" si="245"/>
        <v>0</v>
      </c>
      <c r="V463" s="148" t="str">
        <f t="shared" si="246"/>
        <v>0</v>
      </c>
      <c r="W463" s="507"/>
      <c r="X463" s="152">
        <f t="shared" si="247"/>
        <v>0</v>
      </c>
      <c r="Y463" s="218" t="s">
        <v>169</v>
      </c>
      <c r="Z463" s="169"/>
      <c r="AA463" s="169"/>
      <c r="AB463" s="169"/>
      <c r="AC463" s="169"/>
      <c r="AD463" s="169"/>
      <c r="AE463" s="169"/>
      <c r="AF463" s="169"/>
      <c r="AG463" s="169"/>
      <c r="AH463" s="169"/>
      <c r="AI463" s="169"/>
      <c r="AJ463" s="169"/>
      <c r="AK463" s="169"/>
      <c r="AL463" s="169"/>
      <c r="AM463" s="169"/>
      <c r="AN463" s="169"/>
      <c r="AO463" s="169"/>
      <c r="AP463" s="169"/>
      <c r="AQ463" s="169"/>
      <c r="AR463" s="169"/>
      <c r="AS463" s="169"/>
      <c r="AT463" s="169"/>
      <c r="AU463" s="169"/>
      <c r="AV463" s="169"/>
      <c r="AW463" s="169"/>
      <c r="AX463" s="169"/>
      <c r="AY463" s="169"/>
      <c r="AZ463" s="169"/>
      <c r="BA463" s="169"/>
      <c r="BB463" s="169"/>
      <c r="BC463" s="169"/>
    </row>
    <row r="464" spans="1:55" ht="14.25" customHeight="1">
      <c r="A464" s="507"/>
      <c r="B464" s="156" t="s">
        <v>164</v>
      </c>
      <c r="C464" s="217"/>
      <c r="D464" s="217"/>
      <c r="E464" s="217"/>
      <c r="F464" s="217"/>
      <c r="G464" s="217"/>
      <c r="H464" s="217"/>
      <c r="I464" s="217"/>
      <c r="J464" s="217"/>
      <c r="K464" s="217"/>
      <c r="L464" s="217"/>
      <c r="M464" s="217"/>
      <c r="N464" s="217"/>
      <c r="O464" s="217"/>
      <c r="P464" s="217"/>
      <c r="Q464" s="217"/>
      <c r="R464" s="217"/>
      <c r="S464" s="148" t="str">
        <f t="shared" si="243"/>
        <v>0</v>
      </c>
      <c r="T464" s="148" t="str">
        <f t="shared" si="244"/>
        <v>0</v>
      </c>
      <c r="U464" s="148" t="str">
        <f t="shared" si="245"/>
        <v>0</v>
      </c>
      <c r="V464" s="148" t="str">
        <f t="shared" si="246"/>
        <v>0</v>
      </c>
      <c r="W464" s="507"/>
      <c r="X464" s="152">
        <f t="shared" si="247"/>
        <v>0</v>
      </c>
      <c r="Y464" s="218" t="s">
        <v>169</v>
      </c>
      <c r="Z464" s="169"/>
      <c r="AA464" s="169"/>
      <c r="AB464" s="169"/>
      <c r="AC464" s="169"/>
      <c r="AD464" s="169"/>
      <c r="AE464" s="169"/>
      <c r="AF464" s="169"/>
      <c r="AG464" s="169"/>
      <c r="AH464" s="169"/>
      <c r="AI464" s="169"/>
      <c r="AJ464" s="169"/>
      <c r="AK464" s="169"/>
      <c r="AL464" s="169"/>
      <c r="AM464" s="169"/>
      <c r="AN464" s="169"/>
      <c r="AO464" s="169"/>
      <c r="AP464" s="169"/>
      <c r="AQ464" s="169"/>
      <c r="AR464" s="169"/>
      <c r="AS464" s="169"/>
      <c r="AT464" s="169"/>
      <c r="AU464" s="169"/>
      <c r="AV464" s="169"/>
      <c r="AW464" s="169"/>
      <c r="AX464" s="169"/>
      <c r="AY464" s="169"/>
      <c r="AZ464" s="169"/>
      <c r="BA464" s="169"/>
      <c r="BB464" s="169"/>
      <c r="BC464" s="169"/>
    </row>
    <row r="465" spans="1:55" ht="14.25" customHeight="1">
      <c r="A465" s="507"/>
      <c r="B465" s="156" t="s">
        <v>165</v>
      </c>
      <c r="C465" s="217"/>
      <c r="D465" s="217"/>
      <c r="E465" s="217"/>
      <c r="F465" s="217"/>
      <c r="G465" s="217"/>
      <c r="H465" s="217"/>
      <c r="I465" s="217"/>
      <c r="J465" s="217"/>
      <c r="K465" s="217"/>
      <c r="L465" s="217"/>
      <c r="M465" s="217"/>
      <c r="N465" s="217"/>
      <c r="O465" s="217"/>
      <c r="P465" s="217"/>
      <c r="Q465" s="217"/>
      <c r="R465" s="217"/>
      <c r="S465" s="148" t="str">
        <f t="shared" si="243"/>
        <v>0</v>
      </c>
      <c r="T465" s="148" t="str">
        <f t="shared" si="244"/>
        <v>0</v>
      </c>
      <c r="U465" s="148" t="str">
        <f t="shared" si="245"/>
        <v>0</v>
      </c>
      <c r="V465" s="148" t="str">
        <f t="shared" si="246"/>
        <v>0</v>
      </c>
      <c r="W465" s="507"/>
      <c r="X465" s="152">
        <f t="shared" si="247"/>
        <v>0</v>
      </c>
      <c r="Y465" s="218" t="s">
        <v>169</v>
      </c>
      <c r="Z465" s="169"/>
      <c r="AA465" s="169"/>
      <c r="AB465" s="169"/>
      <c r="AC465" s="169"/>
      <c r="AD465" s="169"/>
      <c r="AE465" s="169"/>
      <c r="AF465" s="169"/>
      <c r="AG465" s="169"/>
      <c r="AH465" s="169"/>
      <c r="AI465" s="169"/>
      <c r="AJ465" s="169"/>
      <c r="AK465" s="169"/>
      <c r="AL465" s="169"/>
      <c r="AM465" s="169"/>
      <c r="AN465" s="169"/>
      <c r="AO465" s="169"/>
      <c r="AP465" s="169"/>
      <c r="AQ465" s="169"/>
      <c r="AR465" s="169"/>
      <c r="AS465" s="169"/>
      <c r="AT465" s="169"/>
      <c r="AU465" s="169"/>
      <c r="AV465" s="169"/>
      <c r="AW465" s="169"/>
      <c r="AX465" s="169"/>
      <c r="AY465" s="169"/>
      <c r="AZ465" s="169"/>
      <c r="BA465" s="169"/>
      <c r="BB465" s="169"/>
      <c r="BC465" s="169"/>
    </row>
    <row r="466" spans="1:55" ht="14.25" customHeight="1">
      <c r="A466" s="508"/>
      <c r="B466" s="156" t="s">
        <v>166</v>
      </c>
      <c r="C466" s="217"/>
      <c r="D466" s="217"/>
      <c r="E466" s="217"/>
      <c r="F466" s="217"/>
      <c r="G466" s="217"/>
      <c r="H466" s="217"/>
      <c r="I466" s="217"/>
      <c r="J466" s="217"/>
      <c r="K466" s="217"/>
      <c r="L466" s="217"/>
      <c r="M466" s="217"/>
      <c r="N466" s="217"/>
      <c r="O466" s="217"/>
      <c r="P466" s="217"/>
      <c r="Q466" s="217"/>
      <c r="R466" s="217"/>
      <c r="S466" s="148" t="str">
        <f t="shared" si="243"/>
        <v>0</v>
      </c>
      <c r="T466" s="148" t="str">
        <f t="shared" si="244"/>
        <v>0</v>
      </c>
      <c r="U466" s="148" t="str">
        <f t="shared" si="245"/>
        <v>0</v>
      </c>
      <c r="V466" s="148" t="str">
        <f t="shared" si="246"/>
        <v>0</v>
      </c>
      <c r="W466" s="508"/>
      <c r="X466" s="152">
        <f t="shared" si="247"/>
        <v>0</v>
      </c>
      <c r="Y466" s="218" t="s">
        <v>169</v>
      </c>
      <c r="Z466" s="169"/>
      <c r="AA466" s="169"/>
      <c r="AB466" s="169"/>
      <c r="AC466" s="169"/>
      <c r="AD466" s="169"/>
      <c r="AE466" s="169"/>
      <c r="AF466" s="169"/>
      <c r="AG466" s="169"/>
      <c r="AH466" s="169"/>
      <c r="AI466" s="169"/>
      <c r="AJ466" s="169"/>
      <c r="AK466" s="169"/>
      <c r="AL466" s="169"/>
      <c r="AM466" s="169"/>
      <c r="AN466" s="169"/>
      <c r="AO466" s="169"/>
      <c r="AP466" s="169"/>
      <c r="AQ466" s="169"/>
      <c r="AR466" s="169"/>
      <c r="AS466" s="169"/>
      <c r="AT466" s="169"/>
      <c r="AU466" s="169"/>
      <c r="AV466" s="169"/>
      <c r="AW466" s="169"/>
      <c r="AX466" s="169"/>
      <c r="AY466" s="169"/>
      <c r="AZ466" s="169"/>
      <c r="BA466" s="169"/>
      <c r="BB466" s="169"/>
      <c r="BC466" s="169"/>
    </row>
    <row r="467" spans="1:55" ht="14.25" customHeight="1">
      <c r="A467" s="506" t="s">
        <v>125</v>
      </c>
      <c r="B467" s="156" t="s">
        <v>160</v>
      </c>
      <c r="C467" s="217"/>
      <c r="D467" s="217"/>
      <c r="E467" s="217"/>
      <c r="F467" s="217"/>
      <c r="G467" s="217"/>
      <c r="H467" s="217"/>
      <c r="I467" s="217"/>
      <c r="J467" s="217"/>
      <c r="K467" s="217"/>
      <c r="L467" s="217"/>
      <c r="M467" s="217"/>
      <c r="N467" s="217"/>
      <c r="O467" s="217"/>
      <c r="P467" s="217"/>
      <c r="Q467" s="217"/>
      <c r="R467" s="217"/>
      <c r="S467" s="148" t="str">
        <f t="shared" si="243"/>
        <v>0</v>
      </c>
      <c r="T467" s="148" t="str">
        <f t="shared" si="244"/>
        <v>0</v>
      </c>
      <c r="U467" s="148" t="str">
        <f t="shared" si="245"/>
        <v>0</v>
      </c>
      <c r="V467" s="148" t="str">
        <f t="shared" si="246"/>
        <v>0</v>
      </c>
      <c r="W467" s="513">
        <f>SUM(X467:X471)/5</f>
        <v>0</v>
      </c>
      <c r="X467" s="152">
        <f t="shared" si="247"/>
        <v>0</v>
      </c>
      <c r="Y467" s="218" t="s">
        <v>216</v>
      </c>
      <c r="Z467" s="169"/>
      <c r="AA467" s="169"/>
      <c r="AB467" s="169"/>
      <c r="AC467" s="169"/>
      <c r="AD467" s="169"/>
      <c r="AE467" s="169"/>
      <c r="AF467" s="169"/>
      <c r="AG467" s="169"/>
      <c r="AH467" s="169"/>
      <c r="AI467" s="169"/>
      <c r="AJ467" s="169"/>
      <c r="AK467" s="169"/>
      <c r="AL467" s="169"/>
      <c r="AM467" s="169"/>
      <c r="AN467" s="169"/>
      <c r="AO467" s="169"/>
      <c r="AP467" s="169"/>
      <c r="AQ467" s="169"/>
      <c r="AR467" s="169"/>
      <c r="AS467" s="169"/>
      <c r="AT467" s="169"/>
      <c r="AU467" s="169"/>
      <c r="AV467" s="169"/>
      <c r="AW467" s="169"/>
      <c r="AX467" s="169"/>
      <c r="AY467" s="169"/>
      <c r="AZ467" s="169"/>
      <c r="BA467" s="169"/>
      <c r="BB467" s="169"/>
      <c r="BC467" s="169"/>
    </row>
    <row r="468" spans="1:55" ht="14.25" customHeight="1">
      <c r="A468" s="507"/>
      <c r="B468" s="156" t="s">
        <v>163</v>
      </c>
      <c r="C468" s="217"/>
      <c r="D468" s="217"/>
      <c r="E468" s="217"/>
      <c r="F468" s="217"/>
      <c r="G468" s="217"/>
      <c r="H468" s="217"/>
      <c r="I468" s="217"/>
      <c r="J468" s="217"/>
      <c r="K468" s="217"/>
      <c r="L468" s="217"/>
      <c r="M468" s="217"/>
      <c r="N468" s="217"/>
      <c r="O468" s="217"/>
      <c r="P468" s="217"/>
      <c r="Q468" s="217"/>
      <c r="R468" s="217"/>
      <c r="S468" s="148" t="str">
        <f t="shared" si="243"/>
        <v>0</v>
      </c>
      <c r="T468" s="148" t="str">
        <f t="shared" si="244"/>
        <v>0</v>
      </c>
      <c r="U468" s="148" t="str">
        <f t="shared" si="245"/>
        <v>0</v>
      </c>
      <c r="V468" s="148" t="str">
        <f t="shared" si="246"/>
        <v>0</v>
      </c>
      <c r="W468" s="507"/>
      <c r="X468" s="152">
        <f t="shared" si="247"/>
        <v>0</v>
      </c>
      <c r="Y468" s="218" t="s">
        <v>169</v>
      </c>
      <c r="Z468" s="169"/>
      <c r="AA468" s="169"/>
      <c r="AB468" s="169"/>
      <c r="AC468" s="169"/>
      <c r="AD468" s="169"/>
      <c r="AE468" s="169"/>
      <c r="AF468" s="169"/>
      <c r="AG468" s="169"/>
      <c r="AH468" s="169"/>
      <c r="AI468" s="169"/>
      <c r="AJ468" s="169"/>
      <c r="AK468" s="169"/>
      <c r="AL468" s="169"/>
      <c r="AM468" s="169"/>
      <c r="AN468" s="169"/>
      <c r="AO468" s="169"/>
      <c r="AP468" s="169"/>
      <c r="AQ468" s="169"/>
      <c r="AR468" s="169"/>
      <c r="AS468" s="169"/>
      <c r="AT468" s="169"/>
      <c r="AU468" s="169"/>
      <c r="AV468" s="169"/>
      <c r="AW468" s="169"/>
      <c r="AX468" s="169"/>
      <c r="AY468" s="169"/>
      <c r="AZ468" s="169"/>
      <c r="BA468" s="169"/>
      <c r="BB468" s="169"/>
      <c r="BC468" s="169"/>
    </row>
    <row r="469" spans="1:55" ht="14.25" customHeight="1">
      <c r="A469" s="507"/>
      <c r="B469" s="156" t="s">
        <v>164</v>
      </c>
      <c r="C469" s="217"/>
      <c r="D469" s="217"/>
      <c r="E469" s="217"/>
      <c r="F469" s="217"/>
      <c r="G469" s="217"/>
      <c r="H469" s="217"/>
      <c r="I469" s="217"/>
      <c r="J469" s="217"/>
      <c r="K469" s="217"/>
      <c r="L469" s="217"/>
      <c r="M469" s="217"/>
      <c r="N469" s="217"/>
      <c r="O469" s="217"/>
      <c r="P469" s="217"/>
      <c r="Q469" s="217"/>
      <c r="R469" s="217"/>
      <c r="S469" s="148" t="str">
        <f t="shared" si="243"/>
        <v>0</v>
      </c>
      <c r="T469" s="148" t="str">
        <f t="shared" si="244"/>
        <v>0</v>
      </c>
      <c r="U469" s="148" t="str">
        <f t="shared" si="245"/>
        <v>0</v>
      </c>
      <c r="V469" s="148" t="str">
        <f t="shared" si="246"/>
        <v>0</v>
      </c>
      <c r="W469" s="507"/>
      <c r="X469" s="152">
        <f t="shared" si="247"/>
        <v>0</v>
      </c>
      <c r="Y469" s="218" t="s">
        <v>169</v>
      </c>
      <c r="Z469" s="169"/>
      <c r="AA469" s="169"/>
      <c r="AB469" s="169"/>
      <c r="AC469" s="169"/>
      <c r="AD469" s="169"/>
      <c r="AE469" s="169"/>
      <c r="AF469" s="169"/>
      <c r="AG469" s="169"/>
      <c r="AH469" s="169"/>
      <c r="AI469" s="169"/>
      <c r="AJ469" s="169"/>
      <c r="AK469" s="169"/>
      <c r="AL469" s="169"/>
      <c r="AM469" s="169"/>
      <c r="AN469" s="169"/>
      <c r="AO469" s="169"/>
      <c r="AP469" s="169"/>
      <c r="AQ469" s="169"/>
      <c r="AR469" s="169"/>
      <c r="AS469" s="169"/>
      <c r="AT469" s="169"/>
      <c r="AU469" s="169"/>
      <c r="AV469" s="169"/>
      <c r="AW469" s="169"/>
      <c r="AX469" s="169"/>
      <c r="AY469" s="169"/>
      <c r="AZ469" s="169"/>
      <c r="BA469" s="169"/>
      <c r="BB469" s="169"/>
      <c r="BC469" s="169"/>
    </row>
    <row r="470" spans="1:55" ht="14.25" customHeight="1">
      <c r="A470" s="507"/>
      <c r="B470" s="156" t="s">
        <v>165</v>
      </c>
      <c r="C470" s="217"/>
      <c r="D470" s="217"/>
      <c r="E470" s="217"/>
      <c r="F470" s="217"/>
      <c r="G470" s="217"/>
      <c r="H470" s="217"/>
      <c r="I470" s="217"/>
      <c r="J470" s="217"/>
      <c r="K470" s="217"/>
      <c r="L470" s="217"/>
      <c r="M470" s="217"/>
      <c r="N470" s="217"/>
      <c r="O470" s="217"/>
      <c r="P470" s="217"/>
      <c r="Q470" s="217"/>
      <c r="R470" s="217"/>
      <c r="S470" s="148" t="str">
        <f t="shared" si="243"/>
        <v>0</v>
      </c>
      <c r="T470" s="148" t="str">
        <f t="shared" si="244"/>
        <v>0</v>
      </c>
      <c r="U470" s="148" t="str">
        <f t="shared" si="245"/>
        <v>0</v>
      </c>
      <c r="V470" s="148" t="str">
        <f t="shared" si="246"/>
        <v>0</v>
      </c>
      <c r="W470" s="507"/>
      <c r="X470" s="152">
        <f t="shared" si="247"/>
        <v>0</v>
      </c>
      <c r="Y470" s="218" t="s">
        <v>169</v>
      </c>
      <c r="Z470" s="169"/>
      <c r="AA470" s="169"/>
      <c r="AB470" s="169"/>
      <c r="AC470" s="169"/>
      <c r="AD470" s="169"/>
      <c r="AE470" s="169"/>
      <c r="AF470" s="169"/>
      <c r="AG470" s="169"/>
      <c r="AH470" s="169"/>
      <c r="AI470" s="169"/>
      <c r="AJ470" s="169"/>
      <c r="AK470" s="169"/>
      <c r="AL470" s="169"/>
      <c r="AM470" s="169"/>
      <c r="AN470" s="169"/>
      <c r="AO470" s="169"/>
      <c r="AP470" s="169"/>
      <c r="AQ470" s="169"/>
      <c r="AR470" s="169"/>
      <c r="AS470" s="169"/>
      <c r="AT470" s="169"/>
      <c r="AU470" s="169"/>
      <c r="AV470" s="169"/>
      <c r="AW470" s="169"/>
      <c r="AX470" s="169"/>
      <c r="AY470" s="169"/>
      <c r="AZ470" s="169"/>
      <c r="BA470" s="169"/>
      <c r="BB470" s="169"/>
      <c r="BC470" s="169"/>
    </row>
    <row r="471" spans="1:55" ht="14.25" customHeight="1">
      <c r="A471" s="508"/>
      <c r="B471" s="156" t="s">
        <v>166</v>
      </c>
      <c r="C471" s="217"/>
      <c r="D471" s="217"/>
      <c r="E471" s="217"/>
      <c r="F471" s="217"/>
      <c r="G471" s="217"/>
      <c r="H471" s="217"/>
      <c r="I471" s="217"/>
      <c r="J471" s="217"/>
      <c r="K471" s="217"/>
      <c r="L471" s="217"/>
      <c r="M471" s="217"/>
      <c r="N471" s="217"/>
      <c r="O471" s="217"/>
      <c r="P471" s="217"/>
      <c r="Q471" s="217"/>
      <c r="R471" s="217"/>
      <c r="S471" s="148" t="str">
        <f t="shared" si="243"/>
        <v>0</v>
      </c>
      <c r="T471" s="148" t="str">
        <f t="shared" si="244"/>
        <v>0</v>
      </c>
      <c r="U471" s="148" t="str">
        <f t="shared" si="245"/>
        <v>0</v>
      </c>
      <c r="V471" s="148" t="str">
        <f t="shared" si="246"/>
        <v>0</v>
      </c>
      <c r="W471" s="508"/>
      <c r="X471" s="152">
        <f t="shared" si="247"/>
        <v>0</v>
      </c>
      <c r="Y471" s="218" t="s">
        <v>169</v>
      </c>
      <c r="Z471" s="169"/>
      <c r="AA471" s="169"/>
      <c r="AB471" s="169"/>
      <c r="AC471" s="169"/>
      <c r="AD471" s="169"/>
      <c r="AE471" s="169"/>
      <c r="AF471" s="169"/>
      <c r="AG471" s="169"/>
      <c r="AH471" s="169"/>
      <c r="AI471" s="169"/>
      <c r="AJ471" s="169"/>
      <c r="AK471" s="169"/>
      <c r="AL471" s="169"/>
      <c r="AM471" s="169"/>
      <c r="AN471" s="169"/>
      <c r="AO471" s="169"/>
      <c r="AP471" s="169"/>
      <c r="AQ471" s="169"/>
      <c r="AR471" s="169"/>
      <c r="AS471" s="169"/>
      <c r="AT471" s="169"/>
      <c r="AU471" s="169"/>
      <c r="AV471" s="169"/>
      <c r="AW471" s="169"/>
      <c r="AX471" s="169"/>
      <c r="AY471" s="169"/>
      <c r="AZ471" s="169"/>
      <c r="BA471" s="169"/>
      <c r="BB471" s="169"/>
      <c r="BC471" s="169"/>
    </row>
    <row r="472" spans="1:55" ht="14.25" customHeight="1">
      <c r="A472" s="177"/>
      <c r="B472" s="177"/>
      <c r="C472" s="177"/>
      <c r="D472" s="177"/>
      <c r="E472" s="177"/>
      <c r="F472" s="177"/>
      <c r="G472" s="177"/>
      <c r="H472" s="177"/>
      <c r="I472" s="177"/>
      <c r="J472" s="177"/>
      <c r="K472" s="177"/>
      <c r="L472" s="177"/>
      <c r="M472" s="177"/>
      <c r="N472" s="177"/>
      <c r="O472" s="177"/>
      <c r="P472" s="177"/>
      <c r="Q472" s="177"/>
      <c r="R472" s="177"/>
      <c r="S472" s="177"/>
      <c r="T472" s="177"/>
      <c r="U472" s="177"/>
      <c r="V472" s="177"/>
      <c r="W472" s="177"/>
      <c r="X472" s="177"/>
      <c r="Y472" s="169"/>
      <c r="Z472" s="169"/>
      <c r="AA472" s="169"/>
      <c r="AB472" s="169"/>
      <c r="AC472" s="169"/>
      <c r="AD472" s="169"/>
      <c r="AE472" s="169"/>
      <c r="AF472" s="169"/>
      <c r="AG472" s="169"/>
      <c r="AH472" s="169"/>
      <c r="AI472" s="169"/>
      <c r="AJ472" s="169"/>
      <c r="AK472" s="169"/>
      <c r="AL472" s="169"/>
      <c r="AM472" s="169"/>
      <c r="AN472" s="169"/>
      <c r="AO472" s="169"/>
      <c r="AP472" s="169"/>
      <c r="AQ472" s="169"/>
      <c r="AR472" s="169"/>
      <c r="AS472" s="169"/>
      <c r="AT472" s="169"/>
      <c r="AU472" s="169"/>
      <c r="AV472" s="169"/>
      <c r="AW472" s="169"/>
      <c r="AX472" s="169"/>
      <c r="AY472" s="169"/>
      <c r="AZ472" s="169"/>
      <c r="BA472" s="169"/>
      <c r="BB472" s="169"/>
      <c r="BC472" s="169"/>
    </row>
    <row r="473" spans="1:55" ht="14.25" customHeight="1">
      <c r="A473" s="169"/>
      <c r="B473" s="169"/>
      <c r="C473" s="169"/>
      <c r="D473" s="169"/>
      <c r="E473" s="169"/>
      <c r="F473" s="169"/>
      <c r="G473" s="169"/>
      <c r="H473" s="169"/>
      <c r="I473" s="169"/>
      <c r="J473" s="169"/>
      <c r="K473" s="169"/>
      <c r="L473" s="169"/>
      <c r="M473" s="169"/>
      <c r="N473" s="169"/>
      <c r="O473" s="169"/>
      <c r="P473" s="169"/>
      <c r="Q473" s="169"/>
      <c r="R473" s="169"/>
      <c r="S473" s="169"/>
      <c r="T473" s="169"/>
      <c r="U473" s="169"/>
      <c r="V473" s="169"/>
      <c r="W473" s="169"/>
      <c r="X473" s="169"/>
      <c r="Y473" s="169"/>
      <c r="Z473" s="169"/>
      <c r="AA473" s="169"/>
      <c r="AB473" s="169"/>
      <c r="AC473" s="169"/>
      <c r="AD473" s="169"/>
      <c r="AE473" s="169"/>
      <c r="AF473" s="169"/>
      <c r="AG473" s="169"/>
      <c r="AH473" s="169"/>
      <c r="AI473" s="169"/>
      <c r="AJ473" s="169"/>
      <c r="AK473" s="169"/>
      <c r="AL473" s="169"/>
      <c r="AM473" s="169"/>
      <c r="AN473" s="169"/>
      <c r="AO473" s="169"/>
      <c r="AP473" s="169"/>
      <c r="AQ473" s="169"/>
      <c r="AR473" s="169"/>
      <c r="AS473" s="169"/>
      <c r="AT473" s="169"/>
      <c r="AU473" s="169"/>
      <c r="AV473" s="169"/>
      <c r="AW473" s="169"/>
      <c r="AX473" s="169"/>
      <c r="AY473" s="169"/>
      <c r="AZ473" s="169"/>
      <c r="BA473" s="169"/>
      <c r="BB473" s="169"/>
      <c r="BC473" s="169"/>
    </row>
    <row r="474" spans="1:55" ht="14.25" customHeight="1">
      <c r="A474" s="167" t="s">
        <v>225</v>
      </c>
      <c r="B474" s="168"/>
      <c r="C474" s="168"/>
      <c r="D474" s="168"/>
      <c r="E474" s="168"/>
      <c r="F474" s="168"/>
      <c r="G474" s="168"/>
      <c r="H474" s="168"/>
      <c r="I474" s="168"/>
      <c r="J474" s="168"/>
      <c r="K474" s="168"/>
      <c r="L474" s="168"/>
      <c r="M474" s="168"/>
      <c r="N474" s="168"/>
      <c r="O474" s="168"/>
      <c r="P474" s="169"/>
      <c r="Q474" s="169"/>
      <c r="R474" s="169"/>
      <c r="S474" s="169"/>
      <c r="T474" s="169"/>
      <c r="U474" s="169"/>
      <c r="V474" s="169"/>
      <c r="W474" s="169"/>
      <c r="X474" s="169"/>
      <c r="Y474" s="169"/>
      <c r="Z474" s="169"/>
      <c r="AA474" s="169"/>
      <c r="AB474" s="169"/>
      <c r="AC474" s="169"/>
      <c r="AD474" s="169"/>
      <c r="AE474" s="169"/>
      <c r="AF474" s="169"/>
      <c r="AG474" s="169"/>
      <c r="AH474" s="169"/>
      <c r="AI474" s="169"/>
      <c r="AJ474" s="169"/>
      <c r="AK474" s="169"/>
      <c r="AL474" s="169"/>
      <c r="AM474" s="169"/>
      <c r="AN474" s="169"/>
      <c r="AO474" s="169"/>
      <c r="AP474" s="169"/>
      <c r="AQ474" s="169"/>
      <c r="AR474" s="169"/>
      <c r="AS474" s="169"/>
      <c r="AT474" s="169"/>
      <c r="AU474" s="169"/>
      <c r="AV474" s="169"/>
      <c r="AW474" s="169"/>
      <c r="AX474" s="169"/>
      <c r="AY474" s="169"/>
      <c r="AZ474" s="169"/>
      <c r="BA474" s="169"/>
      <c r="BB474" s="169"/>
      <c r="BC474" s="169"/>
    </row>
    <row r="475" spans="1:55" ht="14.25" customHeight="1">
      <c r="A475" s="511" t="s">
        <v>37</v>
      </c>
      <c r="B475" s="502" t="s">
        <v>226</v>
      </c>
      <c r="C475" s="503"/>
      <c r="D475" s="504"/>
      <c r="E475" s="504"/>
      <c r="F475" s="504"/>
      <c r="G475" s="504"/>
      <c r="H475" s="505"/>
      <c r="I475" s="502" t="s">
        <v>227</v>
      </c>
      <c r="J475" s="503"/>
      <c r="K475" s="504"/>
      <c r="L475" s="504"/>
      <c r="M475" s="504"/>
      <c r="N475" s="504"/>
      <c r="O475" s="505"/>
      <c r="P475" s="170"/>
      <c r="Q475" s="169"/>
      <c r="R475" s="169"/>
      <c r="S475" s="169"/>
      <c r="T475" s="169"/>
      <c r="U475" s="169"/>
      <c r="V475" s="169"/>
      <c r="W475" s="169"/>
      <c r="X475" s="169"/>
      <c r="Y475" s="169"/>
      <c r="Z475" s="169"/>
      <c r="AA475" s="169"/>
      <c r="AB475" s="169"/>
      <c r="AC475" s="169"/>
      <c r="AD475" s="169"/>
      <c r="AE475" s="169"/>
      <c r="AF475" s="169"/>
      <c r="AG475" s="169"/>
      <c r="AH475" s="169"/>
      <c r="AI475" s="169"/>
      <c r="AJ475" s="169"/>
      <c r="AK475" s="169"/>
      <c r="AL475" s="169"/>
      <c r="AM475" s="169"/>
      <c r="AN475" s="169"/>
      <c r="AO475" s="169"/>
      <c r="AP475" s="169"/>
      <c r="AQ475" s="169"/>
      <c r="AR475" s="169"/>
      <c r="AS475" s="169"/>
      <c r="AT475" s="169"/>
      <c r="AU475" s="169"/>
      <c r="AV475" s="169"/>
      <c r="AW475" s="169"/>
      <c r="AX475" s="169"/>
      <c r="AY475" s="169"/>
      <c r="AZ475" s="169"/>
      <c r="BA475" s="169"/>
      <c r="BB475" s="169"/>
      <c r="BC475" s="169"/>
    </row>
    <row r="476" spans="1:55" ht="14.25" customHeight="1">
      <c r="A476" s="521"/>
      <c r="B476" s="32" t="s">
        <v>228</v>
      </c>
      <c r="C476" s="32" t="s">
        <v>229</v>
      </c>
      <c r="D476" s="32" t="s">
        <v>230</v>
      </c>
      <c r="E476" s="32" t="s">
        <v>231</v>
      </c>
      <c r="F476" s="32" t="s">
        <v>232</v>
      </c>
      <c r="G476" s="32" t="s">
        <v>233</v>
      </c>
      <c r="H476" s="32" t="s">
        <v>234</v>
      </c>
      <c r="I476" s="32" t="s">
        <v>228</v>
      </c>
      <c r="J476" s="32" t="s">
        <v>229</v>
      </c>
      <c r="K476" s="32" t="s">
        <v>230</v>
      </c>
      <c r="L476" s="32" t="s">
        <v>231</v>
      </c>
      <c r="M476" s="32" t="s">
        <v>232</v>
      </c>
      <c r="N476" s="32" t="s">
        <v>233</v>
      </c>
      <c r="O476" s="32" t="s">
        <v>234</v>
      </c>
      <c r="P476" s="170"/>
      <c r="Q476" s="169"/>
      <c r="R476" s="169"/>
      <c r="S476" s="169"/>
      <c r="T476" s="169"/>
      <c r="U476" s="169"/>
      <c r="V476" s="169"/>
      <c r="W476" s="169"/>
      <c r="X476" s="169"/>
      <c r="Y476" s="169"/>
      <c r="Z476" s="169"/>
      <c r="AA476" s="169"/>
      <c r="AB476" s="169"/>
      <c r="AC476" s="169"/>
      <c r="AD476" s="169"/>
      <c r="AE476" s="169"/>
      <c r="AF476" s="169"/>
      <c r="AG476" s="169"/>
      <c r="AH476" s="169"/>
      <c r="AI476" s="169"/>
      <c r="AJ476" s="169"/>
      <c r="AK476" s="169"/>
      <c r="AL476" s="169"/>
      <c r="AM476" s="169"/>
      <c r="AN476" s="169"/>
      <c r="AO476" s="169"/>
      <c r="AP476" s="169"/>
      <c r="AQ476" s="169"/>
      <c r="AR476" s="169"/>
      <c r="AS476" s="169"/>
      <c r="AT476" s="169"/>
      <c r="AU476" s="169"/>
      <c r="AV476" s="169"/>
      <c r="AW476" s="169"/>
      <c r="AX476" s="169"/>
      <c r="AY476" s="169"/>
      <c r="AZ476" s="169"/>
      <c r="BA476" s="169"/>
      <c r="BB476" s="169"/>
      <c r="BC476" s="169"/>
    </row>
    <row r="477" spans="1:55" ht="14.25" customHeight="1">
      <c r="A477" s="43" t="s">
        <v>241</v>
      </c>
      <c r="B477" s="223">
        <f>57/118</f>
        <v>0.48305084745762711</v>
      </c>
      <c r="C477" s="223">
        <f>79/118</f>
        <v>0.66949152542372881</v>
      </c>
      <c r="D477" s="223">
        <f>65/118</f>
        <v>0.55084745762711862</v>
      </c>
      <c r="E477" s="224">
        <v>0.55084745762711895</v>
      </c>
      <c r="F477" s="224"/>
      <c r="G477" s="224"/>
      <c r="H477" s="224">
        <f t="shared" ref="H477:H508" si="248">D477</f>
        <v>0.55084745762711862</v>
      </c>
      <c r="I477" s="223"/>
      <c r="J477" s="223"/>
      <c r="K477" s="223"/>
      <c r="L477" s="224"/>
      <c r="M477" s="224"/>
      <c r="N477" s="224"/>
      <c r="O477" s="224">
        <f t="shared" ref="O477:O508" si="249">K477</f>
        <v>0</v>
      </c>
      <c r="P477" s="170"/>
      <c r="Q477" s="169"/>
      <c r="R477" s="169"/>
      <c r="S477" s="169"/>
      <c r="T477" s="169"/>
      <c r="U477" s="169"/>
      <c r="V477" s="169"/>
      <c r="W477" s="169"/>
      <c r="X477" s="169"/>
      <c r="Y477" s="169"/>
      <c r="Z477" s="169"/>
      <c r="AA477" s="169"/>
      <c r="AB477" s="169"/>
      <c r="AC477" s="169"/>
      <c r="AD477" s="169"/>
      <c r="AE477" s="169"/>
      <c r="AF477" s="169"/>
      <c r="AG477" s="169"/>
      <c r="AH477" s="169"/>
      <c r="AI477" s="169"/>
      <c r="AJ477" s="169"/>
      <c r="AK477" s="169"/>
      <c r="AL477" s="169"/>
      <c r="AM477" s="169"/>
      <c r="AN477" s="169"/>
      <c r="AO477" s="169"/>
      <c r="AP477" s="169"/>
      <c r="AQ477" s="169"/>
      <c r="AR477" s="169"/>
      <c r="AS477" s="169"/>
      <c r="AT477" s="169"/>
      <c r="AU477" s="169"/>
      <c r="AV477" s="169"/>
      <c r="AW477" s="169"/>
      <c r="AX477" s="169"/>
      <c r="AY477" s="169"/>
      <c r="AZ477" s="169"/>
      <c r="BA477" s="169"/>
      <c r="BB477" s="169"/>
      <c r="BC477" s="169"/>
    </row>
    <row r="478" spans="1:55" ht="14.25" customHeight="1">
      <c r="A478" s="45" t="s">
        <v>47</v>
      </c>
      <c r="B478" s="223"/>
      <c r="C478" s="223"/>
      <c r="D478" s="223"/>
      <c r="E478" s="224"/>
      <c r="F478" s="224"/>
      <c r="G478" s="224"/>
      <c r="H478" s="224">
        <f t="shared" si="248"/>
        <v>0</v>
      </c>
      <c r="I478" s="223"/>
      <c r="J478" s="223"/>
      <c r="K478" s="223"/>
      <c r="L478" s="224"/>
      <c r="M478" s="224"/>
      <c r="N478" s="224"/>
      <c r="O478" s="224">
        <f t="shared" si="249"/>
        <v>0</v>
      </c>
      <c r="P478" s="170"/>
      <c r="Q478" s="169"/>
      <c r="R478" s="169"/>
      <c r="S478" s="169"/>
      <c r="T478" s="169"/>
      <c r="U478" s="169"/>
      <c r="V478" s="169"/>
      <c r="W478" s="169"/>
      <c r="X478" s="169"/>
      <c r="Y478" s="169"/>
      <c r="Z478" s="169"/>
      <c r="AA478" s="169"/>
      <c r="AB478" s="169"/>
      <c r="AC478" s="169"/>
      <c r="AD478" s="169"/>
      <c r="AE478" s="169"/>
      <c r="AF478" s="169"/>
      <c r="AG478" s="169"/>
      <c r="AH478" s="169"/>
      <c r="AI478" s="169"/>
      <c r="AJ478" s="169"/>
      <c r="AK478" s="169"/>
      <c r="AL478" s="169"/>
      <c r="AM478" s="169"/>
      <c r="AN478" s="169"/>
      <c r="AO478" s="169"/>
      <c r="AP478" s="169"/>
      <c r="AQ478" s="169"/>
      <c r="AR478" s="169"/>
      <c r="AS478" s="169"/>
      <c r="AT478" s="169"/>
      <c r="AU478" s="169"/>
      <c r="AV478" s="169"/>
      <c r="AW478" s="169"/>
      <c r="AX478" s="169"/>
      <c r="AY478" s="169"/>
      <c r="AZ478" s="169"/>
      <c r="BA478" s="169"/>
      <c r="BB478" s="169"/>
      <c r="BC478" s="169"/>
    </row>
    <row r="479" spans="1:55" ht="14.25" customHeight="1">
      <c r="A479" s="12" t="s">
        <v>242</v>
      </c>
      <c r="B479" s="223">
        <f t="shared" ref="B479:B480" si="250">(484+57)/(1279+118)</f>
        <v>0.38725841088045815</v>
      </c>
      <c r="C479" s="223">
        <f t="shared" ref="C479:C480" si="251">(812+79)/(1279+118)</f>
        <v>0.63779527559055116</v>
      </c>
      <c r="D479" s="223">
        <f t="shared" ref="D479:D480" si="252">(522+65)/(1279+118)</f>
        <v>0.42018611309949894</v>
      </c>
      <c r="E479" s="224">
        <v>0.42018611309949899</v>
      </c>
      <c r="F479" s="224"/>
      <c r="G479" s="224"/>
      <c r="H479" s="224">
        <f t="shared" si="248"/>
        <v>0.42018611309949894</v>
      </c>
      <c r="I479" s="223"/>
      <c r="J479" s="223"/>
      <c r="K479" s="223"/>
      <c r="L479" s="224"/>
      <c r="M479" s="224"/>
      <c r="N479" s="224"/>
      <c r="O479" s="224">
        <f t="shared" si="249"/>
        <v>0</v>
      </c>
      <c r="P479" s="170"/>
      <c r="Q479" s="169"/>
      <c r="R479" s="169"/>
      <c r="S479" s="169"/>
      <c r="T479" s="169"/>
      <c r="U479" s="169"/>
      <c r="V479" s="169"/>
      <c r="W479" s="169"/>
      <c r="X479" s="169"/>
      <c r="Y479" s="169"/>
      <c r="Z479" s="169"/>
      <c r="AA479" s="169"/>
      <c r="AB479" s="169"/>
      <c r="AC479" s="169"/>
      <c r="AD479" s="169"/>
      <c r="AE479" s="169"/>
      <c r="AF479" s="169"/>
      <c r="AG479" s="169"/>
      <c r="AH479" s="169"/>
      <c r="AI479" s="169"/>
      <c r="AJ479" s="169"/>
      <c r="AK479" s="169"/>
      <c r="AL479" s="169"/>
      <c r="AM479" s="169"/>
      <c r="AN479" s="169"/>
      <c r="AO479" s="169"/>
      <c r="AP479" s="169"/>
      <c r="AQ479" s="169"/>
      <c r="AR479" s="169"/>
      <c r="AS479" s="169"/>
      <c r="AT479" s="169"/>
      <c r="AU479" s="169"/>
      <c r="AV479" s="169"/>
      <c r="AW479" s="169"/>
      <c r="AX479" s="169"/>
      <c r="AY479" s="169"/>
      <c r="AZ479" s="169"/>
      <c r="BA479" s="169"/>
      <c r="BB479" s="169"/>
      <c r="BC479" s="169"/>
    </row>
    <row r="480" spans="1:55" ht="14.25" customHeight="1">
      <c r="A480" s="12" t="s">
        <v>243</v>
      </c>
      <c r="B480" s="223">
        <f t="shared" si="250"/>
        <v>0.38725841088045815</v>
      </c>
      <c r="C480" s="223">
        <f t="shared" si="251"/>
        <v>0.63779527559055116</v>
      </c>
      <c r="D480" s="223">
        <f t="shared" si="252"/>
        <v>0.42018611309949894</v>
      </c>
      <c r="E480" s="224">
        <v>0.42018611309949899</v>
      </c>
      <c r="F480" s="224"/>
      <c r="G480" s="224"/>
      <c r="H480" s="224">
        <f t="shared" si="248"/>
        <v>0.42018611309949894</v>
      </c>
      <c r="I480" s="223"/>
      <c r="J480" s="223"/>
      <c r="K480" s="223"/>
      <c r="L480" s="224"/>
      <c r="M480" s="224"/>
      <c r="N480" s="224"/>
      <c r="O480" s="224">
        <f t="shared" si="249"/>
        <v>0</v>
      </c>
      <c r="P480" s="170"/>
      <c r="Q480" s="169"/>
      <c r="R480" s="169"/>
      <c r="S480" s="169"/>
      <c r="T480" s="169"/>
      <c r="U480" s="169"/>
      <c r="V480" s="169"/>
      <c r="W480" s="169"/>
      <c r="X480" s="169"/>
      <c r="Y480" s="169"/>
      <c r="Z480" s="169"/>
      <c r="AA480" s="169"/>
      <c r="AB480" s="169"/>
      <c r="AC480" s="169"/>
      <c r="AD480" s="169"/>
      <c r="AE480" s="169"/>
      <c r="AF480" s="169"/>
      <c r="AG480" s="169"/>
      <c r="AH480" s="169"/>
      <c r="AI480" s="169"/>
      <c r="AJ480" s="169"/>
      <c r="AK480" s="169"/>
      <c r="AL480" s="169"/>
      <c r="AM480" s="169"/>
      <c r="AN480" s="169"/>
      <c r="AO480" s="169"/>
      <c r="AP480" s="169"/>
      <c r="AQ480" s="169"/>
      <c r="AR480" s="169"/>
      <c r="AS480" s="169"/>
      <c r="AT480" s="169"/>
      <c r="AU480" s="169"/>
      <c r="AV480" s="169"/>
      <c r="AW480" s="169"/>
      <c r="AX480" s="169"/>
      <c r="AY480" s="169"/>
      <c r="AZ480" s="169"/>
      <c r="BA480" s="169"/>
      <c r="BB480" s="169"/>
      <c r="BC480" s="169"/>
    </row>
    <row r="481" spans="1:55" ht="14.25" customHeight="1">
      <c r="A481" s="38" t="s">
        <v>44</v>
      </c>
      <c r="B481" s="223">
        <f>484/1279</f>
        <v>0.37842064112587959</v>
      </c>
      <c r="C481" s="223">
        <f>812/1279</f>
        <v>0.63487099296325256</v>
      </c>
      <c r="D481" s="223">
        <f t="shared" ref="D481:E481" si="253">522/1279</f>
        <v>0.40813135261923378</v>
      </c>
      <c r="E481" s="224">
        <f t="shared" si="253"/>
        <v>0.40813135261923378</v>
      </c>
      <c r="F481" s="224"/>
      <c r="G481" s="224"/>
      <c r="H481" s="224">
        <f t="shared" si="248"/>
        <v>0.40813135261923378</v>
      </c>
      <c r="I481" s="223"/>
      <c r="J481" s="223"/>
      <c r="K481" s="223"/>
      <c r="L481" s="224"/>
      <c r="M481" s="224"/>
      <c r="N481" s="224"/>
      <c r="O481" s="224">
        <f t="shared" si="249"/>
        <v>0</v>
      </c>
      <c r="P481" s="170"/>
      <c r="Q481" s="169"/>
      <c r="R481" s="169"/>
      <c r="S481" s="169"/>
      <c r="T481" s="169"/>
      <c r="U481" s="169"/>
      <c r="V481" s="169"/>
      <c r="W481" s="169"/>
      <c r="X481" s="169"/>
      <c r="Y481" s="169"/>
      <c r="Z481" s="169"/>
      <c r="AA481" s="169"/>
      <c r="AB481" s="169"/>
      <c r="AC481" s="169"/>
      <c r="AD481" s="169"/>
      <c r="AE481" s="169"/>
      <c r="AF481" s="169"/>
      <c r="AG481" s="169"/>
      <c r="AH481" s="169"/>
      <c r="AI481" s="169"/>
      <c r="AJ481" s="169"/>
      <c r="AK481" s="169"/>
      <c r="AL481" s="169"/>
      <c r="AM481" s="169"/>
      <c r="AN481" s="169"/>
      <c r="AO481" s="169"/>
      <c r="AP481" s="169"/>
      <c r="AQ481" s="169"/>
      <c r="AR481" s="169"/>
      <c r="AS481" s="169"/>
      <c r="AT481" s="169"/>
      <c r="AU481" s="169"/>
      <c r="AV481" s="169"/>
      <c r="AW481" s="169"/>
      <c r="AX481" s="169"/>
      <c r="AY481" s="169"/>
      <c r="AZ481" s="169"/>
      <c r="BA481" s="169"/>
      <c r="BB481" s="169"/>
      <c r="BC481" s="169"/>
    </row>
    <row r="482" spans="1:55" ht="14.25" customHeight="1">
      <c r="A482" s="12" t="s">
        <v>48</v>
      </c>
      <c r="B482" s="223"/>
      <c r="C482" s="223"/>
      <c r="D482" s="223"/>
      <c r="E482" s="224"/>
      <c r="F482" s="224"/>
      <c r="G482" s="224"/>
      <c r="H482" s="224">
        <f t="shared" si="248"/>
        <v>0</v>
      </c>
      <c r="I482" s="223"/>
      <c r="J482" s="223"/>
      <c r="K482" s="223"/>
      <c r="L482" s="224"/>
      <c r="M482" s="224"/>
      <c r="N482" s="224"/>
      <c r="O482" s="224">
        <f t="shared" si="249"/>
        <v>0</v>
      </c>
      <c r="P482" s="170"/>
      <c r="Q482" s="169"/>
      <c r="R482" s="169"/>
      <c r="S482" s="169"/>
      <c r="T482" s="169"/>
      <c r="U482" s="169"/>
      <c r="V482" s="169"/>
      <c r="W482" s="169"/>
      <c r="X482" s="169"/>
      <c r="Y482" s="169"/>
      <c r="Z482" s="169"/>
      <c r="AA482" s="169"/>
      <c r="AB482" s="169"/>
      <c r="AC482" s="169"/>
      <c r="AD482" s="169"/>
      <c r="AE482" s="169"/>
      <c r="AF482" s="169"/>
      <c r="AG482" s="169"/>
      <c r="AH482" s="169"/>
      <c r="AI482" s="169"/>
      <c r="AJ482" s="169"/>
      <c r="AK482" s="169"/>
      <c r="AL482" s="169"/>
      <c r="AM482" s="169"/>
      <c r="AN482" s="169"/>
      <c r="AO482" s="169"/>
      <c r="AP482" s="169"/>
      <c r="AQ482" s="169"/>
      <c r="AR482" s="169"/>
      <c r="AS482" s="169"/>
      <c r="AT482" s="169"/>
      <c r="AU482" s="169"/>
      <c r="AV482" s="169"/>
      <c r="AW482" s="169"/>
      <c r="AX482" s="169"/>
      <c r="AY482" s="169"/>
      <c r="AZ482" s="169"/>
      <c r="BA482" s="169"/>
      <c r="BB482" s="169"/>
      <c r="BC482" s="169"/>
    </row>
    <row r="483" spans="1:55" ht="14.25" customHeight="1">
      <c r="A483" s="12" t="s">
        <v>49</v>
      </c>
      <c r="B483" s="223"/>
      <c r="C483" s="223"/>
      <c r="D483" s="223"/>
      <c r="E483" s="224"/>
      <c r="F483" s="224"/>
      <c r="G483" s="224"/>
      <c r="H483" s="224">
        <f t="shared" si="248"/>
        <v>0</v>
      </c>
      <c r="I483" s="223"/>
      <c r="J483" s="223"/>
      <c r="K483" s="223"/>
      <c r="L483" s="224"/>
      <c r="M483" s="224"/>
      <c r="N483" s="224"/>
      <c r="O483" s="224">
        <f t="shared" si="249"/>
        <v>0</v>
      </c>
      <c r="P483" s="170"/>
      <c r="Q483" s="169"/>
      <c r="R483" s="169"/>
      <c r="S483" s="169"/>
      <c r="T483" s="169"/>
      <c r="U483" s="169"/>
      <c r="V483" s="169"/>
      <c r="W483" s="169"/>
      <c r="X483" s="169"/>
      <c r="Y483" s="169"/>
      <c r="Z483" s="169"/>
      <c r="AA483" s="169"/>
      <c r="AB483" s="169"/>
      <c r="AC483" s="169"/>
      <c r="AD483" s="169"/>
      <c r="AE483" s="169"/>
      <c r="AF483" s="169"/>
      <c r="AG483" s="169"/>
      <c r="AH483" s="169"/>
      <c r="AI483" s="169"/>
      <c r="AJ483" s="169"/>
      <c r="AK483" s="169"/>
      <c r="AL483" s="169"/>
      <c r="AM483" s="169"/>
      <c r="AN483" s="169"/>
      <c r="AO483" s="169"/>
      <c r="AP483" s="169"/>
      <c r="AQ483" s="169"/>
      <c r="AR483" s="169"/>
      <c r="AS483" s="169"/>
      <c r="AT483" s="169"/>
      <c r="AU483" s="169"/>
      <c r="AV483" s="169"/>
      <c r="AW483" s="169"/>
      <c r="AX483" s="169"/>
      <c r="AY483" s="169"/>
      <c r="AZ483" s="169"/>
      <c r="BA483" s="169"/>
      <c r="BB483" s="169"/>
      <c r="BC483" s="169"/>
    </row>
    <row r="484" spans="1:55" ht="14.25" customHeight="1">
      <c r="A484" s="12" t="s">
        <v>50</v>
      </c>
      <c r="B484" s="223"/>
      <c r="C484" s="223"/>
      <c r="D484" s="223"/>
      <c r="E484" s="224"/>
      <c r="F484" s="224"/>
      <c r="G484" s="224"/>
      <c r="H484" s="224">
        <f t="shared" si="248"/>
        <v>0</v>
      </c>
      <c r="I484" s="223"/>
      <c r="J484" s="223"/>
      <c r="K484" s="223"/>
      <c r="L484" s="224"/>
      <c r="M484" s="224"/>
      <c r="N484" s="224"/>
      <c r="O484" s="224">
        <f t="shared" si="249"/>
        <v>0</v>
      </c>
      <c r="P484" s="170"/>
      <c r="Q484" s="169"/>
      <c r="R484" s="169"/>
      <c r="S484" s="169"/>
      <c r="T484" s="169"/>
      <c r="U484" s="169"/>
      <c r="V484" s="169"/>
      <c r="W484" s="169"/>
      <c r="X484" s="169"/>
      <c r="Y484" s="169"/>
      <c r="Z484" s="169"/>
      <c r="AA484" s="169"/>
      <c r="AB484" s="169"/>
      <c r="AC484" s="169"/>
      <c r="AD484" s="169"/>
      <c r="AE484" s="169"/>
      <c r="AF484" s="169"/>
      <c r="AG484" s="169"/>
      <c r="AH484" s="169"/>
      <c r="AI484" s="169"/>
      <c r="AJ484" s="169"/>
      <c r="AK484" s="169"/>
      <c r="AL484" s="169"/>
      <c r="AM484" s="169"/>
      <c r="AN484" s="169"/>
      <c r="AO484" s="169"/>
      <c r="AP484" s="169"/>
      <c r="AQ484" s="169"/>
      <c r="AR484" s="169"/>
      <c r="AS484" s="169"/>
      <c r="AT484" s="169"/>
      <c r="AU484" s="169"/>
      <c r="AV484" s="169"/>
      <c r="AW484" s="169"/>
      <c r="AX484" s="169"/>
      <c r="AY484" s="169"/>
      <c r="AZ484" s="169"/>
      <c r="BA484" s="169"/>
      <c r="BB484" s="169"/>
      <c r="BC484" s="169"/>
    </row>
    <row r="485" spans="1:55" ht="14.25" customHeight="1">
      <c r="A485" s="12" t="s">
        <v>51</v>
      </c>
      <c r="B485" s="223"/>
      <c r="C485" s="223"/>
      <c r="D485" s="223"/>
      <c r="E485" s="224"/>
      <c r="F485" s="224"/>
      <c r="G485" s="224"/>
      <c r="H485" s="224">
        <f t="shared" si="248"/>
        <v>0</v>
      </c>
      <c r="I485" s="223"/>
      <c r="J485" s="223"/>
      <c r="K485" s="223"/>
      <c r="L485" s="224"/>
      <c r="M485" s="224"/>
      <c r="N485" s="224"/>
      <c r="O485" s="224">
        <f t="shared" si="249"/>
        <v>0</v>
      </c>
      <c r="P485" s="170"/>
      <c r="Q485" s="169"/>
      <c r="R485" s="169"/>
      <c r="S485" s="169"/>
      <c r="T485" s="169"/>
      <c r="U485" s="169"/>
      <c r="V485" s="169"/>
      <c r="W485" s="169"/>
      <c r="X485" s="169"/>
      <c r="Y485" s="169"/>
      <c r="Z485" s="169"/>
      <c r="AA485" s="169"/>
      <c r="AB485" s="169"/>
      <c r="AC485" s="169"/>
      <c r="AD485" s="169"/>
      <c r="AE485" s="169"/>
      <c r="AF485" s="169"/>
      <c r="AG485" s="169"/>
      <c r="AH485" s="169"/>
      <c r="AI485" s="169"/>
      <c r="AJ485" s="169"/>
      <c r="AK485" s="169"/>
      <c r="AL485" s="169"/>
      <c r="AM485" s="169"/>
      <c r="AN485" s="169"/>
      <c r="AO485" s="169"/>
      <c r="AP485" s="169"/>
      <c r="AQ485" s="169"/>
      <c r="AR485" s="169"/>
      <c r="AS485" s="169"/>
      <c r="AT485" s="169"/>
      <c r="AU485" s="169"/>
      <c r="AV485" s="169"/>
      <c r="AW485" s="169"/>
      <c r="AX485" s="169"/>
      <c r="AY485" s="169"/>
      <c r="AZ485" s="169"/>
      <c r="BA485" s="169"/>
      <c r="BB485" s="169"/>
      <c r="BC485" s="169"/>
    </row>
    <row r="486" spans="1:55" ht="14.25" customHeight="1">
      <c r="A486" s="12" t="s">
        <v>52</v>
      </c>
      <c r="B486" s="223"/>
      <c r="C486" s="223"/>
      <c r="D486" s="223"/>
      <c r="E486" s="224"/>
      <c r="F486" s="224"/>
      <c r="G486" s="224"/>
      <c r="H486" s="224">
        <f t="shared" si="248"/>
        <v>0</v>
      </c>
      <c r="I486" s="223"/>
      <c r="J486" s="223"/>
      <c r="K486" s="223"/>
      <c r="L486" s="224"/>
      <c r="M486" s="224"/>
      <c r="N486" s="224"/>
      <c r="O486" s="224">
        <f t="shared" si="249"/>
        <v>0</v>
      </c>
      <c r="P486" s="170"/>
      <c r="Q486" s="169"/>
      <c r="R486" s="169"/>
      <c r="S486" s="169"/>
      <c r="T486" s="169"/>
      <c r="U486" s="169"/>
      <c r="V486" s="169"/>
      <c r="W486" s="169"/>
      <c r="X486" s="169"/>
      <c r="Y486" s="169"/>
      <c r="Z486" s="169"/>
      <c r="AA486" s="169"/>
      <c r="AB486" s="169"/>
      <c r="AC486" s="169"/>
      <c r="AD486" s="169"/>
      <c r="AE486" s="169"/>
      <c r="AF486" s="169"/>
      <c r="AG486" s="169"/>
      <c r="AH486" s="169"/>
      <c r="AI486" s="169"/>
      <c r="AJ486" s="169"/>
      <c r="AK486" s="169"/>
      <c r="AL486" s="169"/>
      <c r="AM486" s="169"/>
      <c r="AN486" s="169"/>
      <c r="AO486" s="169"/>
      <c r="AP486" s="169"/>
      <c r="AQ486" s="169"/>
      <c r="AR486" s="169"/>
      <c r="AS486" s="169"/>
      <c r="AT486" s="169"/>
      <c r="AU486" s="169"/>
      <c r="AV486" s="169"/>
      <c r="AW486" s="169"/>
      <c r="AX486" s="169"/>
      <c r="AY486" s="169"/>
      <c r="AZ486" s="169"/>
      <c r="BA486" s="169"/>
      <c r="BB486" s="169"/>
      <c r="BC486" s="169"/>
    </row>
    <row r="487" spans="1:55" ht="14.25" customHeight="1">
      <c r="A487" s="12" t="s">
        <v>53</v>
      </c>
      <c r="B487" s="223"/>
      <c r="C487" s="223"/>
      <c r="D487" s="223"/>
      <c r="E487" s="224"/>
      <c r="F487" s="224"/>
      <c r="G487" s="224"/>
      <c r="H487" s="224">
        <f t="shared" si="248"/>
        <v>0</v>
      </c>
      <c r="I487" s="223"/>
      <c r="J487" s="223"/>
      <c r="K487" s="223"/>
      <c r="L487" s="224"/>
      <c r="M487" s="224"/>
      <c r="N487" s="224"/>
      <c r="O487" s="224">
        <f t="shared" si="249"/>
        <v>0</v>
      </c>
      <c r="P487" s="170"/>
      <c r="Q487" s="169"/>
      <c r="R487" s="169"/>
      <c r="S487" s="169"/>
      <c r="T487" s="169"/>
      <c r="U487" s="169"/>
      <c r="V487" s="169"/>
      <c r="W487" s="169"/>
      <c r="X487" s="169"/>
      <c r="Y487" s="169"/>
      <c r="Z487" s="169"/>
      <c r="AA487" s="169"/>
      <c r="AB487" s="169"/>
      <c r="AC487" s="169"/>
      <c r="AD487" s="169"/>
      <c r="AE487" s="169"/>
      <c r="AF487" s="169"/>
      <c r="AG487" s="169"/>
      <c r="AH487" s="169"/>
      <c r="AI487" s="169"/>
      <c r="AJ487" s="169"/>
      <c r="AK487" s="169"/>
      <c r="AL487" s="169"/>
      <c r="AM487" s="169"/>
      <c r="AN487" s="169"/>
      <c r="AO487" s="169"/>
      <c r="AP487" s="169"/>
      <c r="AQ487" s="169"/>
      <c r="AR487" s="169"/>
      <c r="AS487" s="169"/>
      <c r="AT487" s="169"/>
      <c r="AU487" s="169"/>
      <c r="AV487" s="169"/>
      <c r="AW487" s="169"/>
      <c r="AX487" s="169"/>
      <c r="AY487" s="169"/>
      <c r="AZ487" s="169"/>
      <c r="BA487" s="169"/>
      <c r="BB487" s="169"/>
      <c r="BC487" s="169"/>
    </row>
    <row r="488" spans="1:55" ht="14.25" customHeight="1">
      <c r="A488" s="43" t="s">
        <v>55</v>
      </c>
      <c r="B488" s="223"/>
      <c r="C488" s="223"/>
      <c r="D488" s="223"/>
      <c r="E488" s="224"/>
      <c r="F488" s="224"/>
      <c r="G488" s="224"/>
      <c r="H488" s="224">
        <f t="shared" si="248"/>
        <v>0</v>
      </c>
      <c r="I488" s="223"/>
      <c r="J488" s="223"/>
      <c r="K488" s="223"/>
      <c r="L488" s="224"/>
      <c r="M488" s="224"/>
      <c r="N488" s="224"/>
      <c r="O488" s="224">
        <f t="shared" si="249"/>
        <v>0</v>
      </c>
      <c r="P488" s="170"/>
      <c r="Q488" s="169"/>
      <c r="R488" s="169"/>
      <c r="S488" s="169"/>
      <c r="T488" s="169"/>
      <c r="U488" s="169"/>
      <c r="V488" s="169"/>
      <c r="W488" s="169"/>
      <c r="X488" s="169"/>
      <c r="Y488" s="169"/>
      <c r="Z488" s="169"/>
      <c r="AA488" s="169"/>
      <c r="AB488" s="169"/>
      <c r="AC488" s="169"/>
      <c r="AD488" s="169"/>
      <c r="AE488" s="169"/>
      <c r="AF488" s="169"/>
      <c r="AG488" s="169"/>
      <c r="AH488" s="169"/>
      <c r="AI488" s="169"/>
      <c r="AJ488" s="169"/>
      <c r="AK488" s="169"/>
      <c r="AL488" s="169"/>
      <c r="AM488" s="169"/>
      <c r="AN488" s="169"/>
      <c r="AO488" s="169"/>
      <c r="AP488" s="169"/>
      <c r="AQ488" s="169"/>
      <c r="AR488" s="169"/>
      <c r="AS488" s="169"/>
      <c r="AT488" s="169"/>
      <c r="AU488" s="169"/>
      <c r="AV488" s="169"/>
      <c r="AW488" s="169"/>
      <c r="AX488" s="169"/>
      <c r="AY488" s="169"/>
      <c r="AZ488" s="169"/>
      <c r="BA488" s="169"/>
      <c r="BB488" s="169"/>
      <c r="BC488" s="169"/>
    </row>
    <row r="489" spans="1:55" ht="14.25" customHeight="1">
      <c r="A489" s="43" t="s">
        <v>56</v>
      </c>
      <c r="B489" s="223"/>
      <c r="C489" s="223"/>
      <c r="D489" s="223"/>
      <c r="E489" s="224"/>
      <c r="F489" s="224"/>
      <c r="G489" s="224"/>
      <c r="H489" s="224">
        <f t="shared" si="248"/>
        <v>0</v>
      </c>
      <c r="I489" s="223"/>
      <c r="J489" s="223"/>
      <c r="K489" s="223"/>
      <c r="L489" s="224"/>
      <c r="M489" s="224"/>
      <c r="N489" s="224"/>
      <c r="O489" s="224">
        <f t="shared" si="249"/>
        <v>0</v>
      </c>
      <c r="P489" s="170"/>
      <c r="Q489" s="169"/>
      <c r="R489" s="169"/>
      <c r="S489" s="169"/>
      <c r="T489" s="169"/>
      <c r="U489" s="169"/>
      <c r="V489" s="169"/>
      <c r="W489" s="169"/>
      <c r="X489" s="169"/>
      <c r="Y489" s="169"/>
      <c r="Z489" s="169"/>
      <c r="AA489" s="169"/>
      <c r="AB489" s="169"/>
      <c r="AC489" s="169"/>
      <c r="AD489" s="169"/>
      <c r="AE489" s="169"/>
      <c r="AF489" s="169"/>
      <c r="AG489" s="169"/>
      <c r="AH489" s="169"/>
      <c r="AI489" s="169"/>
      <c r="AJ489" s="169"/>
      <c r="AK489" s="169"/>
      <c r="AL489" s="169"/>
      <c r="AM489" s="169"/>
      <c r="AN489" s="169"/>
      <c r="AO489" s="169"/>
      <c r="AP489" s="169"/>
      <c r="AQ489" s="169"/>
      <c r="AR489" s="169"/>
      <c r="AS489" s="169"/>
      <c r="AT489" s="169"/>
      <c r="AU489" s="169"/>
      <c r="AV489" s="169"/>
      <c r="AW489" s="169"/>
      <c r="AX489" s="169"/>
      <c r="AY489" s="169"/>
      <c r="AZ489" s="169"/>
      <c r="BA489" s="169"/>
      <c r="BB489" s="169"/>
      <c r="BC489" s="169"/>
    </row>
    <row r="490" spans="1:55" ht="14.25" customHeight="1">
      <c r="A490" s="12" t="s">
        <v>57</v>
      </c>
      <c r="B490" s="223"/>
      <c r="C490" s="223"/>
      <c r="D490" s="223"/>
      <c r="E490" s="224"/>
      <c r="F490" s="224"/>
      <c r="G490" s="224"/>
      <c r="H490" s="224">
        <f t="shared" si="248"/>
        <v>0</v>
      </c>
      <c r="I490" s="223"/>
      <c r="J490" s="223"/>
      <c r="K490" s="223"/>
      <c r="L490" s="224"/>
      <c r="M490" s="224"/>
      <c r="N490" s="224"/>
      <c r="O490" s="224">
        <f t="shared" si="249"/>
        <v>0</v>
      </c>
      <c r="P490" s="170"/>
      <c r="Q490" s="169"/>
      <c r="R490" s="169"/>
      <c r="S490" s="169"/>
      <c r="T490" s="169"/>
      <c r="U490" s="169"/>
      <c r="V490" s="169"/>
      <c r="W490" s="169"/>
      <c r="X490" s="169"/>
      <c r="Y490" s="169"/>
      <c r="Z490" s="169"/>
      <c r="AA490" s="169"/>
      <c r="AB490" s="169"/>
      <c r="AC490" s="169"/>
      <c r="AD490" s="169"/>
      <c r="AE490" s="169"/>
      <c r="AF490" s="169"/>
      <c r="AG490" s="169"/>
      <c r="AH490" s="169"/>
      <c r="AI490" s="169"/>
      <c r="AJ490" s="169"/>
      <c r="AK490" s="169"/>
      <c r="AL490" s="169"/>
      <c r="AM490" s="169"/>
      <c r="AN490" s="169"/>
      <c r="AO490" s="169"/>
      <c r="AP490" s="169"/>
      <c r="AQ490" s="169"/>
      <c r="AR490" s="169"/>
      <c r="AS490" s="169"/>
      <c r="AT490" s="169"/>
      <c r="AU490" s="169"/>
      <c r="AV490" s="169"/>
      <c r="AW490" s="169"/>
      <c r="AX490" s="169"/>
      <c r="AY490" s="169"/>
      <c r="AZ490" s="169"/>
      <c r="BA490" s="169"/>
      <c r="BB490" s="169"/>
      <c r="BC490" s="169"/>
    </row>
    <row r="491" spans="1:55" ht="14.25" customHeight="1">
      <c r="A491" s="12" t="s">
        <v>58</v>
      </c>
      <c r="B491" s="223"/>
      <c r="C491" s="223"/>
      <c r="D491" s="223"/>
      <c r="E491" s="224"/>
      <c r="F491" s="224"/>
      <c r="G491" s="224"/>
      <c r="H491" s="224">
        <f t="shared" si="248"/>
        <v>0</v>
      </c>
      <c r="I491" s="223"/>
      <c r="J491" s="223"/>
      <c r="K491" s="223"/>
      <c r="L491" s="224"/>
      <c r="M491" s="224"/>
      <c r="N491" s="224"/>
      <c r="O491" s="224">
        <f t="shared" si="249"/>
        <v>0</v>
      </c>
      <c r="P491" s="170"/>
      <c r="Q491" s="169"/>
      <c r="R491" s="169"/>
      <c r="S491" s="169"/>
      <c r="T491" s="169"/>
      <c r="U491" s="169"/>
      <c r="V491" s="169"/>
      <c r="W491" s="169"/>
      <c r="X491" s="169"/>
      <c r="Y491" s="169"/>
      <c r="Z491" s="169"/>
      <c r="AA491" s="169"/>
      <c r="AB491" s="169"/>
      <c r="AC491" s="169"/>
      <c r="AD491" s="169"/>
      <c r="AE491" s="169"/>
      <c r="AF491" s="169"/>
      <c r="AG491" s="169"/>
      <c r="AH491" s="169"/>
      <c r="AI491" s="169"/>
      <c r="AJ491" s="169"/>
      <c r="AK491" s="169"/>
      <c r="AL491" s="169"/>
      <c r="AM491" s="169"/>
      <c r="AN491" s="169"/>
      <c r="AO491" s="169"/>
      <c r="AP491" s="169"/>
      <c r="AQ491" s="169"/>
      <c r="AR491" s="169"/>
      <c r="AS491" s="169"/>
      <c r="AT491" s="169"/>
      <c r="AU491" s="169"/>
      <c r="AV491" s="169"/>
      <c r="AW491" s="169"/>
      <c r="AX491" s="169"/>
      <c r="AY491" s="169"/>
      <c r="AZ491" s="169"/>
      <c r="BA491" s="169"/>
      <c r="BB491" s="169"/>
      <c r="BC491" s="169"/>
    </row>
    <row r="492" spans="1:55" ht="14.25" customHeight="1">
      <c r="A492" s="12" t="s">
        <v>59</v>
      </c>
      <c r="B492" s="223"/>
      <c r="C492" s="223"/>
      <c r="D492" s="223"/>
      <c r="E492" s="224"/>
      <c r="F492" s="224"/>
      <c r="G492" s="224"/>
      <c r="H492" s="224">
        <f t="shared" si="248"/>
        <v>0</v>
      </c>
      <c r="I492" s="223"/>
      <c r="J492" s="223"/>
      <c r="K492" s="223"/>
      <c r="L492" s="224"/>
      <c r="M492" s="224"/>
      <c r="N492" s="224"/>
      <c r="O492" s="224">
        <f t="shared" si="249"/>
        <v>0</v>
      </c>
      <c r="P492" s="170"/>
      <c r="Q492" s="169"/>
      <c r="R492" s="169"/>
      <c r="S492" s="169"/>
      <c r="T492" s="169"/>
      <c r="U492" s="169"/>
      <c r="V492" s="169"/>
      <c r="W492" s="169"/>
      <c r="X492" s="169"/>
      <c r="Y492" s="169"/>
      <c r="Z492" s="169"/>
      <c r="AA492" s="169"/>
      <c r="AB492" s="169"/>
      <c r="AC492" s="169"/>
      <c r="AD492" s="169"/>
      <c r="AE492" s="169"/>
      <c r="AF492" s="169"/>
      <c r="AG492" s="169"/>
      <c r="AH492" s="169"/>
      <c r="AI492" s="169"/>
      <c r="AJ492" s="169"/>
      <c r="AK492" s="169"/>
      <c r="AL492" s="169"/>
      <c r="AM492" s="169"/>
      <c r="AN492" s="169"/>
      <c r="AO492" s="169"/>
      <c r="AP492" s="169"/>
      <c r="AQ492" s="169"/>
      <c r="AR492" s="169"/>
      <c r="AS492" s="169"/>
      <c r="AT492" s="169"/>
      <c r="AU492" s="169"/>
      <c r="AV492" s="169"/>
      <c r="AW492" s="169"/>
      <c r="AX492" s="169"/>
      <c r="AY492" s="169"/>
      <c r="AZ492" s="169"/>
      <c r="BA492" s="169"/>
      <c r="BB492" s="169"/>
      <c r="BC492" s="169"/>
    </row>
    <row r="493" spans="1:55" ht="14.25" customHeight="1">
      <c r="A493" s="12" t="s">
        <v>60</v>
      </c>
      <c r="B493" s="223"/>
      <c r="C493" s="223"/>
      <c r="D493" s="223"/>
      <c r="E493" s="224"/>
      <c r="F493" s="224"/>
      <c r="G493" s="224"/>
      <c r="H493" s="224">
        <f t="shared" si="248"/>
        <v>0</v>
      </c>
      <c r="I493" s="223"/>
      <c r="J493" s="223"/>
      <c r="K493" s="223"/>
      <c r="L493" s="224"/>
      <c r="M493" s="224"/>
      <c r="N493" s="224"/>
      <c r="O493" s="224">
        <f t="shared" si="249"/>
        <v>0</v>
      </c>
      <c r="P493" s="170"/>
      <c r="Q493" s="169"/>
      <c r="R493" s="169"/>
      <c r="S493" s="169"/>
      <c r="T493" s="169"/>
      <c r="U493" s="169"/>
      <c r="V493" s="169"/>
      <c r="W493" s="169"/>
      <c r="X493" s="169"/>
      <c r="Y493" s="169"/>
      <c r="Z493" s="169"/>
      <c r="AA493" s="169"/>
      <c r="AB493" s="169"/>
      <c r="AC493" s="169"/>
      <c r="AD493" s="169"/>
      <c r="AE493" s="169"/>
      <c r="AF493" s="169"/>
      <c r="AG493" s="169"/>
      <c r="AH493" s="169"/>
      <c r="AI493" s="169"/>
      <c r="AJ493" s="169"/>
      <c r="AK493" s="169"/>
      <c r="AL493" s="169"/>
      <c r="AM493" s="169"/>
      <c r="AN493" s="169"/>
      <c r="AO493" s="169"/>
      <c r="AP493" s="169"/>
      <c r="AQ493" s="169"/>
      <c r="AR493" s="169"/>
      <c r="AS493" s="169"/>
      <c r="AT493" s="169"/>
      <c r="AU493" s="169"/>
      <c r="AV493" s="169"/>
      <c r="AW493" s="169"/>
      <c r="AX493" s="169"/>
      <c r="AY493" s="169"/>
      <c r="AZ493" s="169"/>
      <c r="BA493" s="169"/>
      <c r="BB493" s="169"/>
      <c r="BC493" s="169"/>
    </row>
    <row r="494" spans="1:55" ht="14.25" customHeight="1">
      <c r="A494" s="12" t="s">
        <v>61</v>
      </c>
      <c r="B494" s="223"/>
      <c r="C494" s="223"/>
      <c r="D494" s="223"/>
      <c r="E494" s="224"/>
      <c r="F494" s="224"/>
      <c r="G494" s="224"/>
      <c r="H494" s="224">
        <f t="shared" si="248"/>
        <v>0</v>
      </c>
      <c r="I494" s="223"/>
      <c r="J494" s="223"/>
      <c r="K494" s="223"/>
      <c r="L494" s="224"/>
      <c r="M494" s="224"/>
      <c r="N494" s="224"/>
      <c r="O494" s="224">
        <f t="shared" si="249"/>
        <v>0</v>
      </c>
      <c r="P494" s="170"/>
      <c r="Q494" s="169"/>
      <c r="R494" s="169"/>
      <c r="S494" s="169"/>
      <c r="T494" s="169"/>
      <c r="U494" s="169"/>
      <c r="V494" s="169"/>
      <c r="W494" s="169"/>
      <c r="X494" s="169"/>
      <c r="Y494" s="169"/>
      <c r="Z494" s="169"/>
      <c r="AA494" s="169"/>
      <c r="AB494" s="169"/>
      <c r="AC494" s="169"/>
      <c r="AD494" s="169"/>
      <c r="AE494" s="169"/>
      <c r="AF494" s="169"/>
      <c r="AG494" s="169"/>
      <c r="AH494" s="169"/>
      <c r="AI494" s="169"/>
      <c r="AJ494" s="169"/>
      <c r="AK494" s="169"/>
      <c r="AL494" s="169"/>
      <c r="AM494" s="169"/>
      <c r="AN494" s="169"/>
      <c r="AO494" s="169"/>
      <c r="AP494" s="169"/>
      <c r="AQ494" s="169"/>
      <c r="AR494" s="169"/>
      <c r="AS494" s="169"/>
      <c r="AT494" s="169"/>
      <c r="AU494" s="169"/>
      <c r="AV494" s="169"/>
      <c r="AW494" s="169"/>
      <c r="AX494" s="169"/>
      <c r="AY494" s="169"/>
      <c r="AZ494" s="169"/>
      <c r="BA494" s="169"/>
      <c r="BB494" s="169"/>
      <c r="BC494" s="169"/>
    </row>
    <row r="495" spans="1:55" ht="14.25" customHeight="1">
      <c r="A495" s="12" t="s">
        <v>62</v>
      </c>
      <c r="B495" s="223"/>
      <c r="C495" s="223"/>
      <c r="D495" s="223"/>
      <c r="E495" s="224"/>
      <c r="F495" s="224"/>
      <c r="G495" s="224"/>
      <c r="H495" s="224">
        <f t="shared" si="248"/>
        <v>0</v>
      </c>
      <c r="I495" s="223"/>
      <c r="J495" s="223"/>
      <c r="K495" s="223"/>
      <c r="L495" s="224"/>
      <c r="M495" s="224"/>
      <c r="N495" s="224"/>
      <c r="O495" s="224">
        <f t="shared" si="249"/>
        <v>0</v>
      </c>
      <c r="P495" s="170"/>
      <c r="Q495" s="169"/>
      <c r="R495" s="169"/>
      <c r="S495" s="169"/>
      <c r="T495" s="169"/>
      <c r="U495" s="169"/>
      <c r="V495" s="169"/>
      <c r="W495" s="169"/>
      <c r="X495" s="169"/>
      <c r="Y495" s="169"/>
      <c r="Z495" s="169"/>
      <c r="AA495" s="169"/>
      <c r="AB495" s="169"/>
      <c r="AC495" s="169"/>
      <c r="AD495" s="169"/>
      <c r="AE495" s="169"/>
      <c r="AF495" s="169"/>
      <c r="AG495" s="169"/>
      <c r="AH495" s="169"/>
      <c r="AI495" s="169"/>
      <c r="AJ495" s="169"/>
      <c r="AK495" s="169"/>
      <c r="AL495" s="169"/>
      <c r="AM495" s="169"/>
      <c r="AN495" s="169"/>
      <c r="AO495" s="169"/>
      <c r="AP495" s="169"/>
      <c r="AQ495" s="169"/>
      <c r="AR495" s="169"/>
      <c r="AS495" s="169"/>
      <c r="AT495" s="169"/>
      <c r="AU495" s="169"/>
      <c r="AV495" s="169"/>
      <c r="AW495" s="169"/>
      <c r="AX495" s="169"/>
      <c r="AY495" s="169"/>
      <c r="AZ495" s="169"/>
      <c r="BA495" s="169"/>
      <c r="BB495" s="169"/>
      <c r="BC495" s="169"/>
    </row>
    <row r="496" spans="1:55" ht="14.25" customHeight="1">
      <c r="A496" s="12" t="s">
        <v>63</v>
      </c>
      <c r="B496" s="223"/>
      <c r="C496" s="223"/>
      <c r="D496" s="223"/>
      <c r="E496" s="224"/>
      <c r="F496" s="224"/>
      <c r="G496" s="224"/>
      <c r="H496" s="224">
        <f t="shared" si="248"/>
        <v>0</v>
      </c>
      <c r="I496" s="223"/>
      <c r="J496" s="223"/>
      <c r="K496" s="223"/>
      <c r="L496" s="224"/>
      <c r="M496" s="224"/>
      <c r="N496" s="224"/>
      <c r="O496" s="224">
        <f t="shared" si="249"/>
        <v>0</v>
      </c>
      <c r="P496" s="170"/>
      <c r="Q496" s="169"/>
      <c r="R496" s="169"/>
      <c r="S496" s="169"/>
      <c r="T496" s="169"/>
      <c r="U496" s="169"/>
      <c r="V496" s="169"/>
      <c r="W496" s="169"/>
      <c r="X496" s="169"/>
      <c r="Y496" s="169"/>
      <c r="Z496" s="169"/>
      <c r="AA496" s="169"/>
      <c r="AB496" s="169"/>
      <c r="AC496" s="169"/>
      <c r="AD496" s="169"/>
      <c r="AE496" s="169"/>
      <c r="AF496" s="169"/>
      <c r="AG496" s="169"/>
      <c r="AH496" s="169"/>
      <c r="AI496" s="169"/>
      <c r="AJ496" s="169"/>
      <c r="AK496" s="169"/>
      <c r="AL496" s="169"/>
      <c r="AM496" s="169"/>
      <c r="AN496" s="169"/>
      <c r="AO496" s="169"/>
      <c r="AP496" s="169"/>
      <c r="AQ496" s="169"/>
      <c r="AR496" s="169"/>
      <c r="AS496" s="169"/>
      <c r="AT496" s="169"/>
      <c r="AU496" s="169"/>
      <c r="AV496" s="169"/>
      <c r="AW496" s="169"/>
      <c r="AX496" s="169"/>
      <c r="AY496" s="169"/>
      <c r="AZ496" s="169"/>
      <c r="BA496" s="169"/>
      <c r="BB496" s="169"/>
      <c r="BC496" s="169"/>
    </row>
    <row r="497" spans="1:55" ht="14.25" customHeight="1">
      <c r="A497" s="12" t="s">
        <v>64</v>
      </c>
      <c r="B497" s="223"/>
      <c r="C497" s="223"/>
      <c r="D497" s="223"/>
      <c r="E497" s="224"/>
      <c r="F497" s="224"/>
      <c r="G497" s="224"/>
      <c r="H497" s="224">
        <f t="shared" si="248"/>
        <v>0</v>
      </c>
      <c r="I497" s="223"/>
      <c r="J497" s="223"/>
      <c r="K497" s="223"/>
      <c r="L497" s="224"/>
      <c r="M497" s="224"/>
      <c r="N497" s="224"/>
      <c r="O497" s="224">
        <f t="shared" si="249"/>
        <v>0</v>
      </c>
      <c r="P497" s="170"/>
      <c r="Q497" s="169"/>
      <c r="R497" s="169"/>
      <c r="S497" s="169"/>
      <c r="T497" s="169"/>
      <c r="U497" s="169"/>
      <c r="V497" s="169"/>
      <c r="W497" s="169"/>
      <c r="X497" s="169"/>
      <c r="Y497" s="169"/>
      <c r="Z497" s="169"/>
      <c r="AA497" s="169"/>
      <c r="AB497" s="169"/>
      <c r="AC497" s="169"/>
      <c r="AD497" s="169"/>
      <c r="AE497" s="169"/>
      <c r="AF497" s="169"/>
      <c r="AG497" s="169"/>
      <c r="AH497" s="169"/>
      <c r="AI497" s="169"/>
      <c r="AJ497" s="169"/>
      <c r="AK497" s="169"/>
      <c r="AL497" s="169"/>
      <c r="AM497" s="169"/>
      <c r="AN497" s="169"/>
      <c r="AO497" s="169"/>
      <c r="AP497" s="169"/>
      <c r="AQ497" s="169"/>
      <c r="AR497" s="169"/>
      <c r="AS497" s="169"/>
      <c r="AT497" s="169"/>
      <c r="AU497" s="169"/>
      <c r="AV497" s="169"/>
      <c r="AW497" s="169"/>
      <c r="AX497" s="169"/>
      <c r="AY497" s="169"/>
      <c r="AZ497" s="169"/>
      <c r="BA497" s="169"/>
      <c r="BB497" s="169"/>
      <c r="BC497" s="169"/>
    </row>
    <row r="498" spans="1:55" ht="14.25" customHeight="1">
      <c r="A498" s="12" t="s">
        <v>65</v>
      </c>
      <c r="B498" s="223"/>
      <c r="C498" s="223"/>
      <c r="D498" s="223"/>
      <c r="E498" s="224"/>
      <c r="F498" s="224"/>
      <c r="G498" s="224"/>
      <c r="H498" s="224">
        <f t="shared" si="248"/>
        <v>0</v>
      </c>
      <c r="I498" s="223"/>
      <c r="J498" s="223"/>
      <c r="K498" s="223"/>
      <c r="L498" s="224"/>
      <c r="M498" s="224"/>
      <c r="N498" s="224"/>
      <c r="O498" s="224">
        <f t="shared" si="249"/>
        <v>0</v>
      </c>
      <c r="P498" s="170"/>
      <c r="Q498" s="169"/>
      <c r="R498" s="169"/>
      <c r="S498" s="169"/>
      <c r="T498" s="169"/>
      <c r="U498" s="169"/>
      <c r="V498" s="169"/>
      <c r="W498" s="169"/>
      <c r="X498" s="169"/>
      <c r="Y498" s="169"/>
      <c r="Z498" s="169"/>
      <c r="AA498" s="169"/>
      <c r="AB498" s="169"/>
      <c r="AC498" s="169"/>
      <c r="AD498" s="169"/>
      <c r="AE498" s="169"/>
      <c r="AF498" s="169"/>
      <c r="AG498" s="169"/>
      <c r="AH498" s="169"/>
      <c r="AI498" s="169"/>
      <c r="AJ498" s="169"/>
      <c r="AK498" s="169"/>
      <c r="AL498" s="169"/>
      <c r="AM498" s="169"/>
      <c r="AN498" s="169"/>
      <c r="AO498" s="169"/>
      <c r="AP498" s="169"/>
      <c r="AQ498" s="169"/>
      <c r="AR498" s="169"/>
      <c r="AS498" s="169"/>
      <c r="AT498" s="169"/>
      <c r="AU498" s="169"/>
      <c r="AV498" s="169"/>
      <c r="AW498" s="169"/>
      <c r="AX498" s="169"/>
      <c r="AY498" s="169"/>
      <c r="AZ498" s="169"/>
      <c r="BA498" s="169"/>
      <c r="BB498" s="169"/>
      <c r="BC498" s="169"/>
    </row>
    <row r="499" spans="1:55" ht="14.25" customHeight="1">
      <c r="A499" s="12" t="s">
        <v>66</v>
      </c>
      <c r="B499" s="223"/>
      <c r="C499" s="223"/>
      <c r="D499" s="223"/>
      <c r="E499" s="224"/>
      <c r="F499" s="224"/>
      <c r="G499" s="224"/>
      <c r="H499" s="224">
        <f t="shared" si="248"/>
        <v>0</v>
      </c>
      <c r="I499" s="223"/>
      <c r="J499" s="223"/>
      <c r="K499" s="223"/>
      <c r="L499" s="224"/>
      <c r="M499" s="224"/>
      <c r="N499" s="224"/>
      <c r="O499" s="224">
        <f t="shared" si="249"/>
        <v>0</v>
      </c>
      <c r="P499" s="170"/>
      <c r="Q499" s="169"/>
      <c r="R499" s="169"/>
      <c r="S499" s="169"/>
      <c r="T499" s="169"/>
      <c r="U499" s="169"/>
      <c r="V499" s="169"/>
      <c r="W499" s="169"/>
      <c r="X499" s="169"/>
      <c r="Y499" s="169"/>
      <c r="Z499" s="169"/>
      <c r="AA499" s="169"/>
      <c r="AB499" s="169"/>
      <c r="AC499" s="169"/>
      <c r="AD499" s="169"/>
      <c r="AE499" s="169"/>
      <c r="AF499" s="169"/>
      <c r="AG499" s="169"/>
      <c r="AH499" s="169"/>
      <c r="AI499" s="169"/>
      <c r="AJ499" s="169"/>
      <c r="AK499" s="169"/>
      <c r="AL499" s="169"/>
      <c r="AM499" s="169"/>
      <c r="AN499" s="169"/>
      <c r="AO499" s="169"/>
      <c r="AP499" s="169"/>
      <c r="AQ499" s="169"/>
      <c r="AR499" s="169"/>
      <c r="AS499" s="169"/>
      <c r="AT499" s="169"/>
      <c r="AU499" s="169"/>
      <c r="AV499" s="169"/>
      <c r="AW499" s="169"/>
      <c r="AX499" s="169"/>
      <c r="AY499" s="169"/>
      <c r="AZ499" s="169"/>
      <c r="BA499" s="169"/>
      <c r="BB499" s="169"/>
      <c r="BC499" s="169"/>
    </row>
    <row r="500" spans="1:55" ht="14.25" customHeight="1">
      <c r="A500" s="12" t="s">
        <v>67</v>
      </c>
      <c r="B500" s="223"/>
      <c r="C500" s="223"/>
      <c r="D500" s="223"/>
      <c r="E500" s="224"/>
      <c r="F500" s="224"/>
      <c r="G500" s="224"/>
      <c r="H500" s="224">
        <f t="shared" si="248"/>
        <v>0</v>
      </c>
      <c r="I500" s="223"/>
      <c r="J500" s="223"/>
      <c r="K500" s="223"/>
      <c r="L500" s="224"/>
      <c r="M500" s="224"/>
      <c r="N500" s="224"/>
      <c r="O500" s="224">
        <f t="shared" si="249"/>
        <v>0</v>
      </c>
      <c r="P500" s="170"/>
      <c r="Q500" s="169"/>
      <c r="R500" s="169"/>
      <c r="S500" s="169"/>
      <c r="T500" s="169"/>
      <c r="U500" s="169"/>
      <c r="V500" s="169"/>
      <c r="W500" s="169"/>
      <c r="X500" s="169"/>
      <c r="Y500" s="169"/>
      <c r="Z500" s="169"/>
      <c r="AA500" s="169"/>
      <c r="AB500" s="169"/>
      <c r="AC500" s="169"/>
      <c r="AD500" s="169"/>
      <c r="AE500" s="169"/>
      <c r="AF500" s="169"/>
      <c r="AG500" s="169"/>
      <c r="AH500" s="169"/>
      <c r="AI500" s="169"/>
      <c r="AJ500" s="169"/>
      <c r="AK500" s="169"/>
      <c r="AL500" s="169"/>
      <c r="AM500" s="169"/>
      <c r="AN500" s="169"/>
      <c r="AO500" s="169"/>
      <c r="AP500" s="169"/>
      <c r="AQ500" s="169"/>
      <c r="AR500" s="169"/>
      <c r="AS500" s="169"/>
      <c r="AT500" s="169"/>
      <c r="AU500" s="169"/>
      <c r="AV500" s="169"/>
      <c r="AW500" s="169"/>
      <c r="AX500" s="169"/>
      <c r="AY500" s="169"/>
      <c r="AZ500" s="169"/>
      <c r="BA500" s="169"/>
      <c r="BB500" s="169"/>
      <c r="BC500" s="169"/>
    </row>
    <row r="501" spans="1:55" ht="14.25" customHeight="1">
      <c r="A501" s="12" t="s">
        <v>68</v>
      </c>
      <c r="B501" s="223"/>
      <c r="C501" s="223"/>
      <c r="D501" s="223"/>
      <c r="E501" s="224"/>
      <c r="F501" s="224"/>
      <c r="G501" s="224"/>
      <c r="H501" s="224">
        <f t="shared" si="248"/>
        <v>0</v>
      </c>
      <c r="I501" s="223"/>
      <c r="J501" s="223"/>
      <c r="K501" s="223"/>
      <c r="L501" s="224"/>
      <c r="M501" s="224"/>
      <c r="N501" s="224"/>
      <c r="O501" s="224">
        <f t="shared" si="249"/>
        <v>0</v>
      </c>
      <c r="P501" s="170"/>
      <c r="Q501" s="169"/>
      <c r="R501" s="169"/>
      <c r="S501" s="169"/>
      <c r="T501" s="169"/>
      <c r="U501" s="169"/>
      <c r="V501" s="169"/>
      <c r="W501" s="169"/>
      <c r="X501" s="169"/>
      <c r="Y501" s="169"/>
      <c r="Z501" s="169"/>
      <c r="AA501" s="169"/>
      <c r="AB501" s="169"/>
      <c r="AC501" s="169"/>
      <c r="AD501" s="169"/>
      <c r="AE501" s="169"/>
      <c r="AF501" s="169"/>
      <c r="AG501" s="169"/>
      <c r="AH501" s="169"/>
      <c r="AI501" s="169"/>
      <c r="AJ501" s="169"/>
      <c r="AK501" s="169"/>
      <c r="AL501" s="169"/>
      <c r="AM501" s="169"/>
      <c r="AN501" s="169"/>
      <c r="AO501" s="169"/>
      <c r="AP501" s="169"/>
      <c r="AQ501" s="169"/>
      <c r="AR501" s="169"/>
      <c r="AS501" s="169"/>
      <c r="AT501" s="169"/>
      <c r="AU501" s="169"/>
      <c r="AV501" s="169"/>
      <c r="AW501" s="169"/>
      <c r="AX501" s="169"/>
      <c r="AY501" s="169"/>
      <c r="AZ501" s="169"/>
      <c r="BA501" s="169"/>
      <c r="BB501" s="169"/>
      <c r="BC501" s="169"/>
    </row>
    <row r="502" spans="1:55" ht="14.25" customHeight="1">
      <c r="A502" s="12" t="s">
        <v>69</v>
      </c>
      <c r="B502" s="223">
        <v>0.44119999999999998</v>
      </c>
      <c r="C502" s="223">
        <v>0.64710000000000001</v>
      </c>
      <c r="D502" s="223">
        <v>0.38240000000000002</v>
      </c>
      <c r="E502" s="224">
        <v>0.38240000000000002</v>
      </c>
      <c r="F502" s="224"/>
      <c r="G502" s="224"/>
      <c r="H502" s="224">
        <f t="shared" si="248"/>
        <v>0.38240000000000002</v>
      </c>
      <c r="I502" s="223"/>
      <c r="J502" s="223"/>
      <c r="K502" s="223"/>
      <c r="L502" s="224"/>
      <c r="M502" s="224"/>
      <c r="N502" s="224"/>
      <c r="O502" s="224">
        <f t="shared" si="249"/>
        <v>0</v>
      </c>
      <c r="P502" s="170"/>
      <c r="Q502" s="169"/>
      <c r="R502" s="169"/>
      <c r="S502" s="169"/>
      <c r="T502" s="169"/>
      <c r="U502" s="169"/>
      <c r="V502" s="169"/>
      <c r="W502" s="169"/>
      <c r="X502" s="169"/>
      <c r="Y502" s="169"/>
      <c r="Z502" s="169"/>
      <c r="AA502" s="169"/>
      <c r="AB502" s="169"/>
      <c r="AC502" s="169"/>
      <c r="AD502" s="169"/>
      <c r="AE502" s="169"/>
      <c r="AF502" s="169"/>
      <c r="AG502" s="169"/>
      <c r="AH502" s="169"/>
      <c r="AI502" s="169"/>
      <c r="AJ502" s="169"/>
      <c r="AK502" s="169"/>
      <c r="AL502" s="169"/>
      <c r="AM502" s="169"/>
      <c r="AN502" s="169"/>
      <c r="AO502" s="169"/>
      <c r="AP502" s="169"/>
      <c r="AQ502" s="169"/>
      <c r="AR502" s="169"/>
      <c r="AS502" s="169"/>
      <c r="AT502" s="169"/>
      <c r="AU502" s="169"/>
      <c r="AV502" s="169"/>
      <c r="AW502" s="169"/>
      <c r="AX502" s="169"/>
      <c r="AY502" s="169"/>
      <c r="AZ502" s="169"/>
      <c r="BA502" s="169"/>
      <c r="BB502" s="169"/>
      <c r="BC502" s="169"/>
    </row>
    <row r="503" spans="1:55" ht="14.25" customHeight="1">
      <c r="A503" s="12" t="s">
        <v>70</v>
      </c>
      <c r="B503" s="223">
        <v>0.31030000000000002</v>
      </c>
      <c r="C503" s="223">
        <v>0.55169999999999997</v>
      </c>
      <c r="D503" s="223">
        <v>0.33329999999999999</v>
      </c>
      <c r="E503" s="224">
        <v>0.33329999999999999</v>
      </c>
      <c r="F503" s="224"/>
      <c r="G503" s="224"/>
      <c r="H503" s="224">
        <f t="shared" si="248"/>
        <v>0.33329999999999999</v>
      </c>
      <c r="I503" s="223"/>
      <c r="J503" s="223"/>
      <c r="K503" s="223"/>
      <c r="L503" s="224"/>
      <c r="M503" s="224"/>
      <c r="N503" s="224"/>
      <c r="O503" s="224">
        <f t="shared" si="249"/>
        <v>0</v>
      </c>
      <c r="P503" s="170"/>
      <c r="Q503" s="169"/>
      <c r="R503" s="169"/>
      <c r="S503" s="169"/>
      <c r="T503" s="169"/>
      <c r="U503" s="169"/>
      <c r="V503" s="169"/>
      <c r="W503" s="169"/>
      <c r="X503" s="169"/>
      <c r="Y503" s="169"/>
      <c r="Z503" s="169"/>
      <c r="AA503" s="169"/>
      <c r="AB503" s="169"/>
      <c r="AC503" s="169"/>
      <c r="AD503" s="169"/>
      <c r="AE503" s="169"/>
      <c r="AF503" s="169"/>
      <c r="AG503" s="169"/>
      <c r="AH503" s="169"/>
      <c r="AI503" s="169"/>
      <c r="AJ503" s="169"/>
      <c r="AK503" s="169"/>
      <c r="AL503" s="169"/>
      <c r="AM503" s="169"/>
      <c r="AN503" s="169"/>
      <c r="AO503" s="169"/>
      <c r="AP503" s="169"/>
      <c r="AQ503" s="169"/>
      <c r="AR503" s="169"/>
      <c r="AS503" s="169"/>
      <c r="AT503" s="169"/>
      <c r="AU503" s="169"/>
      <c r="AV503" s="169"/>
      <c r="AW503" s="169"/>
      <c r="AX503" s="169"/>
      <c r="AY503" s="169"/>
      <c r="AZ503" s="169"/>
      <c r="BA503" s="169"/>
      <c r="BB503" s="169"/>
      <c r="BC503" s="169"/>
    </row>
    <row r="504" spans="1:55" ht="14.25" customHeight="1">
      <c r="A504" s="12" t="s">
        <v>71</v>
      </c>
      <c r="B504" s="223">
        <v>0.33960000000000001</v>
      </c>
      <c r="C504" s="223">
        <v>0.64149999999999996</v>
      </c>
      <c r="D504" s="223">
        <v>0.35849999999999999</v>
      </c>
      <c r="E504" s="224">
        <v>0.35849999999999999</v>
      </c>
      <c r="F504" s="224"/>
      <c r="G504" s="224"/>
      <c r="H504" s="224">
        <f t="shared" si="248"/>
        <v>0.35849999999999999</v>
      </c>
      <c r="I504" s="223"/>
      <c r="J504" s="223"/>
      <c r="K504" s="223"/>
      <c r="L504" s="224"/>
      <c r="M504" s="224"/>
      <c r="N504" s="224"/>
      <c r="O504" s="224">
        <f t="shared" si="249"/>
        <v>0</v>
      </c>
      <c r="P504" s="170"/>
      <c r="Q504" s="169"/>
      <c r="R504" s="169"/>
      <c r="S504" s="169"/>
      <c r="T504" s="169"/>
      <c r="U504" s="169"/>
      <c r="V504" s="169"/>
      <c r="W504" s="169"/>
      <c r="X504" s="169"/>
      <c r="Y504" s="169"/>
      <c r="Z504" s="169"/>
      <c r="AA504" s="169"/>
      <c r="AB504" s="169"/>
      <c r="AC504" s="169"/>
      <c r="AD504" s="169"/>
      <c r="AE504" s="169"/>
      <c r="AF504" s="169"/>
      <c r="AG504" s="169"/>
      <c r="AH504" s="169"/>
      <c r="AI504" s="169"/>
      <c r="AJ504" s="169"/>
      <c r="AK504" s="169"/>
      <c r="AL504" s="169"/>
      <c r="AM504" s="169"/>
      <c r="AN504" s="169"/>
      <c r="AO504" s="169"/>
      <c r="AP504" s="169"/>
      <c r="AQ504" s="169"/>
      <c r="AR504" s="169"/>
      <c r="AS504" s="169"/>
      <c r="AT504" s="169"/>
      <c r="AU504" s="169"/>
      <c r="AV504" s="169"/>
      <c r="AW504" s="169"/>
      <c r="AX504" s="169"/>
      <c r="AY504" s="169"/>
      <c r="AZ504" s="169"/>
      <c r="BA504" s="169"/>
      <c r="BB504" s="169"/>
      <c r="BC504" s="169"/>
    </row>
    <row r="505" spans="1:55" ht="14.25" customHeight="1">
      <c r="A505" s="12" t="s">
        <v>72</v>
      </c>
      <c r="B505" s="223">
        <v>0.75</v>
      </c>
      <c r="C505" s="223">
        <v>0.875</v>
      </c>
      <c r="D505" s="223">
        <v>0.75</v>
      </c>
      <c r="E505" s="224">
        <v>0.75</v>
      </c>
      <c r="F505" s="224"/>
      <c r="G505" s="224"/>
      <c r="H505" s="224">
        <f t="shared" si="248"/>
        <v>0.75</v>
      </c>
      <c r="I505" s="223"/>
      <c r="J505" s="223"/>
      <c r="K505" s="223"/>
      <c r="L505" s="224"/>
      <c r="M505" s="224"/>
      <c r="N505" s="224"/>
      <c r="O505" s="224">
        <f t="shared" si="249"/>
        <v>0</v>
      </c>
      <c r="P505" s="170"/>
      <c r="Q505" s="169"/>
      <c r="R505" s="169"/>
      <c r="S505" s="169"/>
      <c r="T505" s="169"/>
      <c r="U505" s="169"/>
      <c r="V505" s="169"/>
      <c r="W505" s="169"/>
      <c r="X505" s="169"/>
      <c r="Y505" s="169"/>
      <c r="Z505" s="169"/>
      <c r="AA505" s="169"/>
      <c r="AB505" s="169"/>
      <c r="AC505" s="169"/>
      <c r="AD505" s="169"/>
      <c r="AE505" s="169"/>
      <c r="AF505" s="169"/>
      <c r="AG505" s="169"/>
      <c r="AH505" s="169"/>
      <c r="AI505" s="169"/>
      <c r="AJ505" s="169"/>
      <c r="AK505" s="169"/>
      <c r="AL505" s="169"/>
      <c r="AM505" s="169"/>
      <c r="AN505" s="169"/>
      <c r="AO505" s="169"/>
      <c r="AP505" s="169"/>
      <c r="AQ505" s="169"/>
      <c r="AR505" s="169"/>
      <c r="AS505" s="169"/>
      <c r="AT505" s="169"/>
      <c r="AU505" s="169"/>
      <c r="AV505" s="169"/>
      <c r="AW505" s="169"/>
      <c r="AX505" s="169"/>
      <c r="AY505" s="169"/>
      <c r="AZ505" s="169"/>
      <c r="BA505" s="169"/>
      <c r="BB505" s="169"/>
      <c r="BC505" s="169"/>
    </row>
    <row r="506" spans="1:55" ht="14.25" customHeight="1">
      <c r="A506" s="12" t="s">
        <v>73</v>
      </c>
      <c r="B506" s="225" t="s">
        <v>19</v>
      </c>
      <c r="C506" s="225" t="s">
        <v>19</v>
      </c>
      <c r="D506" s="225" t="s">
        <v>19</v>
      </c>
      <c r="E506" s="226" t="s">
        <v>19</v>
      </c>
      <c r="F506" s="224"/>
      <c r="G506" s="224"/>
      <c r="H506" s="226" t="str">
        <f t="shared" si="248"/>
        <v>-</v>
      </c>
      <c r="I506" s="223"/>
      <c r="J506" s="223"/>
      <c r="K506" s="223"/>
      <c r="L506" s="224"/>
      <c r="M506" s="224"/>
      <c r="N506" s="224"/>
      <c r="O506" s="224">
        <f t="shared" si="249"/>
        <v>0</v>
      </c>
      <c r="P506" s="170"/>
      <c r="Q506" s="169"/>
      <c r="R506" s="169"/>
      <c r="S506" s="169"/>
      <c r="T506" s="169"/>
      <c r="U506" s="169"/>
      <c r="V506" s="169"/>
      <c r="W506" s="169"/>
      <c r="X506" s="169"/>
      <c r="Y506" s="169"/>
      <c r="Z506" s="169"/>
      <c r="AA506" s="169"/>
      <c r="AB506" s="169"/>
      <c r="AC506" s="169"/>
      <c r="AD506" s="169"/>
      <c r="AE506" s="169"/>
      <c r="AF506" s="169"/>
      <c r="AG506" s="169"/>
      <c r="AH506" s="169"/>
      <c r="AI506" s="169"/>
      <c r="AJ506" s="169"/>
      <c r="AK506" s="169"/>
      <c r="AL506" s="169"/>
      <c r="AM506" s="169"/>
      <c r="AN506" s="169"/>
      <c r="AO506" s="169"/>
      <c r="AP506" s="169"/>
      <c r="AQ506" s="169"/>
      <c r="AR506" s="169"/>
      <c r="AS506" s="169"/>
      <c r="AT506" s="169"/>
      <c r="AU506" s="169"/>
      <c r="AV506" s="169"/>
      <c r="AW506" s="169"/>
      <c r="AX506" s="169"/>
      <c r="AY506" s="169"/>
      <c r="AZ506" s="169"/>
      <c r="BA506" s="169"/>
      <c r="BB506" s="169"/>
      <c r="BC506" s="169"/>
    </row>
    <row r="507" spans="1:55" ht="14.25" customHeight="1">
      <c r="A507" s="12" t="s">
        <v>74</v>
      </c>
      <c r="B507" s="223">
        <v>0.40429999999999999</v>
      </c>
      <c r="C507" s="223">
        <v>0.70209999999999995</v>
      </c>
      <c r="D507" s="223">
        <v>0.44679999999999997</v>
      </c>
      <c r="E507" s="224">
        <v>0.44679999999999997</v>
      </c>
      <c r="F507" s="224"/>
      <c r="G507" s="224"/>
      <c r="H507" s="224">
        <f t="shared" si="248"/>
        <v>0.44679999999999997</v>
      </c>
      <c r="I507" s="223"/>
      <c r="J507" s="223"/>
      <c r="K507" s="223"/>
      <c r="L507" s="224"/>
      <c r="M507" s="224"/>
      <c r="N507" s="224"/>
      <c r="O507" s="224">
        <f t="shared" si="249"/>
        <v>0</v>
      </c>
      <c r="P507" s="170"/>
      <c r="Q507" s="169"/>
      <c r="R507" s="169"/>
      <c r="S507" s="169"/>
      <c r="T507" s="169"/>
      <c r="U507" s="169"/>
      <c r="V507" s="169"/>
      <c r="W507" s="169"/>
      <c r="X507" s="169"/>
      <c r="Y507" s="169"/>
      <c r="Z507" s="169"/>
      <c r="AA507" s="169"/>
      <c r="AB507" s="169"/>
      <c r="AC507" s="169"/>
      <c r="AD507" s="169"/>
      <c r="AE507" s="169"/>
      <c r="AF507" s="169"/>
      <c r="AG507" s="169"/>
      <c r="AH507" s="169"/>
      <c r="AI507" s="169"/>
      <c r="AJ507" s="169"/>
      <c r="AK507" s="169"/>
      <c r="AL507" s="169"/>
      <c r="AM507" s="169"/>
      <c r="AN507" s="169"/>
      <c r="AO507" s="169"/>
      <c r="AP507" s="169"/>
      <c r="AQ507" s="169"/>
      <c r="AR507" s="169"/>
      <c r="AS507" s="169"/>
      <c r="AT507" s="169"/>
      <c r="AU507" s="169"/>
      <c r="AV507" s="169"/>
      <c r="AW507" s="169"/>
      <c r="AX507" s="169"/>
      <c r="AY507" s="169"/>
      <c r="AZ507" s="169"/>
      <c r="BA507" s="169"/>
      <c r="BB507" s="169"/>
      <c r="BC507" s="169"/>
    </row>
    <row r="508" spans="1:55" ht="14.25" customHeight="1">
      <c r="A508" s="12" t="s">
        <v>75</v>
      </c>
      <c r="B508" s="223">
        <v>0.29409999999999997</v>
      </c>
      <c r="C508" s="223">
        <v>0.64710000000000001</v>
      </c>
      <c r="D508" s="223">
        <v>0.52939999999999998</v>
      </c>
      <c r="E508" s="224">
        <v>0.52939999999999998</v>
      </c>
      <c r="F508" s="224"/>
      <c r="G508" s="224"/>
      <c r="H508" s="224">
        <f t="shared" si="248"/>
        <v>0.52939999999999998</v>
      </c>
      <c r="I508" s="223"/>
      <c r="J508" s="223"/>
      <c r="K508" s="223"/>
      <c r="L508" s="224"/>
      <c r="M508" s="224"/>
      <c r="N508" s="224"/>
      <c r="O508" s="224">
        <f t="shared" si="249"/>
        <v>0</v>
      </c>
      <c r="P508" s="170"/>
      <c r="Q508" s="169"/>
      <c r="R508" s="169"/>
      <c r="S508" s="169"/>
      <c r="T508" s="169"/>
      <c r="U508" s="169"/>
      <c r="V508" s="169"/>
      <c r="W508" s="169"/>
      <c r="X508" s="169"/>
      <c r="Y508" s="169"/>
      <c r="Z508" s="169"/>
      <c r="AA508" s="169"/>
      <c r="AB508" s="169"/>
      <c r="AC508" s="169"/>
      <c r="AD508" s="169"/>
      <c r="AE508" s="169"/>
      <c r="AF508" s="169"/>
      <c r="AG508" s="169"/>
      <c r="AH508" s="169"/>
      <c r="AI508" s="169"/>
      <c r="AJ508" s="169"/>
      <c r="AK508" s="169"/>
      <c r="AL508" s="169"/>
      <c r="AM508" s="169"/>
      <c r="AN508" s="169"/>
      <c r="AO508" s="169"/>
      <c r="AP508" s="169"/>
      <c r="AQ508" s="169"/>
      <c r="AR508" s="169"/>
      <c r="AS508" s="169"/>
      <c r="AT508" s="169"/>
      <c r="AU508" s="169"/>
      <c r="AV508" s="169"/>
      <c r="AW508" s="169"/>
      <c r="AX508" s="169"/>
      <c r="AY508" s="169"/>
      <c r="AZ508" s="169"/>
      <c r="BA508" s="169"/>
      <c r="BB508" s="169"/>
      <c r="BC508" s="169"/>
    </row>
    <row r="509" spans="1:55" ht="14.25" customHeight="1">
      <c r="A509" s="12" t="s">
        <v>76</v>
      </c>
      <c r="B509" s="223">
        <v>0.36170000000000002</v>
      </c>
      <c r="C509" s="223">
        <v>0.52059999999999995</v>
      </c>
      <c r="D509" s="223">
        <v>0.34039999999999998</v>
      </c>
      <c r="E509" s="224">
        <v>0.34039999999999998</v>
      </c>
      <c r="F509" s="224"/>
      <c r="G509" s="224"/>
      <c r="H509" s="224">
        <f t="shared" ref="H509:H544" si="254">D509</f>
        <v>0.34039999999999998</v>
      </c>
      <c r="I509" s="223"/>
      <c r="J509" s="223"/>
      <c r="K509" s="223"/>
      <c r="L509" s="224"/>
      <c r="M509" s="224"/>
      <c r="N509" s="224"/>
      <c r="O509" s="224">
        <f t="shared" ref="O509:O544" si="255">K509</f>
        <v>0</v>
      </c>
      <c r="P509" s="170"/>
      <c r="Q509" s="169"/>
      <c r="R509" s="169"/>
      <c r="S509" s="169"/>
      <c r="T509" s="169"/>
      <c r="U509" s="169"/>
      <c r="V509" s="169"/>
      <c r="W509" s="169"/>
      <c r="X509" s="169"/>
      <c r="Y509" s="169"/>
      <c r="Z509" s="169"/>
      <c r="AA509" s="169"/>
      <c r="AB509" s="169"/>
      <c r="AC509" s="169"/>
      <c r="AD509" s="169"/>
      <c r="AE509" s="169"/>
      <c r="AF509" s="169"/>
      <c r="AG509" s="169"/>
      <c r="AH509" s="169"/>
      <c r="AI509" s="169"/>
      <c r="AJ509" s="169"/>
      <c r="AK509" s="169"/>
      <c r="AL509" s="169"/>
      <c r="AM509" s="169"/>
      <c r="AN509" s="169"/>
      <c r="AO509" s="169"/>
      <c r="AP509" s="169"/>
      <c r="AQ509" s="169"/>
      <c r="AR509" s="169"/>
      <c r="AS509" s="169"/>
      <c r="AT509" s="169"/>
      <c r="AU509" s="169"/>
      <c r="AV509" s="169"/>
      <c r="AW509" s="169"/>
      <c r="AX509" s="169"/>
      <c r="AY509" s="169"/>
      <c r="AZ509" s="169"/>
      <c r="BA509" s="169"/>
      <c r="BB509" s="169"/>
      <c r="BC509" s="169"/>
    </row>
    <row r="510" spans="1:55" ht="14.25" customHeight="1">
      <c r="A510" s="12" t="s">
        <v>77</v>
      </c>
      <c r="B510" s="223">
        <v>0.44440000000000002</v>
      </c>
      <c r="C510" s="223">
        <v>0.71599999999999997</v>
      </c>
      <c r="D510" s="223">
        <v>0.48149999999999998</v>
      </c>
      <c r="E510" s="224">
        <v>0.48149999999999998</v>
      </c>
      <c r="F510" s="224"/>
      <c r="G510" s="224"/>
      <c r="H510" s="224">
        <f t="shared" si="254"/>
        <v>0.48149999999999998</v>
      </c>
      <c r="I510" s="223"/>
      <c r="J510" s="223"/>
      <c r="K510" s="223"/>
      <c r="L510" s="224"/>
      <c r="M510" s="224"/>
      <c r="N510" s="224"/>
      <c r="O510" s="224">
        <f t="shared" si="255"/>
        <v>0</v>
      </c>
      <c r="P510" s="170"/>
      <c r="Q510" s="169"/>
      <c r="R510" s="169"/>
      <c r="S510" s="169"/>
      <c r="T510" s="169"/>
      <c r="U510" s="169"/>
      <c r="V510" s="169"/>
      <c r="W510" s="169"/>
      <c r="X510" s="169"/>
      <c r="Y510" s="169"/>
      <c r="Z510" s="169"/>
      <c r="AA510" s="169"/>
      <c r="AB510" s="169"/>
      <c r="AC510" s="169"/>
      <c r="AD510" s="169"/>
      <c r="AE510" s="169"/>
      <c r="AF510" s="169"/>
      <c r="AG510" s="169"/>
      <c r="AH510" s="169"/>
      <c r="AI510" s="169"/>
      <c r="AJ510" s="169"/>
      <c r="AK510" s="169"/>
      <c r="AL510" s="169"/>
      <c r="AM510" s="169"/>
      <c r="AN510" s="169"/>
      <c r="AO510" s="169"/>
      <c r="AP510" s="169"/>
      <c r="AQ510" s="169"/>
      <c r="AR510" s="169"/>
      <c r="AS510" s="169"/>
      <c r="AT510" s="169"/>
      <c r="AU510" s="169"/>
      <c r="AV510" s="169"/>
      <c r="AW510" s="169"/>
      <c r="AX510" s="169"/>
      <c r="AY510" s="169"/>
      <c r="AZ510" s="169"/>
      <c r="BA510" s="169"/>
      <c r="BB510" s="169"/>
      <c r="BC510" s="169"/>
    </row>
    <row r="511" spans="1:55" ht="14.25" customHeight="1">
      <c r="A511" s="12" t="s">
        <v>78</v>
      </c>
      <c r="B511" s="223">
        <v>0.34849999999999998</v>
      </c>
      <c r="C511" s="223">
        <v>0.59089999999999998</v>
      </c>
      <c r="D511" s="223">
        <v>0.36109999999999998</v>
      </c>
      <c r="E511" s="224">
        <v>0.36109999999999998</v>
      </c>
      <c r="F511" s="224"/>
      <c r="G511" s="224"/>
      <c r="H511" s="224">
        <f t="shared" si="254"/>
        <v>0.36109999999999998</v>
      </c>
      <c r="I511" s="223"/>
      <c r="J511" s="223"/>
      <c r="K511" s="223"/>
      <c r="L511" s="224"/>
      <c r="M511" s="224"/>
      <c r="N511" s="224"/>
      <c r="O511" s="224">
        <f t="shared" si="255"/>
        <v>0</v>
      </c>
      <c r="P511" s="170"/>
      <c r="Q511" s="169"/>
      <c r="R511" s="169"/>
      <c r="S511" s="169"/>
      <c r="T511" s="169"/>
      <c r="U511" s="169"/>
      <c r="V511" s="169"/>
      <c r="W511" s="169"/>
      <c r="X511" s="169"/>
      <c r="Y511" s="169"/>
      <c r="Z511" s="169"/>
      <c r="AA511" s="169"/>
      <c r="AB511" s="169"/>
      <c r="AC511" s="169"/>
      <c r="AD511" s="169"/>
      <c r="AE511" s="169"/>
      <c r="AF511" s="169"/>
      <c r="AG511" s="169"/>
      <c r="AH511" s="169"/>
      <c r="AI511" s="169"/>
      <c r="AJ511" s="169"/>
      <c r="AK511" s="169"/>
      <c r="AL511" s="169"/>
      <c r="AM511" s="169"/>
      <c r="AN511" s="169"/>
      <c r="AO511" s="169"/>
      <c r="AP511" s="169"/>
      <c r="AQ511" s="169"/>
      <c r="AR511" s="169"/>
      <c r="AS511" s="169"/>
      <c r="AT511" s="169"/>
      <c r="AU511" s="169"/>
      <c r="AV511" s="169"/>
      <c r="AW511" s="169"/>
      <c r="AX511" s="169"/>
      <c r="AY511" s="169"/>
      <c r="AZ511" s="169"/>
      <c r="BA511" s="169"/>
      <c r="BB511" s="169"/>
      <c r="BC511" s="169"/>
    </row>
    <row r="512" spans="1:55" ht="14.25" customHeight="1">
      <c r="A512" s="12" t="s">
        <v>79</v>
      </c>
      <c r="B512" s="223">
        <v>0.43859999999999999</v>
      </c>
      <c r="C512" s="223">
        <v>0.71930000000000005</v>
      </c>
      <c r="D512" s="223">
        <v>0.47370000000000001</v>
      </c>
      <c r="E512" s="224">
        <v>0.47370000000000001</v>
      </c>
      <c r="F512" s="224"/>
      <c r="G512" s="224"/>
      <c r="H512" s="224">
        <f t="shared" si="254"/>
        <v>0.47370000000000001</v>
      </c>
      <c r="I512" s="223"/>
      <c r="J512" s="223"/>
      <c r="K512" s="223"/>
      <c r="L512" s="224"/>
      <c r="M512" s="224"/>
      <c r="N512" s="224"/>
      <c r="O512" s="224">
        <f t="shared" si="255"/>
        <v>0</v>
      </c>
      <c r="P512" s="170"/>
      <c r="Q512" s="169"/>
      <c r="R512" s="169"/>
      <c r="S512" s="169"/>
      <c r="T512" s="169"/>
      <c r="U512" s="169"/>
      <c r="V512" s="169"/>
      <c r="W512" s="169"/>
      <c r="X512" s="169"/>
      <c r="Y512" s="169"/>
      <c r="Z512" s="169"/>
      <c r="AA512" s="169"/>
      <c r="AB512" s="169"/>
      <c r="AC512" s="169"/>
      <c r="AD512" s="169"/>
      <c r="AE512" s="169"/>
      <c r="AF512" s="169"/>
      <c r="AG512" s="169"/>
      <c r="AH512" s="169"/>
      <c r="AI512" s="169"/>
      <c r="AJ512" s="169"/>
      <c r="AK512" s="169"/>
      <c r="AL512" s="169"/>
      <c r="AM512" s="169"/>
      <c r="AN512" s="169"/>
      <c r="AO512" s="169"/>
      <c r="AP512" s="169"/>
      <c r="AQ512" s="169"/>
      <c r="AR512" s="169"/>
      <c r="AS512" s="169"/>
      <c r="AT512" s="169"/>
      <c r="AU512" s="169"/>
      <c r="AV512" s="169"/>
      <c r="AW512" s="169"/>
      <c r="AX512" s="169"/>
      <c r="AY512" s="169"/>
      <c r="AZ512" s="169"/>
      <c r="BA512" s="169"/>
      <c r="BB512" s="169"/>
      <c r="BC512" s="169"/>
    </row>
    <row r="513" spans="1:55" ht="14.25" customHeight="1">
      <c r="A513" s="12" t="s">
        <v>80</v>
      </c>
      <c r="B513" s="223">
        <v>0.44</v>
      </c>
      <c r="C513" s="223">
        <v>0.76</v>
      </c>
      <c r="D513" s="223">
        <v>0.57999999999999996</v>
      </c>
      <c r="E513" s="224">
        <v>0.57999999999999996</v>
      </c>
      <c r="F513" s="224"/>
      <c r="G513" s="224"/>
      <c r="H513" s="224">
        <f t="shared" si="254"/>
        <v>0.57999999999999996</v>
      </c>
      <c r="I513" s="223"/>
      <c r="J513" s="223"/>
      <c r="K513" s="223"/>
      <c r="L513" s="224"/>
      <c r="M513" s="224"/>
      <c r="N513" s="224"/>
      <c r="O513" s="224">
        <f t="shared" si="255"/>
        <v>0</v>
      </c>
      <c r="P513" s="170"/>
      <c r="Q513" s="169"/>
      <c r="R513" s="169"/>
      <c r="S513" s="169"/>
      <c r="T513" s="169"/>
      <c r="U513" s="169"/>
      <c r="V513" s="169"/>
      <c r="W513" s="169"/>
      <c r="X513" s="169"/>
      <c r="Y513" s="169"/>
      <c r="Z513" s="169"/>
      <c r="AA513" s="169"/>
      <c r="AB513" s="169"/>
      <c r="AC513" s="169"/>
      <c r="AD513" s="169"/>
      <c r="AE513" s="169"/>
      <c r="AF513" s="169"/>
      <c r="AG513" s="169"/>
      <c r="AH513" s="169"/>
      <c r="AI513" s="169"/>
      <c r="AJ513" s="169"/>
      <c r="AK513" s="169"/>
      <c r="AL513" s="169"/>
      <c r="AM513" s="169"/>
      <c r="AN513" s="169"/>
      <c r="AO513" s="169"/>
      <c r="AP513" s="169"/>
      <c r="AQ513" s="169"/>
      <c r="AR513" s="169"/>
      <c r="AS513" s="169"/>
      <c r="AT513" s="169"/>
      <c r="AU513" s="169"/>
      <c r="AV513" s="169"/>
      <c r="AW513" s="169"/>
      <c r="AX513" s="169"/>
      <c r="AY513" s="169"/>
      <c r="AZ513" s="169"/>
      <c r="BA513" s="169"/>
      <c r="BB513" s="169"/>
      <c r="BC513" s="169"/>
    </row>
    <row r="514" spans="1:55" ht="14.25" customHeight="1">
      <c r="A514" s="12" t="s">
        <v>81</v>
      </c>
      <c r="B514" s="223">
        <v>0.4909</v>
      </c>
      <c r="C514" s="223">
        <v>0.61819999999999997</v>
      </c>
      <c r="D514" s="223">
        <v>0.4909</v>
      </c>
      <c r="E514" s="224">
        <v>0.4909</v>
      </c>
      <c r="F514" s="224"/>
      <c r="G514" s="224"/>
      <c r="H514" s="224">
        <f t="shared" si="254"/>
        <v>0.4909</v>
      </c>
      <c r="I514" s="223"/>
      <c r="J514" s="223"/>
      <c r="K514" s="223"/>
      <c r="L514" s="224"/>
      <c r="M514" s="224"/>
      <c r="N514" s="224"/>
      <c r="O514" s="224">
        <f t="shared" si="255"/>
        <v>0</v>
      </c>
      <c r="P514" s="170"/>
      <c r="Q514" s="169"/>
      <c r="R514" s="169"/>
      <c r="S514" s="169"/>
      <c r="T514" s="169"/>
      <c r="U514" s="169"/>
      <c r="V514" s="169"/>
      <c r="W514" s="169"/>
      <c r="X514" s="169"/>
      <c r="Y514" s="169"/>
      <c r="Z514" s="169"/>
      <c r="AA514" s="169"/>
      <c r="AB514" s="169"/>
      <c r="AC514" s="169"/>
      <c r="AD514" s="169"/>
      <c r="AE514" s="169"/>
      <c r="AF514" s="169"/>
      <c r="AG514" s="169"/>
      <c r="AH514" s="169"/>
      <c r="AI514" s="169"/>
      <c r="AJ514" s="169"/>
      <c r="AK514" s="169"/>
      <c r="AL514" s="169"/>
      <c r="AM514" s="169"/>
      <c r="AN514" s="169"/>
      <c r="AO514" s="169"/>
      <c r="AP514" s="169"/>
      <c r="AQ514" s="169"/>
      <c r="AR514" s="169"/>
      <c r="AS514" s="169"/>
      <c r="AT514" s="169"/>
      <c r="AU514" s="169"/>
      <c r="AV514" s="169"/>
      <c r="AW514" s="169"/>
      <c r="AX514" s="169"/>
      <c r="AY514" s="169"/>
      <c r="AZ514" s="169"/>
      <c r="BA514" s="169"/>
      <c r="BB514" s="169"/>
      <c r="BC514" s="169"/>
    </row>
    <row r="515" spans="1:55" ht="14.25" customHeight="1">
      <c r="A515" s="12" t="s">
        <v>82</v>
      </c>
      <c r="B515" s="225" t="s">
        <v>19</v>
      </c>
      <c r="C515" s="225" t="s">
        <v>19</v>
      </c>
      <c r="D515" s="225" t="s">
        <v>19</v>
      </c>
      <c r="E515" s="226" t="s">
        <v>19</v>
      </c>
      <c r="F515" s="224"/>
      <c r="G515" s="224"/>
      <c r="H515" s="226" t="str">
        <f t="shared" si="254"/>
        <v>-</v>
      </c>
      <c r="I515" s="223"/>
      <c r="J515" s="223"/>
      <c r="K515" s="223"/>
      <c r="L515" s="224"/>
      <c r="M515" s="224"/>
      <c r="N515" s="224"/>
      <c r="O515" s="224">
        <f t="shared" si="255"/>
        <v>0</v>
      </c>
      <c r="P515" s="170"/>
      <c r="Q515" s="169"/>
      <c r="R515" s="169"/>
      <c r="S515" s="169"/>
      <c r="T515" s="169"/>
      <c r="U515" s="169"/>
      <c r="V515" s="169"/>
      <c r="W515" s="169"/>
      <c r="X515" s="169"/>
      <c r="Y515" s="169"/>
      <c r="Z515" s="169"/>
      <c r="AA515" s="169"/>
      <c r="AB515" s="169"/>
      <c r="AC515" s="169"/>
      <c r="AD515" s="169"/>
      <c r="AE515" s="169"/>
      <c r="AF515" s="169"/>
      <c r="AG515" s="169"/>
      <c r="AH515" s="169"/>
      <c r="AI515" s="169"/>
      <c r="AJ515" s="169"/>
      <c r="AK515" s="169"/>
      <c r="AL515" s="169"/>
      <c r="AM515" s="169"/>
      <c r="AN515" s="169"/>
      <c r="AO515" s="169"/>
      <c r="AP515" s="169"/>
      <c r="AQ515" s="169"/>
      <c r="AR515" s="169"/>
      <c r="AS515" s="169"/>
      <c r="AT515" s="169"/>
      <c r="AU515" s="169"/>
      <c r="AV515" s="169"/>
      <c r="AW515" s="169"/>
      <c r="AX515" s="169"/>
      <c r="AY515" s="169"/>
      <c r="AZ515" s="169"/>
      <c r="BA515" s="169"/>
      <c r="BB515" s="169"/>
      <c r="BC515" s="169"/>
    </row>
    <row r="516" spans="1:55" ht="14.25" customHeight="1">
      <c r="A516" s="12" t="s">
        <v>83</v>
      </c>
      <c r="B516" s="223">
        <v>0.3448</v>
      </c>
      <c r="C516" s="223">
        <v>0.6552</v>
      </c>
      <c r="D516" s="223">
        <v>0.37930000000000003</v>
      </c>
      <c r="E516" s="224">
        <v>0.37930000000000003</v>
      </c>
      <c r="F516" s="224"/>
      <c r="G516" s="224"/>
      <c r="H516" s="224">
        <f t="shared" si="254"/>
        <v>0.37930000000000003</v>
      </c>
      <c r="I516" s="223"/>
      <c r="J516" s="223"/>
      <c r="K516" s="223"/>
      <c r="L516" s="224"/>
      <c r="M516" s="224"/>
      <c r="N516" s="224"/>
      <c r="O516" s="224">
        <f t="shared" si="255"/>
        <v>0</v>
      </c>
      <c r="P516" s="170"/>
      <c r="Q516" s="169"/>
      <c r="R516" s="169"/>
      <c r="S516" s="169"/>
      <c r="T516" s="169"/>
      <c r="U516" s="169"/>
      <c r="V516" s="169"/>
      <c r="W516" s="169"/>
      <c r="X516" s="169"/>
      <c r="Y516" s="169"/>
      <c r="Z516" s="169"/>
      <c r="AA516" s="169"/>
      <c r="AB516" s="169"/>
      <c r="AC516" s="169"/>
      <c r="AD516" s="169"/>
      <c r="AE516" s="169"/>
      <c r="AF516" s="169"/>
      <c r="AG516" s="169"/>
      <c r="AH516" s="169"/>
      <c r="AI516" s="169"/>
      <c r="AJ516" s="169"/>
      <c r="AK516" s="169"/>
      <c r="AL516" s="169"/>
      <c r="AM516" s="169"/>
      <c r="AN516" s="169"/>
      <c r="AO516" s="169"/>
      <c r="AP516" s="169"/>
      <c r="AQ516" s="169"/>
      <c r="AR516" s="169"/>
      <c r="AS516" s="169"/>
      <c r="AT516" s="169"/>
      <c r="AU516" s="169"/>
      <c r="AV516" s="169"/>
      <c r="AW516" s="169"/>
      <c r="AX516" s="169"/>
      <c r="AY516" s="169"/>
      <c r="AZ516" s="169"/>
      <c r="BA516" s="169"/>
      <c r="BB516" s="169"/>
      <c r="BC516" s="169"/>
    </row>
    <row r="517" spans="1:55" ht="14.25" customHeight="1">
      <c r="A517" s="12" t="s">
        <v>84</v>
      </c>
      <c r="B517" s="223">
        <v>0.17460000000000001</v>
      </c>
      <c r="C517" s="223">
        <v>0.77780000000000005</v>
      </c>
      <c r="D517" s="223">
        <v>0.23810000000000001</v>
      </c>
      <c r="E517" s="224">
        <v>0.23810000000000001</v>
      </c>
      <c r="F517" s="224"/>
      <c r="G517" s="224"/>
      <c r="H517" s="224">
        <f t="shared" si="254"/>
        <v>0.23810000000000001</v>
      </c>
      <c r="I517" s="223"/>
      <c r="J517" s="223"/>
      <c r="K517" s="223"/>
      <c r="L517" s="224"/>
      <c r="M517" s="224"/>
      <c r="N517" s="224"/>
      <c r="O517" s="224">
        <f t="shared" si="255"/>
        <v>0</v>
      </c>
      <c r="P517" s="170"/>
      <c r="Q517" s="169"/>
      <c r="R517" s="169"/>
      <c r="S517" s="169"/>
      <c r="T517" s="169"/>
      <c r="U517" s="169"/>
      <c r="V517" s="169"/>
      <c r="W517" s="169"/>
      <c r="X517" s="169"/>
      <c r="Y517" s="169"/>
      <c r="Z517" s="169"/>
      <c r="AA517" s="169"/>
      <c r="AB517" s="169"/>
      <c r="AC517" s="169"/>
      <c r="AD517" s="169"/>
      <c r="AE517" s="169"/>
      <c r="AF517" s="169"/>
      <c r="AG517" s="169"/>
      <c r="AH517" s="169"/>
      <c r="AI517" s="169"/>
      <c r="AJ517" s="169"/>
      <c r="AK517" s="169"/>
      <c r="AL517" s="169"/>
      <c r="AM517" s="169"/>
      <c r="AN517" s="169"/>
      <c r="AO517" s="169"/>
      <c r="AP517" s="169"/>
      <c r="AQ517" s="169"/>
      <c r="AR517" s="169"/>
      <c r="AS517" s="169"/>
      <c r="AT517" s="169"/>
      <c r="AU517" s="169"/>
      <c r="AV517" s="169"/>
      <c r="AW517" s="169"/>
      <c r="AX517" s="169"/>
      <c r="AY517" s="169"/>
      <c r="AZ517" s="169"/>
      <c r="BA517" s="169"/>
      <c r="BB517" s="169"/>
      <c r="BC517" s="169"/>
    </row>
    <row r="518" spans="1:55" ht="14.25" customHeight="1">
      <c r="A518" s="12" t="s">
        <v>85</v>
      </c>
      <c r="B518" s="223">
        <v>0.46589999999999998</v>
      </c>
      <c r="C518" s="223">
        <v>0.60229999999999995</v>
      </c>
      <c r="D518" s="223">
        <v>0.5</v>
      </c>
      <c r="E518" s="224">
        <v>0.5</v>
      </c>
      <c r="F518" s="224"/>
      <c r="G518" s="224"/>
      <c r="H518" s="224">
        <f t="shared" si="254"/>
        <v>0.5</v>
      </c>
      <c r="I518" s="223"/>
      <c r="J518" s="223"/>
      <c r="K518" s="223"/>
      <c r="L518" s="224"/>
      <c r="M518" s="224"/>
      <c r="N518" s="224"/>
      <c r="O518" s="224">
        <f t="shared" si="255"/>
        <v>0</v>
      </c>
      <c r="P518" s="170"/>
      <c r="Q518" s="169"/>
      <c r="R518" s="169"/>
      <c r="S518" s="169"/>
      <c r="T518" s="169"/>
      <c r="U518" s="169"/>
      <c r="V518" s="169"/>
      <c r="W518" s="169"/>
      <c r="X518" s="169"/>
      <c r="Y518" s="169"/>
      <c r="Z518" s="169"/>
      <c r="AA518" s="169"/>
      <c r="AB518" s="169"/>
      <c r="AC518" s="169"/>
      <c r="AD518" s="169"/>
      <c r="AE518" s="169"/>
      <c r="AF518" s="169"/>
      <c r="AG518" s="169"/>
      <c r="AH518" s="169"/>
      <c r="AI518" s="169"/>
      <c r="AJ518" s="169"/>
      <c r="AK518" s="169"/>
      <c r="AL518" s="169"/>
      <c r="AM518" s="169"/>
      <c r="AN518" s="169"/>
      <c r="AO518" s="169"/>
      <c r="AP518" s="169"/>
      <c r="AQ518" s="169"/>
      <c r="AR518" s="169"/>
      <c r="AS518" s="169"/>
      <c r="AT518" s="169"/>
      <c r="AU518" s="169"/>
      <c r="AV518" s="169"/>
      <c r="AW518" s="169"/>
      <c r="AX518" s="169"/>
      <c r="AY518" s="169"/>
      <c r="AZ518" s="169"/>
      <c r="BA518" s="169"/>
      <c r="BB518" s="169"/>
      <c r="BC518" s="169"/>
    </row>
    <row r="519" spans="1:55" ht="14.25" customHeight="1">
      <c r="A519" s="12" t="s">
        <v>86</v>
      </c>
      <c r="B519" s="225" t="s">
        <v>19</v>
      </c>
      <c r="C519" s="225" t="s">
        <v>19</v>
      </c>
      <c r="D519" s="225" t="s">
        <v>19</v>
      </c>
      <c r="E519" s="226" t="s">
        <v>19</v>
      </c>
      <c r="F519" s="224"/>
      <c r="G519" s="224"/>
      <c r="H519" s="226" t="str">
        <f t="shared" si="254"/>
        <v>-</v>
      </c>
      <c r="I519" s="223"/>
      <c r="J519" s="223"/>
      <c r="K519" s="223"/>
      <c r="L519" s="224"/>
      <c r="M519" s="224"/>
      <c r="N519" s="224"/>
      <c r="O519" s="224">
        <f t="shared" si="255"/>
        <v>0</v>
      </c>
      <c r="P519" s="170"/>
      <c r="Q519" s="169"/>
      <c r="R519" s="169"/>
      <c r="S519" s="169"/>
      <c r="T519" s="169"/>
      <c r="U519" s="169"/>
      <c r="V519" s="169"/>
      <c r="W519" s="169"/>
      <c r="X519" s="169"/>
      <c r="Y519" s="169"/>
      <c r="Z519" s="169"/>
      <c r="AA519" s="169"/>
      <c r="AB519" s="169"/>
      <c r="AC519" s="169"/>
      <c r="AD519" s="169"/>
      <c r="AE519" s="169"/>
      <c r="AF519" s="169"/>
      <c r="AG519" s="169"/>
      <c r="AH519" s="169"/>
      <c r="AI519" s="169"/>
      <c r="AJ519" s="169"/>
      <c r="AK519" s="169"/>
      <c r="AL519" s="169"/>
      <c r="AM519" s="169"/>
      <c r="AN519" s="169"/>
      <c r="AO519" s="169"/>
      <c r="AP519" s="169"/>
      <c r="AQ519" s="169"/>
      <c r="AR519" s="169"/>
      <c r="AS519" s="169"/>
      <c r="AT519" s="169"/>
      <c r="AU519" s="169"/>
      <c r="AV519" s="169"/>
      <c r="AW519" s="169"/>
      <c r="AX519" s="169"/>
      <c r="AY519" s="169"/>
      <c r="AZ519" s="169"/>
      <c r="BA519" s="169"/>
      <c r="BB519" s="169"/>
      <c r="BC519" s="169"/>
    </row>
    <row r="520" spans="1:55" ht="14.25" customHeight="1">
      <c r="A520" s="12" t="s">
        <v>87</v>
      </c>
      <c r="B520" s="223">
        <v>0.3654</v>
      </c>
      <c r="C520" s="223">
        <v>0.57689999999999997</v>
      </c>
      <c r="D520" s="223">
        <v>0.42309999999999998</v>
      </c>
      <c r="E520" s="224">
        <v>0.42309999999999998</v>
      </c>
      <c r="F520" s="224"/>
      <c r="G520" s="224"/>
      <c r="H520" s="224">
        <f t="shared" si="254"/>
        <v>0.42309999999999998</v>
      </c>
      <c r="I520" s="223"/>
      <c r="J520" s="223"/>
      <c r="K520" s="223"/>
      <c r="L520" s="224"/>
      <c r="M520" s="224"/>
      <c r="N520" s="224"/>
      <c r="O520" s="224">
        <f t="shared" si="255"/>
        <v>0</v>
      </c>
      <c r="P520" s="170"/>
      <c r="Q520" s="169"/>
      <c r="R520" s="169"/>
      <c r="S520" s="169"/>
      <c r="T520" s="169"/>
      <c r="U520" s="169"/>
      <c r="V520" s="169"/>
      <c r="W520" s="169"/>
      <c r="X520" s="169"/>
      <c r="Y520" s="169"/>
      <c r="Z520" s="169"/>
      <c r="AA520" s="169"/>
      <c r="AB520" s="169"/>
      <c r="AC520" s="169"/>
      <c r="AD520" s="169"/>
      <c r="AE520" s="169"/>
      <c r="AF520" s="169"/>
      <c r="AG520" s="169"/>
      <c r="AH520" s="169"/>
      <c r="AI520" s="169"/>
      <c r="AJ520" s="169"/>
      <c r="AK520" s="169"/>
      <c r="AL520" s="169"/>
      <c r="AM520" s="169"/>
      <c r="AN520" s="169"/>
      <c r="AO520" s="169"/>
      <c r="AP520" s="169"/>
      <c r="AQ520" s="169"/>
      <c r="AR520" s="169"/>
      <c r="AS520" s="169"/>
      <c r="AT520" s="169"/>
      <c r="AU520" s="169"/>
      <c r="AV520" s="169"/>
      <c r="AW520" s="169"/>
      <c r="AX520" s="169"/>
      <c r="AY520" s="169"/>
      <c r="AZ520" s="169"/>
      <c r="BA520" s="169"/>
      <c r="BB520" s="169"/>
      <c r="BC520" s="169"/>
    </row>
    <row r="521" spans="1:55" ht="14.25" customHeight="1">
      <c r="A521" s="12" t="s">
        <v>88</v>
      </c>
      <c r="B521" s="223">
        <v>0.39250000000000002</v>
      </c>
      <c r="C521" s="223">
        <v>0.6542</v>
      </c>
      <c r="D521" s="223">
        <v>0.4299</v>
      </c>
      <c r="E521" s="224">
        <v>0.4299</v>
      </c>
      <c r="F521" s="224"/>
      <c r="G521" s="224"/>
      <c r="H521" s="224">
        <f t="shared" si="254"/>
        <v>0.4299</v>
      </c>
      <c r="I521" s="223"/>
      <c r="J521" s="223"/>
      <c r="K521" s="223"/>
      <c r="L521" s="224"/>
      <c r="M521" s="224"/>
      <c r="N521" s="224"/>
      <c r="O521" s="224">
        <f t="shared" si="255"/>
        <v>0</v>
      </c>
      <c r="P521" s="170"/>
      <c r="Q521" s="169"/>
      <c r="R521" s="169"/>
      <c r="S521" s="169"/>
      <c r="T521" s="169"/>
      <c r="U521" s="169"/>
      <c r="V521" s="169"/>
      <c r="W521" s="169"/>
      <c r="X521" s="169"/>
      <c r="Y521" s="169"/>
      <c r="Z521" s="169"/>
      <c r="AA521" s="169"/>
      <c r="AB521" s="169"/>
      <c r="AC521" s="169"/>
      <c r="AD521" s="169"/>
      <c r="AE521" s="169"/>
      <c r="AF521" s="169"/>
      <c r="AG521" s="169"/>
      <c r="AH521" s="169"/>
      <c r="AI521" s="169"/>
      <c r="AJ521" s="169"/>
      <c r="AK521" s="169"/>
      <c r="AL521" s="169"/>
      <c r="AM521" s="169"/>
      <c r="AN521" s="169"/>
      <c r="AO521" s="169"/>
      <c r="AP521" s="169"/>
      <c r="AQ521" s="169"/>
      <c r="AR521" s="169"/>
      <c r="AS521" s="169"/>
      <c r="AT521" s="169"/>
      <c r="AU521" s="169"/>
      <c r="AV521" s="169"/>
      <c r="AW521" s="169"/>
      <c r="AX521" s="169"/>
      <c r="AY521" s="169"/>
      <c r="AZ521" s="169"/>
      <c r="BA521" s="169"/>
      <c r="BB521" s="169"/>
      <c r="BC521" s="169"/>
    </row>
    <row r="522" spans="1:55" ht="14.25" customHeight="1">
      <c r="A522" s="12" t="s">
        <v>89</v>
      </c>
      <c r="B522" s="223"/>
      <c r="C522" s="223"/>
      <c r="D522" s="223"/>
      <c r="E522" s="224"/>
      <c r="F522" s="224"/>
      <c r="G522" s="224"/>
      <c r="H522" s="224">
        <f t="shared" si="254"/>
        <v>0</v>
      </c>
      <c r="I522" s="223"/>
      <c r="J522" s="223"/>
      <c r="K522" s="223"/>
      <c r="L522" s="224"/>
      <c r="M522" s="224"/>
      <c r="N522" s="224"/>
      <c r="O522" s="224">
        <f t="shared" si="255"/>
        <v>0</v>
      </c>
      <c r="P522" s="170"/>
      <c r="Q522" s="169"/>
      <c r="R522" s="169"/>
      <c r="S522" s="169"/>
      <c r="T522" s="169"/>
      <c r="U522" s="169"/>
      <c r="V522" s="169"/>
      <c r="W522" s="169"/>
      <c r="X522" s="169"/>
      <c r="Y522" s="169"/>
      <c r="Z522" s="169"/>
      <c r="AA522" s="169"/>
      <c r="AB522" s="169"/>
      <c r="AC522" s="169"/>
      <c r="AD522" s="169"/>
      <c r="AE522" s="169"/>
      <c r="AF522" s="169"/>
      <c r="AG522" s="169"/>
      <c r="AH522" s="169"/>
      <c r="AI522" s="169"/>
      <c r="AJ522" s="169"/>
      <c r="AK522" s="169"/>
      <c r="AL522" s="169"/>
      <c r="AM522" s="169"/>
      <c r="AN522" s="169"/>
      <c r="AO522" s="169"/>
      <c r="AP522" s="169"/>
      <c r="AQ522" s="169"/>
      <c r="AR522" s="169"/>
      <c r="AS522" s="169"/>
      <c r="AT522" s="169"/>
      <c r="AU522" s="169"/>
      <c r="AV522" s="169"/>
      <c r="AW522" s="169"/>
      <c r="AX522" s="169"/>
      <c r="AY522" s="169"/>
      <c r="AZ522" s="169"/>
      <c r="BA522" s="169"/>
      <c r="BB522" s="169"/>
      <c r="BC522" s="169"/>
    </row>
    <row r="523" spans="1:55" ht="14.25" customHeight="1">
      <c r="A523" s="12" t="s">
        <v>90</v>
      </c>
      <c r="B523" s="223"/>
      <c r="C523" s="223"/>
      <c r="D523" s="223"/>
      <c r="E523" s="224"/>
      <c r="F523" s="224"/>
      <c r="G523" s="224"/>
      <c r="H523" s="224">
        <f t="shared" si="254"/>
        <v>0</v>
      </c>
      <c r="I523" s="223"/>
      <c r="J523" s="223"/>
      <c r="K523" s="223"/>
      <c r="L523" s="224"/>
      <c r="M523" s="224"/>
      <c r="N523" s="224"/>
      <c r="O523" s="224">
        <f t="shared" si="255"/>
        <v>0</v>
      </c>
      <c r="P523" s="170"/>
      <c r="Q523" s="169"/>
      <c r="R523" s="169"/>
      <c r="S523" s="169"/>
      <c r="T523" s="169"/>
      <c r="U523" s="169"/>
      <c r="V523" s="169"/>
      <c r="W523" s="169"/>
      <c r="X523" s="169"/>
      <c r="Y523" s="169"/>
      <c r="Z523" s="169"/>
      <c r="AA523" s="169"/>
      <c r="AB523" s="169"/>
      <c r="AC523" s="169"/>
      <c r="AD523" s="169"/>
      <c r="AE523" s="169"/>
      <c r="AF523" s="169"/>
      <c r="AG523" s="169"/>
      <c r="AH523" s="169"/>
      <c r="AI523" s="169"/>
      <c r="AJ523" s="169"/>
      <c r="AK523" s="169"/>
      <c r="AL523" s="169"/>
      <c r="AM523" s="169"/>
      <c r="AN523" s="169"/>
      <c r="AO523" s="169"/>
      <c r="AP523" s="169"/>
      <c r="AQ523" s="169"/>
      <c r="AR523" s="169"/>
      <c r="AS523" s="169"/>
      <c r="AT523" s="169"/>
      <c r="AU523" s="169"/>
      <c r="AV523" s="169"/>
      <c r="AW523" s="169"/>
      <c r="AX523" s="169"/>
      <c r="AY523" s="169"/>
      <c r="AZ523" s="169"/>
      <c r="BA523" s="169"/>
      <c r="BB523" s="169"/>
      <c r="BC523" s="169"/>
    </row>
    <row r="524" spans="1:55" ht="14.25" customHeight="1">
      <c r="A524" s="12" t="s">
        <v>91</v>
      </c>
      <c r="B524" s="223"/>
      <c r="C524" s="223"/>
      <c r="D524" s="223"/>
      <c r="E524" s="224"/>
      <c r="F524" s="224"/>
      <c r="G524" s="224"/>
      <c r="H524" s="224">
        <f t="shared" si="254"/>
        <v>0</v>
      </c>
      <c r="I524" s="223"/>
      <c r="J524" s="223"/>
      <c r="K524" s="223"/>
      <c r="L524" s="224"/>
      <c r="M524" s="224"/>
      <c r="N524" s="224"/>
      <c r="O524" s="224">
        <f t="shared" si="255"/>
        <v>0</v>
      </c>
      <c r="P524" s="170"/>
      <c r="Q524" s="169"/>
      <c r="R524" s="169"/>
      <c r="S524" s="169"/>
      <c r="T524" s="169"/>
      <c r="U524" s="169"/>
      <c r="V524" s="169"/>
      <c r="W524" s="169"/>
      <c r="X524" s="169"/>
      <c r="Y524" s="169"/>
      <c r="Z524" s="169"/>
      <c r="AA524" s="169"/>
      <c r="AB524" s="169"/>
      <c r="AC524" s="169"/>
      <c r="AD524" s="169"/>
      <c r="AE524" s="169"/>
      <c r="AF524" s="169"/>
      <c r="AG524" s="169"/>
      <c r="AH524" s="169"/>
      <c r="AI524" s="169"/>
      <c r="AJ524" s="169"/>
      <c r="AK524" s="169"/>
      <c r="AL524" s="169"/>
      <c r="AM524" s="169"/>
      <c r="AN524" s="169"/>
      <c r="AO524" s="169"/>
      <c r="AP524" s="169"/>
      <c r="AQ524" s="169"/>
      <c r="AR524" s="169"/>
      <c r="AS524" s="169"/>
      <c r="AT524" s="169"/>
      <c r="AU524" s="169"/>
      <c r="AV524" s="169"/>
      <c r="AW524" s="169"/>
      <c r="AX524" s="169"/>
      <c r="AY524" s="169"/>
      <c r="AZ524" s="169"/>
      <c r="BA524" s="169"/>
      <c r="BB524" s="169"/>
      <c r="BC524" s="169"/>
    </row>
    <row r="525" spans="1:55" ht="14.25" customHeight="1">
      <c r="A525" s="12" t="s">
        <v>93</v>
      </c>
      <c r="B525" s="223"/>
      <c r="C525" s="223"/>
      <c r="D525" s="223"/>
      <c r="E525" s="224"/>
      <c r="F525" s="224"/>
      <c r="G525" s="224"/>
      <c r="H525" s="224">
        <f t="shared" si="254"/>
        <v>0</v>
      </c>
      <c r="I525" s="223"/>
      <c r="J525" s="223"/>
      <c r="K525" s="223"/>
      <c r="L525" s="224"/>
      <c r="M525" s="224"/>
      <c r="N525" s="224"/>
      <c r="O525" s="224">
        <f t="shared" si="255"/>
        <v>0</v>
      </c>
      <c r="P525" s="170"/>
      <c r="Q525" s="169"/>
      <c r="R525" s="169"/>
      <c r="S525" s="169"/>
      <c r="T525" s="169"/>
      <c r="U525" s="169"/>
      <c r="V525" s="169"/>
      <c r="W525" s="169"/>
      <c r="X525" s="169"/>
      <c r="Y525" s="169"/>
      <c r="Z525" s="169"/>
      <c r="AA525" s="169"/>
      <c r="AB525" s="169"/>
      <c r="AC525" s="169"/>
      <c r="AD525" s="169"/>
      <c r="AE525" s="169"/>
      <c r="AF525" s="169"/>
      <c r="AG525" s="169"/>
      <c r="AH525" s="169"/>
      <c r="AI525" s="169"/>
      <c r="AJ525" s="169"/>
      <c r="AK525" s="169"/>
      <c r="AL525" s="169"/>
      <c r="AM525" s="169"/>
      <c r="AN525" s="169"/>
      <c r="AO525" s="169"/>
      <c r="AP525" s="169"/>
      <c r="AQ525" s="169"/>
      <c r="AR525" s="169"/>
      <c r="AS525" s="169"/>
      <c r="AT525" s="169"/>
      <c r="AU525" s="169"/>
      <c r="AV525" s="169"/>
      <c r="AW525" s="169"/>
      <c r="AX525" s="169"/>
      <c r="AY525" s="169"/>
      <c r="AZ525" s="169"/>
      <c r="BA525" s="169"/>
      <c r="BB525" s="169"/>
      <c r="BC525" s="169"/>
    </row>
    <row r="526" spans="1:55" ht="14.25" customHeight="1">
      <c r="A526" s="12" t="s">
        <v>94</v>
      </c>
      <c r="B526" s="223"/>
      <c r="C526" s="223"/>
      <c r="D526" s="223"/>
      <c r="E526" s="224"/>
      <c r="F526" s="224"/>
      <c r="G526" s="224"/>
      <c r="H526" s="224">
        <f t="shared" si="254"/>
        <v>0</v>
      </c>
      <c r="I526" s="223"/>
      <c r="J526" s="223"/>
      <c r="K526" s="223"/>
      <c r="L526" s="224"/>
      <c r="M526" s="224"/>
      <c r="N526" s="224"/>
      <c r="O526" s="224">
        <f t="shared" si="255"/>
        <v>0</v>
      </c>
      <c r="P526" s="170"/>
      <c r="Q526" s="169"/>
      <c r="R526" s="169"/>
      <c r="S526" s="169"/>
      <c r="T526" s="169"/>
      <c r="U526" s="169"/>
      <c r="V526" s="169"/>
      <c r="W526" s="169"/>
      <c r="X526" s="169"/>
      <c r="Y526" s="169"/>
      <c r="Z526" s="169"/>
      <c r="AA526" s="169"/>
      <c r="AB526" s="169"/>
      <c r="AC526" s="169"/>
      <c r="AD526" s="169"/>
      <c r="AE526" s="169"/>
      <c r="AF526" s="169"/>
      <c r="AG526" s="169"/>
      <c r="AH526" s="169"/>
      <c r="AI526" s="169"/>
      <c r="AJ526" s="169"/>
      <c r="AK526" s="169"/>
      <c r="AL526" s="169"/>
      <c r="AM526" s="169"/>
      <c r="AN526" s="169"/>
      <c r="AO526" s="169"/>
      <c r="AP526" s="169"/>
      <c r="AQ526" s="169"/>
      <c r="AR526" s="169"/>
      <c r="AS526" s="169"/>
      <c r="AT526" s="169"/>
      <c r="AU526" s="169"/>
      <c r="AV526" s="169"/>
      <c r="AW526" s="169"/>
      <c r="AX526" s="169"/>
      <c r="AY526" s="169"/>
      <c r="AZ526" s="169"/>
      <c r="BA526" s="169"/>
      <c r="BB526" s="169"/>
      <c r="BC526" s="169"/>
    </row>
    <row r="527" spans="1:55" ht="14.25" customHeight="1">
      <c r="A527" s="12" t="s">
        <v>95</v>
      </c>
      <c r="B527" s="223"/>
      <c r="C527" s="223"/>
      <c r="D527" s="223"/>
      <c r="E527" s="224"/>
      <c r="F527" s="224"/>
      <c r="G527" s="224"/>
      <c r="H527" s="224">
        <f t="shared" si="254"/>
        <v>0</v>
      </c>
      <c r="I527" s="223"/>
      <c r="J527" s="223"/>
      <c r="K527" s="223"/>
      <c r="L527" s="224"/>
      <c r="M527" s="224"/>
      <c r="N527" s="224"/>
      <c r="O527" s="224">
        <f t="shared" si="255"/>
        <v>0</v>
      </c>
      <c r="P527" s="170"/>
      <c r="Q527" s="169"/>
      <c r="R527" s="169"/>
      <c r="S527" s="169"/>
      <c r="T527" s="169"/>
      <c r="U527" s="169"/>
      <c r="V527" s="169"/>
      <c r="W527" s="169"/>
      <c r="X527" s="169"/>
      <c r="Y527" s="169"/>
      <c r="Z527" s="169"/>
      <c r="AA527" s="169"/>
      <c r="AB527" s="169"/>
      <c r="AC527" s="169"/>
      <c r="AD527" s="169"/>
      <c r="AE527" s="169"/>
      <c r="AF527" s="169"/>
      <c r="AG527" s="169"/>
      <c r="AH527" s="169"/>
      <c r="AI527" s="169"/>
      <c r="AJ527" s="169"/>
      <c r="AK527" s="169"/>
      <c r="AL527" s="169"/>
      <c r="AM527" s="169"/>
      <c r="AN527" s="169"/>
      <c r="AO527" s="169"/>
      <c r="AP527" s="169"/>
      <c r="AQ527" s="169"/>
      <c r="AR527" s="169"/>
      <c r="AS527" s="169"/>
      <c r="AT527" s="169"/>
      <c r="AU527" s="169"/>
      <c r="AV527" s="169"/>
      <c r="AW527" s="169"/>
      <c r="AX527" s="169"/>
      <c r="AY527" s="169"/>
      <c r="AZ527" s="169"/>
      <c r="BA527" s="169"/>
      <c r="BB527" s="169"/>
      <c r="BC527" s="169"/>
    </row>
    <row r="528" spans="1:55" ht="14.25" customHeight="1">
      <c r="A528" s="12" t="s">
        <v>96</v>
      </c>
      <c r="B528" s="223"/>
      <c r="C528" s="223"/>
      <c r="D528" s="223"/>
      <c r="E528" s="224"/>
      <c r="F528" s="224"/>
      <c r="G528" s="224"/>
      <c r="H528" s="224">
        <f t="shared" si="254"/>
        <v>0</v>
      </c>
      <c r="I528" s="223"/>
      <c r="J528" s="223"/>
      <c r="K528" s="223"/>
      <c r="L528" s="224"/>
      <c r="M528" s="224"/>
      <c r="N528" s="224"/>
      <c r="O528" s="224">
        <f t="shared" si="255"/>
        <v>0</v>
      </c>
      <c r="P528" s="170"/>
      <c r="Q528" s="169"/>
      <c r="R528" s="169"/>
      <c r="S528" s="169"/>
      <c r="T528" s="169"/>
      <c r="U528" s="169"/>
      <c r="V528" s="169"/>
      <c r="W528" s="169"/>
      <c r="X528" s="169"/>
      <c r="Y528" s="169"/>
      <c r="Z528" s="169"/>
      <c r="AA528" s="169"/>
      <c r="AB528" s="169"/>
      <c r="AC528" s="169"/>
      <c r="AD528" s="169"/>
      <c r="AE528" s="169"/>
      <c r="AF528" s="169"/>
      <c r="AG528" s="169"/>
      <c r="AH528" s="169"/>
      <c r="AI528" s="169"/>
      <c r="AJ528" s="169"/>
      <c r="AK528" s="169"/>
      <c r="AL528" s="169"/>
      <c r="AM528" s="169"/>
      <c r="AN528" s="169"/>
      <c r="AO528" s="169"/>
      <c r="AP528" s="169"/>
      <c r="AQ528" s="169"/>
      <c r="AR528" s="169"/>
      <c r="AS528" s="169"/>
      <c r="AT528" s="169"/>
      <c r="AU528" s="169"/>
      <c r="AV528" s="169"/>
      <c r="AW528" s="169"/>
      <c r="AX528" s="169"/>
      <c r="AY528" s="169"/>
      <c r="AZ528" s="169"/>
      <c r="BA528" s="169"/>
      <c r="BB528" s="169"/>
      <c r="BC528" s="169"/>
    </row>
    <row r="529" spans="1:55" ht="14.25" customHeight="1">
      <c r="A529" s="43" t="s">
        <v>97</v>
      </c>
      <c r="B529" s="223">
        <v>0.27910000000000001</v>
      </c>
      <c r="C529" s="223">
        <v>0.62790000000000001</v>
      </c>
      <c r="D529" s="223">
        <v>0.39529999999999998</v>
      </c>
      <c r="E529" s="224">
        <v>0.39529999999999998</v>
      </c>
      <c r="F529" s="224"/>
      <c r="G529" s="224"/>
      <c r="H529" s="224">
        <f t="shared" si="254"/>
        <v>0.39529999999999998</v>
      </c>
      <c r="I529" s="223"/>
      <c r="J529" s="223"/>
      <c r="K529" s="223"/>
      <c r="L529" s="224"/>
      <c r="M529" s="224"/>
      <c r="N529" s="224"/>
      <c r="O529" s="224">
        <f t="shared" si="255"/>
        <v>0</v>
      </c>
      <c r="P529" s="170"/>
      <c r="Q529" s="169"/>
      <c r="R529" s="169"/>
      <c r="S529" s="169"/>
      <c r="T529" s="169"/>
      <c r="U529" s="169"/>
      <c r="V529" s="169"/>
      <c r="W529" s="169"/>
      <c r="X529" s="169"/>
      <c r="Y529" s="169"/>
      <c r="Z529" s="169"/>
      <c r="AA529" s="169"/>
      <c r="AB529" s="169"/>
      <c r="AC529" s="169"/>
      <c r="AD529" s="169"/>
      <c r="AE529" s="169"/>
      <c r="AF529" s="169"/>
      <c r="AG529" s="169"/>
      <c r="AH529" s="169"/>
      <c r="AI529" s="169"/>
      <c r="AJ529" s="169"/>
      <c r="AK529" s="169"/>
      <c r="AL529" s="169"/>
      <c r="AM529" s="169"/>
      <c r="AN529" s="169"/>
      <c r="AO529" s="169"/>
      <c r="AP529" s="169"/>
      <c r="AQ529" s="169"/>
      <c r="AR529" s="169"/>
      <c r="AS529" s="169"/>
      <c r="AT529" s="169"/>
      <c r="AU529" s="169"/>
      <c r="AV529" s="169"/>
      <c r="AW529" s="169"/>
      <c r="AX529" s="169"/>
      <c r="AY529" s="169"/>
      <c r="AZ529" s="169"/>
      <c r="BA529" s="169"/>
      <c r="BB529" s="169"/>
      <c r="BC529" s="169"/>
    </row>
    <row r="530" spans="1:55" ht="14.25" customHeight="1">
      <c r="A530" s="43" t="s">
        <v>98</v>
      </c>
      <c r="B530" s="223">
        <f t="shared" ref="B530:D542" si="256">10/16</f>
        <v>0.625</v>
      </c>
      <c r="C530" s="223">
        <f t="shared" si="256"/>
        <v>0.625</v>
      </c>
      <c r="D530" s="223">
        <f t="shared" si="256"/>
        <v>0.625</v>
      </c>
      <c r="E530" s="224">
        <v>0.625</v>
      </c>
      <c r="F530" s="224"/>
      <c r="G530" s="224"/>
      <c r="H530" s="224">
        <f t="shared" si="254"/>
        <v>0.625</v>
      </c>
      <c r="I530" s="223"/>
      <c r="J530" s="223"/>
      <c r="K530" s="223"/>
      <c r="L530" s="224"/>
      <c r="M530" s="224"/>
      <c r="N530" s="224"/>
      <c r="O530" s="224">
        <f t="shared" si="255"/>
        <v>0</v>
      </c>
      <c r="P530" s="170"/>
      <c r="Q530" s="169"/>
      <c r="R530" s="169"/>
      <c r="S530" s="169"/>
      <c r="T530" s="169"/>
      <c r="U530" s="169"/>
      <c r="V530" s="169"/>
      <c r="W530" s="169"/>
      <c r="X530" s="169"/>
      <c r="Y530" s="169"/>
      <c r="Z530" s="169"/>
      <c r="AA530" s="169"/>
      <c r="AB530" s="169"/>
      <c r="AC530" s="169"/>
      <c r="AD530" s="169"/>
      <c r="AE530" s="169"/>
      <c r="AF530" s="169"/>
      <c r="AG530" s="169"/>
      <c r="AH530" s="169"/>
      <c r="AI530" s="169"/>
      <c r="AJ530" s="169"/>
      <c r="AK530" s="169"/>
      <c r="AL530" s="169"/>
      <c r="AM530" s="169"/>
      <c r="AN530" s="169"/>
      <c r="AO530" s="169"/>
      <c r="AP530" s="169"/>
      <c r="AQ530" s="169"/>
      <c r="AR530" s="169"/>
      <c r="AS530" s="169"/>
      <c r="AT530" s="169"/>
      <c r="AU530" s="169"/>
      <c r="AV530" s="169"/>
      <c r="AW530" s="169"/>
      <c r="AX530" s="169"/>
      <c r="AY530" s="169"/>
      <c r="AZ530" s="169"/>
      <c r="BA530" s="169"/>
      <c r="BB530" s="169"/>
      <c r="BC530" s="169"/>
    </row>
    <row r="531" spans="1:55" ht="14.25" customHeight="1">
      <c r="A531" s="43" t="s">
        <v>99</v>
      </c>
      <c r="B531" s="223">
        <v>0.59319999999999995</v>
      </c>
      <c r="C531" s="223">
        <v>0.71189999999999998</v>
      </c>
      <c r="D531" s="223">
        <v>0.64410000000000001</v>
      </c>
      <c r="E531" s="224">
        <v>0.64410000000000001</v>
      </c>
      <c r="F531" s="224"/>
      <c r="G531" s="224"/>
      <c r="H531" s="224">
        <f t="shared" si="254"/>
        <v>0.64410000000000001</v>
      </c>
      <c r="I531" s="223"/>
      <c r="J531" s="223"/>
      <c r="K531" s="223"/>
      <c r="L531" s="224"/>
      <c r="M531" s="224"/>
      <c r="N531" s="224"/>
      <c r="O531" s="224">
        <f t="shared" si="255"/>
        <v>0</v>
      </c>
      <c r="P531" s="170"/>
      <c r="Q531" s="169"/>
      <c r="R531" s="169"/>
      <c r="S531" s="169"/>
      <c r="T531" s="169"/>
      <c r="U531" s="169"/>
      <c r="V531" s="169"/>
      <c r="W531" s="169"/>
      <c r="X531" s="169"/>
      <c r="Y531" s="169"/>
      <c r="Z531" s="169"/>
      <c r="AA531" s="169"/>
      <c r="AB531" s="169"/>
      <c r="AC531" s="169"/>
      <c r="AD531" s="169"/>
      <c r="AE531" s="169"/>
      <c r="AF531" s="169"/>
      <c r="AG531" s="169"/>
      <c r="AH531" s="169"/>
      <c r="AI531" s="169"/>
      <c r="AJ531" s="169"/>
      <c r="AK531" s="169"/>
      <c r="AL531" s="169"/>
      <c r="AM531" s="169"/>
      <c r="AN531" s="169"/>
      <c r="AO531" s="169"/>
      <c r="AP531" s="169"/>
      <c r="AQ531" s="169"/>
      <c r="AR531" s="169"/>
      <c r="AS531" s="169"/>
      <c r="AT531" s="169"/>
      <c r="AU531" s="169"/>
      <c r="AV531" s="169"/>
      <c r="AW531" s="169"/>
      <c r="AX531" s="169"/>
      <c r="AY531" s="169"/>
      <c r="AZ531" s="169"/>
      <c r="BA531" s="169"/>
      <c r="BB531" s="169"/>
      <c r="BC531" s="169"/>
    </row>
    <row r="532" spans="1:55" ht="14.25" customHeight="1">
      <c r="A532" s="45" t="s">
        <v>100</v>
      </c>
      <c r="B532" s="223"/>
      <c r="C532" s="223"/>
      <c r="D532" s="223"/>
      <c r="E532" s="224"/>
      <c r="F532" s="224"/>
      <c r="G532" s="224"/>
      <c r="H532" s="224">
        <f t="shared" si="254"/>
        <v>0</v>
      </c>
      <c r="I532" s="223"/>
      <c r="J532" s="223"/>
      <c r="K532" s="223"/>
      <c r="L532" s="224"/>
      <c r="M532" s="224"/>
      <c r="N532" s="224"/>
      <c r="O532" s="224">
        <f t="shared" si="255"/>
        <v>0</v>
      </c>
      <c r="P532" s="170"/>
      <c r="Q532" s="169"/>
      <c r="R532" s="169"/>
      <c r="S532" s="169"/>
      <c r="T532" s="169"/>
      <c r="U532" s="169"/>
      <c r="V532" s="169"/>
      <c r="W532" s="169"/>
      <c r="X532" s="169"/>
      <c r="Y532" s="169"/>
      <c r="Z532" s="169"/>
      <c r="AA532" s="169"/>
      <c r="AB532" s="169"/>
      <c r="AC532" s="169"/>
      <c r="AD532" s="169"/>
      <c r="AE532" s="169"/>
      <c r="AF532" s="169"/>
      <c r="AG532" s="169"/>
      <c r="AH532" s="169"/>
      <c r="AI532" s="169"/>
      <c r="AJ532" s="169"/>
      <c r="AK532" s="169"/>
      <c r="AL532" s="169"/>
      <c r="AM532" s="169"/>
      <c r="AN532" s="169"/>
      <c r="AO532" s="169"/>
      <c r="AP532" s="169"/>
      <c r="AQ532" s="169"/>
      <c r="AR532" s="169"/>
      <c r="AS532" s="169"/>
      <c r="AT532" s="169"/>
      <c r="AU532" s="169"/>
      <c r="AV532" s="169"/>
      <c r="AW532" s="169"/>
      <c r="AX532" s="169"/>
      <c r="AY532" s="169"/>
      <c r="AZ532" s="169"/>
      <c r="BA532" s="169"/>
      <c r="BB532" s="169"/>
      <c r="BC532" s="169"/>
    </row>
    <row r="533" spans="1:55" ht="14.25" customHeight="1">
      <c r="A533" s="45" t="s">
        <v>101</v>
      </c>
      <c r="B533" s="223"/>
      <c r="C533" s="223"/>
      <c r="D533" s="223"/>
      <c r="E533" s="224"/>
      <c r="F533" s="224"/>
      <c r="G533" s="224"/>
      <c r="H533" s="224">
        <f t="shared" si="254"/>
        <v>0</v>
      </c>
      <c r="I533" s="223"/>
      <c r="J533" s="223"/>
      <c r="K533" s="223"/>
      <c r="L533" s="224"/>
      <c r="M533" s="224"/>
      <c r="N533" s="224"/>
      <c r="O533" s="224">
        <f t="shared" si="255"/>
        <v>0</v>
      </c>
      <c r="P533" s="170"/>
      <c r="Q533" s="169"/>
      <c r="R533" s="169"/>
      <c r="S533" s="169"/>
      <c r="T533" s="169"/>
      <c r="U533" s="169"/>
      <c r="V533" s="169"/>
      <c r="W533" s="169"/>
      <c r="X533" s="169"/>
      <c r="Y533" s="169"/>
      <c r="Z533" s="169"/>
      <c r="AA533" s="169"/>
      <c r="AB533" s="169"/>
      <c r="AC533" s="169"/>
      <c r="AD533" s="169"/>
      <c r="AE533" s="169"/>
      <c r="AF533" s="169"/>
      <c r="AG533" s="169"/>
      <c r="AH533" s="169"/>
      <c r="AI533" s="169"/>
      <c r="AJ533" s="169"/>
      <c r="AK533" s="169"/>
      <c r="AL533" s="169"/>
      <c r="AM533" s="169"/>
      <c r="AN533" s="169"/>
      <c r="AO533" s="169"/>
      <c r="AP533" s="169"/>
      <c r="AQ533" s="169"/>
      <c r="AR533" s="169"/>
      <c r="AS533" s="169"/>
      <c r="AT533" s="169"/>
      <c r="AU533" s="169"/>
      <c r="AV533" s="169"/>
      <c r="AW533" s="169"/>
      <c r="AX533" s="169"/>
      <c r="AY533" s="169"/>
      <c r="AZ533" s="169"/>
      <c r="BA533" s="169"/>
      <c r="BB533" s="169"/>
      <c r="BC533" s="169"/>
    </row>
    <row r="534" spans="1:55" ht="14.25" customHeight="1">
      <c r="A534" s="12" t="s">
        <v>119</v>
      </c>
      <c r="B534" s="223">
        <v>0.39350000000000002</v>
      </c>
      <c r="C534" s="223">
        <v>0.61950000000000005</v>
      </c>
      <c r="D534" s="223">
        <v>0.40810000000000002</v>
      </c>
      <c r="E534" s="224">
        <v>0.40810000000000002</v>
      </c>
      <c r="F534" s="224"/>
      <c r="G534" s="224"/>
      <c r="H534" s="224">
        <f t="shared" si="254"/>
        <v>0.40810000000000002</v>
      </c>
      <c r="I534" s="223"/>
      <c r="J534" s="223"/>
      <c r="K534" s="223"/>
      <c r="L534" s="224"/>
      <c r="M534" s="224"/>
      <c r="N534" s="224"/>
      <c r="O534" s="224">
        <f t="shared" si="255"/>
        <v>0</v>
      </c>
      <c r="P534" s="170"/>
      <c r="Q534" s="169"/>
      <c r="R534" s="169"/>
      <c r="S534" s="169"/>
      <c r="T534" s="169"/>
      <c r="U534" s="169"/>
      <c r="V534" s="169"/>
      <c r="W534" s="169"/>
      <c r="X534" s="169"/>
      <c r="Y534" s="169"/>
      <c r="Z534" s="169"/>
      <c r="AA534" s="169"/>
      <c r="AB534" s="169"/>
      <c r="AC534" s="169"/>
      <c r="AD534" s="169"/>
      <c r="AE534" s="169"/>
      <c r="AF534" s="169"/>
      <c r="AG534" s="169"/>
      <c r="AH534" s="169"/>
      <c r="AI534" s="169"/>
      <c r="AJ534" s="169"/>
      <c r="AK534" s="169"/>
      <c r="AL534" s="169"/>
      <c r="AM534" s="169"/>
      <c r="AN534" s="169"/>
      <c r="AO534" s="169"/>
      <c r="AP534" s="169"/>
      <c r="AQ534" s="169"/>
      <c r="AR534" s="169"/>
      <c r="AS534" s="169"/>
      <c r="AT534" s="169"/>
      <c r="AU534" s="169"/>
      <c r="AV534" s="169"/>
      <c r="AW534" s="169"/>
      <c r="AX534" s="169"/>
      <c r="AY534" s="169"/>
      <c r="AZ534" s="169"/>
      <c r="BA534" s="169"/>
      <c r="BB534" s="169"/>
      <c r="BC534" s="169"/>
    </row>
    <row r="535" spans="1:55" ht="14.25" customHeight="1">
      <c r="A535" s="12" t="s">
        <v>120</v>
      </c>
      <c r="B535" s="223">
        <v>0.40689999999999998</v>
      </c>
      <c r="C535" s="223">
        <v>0.69120000000000004</v>
      </c>
      <c r="D535" s="223">
        <v>0.47060000000000002</v>
      </c>
      <c r="E535" s="224">
        <v>0.47060000000000002</v>
      </c>
      <c r="F535" s="224"/>
      <c r="G535" s="224"/>
      <c r="H535" s="224">
        <f t="shared" si="254"/>
        <v>0.47060000000000002</v>
      </c>
      <c r="I535" s="223"/>
      <c r="J535" s="223"/>
      <c r="K535" s="223"/>
      <c r="L535" s="224"/>
      <c r="M535" s="224"/>
      <c r="N535" s="224"/>
      <c r="O535" s="224">
        <f t="shared" si="255"/>
        <v>0</v>
      </c>
      <c r="P535" s="170"/>
      <c r="Q535" s="169"/>
      <c r="R535" s="169"/>
      <c r="S535" s="169"/>
      <c r="T535" s="169"/>
      <c r="U535" s="169"/>
      <c r="V535" s="169"/>
      <c r="W535" s="169"/>
      <c r="X535" s="169"/>
      <c r="Y535" s="169"/>
      <c r="Z535" s="169"/>
      <c r="AA535" s="169"/>
      <c r="AB535" s="169"/>
      <c r="AC535" s="169"/>
      <c r="AD535" s="169"/>
      <c r="AE535" s="169"/>
      <c r="AF535" s="169"/>
      <c r="AG535" s="169"/>
      <c r="AH535" s="169"/>
      <c r="AI535" s="169"/>
      <c r="AJ535" s="169"/>
      <c r="AK535" s="169"/>
      <c r="AL535" s="169"/>
      <c r="AM535" s="169"/>
      <c r="AN535" s="169"/>
      <c r="AO535" s="169"/>
      <c r="AP535" s="169"/>
      <c r="AQ535" s="169"/>
      <c r="AR535" s="169"/>
      <c r="AS535" s="169"/>
      <c r="AT535" s="169"/>
      <c r="AU535" s="169"/>
      <c r="AV535" s="169"/>
      <c r="AW535" s="169"/>
      <c r="AX535" s="169"/>
      <c r="AY535" s="169"/>
      <c r="AZ535" s="169"/>
      <c r="BA535" s="169"/>
      <c r="BB535" s="169"/>
      <c r="BC535" s="169"/>
    </row>
    <row r="536" spans="1:55" ht="14.25" customHeight="1">
      <c r="A536" s="12" t="s">
        <v>121</v>
      </c>
      <c r="B536" s="223">
        <v>0.46429999999999999</v>
      </c>
      <c r="C536" s="223">
        <v>0.66959999999999997</v>
      </c>
      <c r="D536" s="223">
        <v>0.48209999999999997</v>
      </c>
      <c r="E536" s="224">
        <v>0.48209999999999997</v>
      </c>
      <c r="F536" s="224"/>
      <c r="G536" s="224"/>
      <c r="H536" s="224">
        <f t="shared" si="254"/>
        <v>0.48209999999999997</v>
      </c>
      <c r="I536" s="223"/>
      <c r="J536" s="223"/>
      <c r="K536" s="223"/>
      <c r="L536" s="224"/>
      <c r="M536" s="224"/>
      <c r="N536" s="224"/>
      <c r="O536" s="224">
        <f t="shared" si="255"/>
        <v>0</v>
      </c>
      <c r="P536" s="170"/>
      <c r="Q536" s="169"/>
      <c r="R536" s="169"/>
      <c r="S536" s="169"/>
      <c r="T536" s="169"/>
      <c r="U536" s="169"/>
      <c r="V536" s="169"/>
      <c r="W536" s="169"/>
      <c r="X536" s="169"/>
      <c r="Y536" s="169"/>
      <c r="Z536" s="169"/>
      <c r="AA536" s="169"/>
      <c r="AB536" s="169"/>
      <c r="AC536" s="169"/>
      <c r="AD536" s="169"/>
      <c r="AE536" s="169"/>
      <c r="AF536" s="169"/>
      <c r="AG536" s="169"/>
      <c r="AH536" s="169"/>
      <c r="AI536" s="169"/>
      <c r="AJ536" s="169"/>
      <c r="AK536" s="169"/>
      <c r="AL536" s="169"/>
      <c r="AM536" s="169"/>
      <c r="AN536" s="169"/>
      <c r="AO536" s="169"/>
      <c r="AP536" s="169"/>
      <c r="AQ536" s="169"/>
      <c r="AR536" s="169"/>
      <c r="AS536" s="169"/>
      <c r="AT536" s="169"/>
      <c r="AU536" s="169"/>
      <c r="AV536" s="169"/>
      <c r="AW536" s="169"/>
      <c r="AX536" s="169"/>
      <c r="AY536" s="169"/>
      <c r="AZ536" s="169"/>
      <c r="BA536" s="169"/>
      <c r="BB536" s="169"/>
      <c r="BC536" s="169"/>
    </row>
    <row r="537" spans="1:55" ht="14.25" customHeight="1">
      <c r="A537" s="12" t="s">
        <v>122</v>
      </c>
      <c r="B537" s="223">
        <v>0.33960000000000001</v>
      </c>
      <c r="C537" s="223">
        <v>0.64149999999999996</v>
      </c>
      <c r="D537" s="223">
        <v>0.35849999999999999</v>
      </c>
      <c r="E537" s="224">
        <v>0.35849999999999999</v>
      </c>
      <c r="F537" s="224"/>
      <c r="G537" s="224"/>
      <c r="H537" s="224">
        <f t="shared" si="254"/>
        <v>0.35849999999999999</v>
      </c>
      <c r="I537" s="223"/>
      <c r="J537" s="223"/>
      <c r="K537" s="223"/>
      <c r="L537" s="224"/>
      <c r="M537" s="224"/>
      <c r="N537" s="224"/>
      <c r="O537" s="224">
        <f t="shared" si="255"/>
        <v>0</v>
      </c>
      <c r="P537" s="170"/>
      <c r="Q537" s="169"/>
      <c r="R537" s="169"/>
      <c r="S537" s="169"/>
      <c r="T537" s="169"/>
      <c r="U537" s="169"/>
      <c r="V537" s="169"/>
      <c r="W537" s="169"/>
      <c r="X537" s="169"/>
      <c r="Y537" s="169"/>
      <c r="Z537" s="169"/>
      <c r="AA537" s="169"/>
      <c r="AB537" s="169"/>
      <c r="AC537" s="169"/>
      <c r="AD537" s="169"/>
      <c r="AE537" s="169"/>
      <c r="AF537" s="169"/>
      <c r="AG537" s="169"/>
      <c r="AH537" s="169"/>
      <c r="AI537" s="169"/>
      <c r="AJ537" s="169"/>
      <c r="AK537" s="169"/>
      <c r="AL537" s="169"/>
      <c r="AM537" s="169"/>
      <c r="AN537" s="169"/>
      <c r="AO537" s="169"/>
      <c r="AP537" s="169"/>
      <c r="AQ537" s="169"/>
      <c r="AR537" s="169"/>
      <c r="AS537" s="169"/>
      <c r="AT537" s="169"/>
      <c r="AU537" s="169"/>
      <c r="AV537" s="169"/>
      <c r="AW537" s="169"/>
      <c r="AX537" s="169"/>
      <c r="AY537" s="169"/>
      <c r="AZ537" s="169"/>
      <c r="BA537" s="169"/>
      <c r="BB537" s="169"/>
      <c r="BC537" s="169"/>
    </row>
    <row r="538" spans="1:55" ht="14.25" customHeight="1">
      <c r="A538" s="12" t="s">
        <v>123</v>
      </c>
      <c r="B538" s="223">
        <v>0.2283</v>
      </c>
      <c r="C538" s="223">
        <v>0.73909999999999998</v>
      </c>
      <c r="D538" s="223">
        <v>0.28260000000000002</v>
      </c>
      <c r="E538" s="224">
        <v>0.28260000000000002</v>
      </c>
      <c r="F538" s="224"/>
      <c r="G538" s="224"/>
      <c r="H538" s="224">
        <f t="shared" si="254"/>
        <v>0.28260000000000002</v>
      </c>
      <c r="I538" s="223"/>
      <c r="J538" s="223"/>
      <c r="K538" s="223"/>
      <c r="L538" s="224"/>
      <c r="M538" s="224"/>
      <c r="N538" s="224"/>
      <c r="O538" s="224">
        <f t="shared" si="255"/>
        <v>0</v>
      </c>
      <c r="P538" s="170"/>
      <c r="Q538" s="169"/>
      <c r="R538" s="169"/>
      <c r="S538" s="169"/>
      <c r="T538" s="169"/>
      <c r="U538" s="169"/>
      <c r="V538" s="169"/>
      <c r="W538" s="169"/>
      <c r="X538" s="169"/>
      <c r="Y538" s="169"/>
      <c r="Z538" s="169"/>
      <c r="AA538" s="169"/>
      <c r="AB538" s="169"/>
      <c r="AC538" s="169"/>
      <c r="AD538" s="169"/>
      <c r="AE538" s="169"/>
      <c r="AF538" s="169"/>
      <c r="AG538" s="169"/>
      <c r="AH538" s="169"/>
      <c r="AI538" s="169"/>
      <c r="AJ538" s="169"/>
      <c r="AK538" s="169"/>
      <c r="AL538" s="169"/>
      <c r="AM538" s="169"/>
      <c r="AN538" s="169"/>
      <c r="AO538" s="169"/>
      <c r="AP538" s="169"/>
      <c r="AQ538" s="169"/>
      <c r="AR538" s="169"/>
      <c r="AS538" s="169"/>
      <c r="AT538" s="169"/>
      <c r="AU538" s="169"/>
      <c r="AV538" s="169"/>
      <c r="AW538" s="169"/>
      <c r="AX538" s="169"/>
      <c r="AY538" s="169"/>
      <c r="AZ538" s="169"/>
      <c r="BA538" s="169"/>
      <c r="BB538" s="169"/>
      <c r="BC538" s="169"/>
    </row>
    <row r="539" spans="1:55" ht="14.25" customHeight="1">
      <c r="A539" s="12" t="s">
        <v>124</v>
      </c>
      <c r="B539" s="223">
        <v>0.3654</v>
      </c>
      <c r="C539" s="223">
        <v>0.57689999999999997</v>
      </c>
      <c r="D539" s="223">
        <v>0.42309999999999998</v>
      </c>
      <c r="E539" s="224">
        <v>0.42309999999999998</v>
      </c>
      <c r="F539" s="224"/>
      <c r="G539" s="224"/>
      <c r="H539" s="224">
        <f t="shared" si="254"/>
        <v>0.42309999999999998</v>
      </c>
      <c r="I539" s="223"/>
      <c r="J539" s="223"/>
      <c r="K539" s="223"/>
      <c r="L539" s="224"/>
      <c r="M539" s="224"/>
      <c r="N539" s="224"/>
      <c r="O539" s="224">
        <f t="shared" si="255"/>
        <v>0</v>
      </c>
      <c r="P539" s="170"/>
      <c r="Q539" s="169"/>
      <c r="R539" s="169"/>
      <c r="S539" s="169"/>
      <c r="T539" s="169"/>
      <c r="U539" s="169"/>
      <c r="V539" s="169"/>
      <c r="W539" s="169"/>
      <c r="X539" s="169"/>
      <c r="Y539" s="169"/>
      <c r="Z539" s="169"/>
      <c r="AA539" s="169"/>
      <c r="AB539" s="169"/>
      <c r="AC539" s="169"/>
      <c r="AD539" s="169"/>
      <c r="AE539" s="169"/>
      <c r="AF539" s="169"/>
      <c r="AG539" s="169"/>
      <c r="AH539" s="169"/>
      <c r="AI539" s="169"/>
      <c r="AJ539" s="169"/>
      <c r="AK539" s="169"/>
      <c r="AL539" s="169"/>
      <c r="AM539" s="169"/>
      <c r="AN539" s="169"/>
      <c r="AO539" s="169"/>
      <c r="AP539" s="169"/>
      <c r="AQ539" s="169"/>
      <c r="AR539" s="169"/>
      <c r="AS539" s="169"/>
      <c r="AT539" s="169"/>
      <c r="AU539" s="169"/>
      <c r="AV539" s="169"/>
      <c r="AW539" s="169"/>
      <c r="AX539" s="169"/>
      <c r="AY539" s="169"/>
      <c r="AZ539" s="169"/>
      <c r="BA539" s="169"/>
      <c r="BB539" s="169"/>
      <c r="BC539" s="169"/>
    </row>
    <row r="540" spans="1:55" ht="14.25" customHeight="1">
      <c r="A540" s="12" t="s">
        <v>125</v>
      </c>
      <c r="B540" s="223">
        <v>0.32450000000000001</v>
      </c>
      <c r="C540" s="223">
        <v>0.54969999999999997</v>
      </c>
      <c r="D540" s="223">
        <v>0.35759999999999997</v>
      </c>
      <c r="E540" s="224">
        <v>0.35759999999999997</v>
      </c>
      <c r="F540" s="224"/>
      <c r="G540" s="224"/>
      <c r="H540" s="224">
        <f t="shared" si="254"/>
        <v>0.35759999999999997</v>
      </c>
      <c r="I540" s="223"/>
      <c r="J540" s="223"/>
      <c r="K540" s="223"/>
      <c r="L540" s="224"/>
      <c r="M540" s="224"/>
      <c r="N540" s="224"/>
      <c r="O540" s="224">
        <f t="shared" si="255"/>
        <v>0</v>
      </c>
      <c r="P540" s="170"/>
      <c r="Q540" s="169"/>
      <c r="R540" s="169"/>
      <c r="S540" s="169"/>
      <c r="T540" s="169"/>
      <c r="U540" s="169"/>
      <c r="V540" s="169"/>
      <c r="W540" s="169"/>
      <c r="X540" s="169"/>
      <c r="Y540" s="169"/>
      <c r="Z540" s="169"/>
      <c r="AA540" s="169"/>
      <c r="AB540" s="169"/>
      <c r="AC540" s="169"/>
      <c r="AD540" s="169"/>
      <c r="AE540" s="169"/>
      <c r="AF540" s="169"/>
      <c r="AG540" s="169"/>
      <c r="AH540" s="169"/>
      <c r="AI540" s="169"/>
      <c r="AJ540" s="169"/>
      <c r="AK540" s="169"/>
      <c r="AL540" s="169"/>
      <c r="AM540" s="169"/>
      <c r="AN540" s="169"/>
      <c r="AO540" s="169"/>
      <c r="AP540" s="169"/>
      <c r="AQ540" s="169"/>
      <c r="AR540" s="169"/>
      <c r="AS540" s="169"/>
      <c r="AT540" s="169"/>
      <c r="AU540" s="169"/>
      <c r="AV540" s="169"/>
      <c r="AW540" s="169"/>
      <c r="AX540" s="169"/>
      <c r="AY540" s="169"/>
      <c r="AZ540" s="169"/>
      <c r="BA540" s="169"/>
      <c r="BB540" s="169"/>
      <c r="BC540" s="169"/>
    </row>
    <row r="541" spans="1:55" ht="14.25" customHeight="1">
      <c r="A541" s="12" t="s">
        <v>244</v>
      </c>
      <c r="B541" s="223">
        <f>47/102</f>
        <v>0.46078431372549017</v>
      </c>
      <c r="C541" s="223">
        <f>69/102</f>
        <v>0.67647058823529416</v>
      </c>
      <c r="D541" s="223">
        <f>55/102</f>
        <v>0.53921568627450978</v>
      </c>
      <c r="E541" s="224">
        <v>0.53921568627451</v>
      </c>
      <c r="F541" s="224"/>
      <c r="G541" s="224"/>
      <c r="H541" s="224">
        <f t="shared" si="254"/>
        <v>0.53921568627450978</v>
      </c>
      <c r="I541" s="223"/>
      <c r="J541" s="223"/>
      <c r="K541" s="223"/>
      <c r="L541" s="224"/>
      <c r="M541" s="224"/>
      <c r="N541" s="224"/>
      <c r="O541" s="224">
        <f t="shared" si="255"/>
        <v>0</v>
      </c>
      <c r="P541" s="170"/>
      <c r="Q541" s="169"/>
      <c r="R541" s="169"/>
      <c r="S541" s="169"/>
      <c r="T541" s="169"/>
      <c r="U541" s="169"/>
      <c r="V541" s="169"/>
      <c r="W541" s="169"/>
      <c r="X541" s="169"/>
      <c r="Y541" s="169"/>
      <c r="Z541" s="169"/>
      <c r="AA541" s="169"/>
      <c r="AB541" s="169"/>
      <c r="AC541" s="169"/>
      <c r="AD541" s="169"/>
      <c r="AE541" s="169"/>
      <c r="AF541" s="169"/>
      <c r="AG541" s="169"/>
      <c r="AH541" s="169"/>
      <c r="AI541" s="169"/>
      <c r="AJ541" s="169"/>
      <c r="AK541" s="169"/>
      <c r="AL541" s="169"/>
      <c r="AM541" s="169"/>
      <c r="AN541" s="169"/>
      <c r="AO541" s="169"/>
      <c r="AP541" s="169"/>
      <c r="AQ541" s="169"/>
      <c r="AR541" s="169"/>
      <c r="AS541" s="169"/>
      <c r="AT541" s="169"/>
      <c r="AU541" s="169"/>
      <c r="AV541" s="169"/>
      <c r="AW541" s="169"/>
      <c r="AX541" s="169"/>
      <c r="AY541" s="169"/>
      <c r="AZ541" s="169"/>
      <c r="BA541" s="169"/>
      <c r="BB541" s="169"/>
      <c r="BC541" s="169"/>
    </row>
    <row r="542" spans="1:55" ht="14.25" customHeight="1">
      <c r="A542" s="12" t="s">
        <v>245</v>
      </c>
      <c r="B542" s="223">
        <f t="shared" si="256"/>
        <v>0.625</v>
      </c>
      <c r="C542" s="223">
        <f t="shared" si="256"/>
        <v>0.625</v>
      </c>
      <c r="D542" s="223">
        <f t="shared" si="256"/>
        <v>0.625</v>
      </c>
      <c r="E542" s="224">
        <v>0.625</v>
      </c>
      <c r="F542" s="224"/>
      <c r="G542" s="224"/>
      <c r="H542" s="224">
        <f t="shared" si="254"/>
        <v>0.625</v>
      </c>
      <c r="I542" s="223"/>
      <c r="J542" s="223"/>
      <c r="K542" s="223"/>
      <c r="L542" s="224"/>
      <c r="M542" s="224"/>
      <c r="N542" s="224"/>
      <c r="O542" s="224">
        <f t="shared" si="255"/>
        <v>0</v>
      </c>
      <c r="P542" s="170"/>
      <c r="Q542" s="169"/>
      <c r="R542" s="169"/>
      <c r="S542" s="169"/>
      <c r="T542" s="169"/>
      <c r="U542" s="169"/>
      <c r="V542" s="169"/>
      <c r="W542" s="169"/>
      <c r="X542" s="169"/>
      <c r="Y542" s="169"/>
      <c r="Z542" s="169"/>
      <c r="AA542" s="169"/>
      <c r="AB542" s="169"/>
      <c r="AC542" s="169"/>
      <c r="AD542" s="169"/>
      <c r="AE542" s="169"/>
      <c r="AF542" s="169"/>
      <c r="AG542" s="169"/>
      <c r="AH542" s="169"/>
      <c r="AI542" s="169"/>
      <c r="AJ542" s="169"/>
      <c r="AK542" s="169"/>
      <c r="AL542" s="169"/>
      <c r="AM542" s="169"/>
      <c r="AN542" s="169"/>
      <c r="AO542" s="169"/>
      <c r="AP542" s="169"/>
      <c r="AQ542" s="169"/>
      <c r="AR542" s="169"/>
      <c r="AS542" s="169"/>
      <c r="AT542" s="169"/>
      <c r="AU542" s="169"/>
      <c r="AV542" s="169"/>
      <c r="AW542" s="169"/>
      <c r="AX542" s="169"/>
      <c r="AY542" s="169"/>
      <c r="AZ542" s="169"/>
      <c r="BA542" s="169"/>
      <c r="BB542" s="169"/>
      <c r="BC542" s="169"/>
    </row>
    <row r="543" spans="1:55" ht="14.25" customHeight="1">
      <c r="A543" s="12" t="s">
        <v>246</v>
      </c>
      <c r="B543" s="223">
        <f>(242+47)/(615+102)</f>
        <v>0.40306834030683403</v>
      </c>
      <c r="C543" s="223">
        <f>(381+69)/(615+102)</f>
        <v>0.62761506276150625</v>
      </c>
      <c r="D543" s="223">
        <f>(251+55)/(615+102)</f>
        <v>0.42677824267782427</v>
      </c>
      <c r="E543" s="224">
        <v>0.42677824267782399</v>
      </c>
      <c r="F543" s="224"/>
      <c r="G543" s="224"/>
      <c r="H543" s="224">
        <f t="shared" si="254"/>
        <v>0.42677824267782427</v>
      </c>
      <c r="I543" s="223"/>
      <c r="J543" s="223"/>
      <c r="K543" s="223"/>
      <c r="L543" s="224"/>
      <c r="M543" s="224"/>
      <c r="N543" s="224"/>
      <c r="O543" s="224">
        <f t="shared" si="255"/>
        <v>0</v>
      </c>
      <c r="P543" s="170"/>
      <c r="Q543" s="169"/>
      <c r="R543" s="169"/>
      <c r="S543" s="169"/>
      <c r="T543" s="169"/>
      <c r="U543" s="169"/>
      <c r="V543" s="169"/>
      <c r="W543" s="169"/>
      <c r="X543" s="169"/>
      <c r="Y543" s="169"/>
      <c r="Z543" s="169"/>
      <c r="AA543" s="169"/>
      <c r="AB543" s="169"/>
      <c r="AC543" s="169"/>
      <c r="AD543" s="169"/>
      <c r="AE543" s="169"/>
      <c r="AF543" s="169"/>
      <c r="AG543" s="169"/>
      <c r="AH543" s="169"/>
      <c r="AI543" s="169"/>
      <c r="AJ543" s="169"/>
      <c r="AK543" s="169"/>
      <c r="AL543" s="169"/>
      <c r="AM543" s="169"/>
      <c r="AN543" s="169"/>
      <c r="AO543" s="169"/>
      <c r="AP543" s="169"/>
      <c r="AQ543" s="169"/>
      <c r="AR543" s="169"/>
      <c r="AS543" s="169"/>
      <c r="AT543" s="169"/>
      <c r="AU543" s="169"/>
      <c r="AV543" s="169"/>
      <c r="AW543" s="169"/>
      <c r="AX543" s="169"/>
      <c r="AY543" s="169"/>
      <c r="AZ543" s="169"/>
      <c r="BA543" s="169"/>
      <c r="BB543" s="169"/>
      <c r="BC543" s="169"/>
    </row>
    <row r="544" spans="1:55" ht="14.25" customHeight="1">
      <c r="A544" s="12" t="s">
        <v>247</v>
      </c>
      <c r="B544" s="223">
        <f>(52+10)/(112+16)</f>
        <v>0.484375</v>
      </c>
      <c r="C544" s="223">
        <f>(75+10)/(112+16)</f>
        <v>0.6640625</v>
      </c>
      <c r="D544" s="223">
        <f>(54+10)/(112+16)</f>
        <v>0.5</v>
      </c>
      <c r="E544" s="224">
        <v>0.5</v>
      </c>
      <c r="F544" s="224"/>
      <c r="G544" s="224"/>
      <c r="H544" s="224">
        <f t="shared" si="254"/>
        <v>0.5</v>
      </c>
      <c r="I544" s="223"/>
      <c r="J544" s="223"/>
      <c r="K544" s="223"/>
      <c r="L544" s="224"/>
      <c r="M544" s="224"/>
      <c r="N544" s="224"/>
      <c r="O544" s="224">
        <f t="shared" si="255"/>
        <v>0</v>
      </c>
      <c r="P544" s="170"/>
      <c r="Q544" s="169"/>
      <c r="R544" s="169"/>
      <c r="S544" s="169"/>
      <c r="T544" s="169"/>
      <c r="U544" s="169"/>
      <c r="V544" s="169"/>
      <c r="W544" s="169"/>
      <c r="X544" s="169"/>
      <c r="Y544" s="169"/>
      <c r="Z544" s="169"/>
      <c r="AA544" s="169"/>
      <c r="AB544" s="169"/>
      <c r="AC544" s="169"/>
      <c r="AD544" s="169"/>
      <c r="AE544" s="169"/>
      <c r="AF544" s="169"/>
      <c r="AG544" s="169"/>
      <c r="AH544" s="169"/>
      <c r="AI544" s="169"/>
      <c r="AJ544" s="169"/>
      <c r="AK544" s="169"/>
      <c r="AL544" s="169"/>
      <c r="AM544" s="169"/>
      <c r="AN544" s="169"/>
      <c r="AO544" s="169"/>
      <c r="AP544" s="169"/>
      <c r="AQ544" s="169"/>
      <c r="AR544" s="169"/>
      <c r="AS544" s="169"/>
      <c r="AT544" s="169"/>
      <c r="AU544" s="169"/>
      <c r="AV544" s="169"/>
      <c r="AW544" s="169"/>
      <c r="AX544" s="169"/>
      <c r="AY544" s="169"/>
      <c r="AZ544" s="169"/>
      <c r="BA544" s="169"/>
      <c r="BB544" s="169"/>
      <c r="BC544" s="169"/>
    </row>
    <row r="545" spans="1:55" ht="14.25" customHeight="1">
      <c r="A545" s="177"/>
      <c r="B545" s="177"/>
      <c r="C545" s="177"/>
      <c r="D545" s="177"/>
      <c r="E545" s="177"/>
      <c r="F545" s="177"/>
      <c r="G545" s="177"/>
      <c r="H545" s="177"/>
      <c r="I545" s="177"/>
      <c r="J545" s="177"/>
      <c r="K545" s="177"/>
      <c r="L545" s="177"/>
      <c r="M545" s="177"/>
      <c r="N545" s="177"/>
      <c r="O545" s="177"/>
      <c r="P545" s="169"/>
      <c r="Q545" s="169"/>
      <c r="R545" s="169"/>
      <c r="S545" s="169"/>
      <c r="T545" s="169"/>
      <c r="U545" s="169"/>
      <c r="V545" s="169"/>
      <c r="W545" s="169"/>
      <c r="X545" s="169"/>
      <c r="Y545" s="169"/>
      <c r="Z545" s="169"/>
      <c r="AA545" s="169"/>
      <c r="AB545" s="169"/>
      <c r="AC545" s="169"/>
      <c r="AD545" s="169"/>
      <c r="AE545" s="169"/>
      <c r="AF545" s="169"/>
      <c r="AG545" s="169"/>
      <c r="AH545" s="169"/>
      <c r="AI545" s="169"/>
      <c r="AJ545" s="169"/>
      <c r="AK545" s="169"/>
      <c r="AL545" s="169"/>
      <c r="AM545" s="169"/>
      <c r="AN545" s="169"/>
      <c r="AO545" s="169"/>
      <c r="AP545" s="169"/>
      <c r="AQ545" s="169"/>
      <c r="AR545" s="169"/>
      <c r="AS545" s="169"/>
      <c r="AT545" s="169"/>
      <c r="AU545" s="169"/>
      <c r="AV545" s="169"/>
      <c r="AW545" s="169"/>
      <c r="AX545" s="169"/>
      <c r="AY545" s="169"/>
      <c r="AZ545" s="169"/>
      <c r="BA545" s="169"/>
      <c r="BB545" s="169"/>
      <c r="BC545" s="169"/>
    </row>
    <row r="546" spans="1:55" ht="14.25" customHeight="1">
      <c r="A546" s="169"/>
      <c r="B546" s="169"/>
      <c r="C546" s="169"/>
      <c r="D546" s="169"/>
      <c r="E546" s="169"/>
      <c r="F546" s="169"/>
      <c r="G546" s="169"/>
      <c r="H546" s="169"/>
      <c r="I546" s="169"/>
      <c r="J546" s="169"/>
      <c r="K546" s="169"/>
      <c r="L546" s="169"/>
      <c r="M546" s="169"/>
      <c r="N546" s="169"/>
      <c r="O546" s="169"/>
      <c r="P546" s="169"/>
      <c r="Q546" s="169"/>
      <c r="R546" s="169"/>
      <c r="S546" s="169"/>
      <c r="T546" s="169"/>
      <c r="U546" s="169"/>
      <c r="V546" s="169"/>
      <c r="W546" s="169"/>
      <c r="X546" s="169"/>
      <c r="Y546" s="169"/>
      <c r="Z546" s="169"/>
      <c r="AA546" s="169"/>
      <c r="AB546" s="169"/>
      <c r="AC546" s="169"/>
      <c r="AD546" s="169"/>
      <c r="AE546" s="169"/>
      <c r="AF546" s="169"/>
      <c r="AG546" s="169"/>
      <c r="AH546" s="169"/>
      <c r="AI546" s="169"/>
      <c r="AJ546" s="169"/>
      <c r="AK546" s="169"/>
      <c r="AL546" s="169"/>
      <c r="AM546" s="169"/>
      <c r="AN546" s="169"/>
      <c r="AO546" s="169"/>
      <c r="AP546" s="169"/>
      <c r="AQ546" s="169"/>
      <c r="AR546" s="169"/>
      <c r="AS546" s="169"/>
      <c r="AT546" s="169"/>
      <c r="AU546" s="169"/>
      <c r="AV546" s="169"/>
      <c r="AW546" s="169"/>
      <c r="AX546" s="169"/>
      <c r="AY546" s="169"/>
      <c r="AZ546" s="169"/>
      <c r="BA546" s="169"/>
      <c r="BB546" s="169"/>
      <c r="BC546" s="169"/>
    </row>
    <row r="547" spans="1:55" ht="14.25" customHeight="1">
      <c r="A547" s="178" t="s">
        <v>250</v>
      </c>
      <c r="B547" s="179"/>
      <c r="C547" s="179"/>
      <c r="D547" s="179"/>
      <c r="E547" s="179"/>
      <c r="F547" s="179"/>
      <c r="G547" s="179"/>
      <c r="H547" s="179"/>
      <c r="I547" s="179"/>
      <c r="J547" s="179"/>
      <c r="K547" s="179"/>
      <c r="L547" s="179"/>
      <c r="M547" s="179"/>
      <c r="N547" s="179"/>
      <c r="O547" s="179"/>
      <c r="P547" s="179"/>
      <c r="Q547" s="179"/>
      <c r="R547" s="179"/>
      <c r="S547" s="179"/>
      <c r="T547" s="179"/>
      <c r="U547" s="179"/>
      <c r="V547" s="169"/>
      <c r="W547" s="169"/>
      <c r="X547" s="169"/>
      <c r="Y547" s="169"/>
      <c r="Z547" s="169"/>
      <c r="AA547" s="169"/>
      <c r="AB547" s="169"/>
      <c r="AC547" s="169"/>
      <c r="AD547" s="169"/>
      <c r="AE547" s="169"/>
      <c r="AF547" s="169"/>
      <c r="AG547" s="169"/>
      <c r="AH547" s="169"/>
      <c r="AI547" s="169"/>
      <c r="AJ547" s="169"/>
      <c r="AK547" s="169"/>
      <c r="AL547" s="169"/>
      <c r="AM547" s="169"/>
      <c r="AN547" s="169"/>
      <c r="AO547" s="169"/>
      <c r="AP547" s="169"/>
      <c r="AQ547" s="169"/>
      <c r="AR547" s="169"/>
      <c r="AS547" s="169"/>
      <c r="AT547" s="169"/>
      <c r="AU547" s="169"/>
      <c r="AV547" s="169"/>
      <c r="AW547" s="169"/>
      <c r="AX547" s="169"/>
      <c r="AY547" s="169"/>
      <c r="AZ547" s="169"/>
      <c r="BA547" s="169"/>
      <c r="BB547" s="169"/>
      <c r="BC547" s="169"/>
    </row>
    <row r="548" spans="1:55" ht="14.25" customHeight="1">
      <c r="A548" s="180" t="s">
        <v>36</v>
      </c>
      <c r="B548" s="181"/>
      <c r="C548" s="182"/>
      <c r="D548" s="182"/>
      <c r="E548" s="182"/>
      <c r="F548" s="182"/>
      <c r="G548" s="182"/>
      <c r="H548" s="182"/>
      <c r="I548" s="182"/>
      <c r="J548" s="182"/>
      <c r="K548" s="182"/>
      <c r="L548" s="29" t="s">
        <v>17</v>
      </c>
      <c r="M548" s="183"/>
      <c r="N548" s="184"/>
      <c r="O548" s="184"/>
      <c r="P548" s="184"/>
      <c r="Q548" s="184"/>
      <c r="R548" s="184"/>
      <c r="S548" s="184"/>
      <c r="T548" s="184"/>
      <c r="U548" s="184"/>
      <c r="V548" s="185"/>
      <c r="W548" s="169"/>
      <c r="X548" s="169"/>
      <c r="Y548" s="169"/>
      <c r="Z548" s="169"/>
      <c r="AA548" s="169"/>
      <c r="AB548" s="169"/>
      <c r="AC548" s="169"/>
      <c r="AD548" s="169"/>
      <c r="AE548" s="169"/>
      <c r="AF548" s="169"/>
      <c r="AG548" s="169"/>
      <c r="AH548" s="169"/>
      <c r="AI548" s="169"/>
      <c r="AJ548" s="169"/>
      <c r="AK548" s="169"/>
      <c r="AL548" s="169"/>
      <c r="AM548" s="169"/>
      <c r="AN548" s="169"/>
      <c r="AO548" s="169"/>
      <c r="AP548" s="169"/>
      <c r="AQ548" s="169"/>
      <c r="AR548" s="169"/>
      <c r="AS548" s="169"/>
      <c r="AT548" s="169"/>
      <c r="AU548" s="169"/>
      <c r="AV548" s="169"/>
      <c r="AW548" s="169"/>
      <c r="AX548" s="169"/>
      <c r="AY548" s="169"/>
      <c r="AZ548" s="169"/>
      <c r="BA548" s="169"/>
      <c r="BB548" s="169"/>
      <c r="BC548" s="169"/>
    </row>
    <row r="549" spans="1:55" ht="14.25" customHeight="1">
      <c r="A549" s="511" t="s">
        <v>37</v>
      </c>
      <c r="B549" s="511" t="s">
        <v>38</v>
      </c>
      <c r="C549" s="511" t="s">
        <v>18</v>
      </c>
      <c r="D549" s="32" t="s">
        <v>20</v>
      </c>
      <c r="E549" s="502" t="s">
        <v>21</v>
      </c>
      <c r="F549" s="503"/>
      <c r="G549" s="505"/>
      <c r="H549" s="502" t="s">
        <v>25</v>
      </c>
      <c r="I549" s="503"/>
      <c r="J549" s="505"/>
      <c r="K549" s="511" t="s">
        <v>39</v>
      </c>
      <c r="L549" s="511" t="s">
        <v>38</v>
      </c>
      <c r="M549" s="511" t="s">
        <v>18</v>
      </c>
      <c r="N549" s="32" t="s">
        <v>20</v>
      </c>
      <c r="O549" s="502" t="s">
        <v>21</v>
      </c>
      <c r="P549" s="503"/>
      <c r="Q549" s="505"/>
      <c r="R549" s="502" t="s">
        <v>25</v>
      </c>
      <c r="S549" s="503"/>
      <c r="T549" s="505"/>
      <c r="U549" s="511" t="s">
        <v>39</v>
      </c>
      <c r="V549" s="170"/>
      <c r="W549" s="169"/>
      <c r="X549" s="169"/>
      <c r="Y549" s="169"/>
      <c r="Z549" s="169"/>
      <c r="AA549" s="169"/>
      <c r="AB549" s="169"/>
      <c r="AC549" s="169"/>
      <c r="AD549" s="169"/>
      <c r="AE549" s="169"/>
      <c r="AF549" s="169"/>
      <c r="AG549" s="169"/>
      <c r="AH549" s="169"/>
      <c r="AI549" s="169"/>
      <c r="AJ549" s="169"/>
      <c r="AK549" s="169"/>
      <c r="AL549" s="169"/>
      <c r="AM549" s="169"/>
      <c r="AN549" s="169"/>
      <c r="AO549" s="169"/>
      <c r="AP549" s="169"/>
      <c r="AQ549" s="169"/>
      <c r="AR549" s="169"/>
      <c r="AS549" s="169"/>
      <c r="AT549" s="169"/>
      <c r="AU549" s="169"/>
      <c r="AV549" s="169"/>
      <c r="AW549" s="169"/>
      <c r="AX549" s="169"/>
      <c r="AY549" s="169"/>
      <c r="AZ549" s="169"/>
      <c r="BA549" s="169"/>
      <c r="BB549" s="169"/>
      <c r="BC549" s="169"/>
    </row>
    <row r="550" spans="1:55" ht="14.25" customHeight="1">
      <c r="A550" s="521"/>
      <c r="B550" s="521"/>
      <c r="C550" s="521"/>
      <c r="D550" s="32" t="s">
        <v>240</v>
      </c>
      <c r="E550" s="32" t="s">
        <v>238</v>
      </c>
      <c r="F550" s="32" t="s">
        <v>239</v>
      </c>
      <c r="G550" s="32" t="s">
        <v>240</v>
      </c>
      <c r="H550" s="32" t="s">
        <v>238</v>
      </c>
      <c r="I550" s="32" t="s">
        <v>239</v>
      </c>
      <c r="J550" s="32" t="s">
        <v>240</v>
      </c>
      <c r="K550" s="521"/>
      <c r="L550" s="521"/>
      <c r="M550" s="521"/>
      <c r="N550" s="32" t="s">
        <v>240</v>
      </c>
      <c r="O550" s="32" t="s">
        <v>238</v>
      </c>
      <c r="P550" s="32" t="s">
        <v>239</v>
      </c>
      <c r="Q550" s="32" t="s">
        <v>240</v>
      </c>
      <c r="R550" s="32" t="s">
        <v>238</v>
      </c>
      <c r="S550" s="32" t="s">
        <v>239</v>
      </c>
      <c r="T550" s="32" t="s">
        <v>240</v>
      </c>
      <c r="U550" s="521"/>
      <c r="V550" s="170"/>
      <c r="W550" s="169"/>
      <c r="X550" s="169"/>
      <c r="Y550" s="169"/>
      <c r="Z550" s="169"/>
      <c r="AA550" s="169"/>
      <c r="AB550" s="169"/>
      <c r="AC550" s="169"/>
      <c r="AD550" s="169"/>
      <c r="AE550" s="169"/>
      <c r="AF550" s="169"/>
      <c r="AG550" s="169"/>
      <c r="AH550" s="169"/>
      <c r="AI550" s="169"/>
      <c r="AJ550" s="169"/>
      <c r="AK550" s="169"/>
      <c r="AL550" s="169"/>
      <c r="AM550" s="169"/>
      <c r="AN550" s="169"/>
      <c r="AO550" s="169"/>
      <c r="AP550" s="169"/>
      <c r="AQ550" s="169"/>
      <c r="AR550" s="169"/>
      <c r="AS550" s="169"/>
      <c r="AT550" s="169"/>
      <c r="AU550" s="169"/>
      <c r="AV550" s="169"/>
      <c r="AW550" s="169"/>
      <c r="AX550" s="169"/>
      <c r="AY550" s="169"/>
      <c r="AZ550" s="169"/>
      <c r="BA550" s="169"/>
      <c r="BB550" s="169"/>
      <c r="BC550" s="169"/>
    </row>
    <row r="551" spans="1:55" ht="14.25" customHeight="1">
      <c r="A551" s="12" t="s">
        <v>67</v>
      </c>
      <c r="B551" s="44" t="str">
        <f t="shared" ref="B551:B583" si="257">D590</f>
        <v>-</v>
      </c>
      <c r="C551" s="44" t="str">
        <f t="shared" ref="C551:C583" si="258">G590</f>
        <v>-</v>
      </c>
      <c r="D551" s="44" t="str">
        <f t="shared" ref="D551:D583" si="259">J590</f>
        <v>-</v>
      </c>
      <c r="E551" s="36">
        <f t="shared" ref="E551:E583" si="260">K669</f>
        <v>0</v>
      </c>
      <c r="F551" s="36">
        <f t="shared" ref="F551:F583" si="261">L669</f>
        <v>0</v>
      </c>
      <c r="G551" s="36">
        <f t="shared" ref="G551:G583" si="262">M669</f>
        <v>0</v>
      </c>
      <c r="H551" s="44" t="str">
        <f t="shared" ref="H551:H583" si="263">V590</f>
        <v>-</v>
      </c>
      <c r="I551" s="44" t="str">
        <f t="shared" ref="I551:I583" si="264">Y590</f>
        <v>-</v>
      </c>
      <c r="J551" s="44" t="str">
        <f t="shared" ref="J551:J583" si="265">AB590</f>
        <v>-</v>
      </c>
      <c r="K551" s="36">
        <f t="shared" ref="K551:K583" si="266">IFERROR(AVERAGE(C551,D551,G551,J551),"-")</f>
        <v>0</v>
      </c>
      <c r="L551" s="37" t="str">
        <f t="shared" ref="L551:L583" si="267">AE590</f>
        <v>-</v>
      </c>
      <c r="M551" s="37" t="str">
        <f t="shared" ref="M551:M583" si="268">AH590</f>
        <v>-</v>
      </c>
      <c r="N551" s="21">
        <f t="shared" ref="N551:N583" si="269">AK590</f>
        <v>0.68436344426835716</v>
      </c>
      <c r="O551" s="37" t="s">
        <v>19</v>
      </c>
      <c r="P551" s="37" t="s">
        <v>19</v>
      </c>
      <c r="Q551" s="21">
        <f t="shared" ref="Q551:Q583" si="270">Y669</f>
        <v>0</v>
      </c>
      <c r="R551" s="37" t="str">
        <f t="shared" ref="R551:R583" si="271">AQ590</f>
        <v>-</v>
      </c>
      <c r="S551" s="37" t="str">
        <f t="shared" ref="S551:S583" si="272">AT590</f>
        <v>-</v>
      </c>
      <c r="T551" s="37" t="str">
        <f t="shared" ref="T551:T583" si="273">AW590</f>
        <v>-</v>
      </c>
      <c r="U551" s="21">
        <f t="shared" ref="U551:U583" si="274">IFERROR(AVERAGE(T551,Q551,N551,M551),"-")</f>
        <v>0.34218172213417858</v>
      </c>
      <c r="V551" s="170"/>
      <c r="W551" s="169"/>
      <c r="X551" s="169"/>
      <c r="Y551" s="169"/>
      <c r="Z551" s="169"/>
      <c r="AA551" s="169"/>
      <c r="AB551" s="169"/>
      <c r="AC551" s="169"/>
      <c r="AD551" s="169"/>
      <c r="AE551" s="169"/>
      <c r="AF551" s="169"/>
      <c r="AG551" s="169"/>
      <c r="AH551" s="169"/>
      <c r="AI551" s="169"/>
      <c r="AJ551" s="169"/>
      <c r="AK551" s="169"/>
      <c r="AL551" s="169"/>
      <c r="AM551" s="169"/>
      <c r="AN551" s="169"/>
      <c r="AO551" s="169"/>
      <c r="AP551" s="169"/>
      <c r="AQ551" s="169"/>
      <c r="AR551" s="169"/>
      <c r="AS551" s="169"/>
      <c r="AT551" s="169"/>
      <c r="AU551" s="169"/>
      <c r="AV551" s="169"/>
      <c r="AW551" s="169"/>
      <c r="AX551" s="169"/>
      <c r="AY551" s="169"/>
      <c r="AZ551" s="169"/>
      <c r="BA551" s="169"/>
      <c r="BB551" s="169"/>
      <c r="BC551" s="169"/>
    </row>
    <row r="552" spans="1:55" ht="14.25" customHeight="1">
      <c r="A552" s="12" t="s">
        <v>69</v>
      </c>
      <c r="B552" s="36">
        <f t="shared" si="257"/>
        <v>0.91891891891891897</v>
      </c>
      <c r="C552" s="36">
        <f t="shared" si="258"/>
        <v>0.86486486486486491</v>
      </c>
      <c r="D552" s="36">
        <f t="shared" si="259"/>
        <v>0.91666666666666663</v>
      </c>
      <c r="E552" s="36">
        <f t="shared" si="260"/>
        <v>0</v>
      </c>
      <c r="F552" s="36">
        <f t="shared" si="261"/>
        <v>0</v>
      </c>
      <c r="G552" s="36">
        <f t="shared" si="262"/>
        <v>0</v>
      </c>
      <c r="H552" s="36">
        <f t="shared" si="263"/>
        <v>1</v>
      </c>
      <c r="I552" s="36">
        <f t="shared" si="264"/>
        <v>1</v>
      </c>
      <c r="J552" s="36">
        <f t="shared" si="265"/>
        <v>1</v>
      </c>
      <c r="K552" s="36">
        <f t="shared" si="266"/>
        <v>0.69538288288288286</v>
      </c>
      <c r="L552" s="37" t="str">
        <f t="shared" si="267"/>
        <v>-</v>
      </c>
      <c r="M552" s="37" t="str">
        <f t="shared" si="268"/>
        <v>-</v>
      </c>
      <c r="N552" s="21">
        <f t="shared" si="269"/>
        <v>0.75551294343240649</v>
      </c>
      <c r="O552" s="21">
        <f t="shared" ref="O552:O583" si="275">W670</f>
        <v>0</v>
      </c>
      <c r="P552" s="21">
        <f t="shared" ref="P552:P583" si="276">X670</f>
        <v>0</v>
      </c>
      <c r="Q552" s="21">
        <f t="shared" si="270"/>
        <v>0</v>
      </c>
      <c r="R552" s="21">
        <f t="shared" si="271"/>
        <v>0.875</v>
      </c>
      <c r="S552" s="21">
        <f t="shared" si="272"/>
        <v>0.92777777777777781</v>
      </c>
      <c r="T552" s="37" t="str">
        <f t="shared" si="273"/>
        <v>-</v>
      </c>
      <c r="U552" s="21">
        <f t="shared" si="274"/>
        <v>0.37775647171620325</v>
      </c>
      <c r="V552" s="170"/>
      <c r="W552" s="169"/>
      <c r="X552" s="169"/>
      <c r="Y552" s="169"/>
      <c r="Z552" s="169"/>
      <c r="AA552" s="169"/>
      <c r="AB552" s="169"/>
      <c r="AC552" s="169"/>
      <c r="AD552" s="169"/>
      <c r="AE552" s="169"/>
      <c r="AF552" s="169"/>
      <c r="AG552" s="169"/>
      <c r="AH552" s="169"/>
      <c r="AI552" s="169"/>
      <c r="AJ552" s="169"/>
      <c r="AK552" s="169"/>
      <c r="AL552" s="169"/>
      <c r="AM552" s="169"/>
      <c r="AN552" s="169"/>
      <c r="AO552" s="169"/>
      <c r="AP552" s="169"/>
      <c r="AQ552" s="169"/>
      <c r="AR552" s="169"/>
      <c r="AS552" s="169"/>
      <c r="AT552" s="169"/>
      <c r="AU552" s="169"/>
      <c r="AV552" s="169"/>
      <c r="AW552" s="169"/>
      <c r="AX552" s="169"/>
      <c r="AY552" s="169"/>
      <c r="AZ552" s="169"/>
      <c r="BA552" s="169"/>
      <c r="BB552" s="169"/>
      <c r="BC552" s="169"/>
    </row>
    <row r="553" spans="1:55" ht="14.25" customHeight="1">
      <c r="A553" s="12" t="s">
        <v>70</v>
      </c>
      <c r="B553" s="36">
        <f t="shared" si="257"/>
        <v>0.97752808988764039</v>
      </c>
      <c r="C553" s="36">
        <f t="shared" si="258"/>
        <v>0.9101123595505618</v>
      </c>
      <c r="D553" s="36">
        <f t="shared" si="259"/>
        <v>0.84210526315789469</v>
      </c>
      <c r="E553" s="36">
        <f t="shared" si="260"/>
        <v>0</v>
      </c>
      <c r="F553" s="36">
        <f t="shared" si="261"/>
        <v>0</v>
      </c>
      <c r="G553" s="36">
        <f t="shared" si="262"/>
        <v>0</v>
      </c>
      <c r="H553" s="36">
        <f t="shared" si="263"/>
        <v>1</v>
      </c>
      <c r="I553" s="36">
        <f t="shared" si="264"/>
        <v>1</v>
      </c>
      <c r="J553" s="36">
        <f t="shared" si="265"/>
        <v>1</v>
      </c>
      <c r="K553" s="36">
        <f t="shared" si="266"/>
        <v>0.68805440567711407</v>
      </c>
      <c r="L553" s="37" t="str">
        <f t="shared" si="267"/>
        <v>-</v>
      </c>
      <c r="M553" s="37" t="str">
        <f t="shared" si="268"/>
        <v>-</v>
      </c>
      <c r="N553" s="21">
        <f t="shared" si="269"/>
        <v>0.57919151756129883</v>
      </c>
      <c r="O553" s="21">
        <f t="shared" si="275"/>
        <v>0</v>
      </c>
      <c r="P553" s="21">
        <f t="shared" si="276"/>
        <v>0</v>
      </c>
      <c r="Q553" s="21">
        <f t="shared" si="270"/>
        <v>0</v>
      </c>
      <c r="R553" s="21">
        <f t="shared" si="271"/>
        <v>0.7</v>
      </c>
      <c r="S553" s="21">
        <f t="shared" si="272"/>
        <v>0.73750000000000004</v>
      </c>
      <c r="T553" s="37" t="str">
        <f t="shared" si="273"/>
        <v>-</v>
      </c>
      <c r="U553" s="21">
        <f t="shared" si="274"/>
        <v>0.28959575878064941</v>
      </c>
      <c r="V553" s="170"/>
      <c r="W553" s="169"/>
      <c r="X553" s="169"/>
      <c r="Y553" s="169"/>
      <c r="Z553" s="169"/>
      <c r="AA553" s="169"/>
      <c r="AB553" s="169"/>
      <c r="AC553" s="169"/>
      <c r="AD553" s="169"/>
      <c r="AE553" s="169"/>
      <c r="AF553" s="169"/>
      <c r="AG553" s="169"/>
      <c r="AH553" s="169"/>
      <c r="AI553" s="169"/>
      <c r="AJ553" s="169"/>
      <c r="AK553" s="169"/>
      <c r="AL553" s="169"/>
      <c r="AM553" s="169"/>
      <c r="AN553" s="169"/>
      <c r="AO553" s="169"/>
      <c r="AP553" s="169"/>
      <c r="AQ553" s="169"/>
      <c r="AR553" s="169"/>
      <c r="AS553" s="169"/>
      <c r="AT553" s="169"/>
      <c r="AU553" s="169"/>
      <c r="AV553" s="169"/>
      <c r="AW553" s="169"/>
      <c r="AX553" s="169"/>
      <c r="AY553" s="169"/>
      <c r="AZ553" s="169"/>
      <c r="BA553" s="169"/>
      <c r="BB553" s="169"/>
      <c r="BC553" s="169"/>
    </row>
    <row r="554" spans="1:55" ht="14.25" customHeight="1">
      <c r="A554" s="12" t="s">
        <v>71</v>
      </c>
      <c r="B554" s="36">
        <f t="shared" si="257"/>
        <v>0.92982456140350878</v>
      </c>
      <c r="C554" s="36">
        <f t="shared" si="258"/>
        <v>0.73684210526315785</v>
      </c>
      <c r="D554" s="36">
        <f t="shared" si="259"/>
        <v>0.8651685393258427</v>
      </c>
      <c r="E554" s="36">
        <f t="shared" si="260"/>
        <v>0</v>
      </c>
      <c r="F554" s="36">
        <f t="shared" si="261"/>
        <v>0</v>
      </c>
      <c r="G554" s="36">
        <f t="shared" si="262"/>
        <v>0</v>
      </c>
      <c r="H554" s="36">
        <f t="shared" si="263"/>
        <v>1</v>
      </c>
      <c r="I554" s="36">
        <f t="shared" si="264"/>
        <v>1</v>
      </c>
      <c r="J554" s="36">
        <f t="shared" si="265"/>
        <v>1</v>
      </c>
      <c r="K554" s="36">
        <f t="shared" si="266"/>
        <v>0.65050266114725019</v>
      </c>
      <c r="L554" s="37" t="str">
        <f t="shared" si="267"/>
        <v>-</v>
      </c>
      <c r="M554" s="37" t="str">
        <f t="shared" si="268"/>
        <v>-</v>
      </c>
      <c r="N554" s="21">
        <f t="shared" si="269"/>
        <v>0.68506493506493504</v>
      </c>
      <c r="O554" s="21">
        <f t="shared" si="275"/>
        <v>0</v>
      </c>
      <c r="P554" s="21">
        <f t="shared" si="276"/>
        <v>0</v>
      </c>
      <c r="Q554" s="21">
        <f t="shared" si="270"/>
        <v>0</v>
      </c>
      <c r="R554" s="21">
        <f t="shared" si="271"/>
        <v>0.875</v>
      </c>
      <c r="S554" s="21">
        <f t="shared" si="272"/>
        <v>0.8875739644970414</v>
      </c>
      <c r="T554" s="37" t="str">
        <f t="shared" si="273"/>
        <v>-</v>
      </c>
      <c r="U554" s="21">
        <f t="shared" si="274"/>
        <v>0.34253246753246752</v>
      </c>
      <c r="V554" s="170"/>
      <c r="W554" s="169"/>
      <c r="X554" s="169"/>
      <c r="Y554" s="169"/>
      <c r="Z554" s="169"/>
      <c r="AA554" s="169"/>
      <c r="AB554" s="169"/>
      <c r="AC554" s="169"/>
      <c r="AD554" s="169"/>
      <c r="AE554" s="169"/>
      <c r="AF554" s="169"/>
      <c r="AG554" s="169"/>
      <c r="AH554" s="169"/>
      <c r="AI554" s="169"/>
      <c r="AJ554" s="169"/>
      <c r="AK554" s="169"/>
      <c r="AL554" s="169"/>
      <c r="AM554" s="169"/>
      <c r="AN554" s="169"/>
      <c r="AO554" s="169"/>
      <c r="AP554" s="169"/>
      <c r="AQ554" s="169"/>
      <c r="AR554" s="169"/>
      <c r="AS554" s="169"/>
      <c r="AT554" s="169"/>
      <c r="AU554" s="169"/>
      <c r="AV554" s="169"/>
      <c r="AW554" s="169"/>
      <c r="AX554" s="169"/>
      <c r="AY554" s="169"/>
      <c r="AZ554" s="169"/>
      <c r="BA554" s="169"/>
      <c r="BB554" s="169"/>
      <c r="BC554" s="169"/>
    </row>
    <row r="555" spans="1:55" ht="14.25" customHeight="1">
      <c r="A555" s="12" t="s">
        <v>72</v>
      </c>
      <c r="B555" s="36">
        <f t="shared" si="257"/>
        <v>0.8</v>
      </c>
      <c r="C555" s="36">
        <f t="shared" si="258"/>
        <v>0.85</v>
      </c>
      <c r="D555" s="36">
        <f t="shared" si="259"/>
        <v>0.54545454545454541</v>
      </c>
      <c r="E555" s="36">
        <f t="shared" si="260"/>
        <v>0</v>
      </c>
      <c r="F555" s="36">
        <f t="shared" si="261"/>
        <v>0</v>
      </c>
      <c r="G555" s="36">
        <f t="shared" si="262"/>
        <v>0</v>
      </c>
      <c r="H555" s="44" t="str">
        <f t="shared" si="263"/>
        <v>-</v>
      </c>
      <c r="I555" s="44" t="str">
        <f t="shared" si="264"/>
        <v>-</v>
      </c>
      <c r="J555" s="44" t="str">
        <f t="shared" si="265"/>
        <v>-</v>
      </c>
      <c r="K555" s="36">
        <f t="shared" si="266"/>
        <v>0.46515151515151515</v>
      </c>
      <c r="L555" s="37" t="str">
        <f t="shared" si="267"/>
        <v>-</v>
      </c>
      <c r="M555" s="37" t="str">
        <f t="shared" si="268"/>
        <v>-</v>
      </c>
      <c r="N555" s="21">
        <f t="shared" si="269"/>
        <v>0.94214876033057848</v>
      </c>
      <c r="O555" s="21">
        <f t="shared" si="275"/>
        <v>0</v>
      </c>
      <c r="P555" s="21">
        <f t="shared" si="276"/>
        <v>0</v>
      </c>
      <c r="Q555" s="21">
        <f t="shared" si="270"/>
        <v>0</v>
      </c>
      <c r="R555" s="37" t="str">
        <f t="shared" si="271"/>
        <v>-</v>
      </c>
      <c r="S555" s="37" t="str">
        <f t="shared" si="272"/>
        <v>-</v>
      </c>
      <c r="T555" s="37" t="str">
        <f t="shared" si="273"/>
        <v>-</v>
      </c>
      <c r="U555" s="21">
        <f t="shared" si="274"/>
        <v>0.47107438016528924</v>
      </c>
      <c r="V555" s="170"/>
      <c r="W555" s="169"/>
      <c r="X555" s="169"/>
      <c r="Y555" s="169"/>
      <c r="Z555" s="169"/>
      <c r="AA555" s="169"/>
      <c r="AB555" s="169"/>
      <c r="AC555" s="169"/>
      <c r="AD555" s="169"/>
      <c r="AE555" s="169"/>
      <c r="AF555" s="169"/>
      <c r="AG555" s="169"/>
      <c r="AH555" s="169"/>
      <c r="AI555" s="169"/>
      <c r="AJ555" s="169"/>
      <c r="AK555" s="169"/>
      <c r="AL555" s="169"/>
      <c r="AM555" s="169"/>
      <c r="AN555" s="169"/>
      <c r="AO555" s="169"/>
      <c r="AP555" s="169"/>
      <c r="AQ555" s="169"/>
      <c r="AR555" s="169"/>
      <c r="AS555" s="169"/>
      <c r="AT555" s="169"/>
      <c r="AU555" s="169"/>
      <c r="AV555" s="169"/>
      <c r="AW555" s="169"/>
      <c r="AX555" s="169"/>
      <c r="AY555" s="169"/>
      <c r="AZ555" s="169"/>
      <c r="BA555" s="169"/>
      <c r="BB555" s="169"/>
      <c r="BC555" s="169"/>
    </row>
    <row r="556" spans="1:55" ht="14.25" customHeight="1">
      <c r="A556" s="12" t="s">
        <v>73</v>
      </c>
      <c r="B556" s="44" t="str">
        <f t="shared" si="257"/>
        <v>-</v>
      </c>
      <c r="C556" s="44" t="str">
        <f t="shared" si="258"/>
        <v>-</v>
      </c>
      <c r="D556" s="44" t="str">
        <f t="shared" si="259"/>
        <v>-</v>
      </c>
      <c r="E556" s="36">
        <f t="shared" si="260"/>
        <v>0</v>
      </c>
      <c r="F556" s="36">
        <f t="shared" si="261"/>
        <v>0</v>
      </c>
      <c r="G556" s="36">
        <f t="shared" si="262"/>
        <v>0</v>
      </c>
      <c r="H556" s="36">
        <f t="shared" si="263"/>
        <v>1</v>
      </c>
      <c r="I556" s="36">
        <f t="shared" si="264"/>
        <v>1</v>
      </c>
      <c r="J556" s="36">
        <f t="shared" si="265"/>
        <v>1</v>
      </c>
      <c r="K556" s="36">
        <f t="shared" si="266"/>
        <v>0.5</v>
      </c>
      <c r="L556" s="37" t="str">
        <f t="shared" si="267"/>
        <v>-</v>
      </c>
      <c r="M556" s="37" t="str">
        <f t="shared" si="268"/>
        <v>-</v>
      </c>
      <c r="N556" s="37" t="str">
        <f t="shared" si="269"/>
        <v>-</v>
      </c>
      <c r="O556" s="21">
        <f t="shared" si="275"/>
        <v>0</v>
      </c>
      <c r="P556" s="21">
        <f t="shared" si="276"/>
        <v>0</v>
      </c>
      <c r="Q556" s="21">
        <f t="shared" si="270"/>
        <v>0</v>
      </c>
      <c r="R556" s="21">
        <f t="shared" si="271"/>
        <v>0.8214285714285714</v>
      </c>
      <c r="S556" s="21">
        <f t="shared" si="272"/>
        <v>1</v>
      </c>
      <c r="T556" s="37" t="str">
        <f t="shared" si="273"/>
        <v>-</v>
      </c>
      <c r="U556" s="21">
        <f t="shared" si="274"/>
        <v>0</v>
      </c>
      <c r="V556" s="170"/>
      <c r="W556" s="169"/>
      <c r="X556" s="169"/>
      <c r="Y556" s="169"/>
      <c r="Z556" s="169"/>
      <c r="AA556" s="169"/>
      <c r="AB556" s="169"/>
      <c r="AC556" s="169"/>
      <c r="AD556" s="169"/>
      <c r="AE556" s="169"/>
      <c r="AF556" s="169"/>
      <c r="AG556" s="169"/>
      <c r="AH556" s="169"/>
      <c r="AI556" s="169"/>
      <c r="AJ556" s="169"/>
      <c r="AK556" s="169"/>
      <c r="AL556" s="169"/>
      <c r="AM556" s="169"/>
      <c r="AN556" s="169"/>
      <c r="AO556" s="169"/>
      <c r="AP556" s="169"/>
      <c r="AQ556" s="169"/>
      <c r="AR556" s="169"/>
      <c r="AS556" s="169"/>
      <c r="AT556" s="169"/>
      <c r="AU556" s="169"/>
      <c r="AV556" s="169"/>
      <c r="AW556" s="169"/>
      <c r="AX556" s="169"/>
      <c r="AY556" s="169"/>
      <c r="AZ556" s="169"/>
      <c r="BA556" s="169"/>
      <c r="BB556" s="169"/>
      <c r="BC556" s="169"/>
    </row>
    <row r="557" spans="1:55" ht="14.25" customHeight="1">
      <c r="A557" s="12" t="s">
        <v>74</v>
      </c>
      <c r="B557" s="36">
        <f t="shared" si="257"/>
        <v>0.92156862745098034</v>
      </c>
      <c r="C557" s="36">
        <f t="shared" si="258"/>
        <v>0.70588235294117652</v>
      </c>
      <c r="D557" s="36">
        <f t="shared" si="259"/>
        <v>0.82499999999999996</v>
      </c>
      <c r="E557" s="36">
        <f t="shared" si="260"/>
        <v>0</v>
      </c>
      <c r="F557" s="36">
        <f t="shared" si="261"/>
        <v>0</v>
      </c>
      <c r="G557" s="36">
        <f t="shared" si="262"/>
        <v>0</v>
      </c>
      <c r="H557" s="44" t="str">
        <f t="shared" si="263"/>
        <v>-</v>
      </c>
      <c r="I557" s="36">
        <f t="shared" si="264"/>
        <v>0.9</v>
      </c>
      <c r="J557" s="36">
        <f t="shared" si="265"/>
        <v>0.9</v>
      </c>
      <c r="K557" s="36">
        <f t="shared" si="266"/>
        <v>0.60772058823529407</v>
      </c>
      <c r="L557" s="37" t="str">
        <f t="shared" si="267"/>
        <v>-</v>
      </c>
      <c r="M557" s="37" t="str">
        <f t="shared" si="268"/>
        <v>-</v>
      </c>
      <c r="N557" s="21">
        <f t="shared" si="269"/>
        <v>0.72927461139896377</v>
      </c>
      <c r="O557" s="21">
        <f t="shared" si="275"/>
        <v>0</v>
      </c>
      <c r="P557" s="21">
        <f t="shared" si="276"/>
        <v>0</v>
      </c>
      <c r="Q557" s="21">
        <f t="shared" si="270"/>
        <v>0</v>
      </c>
      <c r="R557" s="37" t="str">
        <f t="shared" si="271"/>
        <v>-</v>
      </c>
      <c r="S557" s="21">
        <f t="shared" si="272"/>
        <v>0.80625000000000002</v>
      </c>
      <c r="T557" s="37" t="str">
        <f t="shared" si="273"/>
        <v>-</v>
      </c>
      <c r="U557" s="21">
        <f t="shared" si="274"/>
        <v>0.36463730569948188</v>
      </c>
      <c r="V557" s="170"/>
      <c r="W557" s="169"/>
      <c r="X557" s="169"/>
      <c r="Y557" s="169"/>
      <c r="Z557" s="169"/>
      <c r="AA557" s="169"/>
      <c r="AB557" s="169"/>
      <c r="AC557" s="169"/>
      <c r="AD557" s="169"/>
      <c r="AE557" s="169"/>
      <c r="AF557" s="169"/>
      <c r="AG557" s="169"/>
      <c r="AH557" s="169"/>
      <c r="AI557" s="169"/>
      <c r="AJ557" s="169"/>
      <c r="AK557" s="169"/>
      <c r="AL557" s="169"/>
      <c r="AM557" s="169"/>
      <c r="AN557" s="169"/>
      <c r="AO557" s="169"/>
      <c r="AP557" s="169"/>
      <c r="AQ557" s="169"/>
      <c r="AR557" s="169"/>
      <c r="AS557" s="169"/>
      <c r="AT557" s="169"/>
      <c r="AU557" s="169"/>
      <c r="AV557" s="169"/>
      <c r="AW557" s="169"/>
      <c r="AX557" s="169"/>
      <c r="AY557" s="169"/>
      <c r="AZ557" s="169"/>
      <c r="BA557" s="169"/>
      <c r="BB557" s="169"/>
      <c r="BC557" s="169"/>
    </row>
    <row r="558" spans="1:55" ht="14.25" customHeight="1">
      <c r="A558" s="12" t="s">
        <v>75</v>
      </c>
      <c r="B558" s="36">
        <f t="shared" si="257"/>
        <v>0.94444444444444442</v>
      </c>
      <c r="C558" s="36">
        <f t="shared" si="258"/>
        <v>1</v>
      </c>
      <c r="D558" s="36">
        <f t="shared" si="259"/>
        <v>1</v>
      </c>
      <c r="E558" s="36">
        <f t="shared" si="260"/>
        <v>0</v>
      </c>
      <c r="F558" s="36">
        <f t="shared" si="261"/>
        <v>0</v>
      </c>
      <c r="G558" s="36">
        <f t="shared" si="262"/>
        <v>0</v>
      </c>
      <c r="H558" s="36">
        <f t="shared" si="263"/>
        <v>1</v>
      </c>
      <c r="I558" s="36">
        <f t="shared" si="264"/>
        <v>1</v>
      </c>
      <c r="J558" s="36">
        <f t="shared" si="265"/>
        <v>1</v>
      </c>
      <c r="K558" s="36">
        <f t="shared" si="266"/>
        <v>0.75</v>
      </c>
      <c r="L558" s="37" t="str">
        <f t="shared" si="267"/>
        <v>-</v>
      </c>
      <c r="M558" s="37" t="str">
        <f t="shared" si="268"/>
        <v>-</v>
      </c>
      <c r="N558" s="21">
        <f t="shared" si="269"/>
        <v>0.78988326848249024</v>
      </c>
      <c r="O558" s="21">
        <f t="shared" si="275"/>
        <v>0</v>
      </c>
      <c r="P558" s="21">
        <f t="shared" si="276"/>
        <v>0</v>
      </c>
      <c r="Q558" s="21">
        <f t="shared" si="270"/>
        <v>0</v>
      </c>
      <c r="R558" s="21">
        <f t="shared" si="271"/>
        <v>0.75</v>
      </c>
      <c r="S558" s="21">
        <f t="shared" si="272"/>
        <v>0.86363636363636365</v>
      </c>
      <c r="T558" s="37" t="str">
        <f t="shared" si="273"/>
        <v>-</v>
      </c>
      <c r="U558" s="21">
        <f t="shared" si="274"/>
        <v>0.39494163424124512</v>
      </c>
      <c r="V558" s="170"/>
      <c r="W558" s="169"/>
      <c r="X558" s="169"/>
      <c r="Y558" s="169"/>
      <c r="Z558" s="169"/>
      <c r="AA558" s="169"/>
      <c r="AB558" s="169"/>
      <c r="AC558" s="169"/>
      <c r="AD558" s="169"/>
      <c r="AE558" s="169"/>
      <c r="AF558" s="169"/>
      <c r="AG558" s="169"/>
      <c r="AH558" s="169"/>
      <c r="AI558" s="169"/>
      <c r="AJ558" s="169"/>
      <c r="AK558" s="169"/>
      <c r="AL558" s="169"/>
      <c r="AM558" s="169"/>
      <c r="AN558" s="169"/>
      <c r="AO558" s="169"/>
      <c r="AP558" s="169"/>
      <c r="AQ558" s="169"/>
      <c r="AR558" s="169"/>
      <c r="AS558" s="169"/>
      <c r="AT558" s="169"/>
      <c r="AU558" s="169"/>
      <c r="AV558" s="169"/>
      <c r="AW558" s="169"/>
      <c r="AX558" s="169"/>
      <c r="AY558" s="169"/>
      <c r="AZ558" s="169"/>
      <c r="BA558" s="169"/>
      <c r="BB558" s="169"/>
      <c r="BC558" s="169"/>
    </row>
    <row r="559" spans="1:55" ht="14.25" customHeight="1">
      <c r="A559" s="12" t="s">
        <v>76</v>
      </c>
      <c r="B559" s="36">
        <f t="shared" si="257"/>
        <v>0.95918367346938771</v>
      </c>
      <c r="C559" s="36">
        <f t="shared" si="258"/>
        <v>0.89795918367346939</v>
      </c>
      <c r="D559" s="36">
        <f t="shared" si="259"/>
        <v>0.92727272727272725</v>
      </c>
      <c r="E559" s="36">
        <f t="shared" si="260"/>
        <v>0</v>
      </c>
      <c r="F559" s="36">
        <f t="shared" si="261"/>
        <v>0</v>
      </c>
      <c r="G559" s="36">
        <f t="shared" si="262"/>
        <v>0</v>
      </c>
      <c r="H559" s="36">
        <f t="shared" si="263"/>
        <v>1</v>
      </c>
      <c r="I559" s="36">
        <f t="shared" si="264"/>
        <v>0.9859154929577465</v>
      </c>
      <c r="J559" s="36">
        <f t="shared" si="265"/>
        <v>0.98611111111111116</v>
      </c>
      <c r="K559" s="36">
        <f t="shared" si="266"/>
        <v>0.70283575551432698</v>
      </c>
      <c r="L559" s="37" t="str">
        <f t="shared" si="267"/>
        <v>-</v>
      </c>
      <c r="M559" s="37" t="str">
        <f t="shared" si="268"/>
        <v>-</v>
      </c>
      <c r="N559" s="21">
        <f t="shared" si="269"/>
        <v>0.72635135135135132</v>
      </c>
      <c r="O559" s="21">
        <f t="shared" si="275"/>
        <v>0</v>
      </c>
      <c r="P559" s="21">
        <f t="shared" si="276"/>
        <v>0</v>
      </c>
      <c r="Q559" s="21">
        <f t="shared" si="270"/>
        <v>0</v>
      </c>
      <c r="R559" s="21">
        <f t="shared" si="271"/>
        <v>1</v>
      </c>
      <c r="S559" s="21">
        <f t="shared" si="272"/>
        <v>0.81333333333333335</v>
      </c>
      <c r="T559" s="37" t="str">
        <f t="shared" si="273"/>
        <v>-</v>
      </c>
      <c r="U559" s="21">
        <f t="shared" si="274"/>
        <v>0.36317567567567566</v>
      </c>
      <c r="V559" s="170"/>
      <c r="W559" s="169"/>
      <c r="X559" s="169"/>
      <c r="Y559" s="169"/>
      <c r="Z559" s="169"/>
      <c r="AA559" s="169"/>
      <c r="AB559" s="169"/>
      <c r="AC559" s="169"/>
      <c r="AD559" s="169"/>
      <c r="AE559" s="169"/>
      <c r="AF559" s="169"/>
      <c r="AG559" s="169"/>
      <c r="AH559" s="169"/>
      <c r="AI559" s="169"/>
      <c r="AJ559" s="169"/>
      <c r="AK559" s="169"/>
      <c r="AL559" s="169"/>
      <c r="AM559" s="169"/>
      <c r="AN559" s="169"/>
      <c r="AO559" s="169"/>
      <c r="AP559" s="169"/>
      <c r="AQ559" s="169"/>
      <c r="AR559" s="169"/>
      <c r="AS559" s="169"/>
      <c r="AT559" s="169"/>
      <c r="AU559" s="169"/>
      <c r="AV559" s="169"/>
      <c r="AW559" s="169"/>
      <c r="AX559" s="169"/>
      <c r="AY559" s="169"/>
      <c r="AZ559" s="169"/>
      <c r="BA559" s="169"/>
      <c r="BB559" s="169"/>
      <c r="BC559" s="169"/>
    </row>
    <row r="560" spans="1:55" ht="14.25" customHeight="1">
      <c r="A560" s="12" t="s">
        <v>77</v>
      </c>
      <c r="B560" s="36">
        <f t="shared" si="257"/>
        <v>0.93103448275862066</v>
      </c>
      <c r="C560" s="36">
        <f t="shared" si="258"/>
        <v>0.83908045977011492</v>
      </c>
      <c r="D560" s="36">
        <f t="shared" si="259"/>
        <v>0.83823529411764708</v>
      </c>
      <c r="E560" s="36">
        <f t="shared" si="260"/>
        <v>0</v>
      </c>
      <c r="F560" s="36">
        <f t="shared" si="261"/>
        <v>0</v>
      </c>
      <c r="G560" s="36">
        <f t="shared" si="262"/>
        <v>0</v>
      </c>
      <c r="H560" s="36">
        <f t="shared" si="263"/>
        <v>1</v>
      </c>
      <c r="I560" s="36">
        <f t="shared" si="264"/>
        <v>1</v>
      </c>
      <c r="J560" s="36">
        <f t="shared" si="265"/>
        <v>1</v>
      </c>
      <c r="K560" s="36">
        <f t="shared" si="266"/>
        <v>0.66932893847194053</v>
      </c>
      <c r="L560" s="37" t="str">
        <f t="shared" si="267"/>
        <v>-</v>
      </c>
      <c r="M560" s="37" t="str">
        <f t="shared" si="268"/>
        <v>-</v>
      </c>
      <c r="N560" s="21">
        <f t="shared" si="269"/>
        <v>0.66911225238444605</v>
      </c>
      <c r="O560" s="21">
        <f t="shared" si="275"/>
        <v>0</v>
      </c>
      <c r="P560" s="21">
        <f t="shared" si="276"/>
        <v>0</v>
      </c>
      <c r="Q560" s="21">
        <f t="shared" si="270"/>
        <v>0</v>
      </c>
      <c r="R560" s="21">
        <f t="shared" si="271"/>
        <v>0.4</v>
      </c>
      <c r="S560" s="21">
        <f t="shared" si="272"/>
        <v>0.87337662337662336</v>
      </c>
      <c r="T560" s="37" t="str">
        <f t="shared" si="273"/>
        <v>-</v>
      </c>
      <c r="U560" s="21">
        <f t="shared" si="274"/>
        <v>0.33455612619222302</v>
      </c>
      <c r="V560" s="170"/>
      <c r="W560" s="169"/>
      <c r="X560" s="169"/>
      <c r="Y560" s="169"/>
      <c r="Z560" s="169"/>
      <c r="AA560" s="169"/>
      <c r="AB560" s="169"/>
      <c r="AC560" s="169"/>
      <c r="AD560" s="169"/>
      <c r="AE560" s="169"/>
      <c r="AF560" s="169"/>
      <c r="AG560" s="169"/>
      <c r="AH560" s="169"/>
      <c r="AI560" s="169"/>
      <c r="AJ560" s="169"/>
      <c r="AK560" s="169"/>
      <c r="AL560" s="169"/>
      <c r="AM560" s="169"/>
      <c r="AN560" s="169"/>
      <c r="AO560" s="169"/>
      <c r="AP560" s="169"/>
      <c r="AQ560" s="169"/>
      <c r="AR560" s="169"/>
      <c r="AS560" s="169"/>
      <c r="AT560" s="169"/>
      <c r="AU560" s="169"/>
      <c r="AV560" s="169"/>
      <c r="AW560" s="169"/>
      <c r="AX560" s="169"/>
      <c r="AY560" s="169"/>
      <c r="AZ560" s="169"/>
      <c r="BA560" s="169"/>
      <c r="BB560" s="169"/>
      <c r="BC560" s="169"/>
    </row>
    <row r="561" spans="1:55" ht="14.25" customHeight="1">
      <c r="A561" s="12" t="s">
        <v>78</v>
      </c>
      <c r="B561" s="36">
        <f t="shared" si="257"/>
        <v>0.94510739856801906</v>
      </c>
      <c r="C561" s="36">
        <f t="shared" si="258"/>
        <v>0.79713603818615753</v>
      </c>
      <c r="D561" s="36">
        <f t="shared" si="259"/>
        <v>0.83783783783783783</v>
      </c>
      <c r="E561" s="36">
        <f t="shared" si="260"/>
        <v>0</v>
      </c>
      <c r="F561" s="36">
        <f t="shared" si="261"/>
        <v>0</v>
      </c>
      <c r="G561" s="36">
        <f t="shared" si="262"/>
        <v>0</v>
      </c>
      <c r="H561" s="36">
        <f t="shared" si="263"/>
        <v>1</v>
      </c>
      <c r="I561" s="36">
        <f t="shared" si="264"/>
        <v>0.9943820224719101</v>
      </c>
      <c r="J561" s="36">
        <f t="shared" si="265"/>
        <v>0.99485861182519275</v>
      </c>
      <c r="K561" s="36">
        <f t="shared" si="266"/>
        <v>0.65745812196229703</v>
      </c>
      <c r="L561" s="37" t="str">
        <f t="shared" si="267"/>
        <v>-</v>
      </c>
      <c r="M561" s="37" t="str">
        <f t="shared" si="268"/>
        <v>-</v>
      </c>
      <c r="N561" s="21">
        <f t="shared" si="269"/>
        <v>0.78274249138355489</v>
      </c>
      <c r="O561" s="21">
        <f t="shared" si="275"/>
        <v>0</v>
      </c>
      <c r="P561" s="21">
        <f t="shared" si="276"/>
        <v>0</v>
      </c>
      <c r="Q561" s="21">
        <f t="shared" si="270"/>
        <v>0</v>
      </c>
      <c r="R561" s="21">
        <f t="shared" si="271"/>
        <v>0.80303030303030298</v>
      </c>
      <c r="S561" s="21">
        <f t="shared" si="272"/>
        <v>0.88458831808585503</v>
      </c>
      <c r="T561" s="37" t="str">
        <f t="shared" si="273"/>
        <v>-</v>
      </c>
      <c r="U561" s="21">
        <f t="shared" si="274"/>
        <v>0.39137124569177745</v>
      </c>
      <c r="V561" s="170"/>
      <c r="W561" s="169"/>
      <c r="X561" s="169"/>
      <c r="Y561" s="169"/>
      <c r="Z561" s="169"/>
      <c r="AA561" s="169"/>
      <c r="AB561" s="169"/>
      <c r="AC561" s="169"/>
      <c r="AD561" s="169"/>
      <c r="AE561" s="169"/>
      <c r="AF561" s="169"/>
      <c r="AG561" s="169"/>
      <c r="AH561" s="169"/>
      <c r="AI561" s="169"/>
      <c r="AJ561" s="169"/>
      <c r="AK561" s="169"/>
      <c r="AL561" s="169"/>
      <c r="AM561" s="169"/>
      <c r="AN561" s="169"/>
      <c r="AO561" s="169"/>
      <c r="AP561" s="169"/>
      <c r="AQ561" s="169"/>
      <c r="AR561" s="169"/>
      <c r="AS561" s="169"/>
      <c r="AT561" s="169"/>
      <c r="AU561" s="169"/>
      <c r="AV561" s="169"/>
      <c r="AW561" s="169"/>
      <c r="AX561" s="169"/>
      <c r="AY561" s="169"/>
      <c r="AZ561" s="169"/>
      <c r="BA561" s="169"/>
      <c r="BB561" s="169"/>
      <c r="BC561" s="169"/>
    </row>
    <row r="562" spans="1:55" ht="14.25" customHeight="1">
      <c r="A562" s="12" t="s">
        <v>79</v>
      </c>
      <c r="B562" s="36">
        <f t="shared" si="257"/>
        <v>0.96610169491525422</v>
      </c>
      <c r="C562" s="36">
        <f t="shared" si="258"/>
        <v>0.88135593220338981</v>
      </c>
      <c r="D562" s="36">
        <f t="shared" si="259"/>
        <v>0.86792452830188682</v>
      </c>
      <c r="E562" s="36">
        <f t="shared" si="260"/>
        <v>0</v>
      </c>
      <c r="F562" s="36">
        <f t="shared" si="261"/>
        <v>0</v>
      </c>
      <c r="G562" s="36">
        <f t="shared" si="262"/>
        <v>0</v>
      </c>
      <c r="H562" s="36">
        <f t="shared" si="263"/>
        <v>1</v>
      </c>
      <c r="I562" s="36">
        <f t="shared" si="264"/>
        <v>1</v>
      </c>
      <c r="J562" s="36">
        <f t="shared" si="265"/>
        <v>1</v>
      </c>
      <c r="K562" s="36">
        <f t="shared" si="266"/>
        <v>0.68732011512631919</v>
      </c>
      <c r="L562" s="37" t="str">
        <f t="shared" si="267"/>
        <v>-</v>
      </c>
      <c r="M562" s="37" t="str">
        <f t="shared" si="268"/>
        <v>-</v>
      </c>
      <c r="N562" s="21">
        <f t="shared" si="269"/>
        <v>0.6419981498612396</v>
      </c>
      <c r="O562" s="21">
        <f t="shared" si="275"/>
        <v>0</v>
      </c>
      <c r="P562" s="21">
        <f t="shared" si="276"/>
        <v>0</v>
      </c>
      <c r="Q562" s="21">
        <f t="shared" si="270"/>
        <v>0</v>
      </c>
      <c r="R562" s="21">
        <f t="shared" si="271"/>
        <v>0.75</v>
      </c>
      <c r="S562" s="21">
        <f t="shared" si="272"/>
        <v>0.83</v>
      </c>
      <c r="T562" s="37" t="str">
        <f t="shared" si="273"/>
        <v>-</v>
      </c>
      <c r="U562" s="21">
        <f t="shared" si="274"/>
        <v>0.3209990749306198</v>
      </c>
      <c r="V562" s="170"/>
      <c r="W562" s="169"/>
      <c r="X562" s="169"/>
      <c r="Y562" s="169"/>
      <c r="Z562" s="169"/>
      <c r="AA562" s="169"/>
      <c r="AB562" s="169"/>
      <c r="AC562" s="169"/>
      <c r="AD562" s="169"/>
      <c r="AE562" s="169"/>
      <c r="AF562" s="169"/>
      <c r="AG562" s="169"/>
      <c r="AH562" s="169"/>
      <c r="AI562" s="169"/>
      <c r="AJ562" s="169"/>
      <c r="AK562" s="169"/>
      <c r="AL562" s="169"/>
      <c r="AM562" s="169"/>
      <c r="AN562" s="169"/>
      <c r="AO562" s="169"/>
      <c r="AP562" s="169"/>
      <c r="AQ562" s="169"/>
      <c r="AR562" s="169"/>
      <c r="AS562" s="169"/>
      <c r="AT562" s="169"/>
      <c r="AU562" s="169"/>
      <c r="AV562" s="169"/>
      <c r="AW562" s="169"/>
      <c r="AX562" s="169"/>
      <c r="AY562" s="169"/>
      <c r="AZ562" s="169"/>
      <c r="BA562" s="169"/>
      <c r="BB562" s="169"/>
      <c r="BC562" s="169"/>
    </row>
    <row r="563" spans="1:55" ht="14.25" customHeight="1">
      <c r="A563" s="12" t="s">
        <v>80</v>
      </c>
      <c r="B563" s="36">
        <f t="shared" si="257"/>
        <v>0.90909090909090906</v>
      </c>
      <c r="C563" s="36">
        <f t="shared" si="258"/>
        <v>0.8545454545454545</v>
      </c>
      <c r="D563" s="36">
        <f t="shared" si="259"/>
        <v>0.89830508474576276</v>
      </c>
      <c r="E563" s="36">
        <f t="shared" si="260"/>
        <v>0</v>
      </c>
      <c r="F563" s="36">
        <f t="shared" si="261"/>
        <v>0</v>
      </c>
      <c r="G563" s="36">
        <f t="shared" si="262"/>
        <v>0</v>
      </c>
      <c r="H563" s="36">
        <f t="shared" si="263"/>
        <v>1</v>
      </c>
      <c r="I563" s="36">
        <f t="shared" si="264"/>
        <v>0.94285714285714284</v>
      </c>
      <c r="J563" s="36">
        <f t="shared" si="265"/>
        <v>0.94444444444444442</v>
      </c>
      <c r="K563" s="36">
        <f t="shared" si="266"/>
        <v>0.67432374593391542</v>
      </c>
      <c r="L563" s="37" t="str">
        <f t="shared" si="267"/>
        <v>-</v>
      </c>
      <c r="M563" s="37" t="str">
        <f t="shared" si="268"/>
        <v>-</v>
      </c>
      <c r="N563" s="21">
        <f t="shared" si="269"/>
        <v>0.71141479099678462</v>
      </c>
      <c r="O563" s="21">
        <f t="shared" si="275"/>
        <v>0</v>
      </c>
      <c r="P563" s="21">
        <f t="shared" si="276"/>
        <v>0</v>
      </c>
      <c r="Q563" s="21">
        <f t="shared" si="270"/>
        <v>0</v>
      </c>
      <c r="R563" s="21">
        <f t="shared" si="271"/>
        <v>1</v>
      </c>
      <c r="S563" s="21">
        <f t="shared" si="272"/>
        <v>0.88068181818181823</v>
      </c>
      <c r="T563" s="37" t="str">
        <f t="shared" si="273"/>
        <v>-</v>
      </c>
      <c r="U563" s="21">
        <f t="shared" si="274"/>
        <v>0.35570739549839231</v>
      </c>
      <c r="V563" s="170"/>
      <c r="W563" s="169"/>
      <c r="X563" s="169"/>
      <c r="Y563" s="169"/>
      <c r="Z563" s="169"/>
      <c r="AA563" s="169"/>
      <c r="AB563" s="169"/>
      <c r="AC563" s="169"/>
      <c r="AD563" s="169"/>
      <c r="AE563" s="169"/>
      <c r="AF563" s="169"/>
      <c r="AG563" s="169"/>
      <c r="AH563" s="169"/>
      <c r="AI563" s="169"/>
      <c r="AJ563" s="169"/>
      <c r="AK563" s="169"/>
      <c r="AL563" s="169"/>
      <c r="AM563" s="169"/>
      <c r="AN563" s="169"/>
      <c r="AO563" s="169"/>
      <c r="AP563" s="169"/>
      <c r="AQ563" s="169"/>
      <c r="AR563" s="169"/>
      <c r="AS563" s="169"/>
      <c r="AT563" s="169"/>
      <c r="AU563" s="169"/>
      <c r="AV563" s="169"/>
      <c r="AW563" s="169"/>
      <c r="AX563" s="169"/>
      <c r="AY563" s="169"/>
      <c r="AZ563" s="169"/>
      <c r="BA563" s="169"/>
      <c r="BB563" s="169"/>
      <c r="BC563" s="169"/>
    </row>
    <row r="564" spans="1:55" ht="14.25" customHeight="1">
      <c r="A564" s="12" t="s">
        <v>81</v>
      </c>
      <c r="B564" s="36">
        <f t="shared" si="257"/>
        <v>0.90163934426229508</v>
      </c>
      <c r="C564" s="36">
        <f t="shared" si="258"/>
        <v>0.72131147540983609</v>
      </c>
      <c r="D564" s="36">
        <f t="shared" si="259"/>
        <v>0.95454545454545459</v>
      </c>
      <c r="E564" s="36">
        <f t="shared" si="260"/>
        <v>0</v>
      </c>
      <c r="F564" s="36">
        <f t="shared" si="261"/>
        <v>0</v>
      </c>
      <c r="G564" s="36">
        <f t="shared" si="262"/>
        <v>0</v>
      </c>
      <c r="H564" s="44" t="str">
        <f t="shared" si="263"/>
        <v>-</v>
      </c>
      <c r="I564" s="36">
        <f t="shared" si="264"/>
        <v>1</v>
      </c>
      <c r="J564" s="36">
        <f t="shared" si="265"/>
        <v>1</v>
      </c>
      <c r="K564" s="36">
        <f t="shared" si="266"/>
        <v>0.66896423248882264</v>
      </c>
      <c r="L564" s="37" t="str">
        <f t="shared" si="267"/>
        <v>-</v>
      </c>
      <c r="M564" s="37" t="str">
        <f t="shared" si="268"/>
        <v>-</v>
      </c>
      <c r="N564" s="21">
        <f t="shared" si="269"/>
        <v>0.59445585215605745</v>
      </c>
      <c r="O564" s="21">
        <f t="shared" si="275"/>
        <v>0</v>
      </c>
      <c r="P564" s="21">
        <f t="shared" si="276"/>
        <v>0</v>
      </c>
      <c r="Q564" s="21">
        <f t="shared" si="270"/>
        <v>0</v>
      </c>
      <c r="R564" s="37" t="str">
        <f t="shared" si="271"/>
        <v>-</v>
      </c>
      <c r="S564" s="21">
        <f t="shared" si="272"/>
        <v>0.88636363636363635</v>
      </c>
      <c r="T564" s="37" t="str">
        <f t="shared" si="273"/>
        <v>-</v>
      </c>
      <c r="U564" s="21">
        <f t="shared" si="274"/>
        <v>0.29722792607802873</v>
      </c>
      <c r="V564" s="170"/>
      <c r="W564" s="169"/>
      <c r="X564" s="169"/>
      <c r="Y564" s="169"/>
      <c r="Z564" s="169"/>
      <c r="AA564" s="169"/>
      <c r="AB564" s="169"/>
      <c r="AC564" s="169"/>
      <c r="AD564" s="169"/>
      <c r="AE564" s="169"/>
      <c r="AF564" s="169"/>
      <c r="AG564" s="169"/>
      <c r="AH564" s="169"/>
      <c r="AI564" s="169"/>
      <c r="AJ564" s="169"/>
      <c r="AK564" s="169"/>
      <c r="AL564" s="169"/>
      <c r="AM564" s="169"/>
      <c r="AN564" s="169"/>
      <c r="AO564" s="169"/>
      <c r="AP564" s="169"/>
      <c r="AQ564" s="169"/>
      <c r="AR564" s="169"/>
      <c r="AS564" s="169"/>
      <c r="AT564" s="169"/>
      <c r="AU564" s="169"/>
      <c r="AV564" s="169"/>
      <c r="AW564" s="169"/>
      <c r="AX564" s="169"/>
      <c r="AY564" s="169"/>
      <c r="AZ564" s="169"/>
      <c r="BA564" s="169"/>
      <c r="BB564" s="169"/>
      <c r="BC564" s="169"/>
    </row>
    <row r="565" spans="1:55" ht="14.25" customHeight="1">
      <c r="A565" s="12" t="s">
        <v>82</v>
      </c>
      <c r="B565" s="44" t="str">
        <f t="shared" si="257"/>
        <v>-</v>
      </c>
      <c r="C565" s="44" t="str">
        <f t="shared" si="258"/>
        <v>-</v>
      </c>
      <c r="D565" s="44" t="str">
        <f t="shared" si="259"/>
        <v>-</v>
      </c>
      <c r="E565" s="36">
        <f t="shared" si="260"/>
        <v>0</v>
      </c>
      <c r="F565" s="36">
        <f t="shared" si="261"/>
        <v>0</v>
      </c>
      <c r="G565" s="36">
        <f t="shared" si="262"/>
        <v>0</v>
      </c>
      <c r="H565" s="44" t="str">
        <f t="shared" si="263"/>
        <v>-</v>
      </c>
      <c r="I565" s="36">
        <f t="shared" si="264"/>
        <v>1</v>
      </c>
      <c r="J565" s="36">
        <f t="shared" si="265"/>
        <v>1</v>
      </c>
      <c r="K565" s="36">
        <f t="shared" si="266"/>
        <v>0.5</v>
      </c>
      <c r="L565" s="37" t="str">
        <f t="shared" si="267"/>
        <v>-</v>
      </c>
      <c r="M565" s="37" t="str">
        <f t="shared" si="268"/>
        <v>-</v>
      </c>
      <c r="N565" s="37" t="str">
        <f t="shared" si="269"/>
        <v>-</v>
      </c>
      <c r="O565" s="21">
        <f t="shared" si="275"/>
        <v>0</v>
      </c>
      <c r="P565" s="21">
        <f t="shared" si="276"/>
        <v>0</v>
      </c>
      <c r="Q565" s="21">
        <f t="shared" si="270"/>
        <v>0</v>
      </c>
      <c r="R565" s="37" t="str">
        <f t="shared" si="271"/>
        <v>-</v>
      </c>
      <c r="S565" s="21">
        <f t="shared" si="272"/>
        <v>0.5</v>
      </c>
      <c r="T565" s="37" t="str">
        <f t="shared" si="273"/>
        <v>-</v>
      </c>
      <c r="U565" s="21">
        <f t="shared" si="274"/>
        <v>0</v>
      </c>
      <c r="V565" s="170"/>
      <c r="W565" s="169"/>
      <c r="X565" s="169"/>
      <c r="Y565" s="169"/>
      <c r="Z565" s="169"/>
      <c r="AA565" s="169"/>
      <c r="AB565" s="169"/>
      <c r="AC565" s="169"/>
      <c r="AD565" s="169"/>
      <c r="AE565" s="169"/>
      <c r="AF565" s="169"/>
      <c r="AG565" s="169"/>
      <c r="AH565" s="169"/>
      <c r="AI565" s="169"/>
      <c r="AJ565" s="169"/>
      <c r="AK565" s="169"/>
      <c r="AL565" s="169"/>
      <c r="AM565" s="169"/>
      <c r="AN565" s="169"/>
      <c r="AO565" s="169"/>
      <c r="AP565" s="169"/>
      <c r="AQ565" s="169"/>
      <c r="AR565" s="169"/>
      <c r="AS565" s="169"/>
      <c r="AT565" s="169"/>
      <c r="AU565" s="169"/>
      <c r="AV565" s="169"/>
      <c r="AW565" s="169"/>
      <c r="AX565" s="169"/>
      <c r="AY565" s="169"/>
      <c r="AZ565" s="169"/>
      <c r="BA565" s="169"/>
      <c r="BB565" s="169"/>
      <c r="BC565" s="169"/>
    </row>
    <row r="566" spans="1:55" ht="14.25" customHeight="1">
      <c r="A566" s="12" t="s">
        <v>83</v>
      </c>
      <c r="B566" s="36">
        <f t="shared" si="257"/>
        <v>0.70731707317073167</v>
      </c>
      <c r="C566" s="36">
        <f t="shared" si="258"/>
        <v>0.73170731707317072</v>
      </c>
      <c r="D566" s="36">
        <f t="shared" si="259"/>
        <v>0.28205128205128205</v>
      </c>
      <c r="E566" s="36">
        <f t="shared" si="260"/>
        <v>0</v>
      </c>
      <c r="F566" s="36">
        <f t="shared" si="261"/>
        <v>0</v>
      </c>
      <c r="G566" s="36">
        <f t="shared" si="262"/>
        <v>0</v>
      </c>
      <c r="H566" s="44" t="str">
        <f t="shared" si="263"/>
        <v>-</v>
      </c>
      <c r="I566" s="36">
        <f t="shared" si="264"/>
        <v>1</v>
      </c>
      <c r="J566" s="36">
        <f t="shared" si="265"/>
        <v>1</v>
      </c>
      <c r="K566" s="36">
        <f t="shared" si="266"/>
        <v>0.50343964978111322</v>
      </c>
      <c r="L566" s="37" t="str">
        <f t="shared" si="267"/>
        <v>-</v>
      </c>
      <c r="M566" s="37" t="str">
        <f t="shared" si="268"/>
        <v>-</v>
      </c>
      <c r="N566" s="21">
        <f t="shared" si="269"/>
        <v>0.7245283018867924</v>
      </c>
      <c r="O566" s="21">
        <f t="shared" si="275"/>
        <v>0</v>
      </c>
      <c r="P566" s="21">
        <f t="shared" si="276"/>
        <v>0</v>
      </c>
      <c r="Q566" s="21">
        <f t="shared" si="270"/>
        <v>0</v>
      </c>
      <c r="R566" s="37" t="str">
        <f t="shared" si="271"/>
        <v>-</v>
      </c>
      <c r="S566" s="21">
        <f t="shared" si="272"/>
        <v>0.84816753926701571</v>
      </c>
      <c r="T566" s="37" t="str">
        <f t="shared" si="273"/>
        <v>-</v>
      </c>
      <c r="U566" s="21">
        <f t="shared" si="274"/>
        <v>0.3622641509433962</v>
      </c>
      <c r="V566" s="170"/>
      <c r="W566" s="169"/>
      <c r="X566" s="169"/>
      <c r="Y566" s="169"/>
      <c r="Z566" s="169"/>
      <c r="AA566" s="169"/>
      <c r="AB566" s="169"/>
      <c r="AC566" s="169"/>
      <c r="AD566" s="169"/>
      <c r="AE566" s="169"/>
      <c r="AF566" s="169"/>
      <c r="AG566" s="169"/>
      <c r="AH566" s="169"/>
      <c r="AI566" s="169"/>
      <c r="AJ566" s="169"/>
      <c r="AK566" s="169"/>
      <c r="AL566" s="169"/>
      <c r="AM566" s="169"/>
      <c r="AN566" s="169"/>
      <c r="AO566" s="169"/>
      <c r="AP566" s="169"/>
      <c r="AQ566" s="169"/>
      <c r="AR566" s="169"/>
      <c r="AS566" s="169"/>
      <c r="AT566" s="169"/>
      <c r="AU566" s="169"/>
      <c r="AV566" s="169"/>
      <c r="AW566" s="169"/>
      <c r="AX566" s="169"/>
      <c r="AY566" s="169"/>
      <c r="AZ566" s="169"/>
      <c r="BA566" s="169"/>
      <c r="BB566" s="169"/>
      <c r="BC566" s="169"/>
    </row>
    <row r="567" spans="1:55" ht="14.25" customHeight="1">
      <c r="A567" s="12" t="s">
        <v>84</v>
      </c>
      <c r="B567" s="36">
        <f t="shared" si="257"/>
        <v>0.92647058823529416</v>
      </c>
      <c r="C567" s="36">
        <f t="shared" si="258"/>
        <v>0.91176470588235292</v>
      </c>
      <c r="D567" s="36">
        <f t="shared" si="259"/>
        <v>0.8970588235294118</v>
      </c>
      <c r="E567" s="36">
        <f t="shared" si="260"/>
        <v>0</v>
      </c>
      <c r="F567" s="36">
        <f t="shared" si="261"/>
        <v>0</v>
      </c>
      <c r="G567" s="36">
        <f t="shared" si="262"/>
        <v>0</v>
      </c>
      <c r="H567" s="44" t="str">
        <f t="shared" si="263"/>
        <v>-</v>
      </c>
      <c r="I567" s="36">
        <f t="shared" si="264"/>
        <v>0.96153846153846156</v>
      </c>
      <c r="J567" s="36">
        <f t="shared" si="265"/>
        <v>0.96153846153846156</v>
      </c>
      <c r="K567" s="36">
        <f t="shared" si="266"/>
        <v>0.69259049773755654</v>
      </c>
      <c r="L567" s="37" t="str">
        <f t="shared" si="267"/>
        <v>-</v>
      </c>
      <c r="M567" s="37" t="str">
        <f t="shared" si="268"/>
        <v>-</v>
      </c>
      <c r="N567" s="21">
        <f t="shared" si="269"/>
        <v>0.77897574123989222</v>
      </c>
      <c r="O567" s="21">
        <f t="shared" si="275"/>
        <v>0</v>
      </c>
      <c r="P567" s="21">
        <f t="shared" si="276"/>
        <v>0</v>
      </c>
      <c r="Q567" s="21">
        <f t="shared" si="270"/>
        <v>0</v>
      </c>
      <c r="R567" s="37" t="str">
        <f t="shared" si="271"/>
        <v>-</v>
      </c>
      <c r="S567" s="21">
        <f t="shared" si="272"/>
        <v>0.8482142857142857</v>
      </c>
      <c r="T567" s="37" t="str">
        <f t="shared" si="273"/>
        <v>-</v>
      </c>
      <c r="U567" s="21">
        <f t="shared" si="274"/>
        <v>0.38948787061994611</v>
      </c>
      <c r="V567" s="170"/>
      <c r="W567" s="169"/>
      <c r="X567" s="169"/>
      <c r="Y567" s="169"/>
      <c r="Z567" s="169"/>
      <c r="AA567" s="169"/>
      <c r="AB567" s="169"/>
      <c r="AC567" s="169"/>
      <c r="AD567" s="169"/>
      <c r="AE567" s="169"/>
      <c r="AF567" s="169"/>
      <c r="AG567" s="169"/>
      <c r="AH567" s="169"/>
      <c r="AI567" s="169"/>
      <c r="AJ567" s="169"/>
      <c r="AK567" s="169"/>
      <c r="AL567" s="169"/>
      <c r="AM567" s="169"/>
      <c r="AN567" s="169"/>
      <c r="AO567" s="169"/>
      <c r="AP567" s="169"/>
      <c r="AQ567" s="169"/>
      <c r="AR567" s="169"/>
      <c r="AS567" s="169"/>
      <c r="AT567" s="169"/>
      <c r="AU567" s="169"/>
      <c r="AV567" s="169"/>
      <c r="AW567" s="169"/>
      <c r="AX567" s="169"/>
      <c r="AY567" s="169"/>
      <c r="AZ567" s="169"/>
      <c r="BA567" s="169"/>
      <c r="BB567" s="169"/>
      <c r="BC567" s="169"/>
    </row>
    <row r="568" spans="1:55" ht="14.25" customHeight="1">
      <c r="A568" s="12" t="s">
        <v>85</v>
      </c>
      <c r="B568" s="36">
        <f t="shared" si="257"/>
        <v>0.72727272727272729</v>
      </c>
      <c r="C568" s="36">
        <f t="shared" si="258"/>
        <v>0.828125</v>
      </c>
      <c r="D568" s="36">
        <f t="shared" si="259"/>
        <v>0.54761904761904767</v>
      </c>
      <c r="E568" s="36">
        <f t="shared" si="260"/>
        <v>0</v>
      </c>
      <c r="F568" s="36">
        <f t="shared" si="261"/>
        <v>0</v>
      </c>
      <c r="G568" s="36">
        <f t="shared" si="262"/>
        <v>0</v>
      </c>
      <c r="H568" s="36">
        <f t="shared" si="263"/>
        <v>1</v>
      </c>
      <c r="I568" s="36">
        <f t="shared" si="264"/>
        <v>1</v>
      </c>
      <c r="J568" s="36">
        <f t="shared" si="265"/>
        <v>1</v>
      </c>
      <c r="K568" s="36">
        <f t="shared" si="266"/>
        <v>0.59393601190476186</v>
      </c>
      <c r="L568" s="37" t="str">
        <f t="shared" si="267"/>
        <v>-</v>
      </c>
      <c r="M568" s="37" t="str">
        <f t="shared" si="268"/>
        <v>-</v>
      </c>
      <c r="N568" s="21">
        <f t="shared" si="269"/>
        <v>0.84230769230769231</v>
      </c>
      <c r="O568" s="21">
        <f t="shared" si="275"/>
        <v>0</v>
      </c>
      <c r="P568" s="21">
        <f t="shared" si="276"/>
        <v>0</v>
      </c>
      <c r="Q568" s="21">
        <f t="shared" si="270"/>
        <v>0</v>
      </c>
      <c r="R568" s="21">
        <f t="shared" si="271"/>
        <v>0.86111111111111116</v>
      </c>
      <c r="S568" s="21">
        <f t="shared" si="272"/>
        <v>0.8666666666666667</v>
      </c>
      <c r="T568" s="37" t="str">
        <f t="shared" si="273"/>
        <v>-</v>
      </c>
      <c r="U568" s="21">
        <f t="shared" si="274"/>
        <v>0.42115384615384616</v>
      </c>
      <c r="V568" s="170"/>
      <c r="W568" s="169"/>
      <c r="X568" s="169"/>
      <c r="Y568" s="169"/>
      <c r="Z568" s="169"/>
      <c r="AA568" s="169"/>
      <c r="AB568" s="169"/>
      <c r="AC568" s="169"/>
      <c r="AD568" s="169"/>
      <c r="AE568" s="169"/>
      <c r="AF568" s="169"/>
      <c r="AG568" s="169"/>
      <c r="AH568" s="169"/>
      <c r="AI568" s="169"/>
      <c r="AJ568" s="169"/>
      <c r="AK568" s="169"/>
      <c r="AL568" s="169"/>
      <c r="AM568" s="169"/>
      <c r="AN568" s="169"/>
      <c r="AO568" s="169"/>
      <c r="AP568" s="169"/>
      <c r="AQ568" s="169"/>
      <c r="AR568" s="169"/>
      <c r="AS568" s="169"/>
      <c r="AT568" s="169"/>
      <c r="AU568" s="169"/>
      <c r="AV568" s="169"/>
      <c r="AW568" s="169"/>
      <c r="AX568" s="169"/>
      <c r="AY568" s="169"/>
      <c r="AZ568" s="169"/>
      <c r="BA568" s="169"/>
      <c r="BB568" s="169"/>
      <c r="BC568" s="169"/>
    </row>
    <row r="569" spans="1:55" ht="14.25" customHeight="1">
      <c r="A569" s="12" t="s">
        <v>86</v>
      </c>
      <c r="B569" s="44" t="str">
        <f t="shared" si="257"/>
        <v>-</v>
      </c>
      <c r="C569" s="44" t="str">
        <f t="shared" si="258"/>
        <v>-</v>
      </c>
      <c r="D569" s="44" t="str">
        <f t="shared" si="259"/>
        <v>-</v>
      </c>
      <c r="E569" s="36">
        <f t="shared" si="260"/>
        <v>0</v>
      </c>
      <c r="F569" s="36">
        <f t="shared" si="261"/>
        <v>0</v>
      </c>
      <c r="G569" s="36">
        <f t="shared" si="262"/>
        <v>0</v>
      </c>
      <c r="H569" s="44" t="str">
        <f t="shared" si="263"/>
        <v>-</v>
      </c>
      <c r="I569" s="44" t="str">
        <f t="shared" si="264"/>
        <v>-</v>
      </c>
      <c r="J569" s="44" t="str">
        <f t="shared" si="265"/>
        <v>-</v>
      </c>
      <c r="K569" s="36">
        <f t="shared" si="266"/>
        <v>0</v>
      </c>
      <c r="L569" s="37" t="str">
        <f t="shared" si="267"/>
        <v>-</v>
      </c>
      <c r="M569" s="37" t="str">
        <f t="shared" si="268"/>
        <v>-</v>
      </c>
      <c r="N569" s="37" t="str">
        <f t="shared" si="269"/>
        <v>-</v>
      </c>
      <c r="O569" s="21">
        <f t="shared" si="275"/>
        <v>0</v>
      </c>
      <c r="P569" s="21">
        <f t="shared" si="276"/>
        <v>0</v>
      </c>
      <c r="Q569" s="21">
        <f t="shared" si="270"/>
        <v>0</v>
      </c>
      <c r="R569" s="37" t="str">
        <f t="shared" si="271"/>
        <v>-</v>
      </c>
      <c r="S569" s="21">
        <f t="shared" si="272"/>
        <v>1</v>
      </c>
      <c r="T569" s="37" t="str">
        <f t="shared" si="273"/>
        <v>-</v>
      </c>
      <c r="U569" s="21">
        <f t="shared" si="274"/>
        <v>0</v>
      </c>
      <c r="V569" s="170"/>
      <c r="W569" s="169"/>
      <c r="X569" s="169"/>
      <c r="Y569" s="169"/>
      <c r="Z569" s="169"/>
      <c r="AA569" s="169"/>
      <c r="AB569" s="169"/>
      <c r="AC569" s="169"/>
      <c r="AD569" s="169"/>
      <c r="AE569" s="169"/>
      <c r="AF569" s="169"/>
      <c r="AG569" s="169"/>
      <c r="AH569" s="169"/>
      <c r="AI569" s="169"/>
      <c r="AJ569" s="169"/>
      <c r="AK569" s="169"/>
      <c r="AL569" s="169"/>
      <c r="AM569" s="169"/>
      <c r="AN569" s="169"/>
      <c r="AO569" s="169"/>
      <c r="AP569" s="169"/>
      <c r="AQ569" s="169"/>
      <c r="AR569" s="169"/>
      <c r="AS569" s="169"/>
      <c r="AT569" s="169"/>
      <c r="AU569" s="169"/>
      <c r="AV569" s="169"/>
      <c r="AW569" s="169"/>
      <c r="AX569" s="169"/>
      <c r="AY569" s="169"/>
      <c r="AZ569" s="169"/>
      <c r="BA569" s="169"/>
      <c r="BB569" s="169"/>
      <c r="BC569" s="169"/>
    </row>
    <row r="570" spans="1:55" ht="14.25" customHeight="1">
      <c r="A570" s="12" t="s">
        <v>87</v>
      </c>
      <c r="B570" s="36">
        <f t="shared" si="257"/>
        <v>0.91228070175438591</v>
      </c>
      <c r="C570" s="36">
        <f t="shared" si="258"/>
        <v>0.75438596491228072</v>
      </c>
      <c r="D570" s="36">
        <f t="shared" si="259"/>
        <v>0.88888888888888884</v>
      </c>
      <c r="E570" s="36">
        <f t="shared" si="260"/>
        <v>0</v>
      </c>
      <c r="F570" s="36">
        <f t="shared" si="261"/>
        <v>0</v>
      </c>
      <c r="G570" s="36">
        <f t="shared" si="262"/>
        <v>0</v>
      </c>
      <c r="H570" s="44" t="str">
        <f t="shared" si="263"/>
        <v>-</v>
      </c>
      <c r="I570" s="36">
        <f t="shared" si="264"/>
        <v>1</v>
      </c>
      <c r="J570" s="36">
        <f t="shared" si="265"/>
        <v>1</v>
      </c>
      <c r="K570" s="36">
        <f t="shared" si="266"/>
        <v>0.66081871345029242</v>
      </c>
      <c r="L570" s="37" t="str">
        <f t="shared" si="267"/>
        <v>-</v>
      </c>
      <c r="M570" s="37" t="str">
        <f t="shared" si="268"/>
        <v>-</v>
      </c>
      <c r="N570" s="21">
        <f t="shared" si="269"/>
        <v>0.69991326973113621</v>
      </c>
      <c r="O570" s="21">
        <f t="shared" si="275"/>
        <v>0</v>
      </c>
      <c r="P570" s="21">
        <f t="shared" si="276"/>
        <v>0</v>
      </c>
      <c r="Q570" s="21">
        <f t="shared" si="270"/>
        <v>0</v>
      </c>
      <c r="R570" s="37" t="str">
        <f t="shared" si="271"/>
        <v>-</v>
      </c>
      <c r="S570" s="21">
        <f t="shared" si="272"/>
        <v>0.8482142857142857</v>
      </c>
      <c r="T570" s="37" t="str">
        <f t="shared" si="273"/>
        <v>-</v>
      </c>
      <c r="U570" s="21">
        <f t="shared" si="274"/>
        <v>0.34995663486556811</v>
      </c>
      <c r="V570" s="170"/>
      <c r="W570" s="169"/>
      <c r="X570" s="169"/>
      <c r="Y570" s="169"/>
      <c r="Z570" s="169"/>
      <c r="AA570" s="169"/>
      <c r="AB570" s="169"/>
      <c r="AC570" s="169"/>
      <c r="AD570" s="169"/>
      <c r="AE570" s="169"/>
      <c r="AF570" s="169"/>
      <c r="AG570" s="169"/>
      <c r="AH570" s="169"/>
      <c r="AI570" s="169"/>
      <c r="AJ570" s="169"/>
      <c r="AK570" s="169"/>
      <c r="AL570" s="169"/>
      <c r="AM570" s="169"/>
      <c r="AN570" s="169"/>
      <c r="AO570" s="169"/>
      <c r="AP570" s="169"/>
      <c r="AQ570" s="169"/>
      <c r="AR570" s="169"/>
      <c r="AS570" s="169"/>
      <c r="AT570" s="169"/>
      <c r="AU570" s="169"/>
      <c r="AV570" s="169"/>
      <c r="AW570" s="169"/>
      <c r="AX570" s="169"/>
      <c r="AY570" s="169"/>
      <c r="AZ570" s="169"/>
      <c r="BA570" s="169"/>
      <c r="BB570" s="169"/>
      <c r="BC570" s="169"/>
    </row>
    <row r="571" spans="1:55" ht="14.25" customHeight="1">
      <c r="A571" s="12" t="s">
        <v>88</v>
      </c>
      <c r="B571" s="36">
        <f t="shared" si="257"/>
        <v>0.98165137614678899</v>
      </c>
      <c r="C571" s="36">
        <f t="shared" si="258"/>
        <v>0.80733944954128445</v>
      </c>
      <c r="D571" s="36">
        <f t="shared" si="259"/>
        <v>0.83809523809523812</v>
      </c>
      <c r="E571" s="36">
        <f t="shared" si="260"/>
        <v>0</v>
      </c>
      <c r="F571" s="36">
        <f t="shared" si="261"/>
        <v>0</v>
      </c>
      <c r="G571" s="36">
        <f t="shared" si="262"/>
        <v>0</v>
      </c>
      <c r="H571" s="36">
        <f t="shared" si="263"/>
        <v>1</v>
      </c>
      <c r="I571" s="36">
        <f t="shared" si="264"/>
        <v>0.95</v>
      </c>
      <c r="J571" s="36">
        <f t="shared" si="265"/>
        <v>0.96</v>
      </c>
      <c r="K571" s="36">
        <f t="shared" si="266"/>
        <v>0.65135867190913066</v>
      </c>
      <c r="L571" s="37" t="str">
        <f t="shared" si="267"/>
        <v>-</v>
      </c>
      <c r="M571" s="37" t="str">
        <f t="shared" si="268"/>
        <v>-</v>
      </c>
      <c r="N571" s="21">
        <f t="shared" si="269"/>
        <v>0.67656923814087211</v>
      </c>
      <c r="O571" s="21">
        <f t="shared" si="275"/>
        <v>0</v>
      </c>
      <c r="P571" s="21">
        <f t="shared" si="276"/>
        <v>0</v>
      </c>
      <c r="Q571" s="21">
        <f t="shared" si="270"/>
        <v>0</v>
      </c>
      <c r="R571" s="21">
        <f t="shared" si="271"/>
        <v>0.6</v>
      </c>
      <c r="S571" s="21">
        <f t="shared" si="272"/>
        <v>0.8666666666666667</v>
      </c>
      <c r="T571" s="37" t="str">
        <f t="shared" si="273"/>
        <v>-</v>
      </c>
      <c r="U571" s="21">
        <f t="shared" si="274"/>
        <v>0.33828461907043605</v>
      </c>
      <c r="V571" s="170"/>
      <c r="W571" s="169"/>
      <c r="X571" s="169"/>
      <c r="Y571" s="169"/>
      <c r="Z571" s="169"/>
      <c r="AA571" s="169"/>
      <c r="AB571" s="169"/>
      <c r="AC571" s="169"/>
      <c r="AD571" s="169"/>
      <c r="AE571" s="169"/>
      <c r="AF571" s="169"/>
      <c r="AG571" s="169"/>
      <c r="AH571" s="169"/>
      <c r="AI571" s="169"/>
      <c r="AJ571" s="169"/>
      <c r="AK571" s="169"/>
      <c r="AL571" s="169"/>
      <c r="AM571" s="169"/>
      <c r="AN571" s="169"/>
      <c r="AO571" s="169"/>
      <c r="AP571" s="169"/>
      <c r="AQ571" s="169"/>
      <c r="AR571" s="169"/>
      <c r="AS571" s="169"/>
      <c r="AT571" s="169"/>
      <c r="AU571" s="169"/>
      <c r="AV571" s="169"/>
      <c r="AW571" s="169"/>
      <c r="AX571" s="169"/>
      <c r="AY571" s="169"/>
      <c r="AZ571" s="169"/>
      <c r="BA571" s="169"/>
      <c r="BB571" s="169"/>
      <c r="BC571" s="169"/>
    </row>
    <row r="572" spans="1:55" ht="14.25" customHeight="1">
      <c r="A572" s="12" t="s">
        <v>89</v>
      </c>
      <c r="B572" s="36">
        <f t="shared" si="257"/>
        <v>0.98165137614678899</v>
      </c>
      <c r="C572" s="36">
        <f t="shared" si="258"/>
        <v>0.80733944954128445</v>
      </c>
      <c r="D572" s="36">
        <f t="shared" si="259"/>
        <v>0.83809523809523812</v>
      </c>
      <c r="E572" s="36">
        <f t="shared" si="260"/>
        <v>0</v>
      </c>
      <c r="F572" s="36">
        <f t="shared" si="261"/>
        <v>0</v>
      </c>
      <c r="G572" s="36">
        <f t="shared" si="262"/>
        <v>0</v>
      </c>
      <c r="H572" s="36">
        <f t="shared" si="263"/>
        <v>1</v>
      </c>
      <c r="I572" s="36">
        <f t="shared" si="264"/>
        <v>0.95833333333333337</v>
      </c>
      <c r="J572" s="36">
        <f t="shared" si="265"/>
        <v>0.97222222222222221</v>
      </c>
      <c r="K572" s="36">
        <f t="shared" si="266"/>
        <v>0.65441422746468625</v>
      </c>
      <c r="L572" s="37" t="str">
        <f t="shared" si="267"/>
        <v>-</v>
      </c>
      <c r="M572" s="37" t="str">
        <f t="shared" si="268"/>
        <v>-</v>
      </c>
      <c r="N572" s="21">
        <f t="shared" si="269"/>
        <v>0.67656923814087211</v>
      </c>
      <c r="O572" s="21">
        <f t="shared" si="275"/>
        <v>0</v>
      </c>
      <c r="P572" s="21">
        <f t="shared" si="276"/>
        <v>0</v>
      </c>
      <c r="Q572" s="21">
        <f t="shared" si="270"/>
        <v>0</v>
      </c>
      <c r="R572" s="21">
        <f t="shared" si="271"/>
        <v>0.72916666666666663</v>
      </c>
      <c r="S572" s="21">
        <f t="shared" si="272"/>
        <v>0.88235294117647056</v>
      </c>
      <c r="T572" s="37" t="str">
        <f t="shared" si="273"/>
        <v>-</v>
      </c>
      <c r="U572" s="21">
        <f t="shared" si="274"/>
        <v>0.33828461907043605</v>
      </c>
      <c r="V572" s="170"/>
      <c r="W572" s="169"/>
      <c r="X572" s="169"/>
      <c r="Y572" s="169"/>
      <c r="Z572" s="169"/>
      <c r="AA572" s="169"/>
      <c r="AB572" s="169"/>
      <c r="AC572" s="169"/>
      <c r="AD572" s="169"/>
      <c r="AE572" s="169"/>
      <c r="AF572" s="169"/>
      <c r="AG572" s="169"/>
      <c r="AH572" s="169"/>
      <c r="AI572" s="169"/>
      <c r="AJ572" s="169"/>
      <c r="AK572" s="169"/>
      <c r="AL572" s="169"/>
      <c r="AM572" s="169"/>
      <c r="AN572" s="169"/>
      <c r="AO572" s="169"/>
      <c r="AP572" s="169"/>
      <c r="AQ572" s="169"/>
      <c r="AR572" s="169"/>
      <c r="AS572" s="169"/>
      <c r="AT572" s="169"/>
      <c r="AU572" s="169"/>
      <c r="AV572" s="169"/>
      <c r="AW572" s="169"/>
      <c r="AX572" s="169"/>
      <c r="AY572" s="169"/>
      <c r="AZ572" s="169"/>
      <c r="BA572" s="169"/>
      <c r="BB572" s="169"/>
      <c r="BC572" s="169"/>
    </row>
    <row r="573" spans="1:55" ht="14.25" customHeight="1">
      <c r="A573" s="12" t="s">
        <v>90</v>
      </c>
      <c r="B573" s="36">
        <f t="shared" si="257"/>
        <v>0.96610169491525422</v>
      </c>
      <c r="C573" s="36">
        <f t="shared" si="258"/>
        <v>0.88135593220338981</v>
      </c>
      <c r="D573" s="36">
        <f t="shared" si="259"/>
        <v>0.86792452830188682</v>
      </c>
      <c r="E573" s="36">
        <f t="shared" si="260"/>
        <v>0</v>
      </c>
      <c r="F573" s="36">
        <f t="shared" si="261"/>
        <v>0</v>
      </c>
      <c r="G573" s="36">
        <f t="shared" si="262"/>
        <v>0</v>
      </c>
      <c r="H573" s="36">
        <f t="shared" si="263"/>
        <v>1</v>
      </c>
      <c r="I573" s="36">
        <f t="shared" si="264"/>
        <v>1</v>
      </c>
      <c r="J573" s="36">
        <f t="shared" si="265"/>
        <v>1</v>
      </c>
      <c r="K573" s="36">
        <f t="shared" si="266"/>
        <v>0.68732011512631919</v>
      </c>
      <c r="L573" s="37" t="str">
        <f t="shared" si="267"/>
        <v>-</v>
      </c>
      <c r="M573" s="37" t="str">
        <f t="shared" si="268"/>
        <v>-</v>
      </c>
      <c r="N573" s="21">
        <f t="shared" si="269"/>
        <v>0.6419981498612396</v>
      </c>
      <c r="O573" s="21">
        <f t="shared" si="275"/>
        <v>0</v>
      </c>
      <c r="P573" s="21">
        <f t="shared" si="276"/>
        <v>0</v>
      </c>
      <c r="Q573" s="21">
        <f t="shared" si="270"/>
        <v>0</v>
      </c>
      <c r="R573" s="21">
        <f t="shared" si="271"/>
        <v>0.75</v>
      </c>
      <c r="S573" s="21">
        <f t="shared" si="272"/>
        <v>0.83653846153846156</v>
      </c>
      <c r="T573" s="37" t="str">
        <f t="shared" si="273"/>
        <v>-</v>
      </c>
      <c r="U573" s="21">
        <f t="shared" si="274"/>
        <v>0.3209990749306198</v>
      </c>
      <c r="V573" s="170"/>
      <c r="W573" s="169"/>
      <c r="X573" s="169"/>
      <c r="Y573" s="169"/>
      <c r="Z573" s="169"/>
      <c r="AA573" s="169"/>
      <c r="AB573" s="169"/>
      <c r="AC573" s="169"/>
      <c r="AD573" s="169"/>
      <c r="AE573" s="169"/>
      <c r="AF573" s="169"/>
      <c r="AG573" s="169"/>
      <c r="AH573" s="169"/>
      <c r="AI573" s="169"/>
      <c r="AJ573" s="169"/>
      <c r="AK573" s="169"/>
      <c r="AL573" s="169"/>
      <c r="AM573" s="169"/>
      <c r="AN573" s="169"/>
      <c r="AO573" s="169"/>
      <c r="AP573" s="169"/>
      <c r="AQ573" s="169"/>
      <c r="AR573" s="169"/>
      <c r="AS573" s="169"/>
      <c r="AT573" s="169"/>
      <c r="AU573" s="169"/>
      <c r="AV573" s="169"/>
      <c r="AW573" s="169"/>
      <c r="AX573" s="169"/>
      <c r="AY573" s="169"/>
      <c r="AZ573" s="169"/>
      <c r="BA573" s="169"/>
      <c r="BB573" s="169"/>
      <c r="BC573" s="169"/>
    </row>
    <row r="574" spans="1:55" ht="14.25" customHeight="1">
      <c r="A574" s="12" t="s">
        <v>91</v>
      </c>
      <c r="B574" s="36">
        <f t="shared" si="257"/>
        <v>0.94268774703557312</v>
      </c>
      <c r="C574" s="36">
        <f t="shared" si="258"/>
        <v>0.80434782608695654</v>
      </c>
      <c r="D574" s="36">
        <f t="shared" si="259"/>
        <v>0.83789473684210525</v>
      </c>
      <c r="E574" s="36">
        <f t="shared" si="260"/>
        <v>0</v>
      </c>
      <c r="F574" s="36">
        <f t="shared" si="261"/>
        <v>0</v>
      </c>
      <c r="G574" s="36">
        <f t="shared" si="262"/>
        <v>0</v>
      </c>
      <c r="H574" s="36">
        <f t="shared" si="263"/>
        <v>1</v>
      </c>
      <c r="I574" s="36">
        <f t="shared" si="264"/>
        <v>0.99534883720930234</v>
      </c>
      <c r="J574" s="36">
        <f t="shared" si="265"/>
        <v>0.99572649572649574</v>
      </c>
      <c r="K574" s="36">
        <f t="shared" si="266"/>
        <v>0.65949226466388944</v>
      </c>
      <c r="L574" s="37" t="str">
        <f t="shared" si="267"/>
        <v>-</v>
      </c>
      <c r="M574" s="37" t="str">
        <f t="shared" si="268"/>
        <v>-</v>
      </c>
      <c r="N574" s="21">
        <f t="shared" si="269"/>
        <v>0.76641720248761458</v>
      </c>
      <c r="O574" s="21">
        <f t="shared" si="275"/>
        <v>0</v>
      </c>
      <c r="P574" s="21">
        <f t="shared" si="276"/>
        <v>0</v>
      </c>
      <c r="Q574" s="21">
        <f t="shared" si="270"/>
        <v>0</v>
      </c>
      <c r="R574" s="21">
        <f t="shared" si="271"/>
        <v>0.75</v>
      </c>
      <c r="S574" s="21">
        <f t="shared" si="272"/>
        <v>0.88170802077322563</v>
      </c>
      <c r="T574" s="37" t="str">
        <f t="shared" si="273"/>
        <v>-</v>
      </c>
      <c r="U574" s="21">
        <f t="shared" si="274"/>
        <v>0.38320860124380729</v>
      </c>
      <c r="V574" s="170"/>
      <c r="W574" s="169"/>
      <c r="X574" s="169"/>
      <c r="Y574" s="169"/>
      <c r="Z574" s="169"/>
      <c r="AA574" s="169"/>
      <c r="AB574" s="169"/>
      <c r="AC574" s="169"/>
      <c r="AD574" s="169"/>
      <c r="AE574" s="169"/>
      <c r="AF574" s="169"/>
      <c r="AG574" s="169"/>
      <c r="AH574" s="169"/>
      <c r="AI574" s="169"/>
      <c r="AJ574" s="169"/>
      <c r="AK574" s="169"/>
      <c r="AL574" s="169"/>
      <c r="AM574" s="169"/>
      <c r="AN574" s="169"/>
      <c r="AO574" s="169"/>
      <c r="AP574" s="169"/>
      <c r="AQ574" s="169"/>
      <c r="AR574" s="169"/>
      <c r="AS574" s="169"/>
      <c r="AT574" s="169"/>
      <c r="AU574" s="169"/>
      <c r="AV574" s="169"/>
      <c r="AW574" s="169"/>
      <c r="AX574" s="169"/>
      <c r="AY574" s="169"/>
      <c r="AZ574" s="169"/>
      <c r="BA574" s="169"/>
      <c r="BB574" s="169"/>
      <c r="BC574" s="169"/>
    </row>
    <row r="575" spans="1:55" ht="14.25" customHeight="1">
      <c r="A575" s="12" t="s">
        <v>93</v>
      </c>
      <c r="B575" s="36">
        <f t="shared" si="257"/>
        <v>0.97101449275362317</v>
      </c>
      <c r="C575" s="36">
        <f t="shared" si="258"/>
        <v>0.90579710144927539</v>
      </c>
      <c r="D575" s="36">
        <f t="shared" si="259"/>
        <v>0.87786259541984735</v>
      </c>
      <c r="E575" s="36">
        <f t="shared" si="260"/>
        <v>0</v>
      </c>
      <c r="F575" s="36">
        <f t="shared" si="261"/>
        <v>0</v>
      </c>
      <c r="G575" s="36">
        <f t="shared" si="262"/>
        <v>0</v>
      </c>
      <c r="H575" s="36">
        <f t="shared" si="263"/>
        <v>1</v>
      </c>
      <c r="I575" s="36">
        <f t="shared" si="264"/>
        <v>0.99230769230769234</v>
      </c>
      <c r="J575" s="36">
        <f t="shared" si="265"/>
        <v>0.99315068493150682</v>
      </c>
      <c r="K575" s="36">
        <f t="shared" si="266"/>
        <v>0.69420259545015739</v>
      </c>
      <c r="L575" s="37" t="str">
        <f t="shared" si="267"/>
        <v>-</v>
      </c>
      <c r="M575" s="37" t="str">
        <f t="shared" si="268"/>
        <v>-</v>
      </c>
      <c r="N575" s="21">
        <f t="shared" si="269"/>
        <v>0.64389157073895287</v>
      </c>
      <c r="O575" s="21">
        <f t="shared" si="275"/>
        <v>0</v>
      </c>
      <c r="P575" s="21">
        <f t="shared" si="276"/>
        <v>0</v>
      </c>
      <c r="Q575" s="21">
        <f t="shared" si="270"/>
        <v>0</v>
      </c>
      <c r="R575" s="21">
        <f t="shared" si="271"/>
        <v>0.71875</v>
      </c>
      <c r="S575" s="21">
        <f t="shared" si="272"/>
        <v>0.77962962962962967</v>
      </c>
      <c r="T575" s="37" t="str">
        <f t="shared" si="273"/>
        <v>-</v>
      </c>
      <c r="U575" s="21">
        <f t="shared" si="274"/>
        <v>0.32194578536947643</v>
      </c>
      <c r="V575" s="170"/>
      <c r="W575" s="169"/>
      <c r="X575" s="169"/>
      <c r="Y575" s="169"/>
      <c r="Z575" s="169"/>
      <c r="AA575" s="169"/>
      <c r="AB575" s="169"/>
      <c r="AC575" s="169"/>
      <c r="AD575" s="169"/>
      <c r="AE575" s="169"/>
      <c r="AF575" s="169"/>
      <c r="AG575" s="169"/>
      <c r="AH575" s="169"/>
      <c r="AI575" s="169"/>
      <c r="AJ575" s="169"/>
      <c r="AK575" s="169"/>
      <c r="AL575" s="169"/>
      <c r="AM575" s="169"/>
      <c r="AN575" s="169"/>
      <c r="AO575" s="169"/>
      <c r="AP575" s="169"/>
      <c r="AQ575" s="169"/>
      <c r="AR575" s="169"/>
      <c r="AS575" s="169"/>
      <c r="AT575" s="169"/>
      <c r="AU575" s="169"/>
      <c r="AV575" s="169"/>
      <c r="AW575" s="169"/>
      <c r="AX575" s="169"/>
      <c r="AY575" s="169"/>
      <c r="AZ575" s="169"/>
      <c r="BA575" s="169"/>
      <c r="BB575" s="169"/>
      <c r="BC575" s="169"/>
    </row>
    <row r="576" spans="1:55" ht="14.25" customHeight="1">
      <c r="A576" s="12" t="s">
        <v>94</v>
      </c>
      <c r="B576" s="36">
        <f t="shared" si="257"/>
        <v>0.92982456140350878</v>
      </c>
      <c r="C576" s="36">
        <f t="shared" si="258"/>
        <v>0.73684210526315785</v>
      </c>
      <c r="D576" s="36">
        <f t="shared" si="259"/>
        <v>0.8651685393258427</v>
      </c>
      <c r="E576" s="36">
        <f t="shared" si="260"/>
        <v>0</v>
      </c>
      <c r="F576" s="36">
        <f t="shared" si="261"/>
        <v>0</v>
      </c>
      <c r="G576" s="36">
        <f t="shared" si="262"/>
        <v>0</v>
      </c>
      <c r="H576" s="36">
        <f t="shared" si="263"/>
        <v>1</v>
      </c>
      <c r="I576" s="36">
        <f t="shared" si="264"/>
        <v>1</v>
      </c>
      <c r="J576" s="36">
        <f t="shared" si="265"/>
        <v>1</v>
      </c>
      <c r="K576" s="36">
        <f t="shared" si="266"/>
        <v>0.65050266114725019</v>
      </c>
      <c r="L576" s="37" t="str">
        <f t="shared" si="267"/>
        <v>-</v>
      </c>
      <c r="M576" s="37" t="str">
        <f t="shared" si="268"/>
        <v>-</v>
      </c>
      <c r="N576" s="21">
        <f t="shared" si="269"/>
        <v>0.68506493506493504</v>
      </c>
      <c r="O576" s="21">
        <f t="shared" si="275"/>
        <v>0</v>
      </c>
      <c r="P576" s="21">
        <f t="shared" si="276"/>
        <v>0</v>
      </c>
      <c r="Q576" s="21">
        <f t="shared" si="270"/>
        <v>0</v>
      </c>
      <c r="R576" s="21">
        <f t="shared" si="271"/>
        <v>0.875</v>
      </c>
      <c r="S576" s="21">
        <f t="shared" si="272"/>
        <v>0.87861271676300579</v>
      </c>
      <c r="T576" s="37" t="str">
        <f t="shared" si="273"/>
        <v>-</v>
      </c>
      <c r="U576" s="21">
        <f t="shared" si="274"/>
        <v>0.34253246753246752</v>
      </c>
      <c r="V576" s="170"/>
      <c r="W576" s="169"/>
      <c r="X576" s="169"/>
      <c r="Y576" s="169"/>
      <c r="Z576" s="169"/>
      <c r="AA576" s="169"/>
      <c r="AB576" s="169"/>
      <c r="AC576" s="169"/>
      <c r="AD576" s="169"/>
      <c r="AE576" s="169"/>
      <c r="AF576" s="169"/>
      <c r="AG576" s="169"/>
      <c r="AH576" s="169"/>
      <c r="AI576" s="169"/>
      <c r="AJ576" s="169"/>
      <c r="AK576" s="169"/>
      <c r="AL576" s="169"/>
      <c r="AM576" s="169"/>
      <c r="AN576" s="169"/>
      <c r="AO576" s="169"/>
      <c r="AP576" s="169"/>
      <c r="AQ576" s="169"/>
      <c r="AR576" s="169"/>
      <c r="AS576" s="169"/>
      <c r="AT576" s="169"/>
      <c r="AU576" s="169"/>
      <c r="AV576" s="169"/>
      <c r="AW576" s="169"/>
      <c r="AX576" s="169"/>
      <c r="AY576" s="169"/>
      <c r="AZ576" s="169"/>
      <c r="BA576" s="169"/>
      <c r="BB576" s="169"/>
      <c r="BC576" s="169"/>
    </row>
    <row r="577" spans="1:55" ht="14.25" customHeight="1">
      <c r="A577" s="12" t="s">
        <v>95</v>
      </c>
      <c r="B577" s="36">
        <f t="shared" si="257"/>
        <v>0.92156862745098034</v>
      </c>
      <c r="C577" s="36">
        <f t="shared" si="258"/>
        <v>0.70588235294117652</v>
      </c>
      <c r="D577" s="36">
        <f t="shared" si="259"/>
        <v>0.82499999999999996</v>
      </c>
      <c r="E577" s="36">
        <f t="shared" si="260"/>
        <v>0</v>
      </c>
      <c r="F577" s="36">
        <f t="shared" si="261"/>
        <v>0</v>
      </c>
      <c r="G577" s="36">
        <f t="shared" si="262"/>
        <v>0</v>
      </c>
      <c r="H577" s="36">
        <f t="shared" si="263"/>
        <v>1</v>
      </c>
      <c r="I577" s="36">
        <f t="shared" si="264"/>
        <v>0.91666666666666663</v>
      </c>
      <c r="J577" s="36">
        <f t="shared" si="265"/>
        <v>0.93548387096774188</v>
      </c>
      <c r="K577" s="36">
        <f t="shared" si="266"/>
        <v>0.61659155597722959</v>
      </c>
      <c r="L577" s="37" t="str">
        <f t="shared" si="267"/>
        <v>-</v>
      </c>
      <c r="M577" s="37" t="str">
        <f t="shared" si="268"/>
        <v>-</v>
      </c>
      <c r="N577" s="21">
        <f t="shared" si="269"/>
        <v>0.72927461139896377</v>
      </c>
      <c r="O577" s="21">
        <f t="shared" si="275"/>
        <v>0</v>
      </c>
      <c r="P577" s="21">
        <f t="shared" si="276"/>
        <v>0</v>
      </c>
      <c r="Q577" s="21">
        <f t="shared" si="270"/>
        <v>0</v>
      </c>
      <c r="R577" s="21">
        <f t="shared" si="271"/>
        <v>0.8214285714285714</v>
      </c>
      <c r="S577" s="21">
        <f t="shared" si="272"/>
        <v>0.83152173913043481</v>
      </c>
      <c r="T577" s="37" t="str">
        <f t="shared" si="273"/>
        <v>-</v>
      </c>
      <c r="U577" s="21">
        <f t="shared" si="274"/>
        <v>0.36463730569948188</v>
      </c>
      <c r="V577" s="170"/>
      <c r="W577" s="169"/>
      <c r="X577" s="169"/>
      <c r="Y577" s="169"/>
      <c r="Z577" s="169"/>
      <c r="AA577" s="169"/>
      <c r="AB577" s="169"/>
      <c r="AC577" s="169"/>
      <c r="AD577" s="169"/>
      <c r="AE577" s="169"/>
      <c r="AF577" s="169"/>
      <c r="AG577" s="169"/>
      <c r="AH577" s="169"/>
      <c r="AI577" s="169"/>
      <c r="AJ577" s="169"/>
      <c r="AK577" s="169"/>
      <c r="AL577" s="169"/>
      <c r="AM577" s="169"/>
      <c r="AN577" s="169"/>
      <c r="AO577" s="169"/>
      <c r="AP577" s="169"/>
      <c r="AQ577" s="169"/>
      <c r="AR577" s="169"/>
      <c r="AS577" s="169"/>
      <c r="AT577" s="169"/>
      <c r="AU577" s="169"/>
      <c r="AV577" s="169"/>
      <c r="AW577" s="169"/>
      <c r="AX577" s="169"/>
      <c r="AY577" s="169"/>
      <c r="AZ577" s="169"/>
      <c r="BA577" s="169"/>
      <c r="BB577" s="169"/>
      <c r="BC577" s="169"/>
    </row>
    <row r="578" spans="1:55" ht="14.25" customHeight="1">
      <c r="A578" s="12" t="s">
        <v>96</v>
      </c>
      <c r="B578" s="36">
        <f t="shared" si="257"/>
        <v>0.90163934426229508</v>
      </c>
      <c r="C578" s="36">
        <f t="shared" si="258"/>
        <v>0.72131147540983609</v>
      </c>
      <c r="D578" s="36">
        <f t="shared" si="259"/>
        <v>0.95454545454545459</v>
      </c>
      <c r="E578" s="36">
        <f t="shared" si="260"/>
        <v>0</v>
      </c>
      <c r="F578" s="36">
        <f t="shared" si="261"/>
        <v>0</v>
      </c>
      <c r="G578" s="36">
        <f t="shared" si="262"/>
        <v>0</v>
      </c>
      <c r="H578" s="44" t="str">
        <f t="shared" si="263"/>
        <v>-</v>
      </c>
      <c r="I578" s="36">
        <f t="shared" si="264"/>
        <v>1</v>
      </c>
      <c r="J578" s="36">
        <f t="shared" si="265"/>
        <v>1</v>
      </c>
      <c r="K578" s="36">
        <f t="shared" si="266"/>
        <v>0.66896423248882264</v>
      </c>
      <c r="L578" s="37" t="str">
        <f t="shared" si="267"/>
        <v>-</v>
      </c>
      <c r="M578" s="37" t="str">
        <f t="shared" si="268"/>
        <v>-</v>
      </c>
      <c r="N578" s="21">
        <f t="shared" si="269"/>
        <v>0.59445585215605745</v>
      </c>
      <c r="O578" s="21">
        <f t="shared" si="275"/>
        <v>0</v>
      </c>
      <c r="P578" s="21">
        <f t="shared" si="276"/>
        <v>0</v>
      </c>
      <c r="Q578" s="21">
        <f t="shared" si="270"/>
        <v>0</v>
      </c>
      <c r="R578" s="37" t="str">
        <f t="shared" si="271"/>
        <v>-</v>
      </c>
      <c r="S578" s="21">
        <f t="shared" si="272"/>
        <v>0.89583333333333337</v>
      </c>
      <c r="T578" s="37" t="str">
        <f t="shared" si="273"/>
        <v>-</v>
      </c>
      <c r="U578" s="21">
        <f t="shared" si="274"/>
        <v>0.29722792607802873</v>
      </c>
      <c r="V578" s="170"/>
      <c r="W578" s="169"/>
      <c r="X578" s="169"/>
      <c r="Y578" s="169"/>
      <c r="Z578" s="169"/>
      <c r="AA578" s="169"/>
      <c r="AB578" s="169"/>
      <c r="AC578" s="169"/>
      <c r="AD578" s="169"/>
      <c r="AE578" s="169"/>
      <c r="AF578" s="169"/>
      <c r="AG578" s="169"/>
      <c r="AH578" s="169"/>
      <c r="AI578" s="169"/>
      <c r="AJ578" s="169"/>
      <c r="AK578" s="169"/>
      <c r="AL578" s="169"/>
      <c r="AM578" s="169"/>
      <c r="AN578" s="169"/>
      <c r="AO578" s="169"/>
      <c r="AP578" s="169"/>
      <c r="AQ578" s="169"/>
      <c r="AR578" s="169"/>
      <c r="AS578" s="169"/>
      <c r="AT578" s="169"/>
      <c r="AU578" s="169"/>
      <c r="AV578" s="169"/>
      <c r="AW578" s="169"/>
      <c r="AX578" s="169"/>
      <c r="AY578" s="169"/>
      <c r="AZ578" s="169"/>
      <c r="BA578" s="169"/>
      <c r="BB578" s="169"/>
      <c r="BC578" s="169"/>
    </row>
    <row r="579" spans="1:55" ht="14.25" customHeight="1">
      <c r="A579" s="43" t="s">
        <v>97</v>
      </c>
      <c r="B579" s="36">
        <f t="shared" si="257"/>
        <v>0.79629629629629628</v>
      </c>
      <c r="C579" s="36">
        <f t="shared" si="258"/>
        <v>0.79629629629629628</v>
      </c>
      <c r="D579" s="44" t="str">
        <f t="shared" si="259"/>
        <v>-</v>
      </c>
      <c r="E579" s="36">
        <f t="shared" si="260"/>
        <v>0</v>
      </c>
      <c r="F579" s="36">
        <f t="shared" si="261"/>
        <v>0</v>
      </c>
      <c r="G579" s="36">
        <f t="shared" si="262"/>
        <v>0</v>
      </c>
      <c r="H579" s="44" t="str">
        <f t="shared" si="263"/>
        <v>-</v>
      </c>
      <c r="I579" s="44" t="str">
        <f t="shared" si="264"/>
        <v>-</v>
      </c>
      <c r="J579" s="44" t="str">
        <f t="shared" si="265"/>
        <v>-</v>
      </c>
      <c r="K579" s="36">
        <f t="shared" si="266"/>
        <v>0.39814814814814814</v>
      </c>
      <c r="L579" s="21">
        <f t="shared" si="267"/>
        <v>0.39534883720930231</v>
      </c>
      <c r="M579" s="37" t="str">
        <f t="shared" si="268"/>
        <v>-</v>
      </c>
      <c r="N579" s="37" t="str">
        <f t="shared" si="269"/>
        <v>-</v>
      </c>
      <c r="O579" s="21">
        <f t="shared" si="275"/>
        <v>0</v>
      </c>
      <c r="P579" s="21">
        <f t="shared" si="276"/>
        <v>0</v>
      </c>
      <c r="Q579" s="21">
        <f t="shared" si="270"/>
        <v>0</v>
      </c>
      <c r="R579" s="37" t="str">
        <f t="shared" si="271"/>
        <v>-</v>
      </c>
      <c r="S579" s="37" t="str">
        <f t="shared" si="272"/>
        <v>-</v>
      </c>
      <c r="T579" s="37" t="str">
        <f t="shared" si="273"/>
        <v>-</v>
      </c>
      <c r="U579" s="21">
        <f t="shared" si="274"/>
        <v>0</v>
      </c>
      <c r="V579" s="170"/>
      <c r="W579" s="169"/>
      <c r="X579" s="169"/>
      <c r="Y579" s="169"/>
      <c r="Z579" s="169"/>
      <c r="AA579" s="169"/>
      <c r="AB579" s="169"/>
      <c r="AC579" s="169"/>
      <c r="AD579" s="169"/>
      <c r="AE579" s="169"/>
      <c r="AF579" s="169"/>
      <c r="AG579" s="169"/>
      <c r="AH579" s="169"/>
      <c r="AI579" s="169"/>
      <c r="AJ579" s="169"/>
      <c r="AK579" s="169"/>
      <c r="AL579" s="169"/>
      <c r="AM579" s="169"/>
      <c r="AN579" s="169"/>
      <c r="AO579" s="169"/>
      <c r="AP579" s="169"/>
      <c r="AQ579" s="169"/>
      <c r="AR579" s="169"/>
      <c r="AS579" s="169"/>
      <c r="AT579" s="169"/>
      <c r="AU579" s="169"/>
      <c r="AV579" s="169"/>
      <c r="AW579" s="169"/>
      <c r="AX579" s="169"/>
      <c r="AY579" s="169"/>
      <c r="AZ579" s="169"/>
      <c r="BA579" s="169"/>
      <c r="BB579" s="169"/>
      <c r="BC579" s="169"/>
    </row>
    <row r="580" spans="1:55" ht="14.25" customHeight="1">
      <c r="A580" s="43" t="s">
        <v>98</v>
      </c>
      <c r="B580" s="36">
        <f t="shared" si="257"/>
        <v>0.72727272727272729</v>
      </c>
      <c r="C580" s="36">
        <f t="shared" si="258"/>
        <v>0.81818181818181823</v>
      </c>
      <c r="D580" s="44" t="str">
        <f t="shared" si="259"/>
        <v>-</v>
      </c>
      <c r="E580" s="36">
        <f t="shared" si="260"/>
        <v>0</v>
      </c>
      <c r="F580" s="36">
        <f t="shared" si="261"/>
        <v>0</v>
      </c>
      <c r="G580" s="36">
        <f t="shared" si="262"/>
        <v>0</v>
      </c>
      <c r="H580" s="44" t="str">
        <f t="shared" si="263"/>
        <v>-</v>
      </c>
      <c r="I580" s="44" t="str">
        <f t="shared" si="264"/>
        <v>-</v>
      </c>
      <c r="J580" s="44" t="str">
        <f t="shared" si="265"/>
        <v>-</v>
      </c>
      <c r="K580" s="36">
        <f t="shared" si="266"/>
        <v>0.40909090909090912</v>
      </c>
      <c r="L580" s="21">
        <f t="shared" si="267"/>
        <v>0.625</v>
      </c>
      <c r="M580" s="37" t="str">
        <f t="shared" si="268"/>
        <v>-</v>
      </c>
      <c r="N580" s="37" t="str">
        <f t="shared" si="269"/>
        <v>-</v>
      </c>
      <c r="O580" s="21">
        <f t="shared" si="275"/>
        <v>0</v>
      </c>
      <c r="P580" s="21">
        <f t="shared" si="276"/>
        <v>0</v>
      </c>
      <c r="Q580" s="21">
        <f t="shared" si="270"/>
        <v>0</v>
      </c>
      <c r="R580" s="37" t="str">
        <f t="shared" si="271"/>
        <v>-</v>
      </c>
      <c r="S580" s="37" t="str">
        <f t="shared" si="272"/>
        <v>-</v>
      </c>
      <c r="T580" s="37" t="str">
        <f t="shared" si="273"/>
        <v>-</v>
      </c>
      <c r="U580" s="21">
        <f t="shared" si="274"/>
        <v>0</v>
      </c>
      <c r="V580" s="170"/>
      <c r="W580" s="169"/>
      <c r="X580" s="169"/>
      <c r="Y580" s="169"/>
      <c r="Z580" s="169"/>
      <c r="AA580" s="169"/>
      <c r="AB580" s="169"/>
      <c r="AC580" s="169"/>
      <c r="AD580" s="169"/>
      <c r="AE580" s="169"/>
      <c r="AF580" s="169"/>
      <c r="AG580" s="169"/>
      <c r="AH580" s="169"/>
      <c r="AI580" s="169"/>
      <c r="AJ580" s="169"/>
      <c r="AK580" s="169"/>
      <c r="AL580" s="169"/>
      <c r="AM580" s="169"/>
      <c r="AN580" s="169"/>
      <c r="AO580" s="169"/>
      <c r="AP580" s="169"/>
      <c r="AQ580" s="169"/>
      <c r="AR580" s="169"/>
      <c r="AS580" s="169"/>
      <c r="AT580" s="169"/>
      <c r="AU580" s="169"/>
      <c r="AV580" s="169"/>
      <c r="AW580" s="169"/>
      <c r="AX580" s="169"/>
      <c r="AY580" s="169"/>
      <c r="AZ580" s="169"/>
      <c r="BA580" s="169"/>
      <c r="BB580" s="169"/>
      <c r="BC580" s="169"/>
    </row>
    <row r="581" spans="1:55" ht="14.25" customHeight="1">
      <c r="A581" s="43" t="s">
        <v>99</v>
      </c>
      <c r="B581" s="36">
        <f t="shared" si="257"/>
        <v>0.83098591549295775</v>
      </c>
      <c r="C581" s="36">
        <f t="shared" si="258"/>
        <v>0.88732394366197187</v>
      </c>
      <c r="D581" s="44" t="str">
        <f t="shared" si="259"/>
        <v>-</v>
      </c>
      <c r="E581" s="36">
        <f t="shared" si="260"/>
        <v>0</v>
      </c>
      <c r="F581" s="36">
        <f t="shared" si="261"/>
        <v>0</v>
      </c>
      <c r="G581" s="36">
        <f t="shared" si="262"/>
        <v>0</v>
      </c>
      <c r="H581" s="44" t="str">
        <f t="shared" si="263"/>
        <v>-</v>
      </c>
      <c r="I581" s="44" t="str">
        <f t="shared" si="264"/>
        <v>-</v>
      </c>
      <c r="J581" s="44" t="str">
        <f t="shared" si="265"/>
        <v>-</v>
      </c>
      <c r="K581" s="36">
        <f t="shared" si="266"/>
        <v>0.44366197183098594</v>
      </c>
      <c r="L581" s="21">
        <f t="shared" si="267"/>
        <v>0.64406779661016944</v>
      </c>
      <c r="M581" s="37" t="str">
        <f t="shared" si="268"/>
        <v>-</v>
      </c>
      <c r="N581" s="37" t="str">
        <f t="shared" si="269"/>
        <v>-</v>
      </c>
      <c r="O581" s="21">
        <f t="shared" si="275"/>
        <v>0</v>
      </c>
      <c r="P581" s="21">
        <f t="shared" si="276"/>
        <v>0</v>
      </c>
      <c r="Q581" s="21">
        <f t="shared" si="270"/>
        <v>0</v>
      </c>
      <c r="R581" s="37" t="str">
        <f t="shared" si="271"/>
        <v>-</v>
      </c>
      <c r="S581" s="37" t="str">
        <f t="shared" si="272"/>
        <v>-</v>
      </c>
      <c r="T581" s="37" t="str">
        <f t="shared" si="273"/>
        <v>-</v>
      </c>
      <c r="U581" s="21">
        <f t="shared" si="274"/>
        <v>0</v>
      </c>
      <c r="V581" s="170"/>
      <c r="W581" s="169"/>
      <c r="X581" s="169"/>
      <c r="Y581" s="169"/>
      <c r="Z581" s="169"/>
      <c r="AA581" s="169"/>
      <c r="AB581" s="169"/>
      <c r="AC581" s="169"/>
      <c r="AD581" s="169"/>
      <c r="AE581" s="169"/>
      <c r="AF581" s="169"/>
      <c r="AG581" s="169"/>
      <c r="AH581" s="169"/>
      <c r="AI581" s="169"/>
      <c r="AJ581" s="169"/>
      <c r="AK581" s="169"/>
      <c r="AL581" s="169"/>
      <c r="AM581" s="169"/>
      <c r="AN581" s="169"/>
      <c r="AO581" s="169"/>
      <c r="AP581" s="169"/>
      <c r="AQ581" s="169"/>
      <c r="AR581" s="169"/>
      <c r="AS581" s="169"/>
      <c r="AT581" s="169"/>
      <c r="AU581" s="169"/>
      <c r="AV581" s="169"/>
      <c r="AW581" s="169"/>
      <c r="AX581" s="169"/>
      <c r="AY581" s="169"/>
      <c r="AZ581" s="169"/>
      <c r="BA581" s="169"/>
      <c r="BB581" s="169"/>
      <c r="BC581" s="169"/>
    </row>
    <row r="582" spans="1:55" ht="14.25" customHeight="1">
      <c r="A582" s="45" t="s">
        <v>100</v>
      </c>
      <c r="B582" s="36">
        <f t="shared" si="257"/>
        <v>0.9285714285714286</v>
      </c>
      <c r="C582" s="36">
        <f t="shared" si="258"/>
        <v>0.9285714285714286</v>
      </c>
      <c r="D582" s="44" t="str">
        <f t="shared" si="259"/>
        <v>-</v>
      </c>
      <c r="E582" s="36">
        <f t="shared" si="260"/>
        <v>0</v>
      </c>
      <c r="F582" s="36">
        <f t="shared" si="261"/>
        <v>0</v>
      </c>
      <c r="G582" s="36">
        <f t="shared" si="262"/>
        <v>0</v>
      </c>
      <c r="H582" s="44" t="str">
        <f t="shared" si="263"/>
        <v>-</v>
      </c>
      <c r="I582" s="44" t="str">
        <f t="shared" si="264"/>
        <v>-</v>
      </c>
      <c r="J582" s="44" t="str">
        <f t="shared" si="265"/>
        <v>-</v>
      </c>
      <c r="K582" s="36">
        <f t="shared" si="266"/>
        <v>0.4642857142857143</v>
      </c>
      <c r="L582" s="37" t="str">
        <f t="shared" si="267"/>
        <v>-</v>
      </c>
      <c r="M582" s="37" t="str">
        <f t="shared" si="268"/>
        <v>-</v>
      </c>
      <c r="N582" s="37" t="str">
        <f t="shared" si="269"/>
        <v>-</v>
      </c>
      <c r="O582" s="21">
        <f t="shared" si="275"/>
        <v>0</v>
      </c>
      <c r="P582" s="21">
        <f t="shared" si="276"/>
        <v>0</v>
      </c>
      <c r="Q582" s="21">
        <f t="shared" si="270"/>
        <v>0</v>
      </c>
      <c r="R582" s="37" t="str">
        <f t="shared" si="271"/>
        <v>-</v>
      </c>
      <c r="S582" s="37" t="str">
        <f t="shared" si="272"/>
        <v>-</v>
      </c>
      <c r="T582" s="37" t="str">
        <f t="shared" si="273"/>
        <v>-</v>
      </c>
      <c r="U582" s="21">
        <f t="shared" si="274"/>
        <v>0</v>
      </c>
      <c r="V582" s="170"/>
      <c r="W582" s="169"/>
      <c r="X582" s="169"/>
      <c r="Y582" s="169"/>
      <c r="Z582" s="169"/>
      <c r="AA582" s="169"/>
      <c r="AB582" s="169"/>
      <c r="AC582" s="169"/>
      <c r="AD582" s="169"/>
      <c r="AE582" s="169"/>
      <c r="AF582" s="169"/>
      <c r="AG582" s="169"/>
      <c r="AH582" s="169"/>
      <c r="AI582" s="169"/>
      <c r="AJ582" s="169"/>
      <c r="AK582" s="169"/>
      <c r="AL582" s="169"/>
      <c r="AM582" s="169"/>
      <c r="AN582" s="169"/>
      <c r="AO582" s="169"/>
      <c r="AP582" s="169"/>
      <c r="AQ582" s="169"/>
      <c r="AR582" s="169"/>
      <c r="AS582" s="169"/>
      <c r="AT582" s="169"/>
      <c r="AU582" s="169"/>
      <c r="AV582" s="169"/>
      <c r="AW582" s="169"/>
      <c r="AX582" s="169"/>
      <c r="AY582" s="169"/>
      <c r="AZ582" s="169"/>
      <c r="BA582" s="169"/>
      <c r="BB582" s="169"/>
      <c r="BC582" s="169"/>
    </row>
    <row r="583" spans="1:55" ht="14.25" customHeight="1">
      <c r="A583" s="45" t="s">
        <v>101</v>
      </c>
      <c r="B583" s="36">
        <f t="shared" si="257"/>
        <v>0.89473684210526316</v>
      </c>
      <c r="C583" s="36">
        <f t="shared" si="258"/>
        <v>0.94736842105263153</v>
      </c>
      <c r="D583" s="44" t="str">
        <f t="shared" si="259"/>
        <v>-</v>
      </c>
      <c r="E583" s="36">
        <f t="shared" si="260"/>
        <v>0</v>
      </c>
      <c r="F583" s="36">
        <f t="shared" si="261"/>
        <v>0</v>
      </c>
      <c r="G583" s="36">
        <f t="shared" si="262"/>
        <v>0</v>
      </c>
      <c r="H583" s="44" t="str">
        <f t="shared" si="263"/>
        <v>-</v>
      </c>
      <c r="I583" s="44" t="str">
        <f t="shared" si="264"/>
        <v>-</v>
      </c>
      <c r="J583" s="44" t="str">
        <f t="shared" si="265"/>
        <v>-</v>
      </c>
      <c r="K583" s="36">
        <f t="shared" si="266"/>
        <v>0.47368421052631576</v>
      </c>
      <c r="L583" s="37" t="str">
        <f t="shared" si="267"/>
        <v>-</v>
      </c>
      <c r="M583" s="37" t="str">
        <f t="shared" si="268"/>
        <v>-</v>
      </c>
      <c r="N583" s="37" t="str">
        <f t="shared" si="269"/>
        <v>-</v>
      </c>
      <c r="O583" s="21">
        <f t="shared" si="275"/>
        <v>0</v>
      </c>
      <c r="P583" s="21">
        <f t="shared" si="276"/>
        <v>0</v>
      </c>
      <c r="Q583" s="21">
        <f t="shared" si="270"/>
        <v>0</v>
      </c>
      <c r="R583" s="37" t="str">
        <f t="shared" si="271"/>
        <v>-</v>
      </c>
      <c r="S583" s="37" t="str">
        <f t="shared" si="272"/>
        <v>-</v>
      </c>
      <c r="T583" s="37" t="str">
        <f t="shared" si="273"/>
        <v>-</v>
      </c>
      <c r="U583" s="21">
        <f t="shared" si="274"/>
        <v>0</v>
      </c>
      <c r="V583" s="170"/>
      <c r="W583" s="169"/>
      <c r="X583" s="169"/>
      <c r="Y583" s="169"/>
      <c r="Z583" s="169"/>
      <c r="AA583" s="169"/>
      <c r="AB583" s="169"/>
      <c r="AC583" s="169"/>
      <c r="AD583" s="169"/>
      <c r="AE583" s="169"/>
      <c r="AF583" s="169"/>
      <c r="AG583" s="169"/>
      <c r="AH583" s="169"/>
      <c r="AI583" s="169"/>
      <c r="AJ583" s="169"/>
      <c r="AK583" s="169"/>
      <c r="AL583" s="169"/>
      <c r="AM583" s="169"/>
      <c r="AN583" s="169"/>
      <c r="AO583" s="169"/>
      <c r="AP583" s="169"/>
      <c r="AQ583" s="169"/>
      <c r="AR583" s="169"/>
      <c r="AS583" s="169"/>
      <c r="AT583" s="169"/>
      <c r="AU583" s="169"/>
      <c r="AV583" s="169"/>
      <c r="AW583" s="169"/>
      <c r="AX583" s="169"/>
      <c r="AY583" s="169"/>
      <c r="AZ583" s="169"/>
      <c r="BA583" s="169"/>
      <c r="BB583" s="169"/>
      <c r="BC583" s="169"/>
    </row>
    <row r="584" spans="1:55" ht="14.25" customHeight="1">
      <c r="A584" s="177"/>
      <c r="B584" s="188"/>
      <c r="C584" s="188"/>
      <c r="D584" s="188"/>
      <c r="E584" s="188"/>
      <c r="F584" s="188"/>
      <c r="G584" s="188"/>
      <c r="H584" s="188"/>
      <c r="I584" s="188"/>
      <c r="J584" s="188"/>
      <c r="K584" s="189"/>
      <c r="L584" s="188"/>
      <c r="M584" s="188"/>
      <c r="N584" s="188"/>
      <c r="O584" s="188"/>
      <c r="P584" s="188"/>
      <c r="Q584" s="188"/>
      <c r="R584" s="188"/>
      <c r="S584" s="188"/>
      <c r="T584" s="177"/>
      <c r="U584" s="177"/>
      <c r="V584" s="169"/>
      <c r="W584" s="169"/>
      <c r="X584" s="169"/>
      <c r="Y584" s="169"/>
      <c r="Z584" s="169"/>
      <c r="AA584" s="169"/>
      <c r="AB584" s="169"/>
      <c r="AC584" s="169"/>
      <c r="AD584" s="169"/>
      <c r="AE584" s="169"/>
      <c r="AF584" s="169"/>
      <c r="AG584" s="169"/>
      <c r="AH584" s="169"/>
      <c r="AI584" s="169"/>
      <c r="AJ584" s="169"/>
      <c r="AK584" s="169"/>
      <c r="AL584" s="169"/>
      <c r="AM584" s="169"/>
      <c r="AN584" s="169"/>
      <c r="AO584" s="169"/>
      <c r="AP584" s="169"/>
      <c r="AQ584" s="169"/>
      <c r="AR584" s="169"/>
      <c r="AS584" s="169"/>
      <c r="AT584" s="169"/>
      <c r="AU584" s="169"/>
      <c r="AV584" s="169"/>
      <c r="AW584" s="169"/>
      <c r="AX584" s="169"/>
      <c r="AY584" s="169"/>
      <c r="AZ584" s="169"/>
      <c r="BA584" s="169"/>
      <c r="BB584" s="169"/>
      <c r="BC584" s="169"/>
    </row>
    <row r="585" spans="1:55" ht="14.25" customHeight="1">
      <c r="A585" s="169"/>
      <c r="B585" s="20"/>
      <c r="C585" s="20"/>
      <c r="D585" s="20"/>
      <c r="E585" s="20"/>
      <c r="F585" s="20"/>
      <c r="G585" s="20"/>
      <c r="H585" s="20"/>
      <c r="I585" s="20"/>
      <c r="J585" s="20"/>
      <c r="K585" s="190"/>
      <c r="L585" s="20"/>
      <c r="M585" s="20"/>
      <c r="N585" s="20"/>
      <c r="O585" s="20"/>
      <c r="P585" s="20"/>
      <c r="Q585" s="20"/>
      <c r="R585" s="20"/>
      <c r="S585" s="20"/>
      <c r="T585" s="169"/>
      <c r="U585" s="169"/>
      <c r="V585" s="169"/>
      <c r="W585" s="169"/>
      <c r="X585" s="169"/>
      <c r="Y585" s="169"/>
      <c r="Z585" s="169"/>
      <c r="AA585" s="169"/>
      <c r="AB585" s="169"/>
      <c r="AC585" s="169"/>
      <c r="AD585" s="169"/>
      <c r="AE585" s="169"/>
      <c r="AF585" s="169"/>
      <c r="AG585" s="169"/>
      <c r="AH585" s="169"/>
      <c r="AI585" s="169"/>
      <c r="AJ585" s="169"/>
      <c r="AK585" s="169"/>
      <c r="AL585" s="169"/>
      <c r="AM585" s="169"/>
      <c r="AN585" s="169"/>
      <c r="AO585" s="169"/>
      <c r="AP585" s="169"/>
      <c r="AQ585" s="169"/>
      <c r="AR585" s="169"/>
      <c r="AS585" s="169"/>
      <c r="AT585" s="169"/>
      <c r="AU585" s="169"/>
      <c r="AV585" s="169"/>
      <c r="AW585" s="169"/>
      <c r="AX585" s="169"/>
      <c r="AY585" s="169"/>
      <c r="AZ585" s="169"/>
      <c r="BA585" s="169"/>
      <c r="BB585" s="169"/>
      <c r="BC585" s="169"/>
    </row>
    <row r="586" spans="1:55" ht="14.25" customHeight="1">
      <c r="A586" s="179"/>
      <c r="B586" s="179"/>
      <c r="C586" s="191"/>
      <c r="D586" s="179"/>
      <c r="E586" s="179"/>
      <c r="F586" s="179"/>
      <c r="G586" s="179"/>
      <c r="H586" s="179"/>
      <c r="I586" s="179"/>
      <c r="J586" s="179"/>
      <c r="K586" s="179"/>
      <c r="L586" s="179"/>
      <c r="M586" s="179"/>
      <c r="N586" s="179"/>
      <c r="O586" s="179"/>
      <c r="P586" s="179"/>
      <c r="Q586" s="179"/>
      <c r="R586" s="179"/>
      <c r="S586" s="179"/>
      <c r="T586" s="179"/>
      <c r="U586" s="179"/>
      <c r="V586" s="179"/>
      <c r="W586" s="179"/>
      <c r="X586" s="179"/>
      <c r="Y586" s="179"/>
      <c r="Z586" s="179"/>
      <c r="AA586" s="179"/>
      <c r="AB586" s="179"/>
      <c r="AC586" s="179"/>
      <c r="AD586" s="179"/>
      <c r="AE586" s="179"/>
      <c r="AF586" s="179"/>
      <c r="AG586" s="179"/>
      <c r="AH586" s="179"/>
      <c r="AI586" s="179"/>
      <c r="AJ586" s="179"/>
      <c r="AK586" s="179"/>
      <c r="AL586" s="179"/>
      <c r="AM586" s="179"/>
      <c r="AN586" s="179"/>
      <c r="AO586" s="179"/>
      <c r="AP586" s="179"/>
      <c r="AQ586" s="179"/>
      <c r="AR586" s="179"/>
      <c r="AS586" s="179"/>
      <c r="AT586" s="179"/>
      <c r="AU586" s="179"/>
      <c r="AV586" s="179"/>
      <c r="AW586" s="179"/>
      <c r="AX586" s="169"/>
      <c r="AY586" s="169"/>
      <c r="AZ586" s="169"/>
      <c r="BA586" s="169"/>
      <c r="BB586" s="169"/>
      <c r="BC586" s="169"/>
    </row>
    <row r="587" spans="1:55" ht="14.25" customHeight="1">
      <c r="A587" s="192"/>
      <c r="B587" s="59" t="s">
        <v>102</v>
      </c>
      <c r="C587" s="193"/>
      <c r="D587" s="193"/>
      <c r="E587" s="194" t="s">
        <v>103</v>
      </c>
      <c r="F587" s="195"/>
      <c r="G587" s="195"/>
      <c r="H587" s="59" t="s">
        <v>104</v>
      </c>
      <c r="I587" s="193"/>
      <c r="J587" s="196"/>
      <c r="K587" s="194" t="s">
        <v>105</v>
      </c>
      <c r="L587" s="195"/>
      <c r="M587" s="195"/>
      <c r="N587" s="195"/>
      <c r="O587" s="195"/>
      <c r="P587" s="195"/>
      <c r="Q587" s="195"/>
      <c r="R587" s="195"/>
      <c r="S587" s="195"/>
      <c r="T587" s="59" t="s">
        <v>106</v>
      </c>
      <c r="U587" s="196"/>
      <c r="V587" s="196"/>
      <c r="W587" s="196"/>
      <c r="X587" s="196"/>
      <c r="Y587" s="196"/>
      <c r="Z587" s="196"/>
      <c r="AA587" s="196"/>
      <c r="AB587" s="196"/>
      <c r="AC587" s="29" t="s">
        <v>107</v>
      </c>
      <c r="AD587" s="184"/>
      <c r="AE587" s="184"/>
      <c r="AF587" s="27" t="s">
        <v>108</v>
      </c>
      <c r="AG587" s="181"/>
      <c r="AH587" s="182"/>
      <c r="AI587" s="29" t="s">
        <v>109</v>
      </c>
      <c r="AJ587" s="184"/>
      <c r="AK587" s="184"/>
      <c r="AL587" s="27" t="s">
        <v>110</v>
      </c>
      <c r="AM587" s="181"/>
      <c r="AN587" s="182"/>
      <c r="AO587" s="29" t="s">
        <v>111</v>
      </c>
      <c r="AP587" s="184"/>
      <c r="AQ587" s="184"/>
      <c r="AR587" s="184"/>
      <c r="AS587" s="184"/>
      <c r="AT587" s="184"/>
      <c r="AU587" s="184"/>
      <c r="AV587" s="184"/>
      <c r="AW587" s="184"/>
      <c r="AX587" s="185"/>
      <c r="AY587" s="169"/>
      <c r="AZ587" s="169"/>
      <c r="BA587" s="169"/>
      <c r="BB587" s="169"/>
      <c r="BC587" s="169"/>
    </row>
    <row r="588" spans="1:55" ht="14.25" customHeight="1">
      <c r="A588" s="511" t="s">
        <v>112</v>
      </c>
      <c r="B588" s="502" t="s">
        <v>240</v>
      </c>
      <c r="C588" s="503"/>
      <c r="D588" s="505"/>
      <c r="E588" s="502" t="s">
        <v>240</v>
      </c>
      <c r="F588" s="503"/>
      <c r="G588" s="505"/>
      <c r="H588" s="502" t="s">
        <v>240</v>
      </c>
      <c r="I588" s="503"/>
      <c r="J588" s="505"/>
      <c r="K588" s="502" t="s">
        <v>238</v>
      </c>
      <c r="L588" s="503"/>
      <c r="M588" s="505"/>
      <c r="N588" s="502" t="s">
        <v>239</v>
      </c>
      <c r="O588" s="503"/>
      <c r="P588" s="505"/>
      <c r="Q588" s="502" t="s">
        <v>240</v>
      </c>
      <c r="R588" s="503"/>
      <c r="S588" s="505"/>
      <c r="T588" s="502" t="s">
        <v>238</v>
      </c>
      <c r="U588" s="503"/>
      <c r="V588" s="505"/>
      <c r="W588" s="502" t="s">
        <v>239</v>
      </c>
      <c r="X588" s="503"/>
      <c r="Y588" s="505"/>
      <c r="Z588" s="502" t="s">
        <v>240</v>
      </c>
      <c r="AA588" s="503"/>
      <c r="AB588" s="505"/>
      <c r="AC588" s="502" t="s">
        <v>240</v>
      </c>
      <c r="AD588" s="503"/>
      <c r="AE588" s="505"/>
      <c r="AF588" s="502" t="s">
        <v>240</v>
      </c>
      <c r="AG588" s="503"/>
      <c r="AH588" s="505"/>
      <c r="AI588" s="502" t="s">
        <v>240</v>
      </c>
      <c r="AJ588" s="503"/>
      <c r="AK588" s="505"/>
      <c r="AL588" s="511" t="s">
        <v>238</v>
      </c>
      <c r="AM588" s="511" t="s">
        <v>239</v>
      </c>
      <c r="AN588" s="511" t="s">
        <v>240</v>
      </c>
      <c r="AO588" s="502" t="s">
        <v>238</v>
      </c>
      <c r="AP588" s="503"/>
      <c r="AQ588" s="505"/>
      <c r="AR588" s="502" t="s">
        <v>239</v>
      </c>
      <c r="AS588" s="503"/>
      <c r="AT588" s="505"/>
      <c r="AU588" s="502" t="s">
        <v>240</v>
      </c>
      <c r="AV588" s="503"/>
      <c r="AW588" s="505"/>
      <c r="AX588" s="170"/>
      <c r="AY588" s="169"/>
      <c r="AZ588" s="169"/>
      <c r="BA588" s="169"/>
      <c r="BB588" s="169"/>
      <c r="BC588" s="169"/>
    </row>
    <row r="589" spans="1:55" ht="14.25" customHeight="1">
      <c r="A589" s="521"/>
      <c r="B589" s="32" t="s">
        <v>113</v>
      </c>
      <c r="C589" s="32" t="s">
        <v>114</v>
      </c>
      <c r="D589" s="32" t="s">
        <v>14</v>
      </c>
      <c r="E589" s="32" t="s">
        <v>113</v>
      </c>
      <c r="F589" s="32" t="s">
        <v>114</v>
      </c>
      <c r="G589" s="32" t="s">
        <v>14</v>
      </c>
      <c r="H589" s="32" t="s">
        <v>113</v>
      </c>
      <c r="I589" s="32" t="s">
        <v>114</v>
      </c>
      <c r="J589" s="32" t="s">
        <v>14</v>
      </c>
      <c r="K589" s="32" t="s">
        <v>113</v>
      </c>
      <c r="L589" s="32" t="s">
        <v>114</v>
      </c>
      <c r="M589" s="32" t="s">
        <v>14</v>
      </c>
      <c r="N589" s="32" t="s">
        <v>113</v>
      </c>
      <c r="O589" s="32" t="s">
        <v>114</v>
      </c>
      <c r="P589" s="32" t="s">
        <v>14</v>
      </c>
      <c r="Q589" s="32" t="s">
        <v>113</v>
      </c>
      <c r="R589" s="32" t="s">
        <v>114</v>
      </c>
      <c r="S589" s="32" t="s">
        <v>14</v>
      </c>
      <c r="T589" s="32" t="s">
        <v>113</v>
      </c>
      <c r="U589" s="32" t="s">
        <v>114</v>
      </c>
      <c r="V589" s="32" t="s">
        <v>14</v>
      </c>
      <c r="W589" s="32" t="s">
        <v>113</v>
      </c>
      <c r="X589" s="32" t="s">
        <v>114</v>
      </c>
      <c r="Y589" s="32" t="s">
        <v>14</v>
      </c>
      <c r="Z589" s="32" t="s">
        <v>113</v>
      </c>
      <c r="AA589" s="32" t="s">
        <v>114</v>
      </c>
      <c r="AB589" s="32" t="s">
        <v>14</v>
      </c>
      <c r="AC589" s="32" t="s">
        <v>115</v>
      </c>
      <c r="AD589" s="32" t="s">
        <v>116</v>
      </c>
      <c r="AE589" s="32" t="s">
        <v>17</v>
      </c>
      <c r="AF589" s="32" t="s">
        <v>117</v>
      </c>
      <c r="AG589" s="32" t="s">
        <v>118</v>
      </c>
      <c r="AH589" s="32" t="s">
        <v>17</v>
      </c>
      <c r="AI589" s="32" t="s">
        <v>117</v>
      </c>
      <c r="AJ589" s="32" t="s">
        <v>118</v>
      </c>
      <c r="AK589" s="32" t="s">
        <v>17</v>
      </c>
      <c r="AL589" s="521"/>
      <c r="AM589" s="521"/>
      <c r="AN589" s="521"/>
      <c r="AO589" s="32" t="s">
        <v>117</v>
      </c>
      <c r="AP589" s="32" t="s">
        <v>118</v>
      </c>
      <c r="AQ589" s="32" t="s">
        <v>17</v>
      </c>
      <c r="AR589" s="32" t="s">
        <v>117</v>
      </c>
      <c r="AS589" s="32" t="s">
        <v>118</v>
      </c>
      <c r="AT589" s="32" t="s">
        <v>17</v>
      </c>
      <c r="AU589" s="32" t="s">
        <v>117</v>
      </c>
      <c r="AV589" s="32" t="s">
        <v>118</v>
      </c>
      <c r="AW589" s="32" t="s">
        <v>17</v>
      </c>
      <c r="AX589" s="170"/>
      <c r="AY589" s="169"/>
      <c r="AZ589" s="169"/>
      <c r="BA589" s="169"/>
      <c r="BB589" s="169"/>
      <c r="BC589" s="169"/>
    </row>
    <row r="590" spans="1:55" ht="14.25" customHeight="1">
      <c r="A590" s="12" t="s">
        <v>67</v>
      </c>
      <c r="B590" s="199"/>
      <c r="C590" s="199"/>
      <c r="D590" s="80" t="str">
        <f t="shared" ref="D590:D622" si="277">IFERROR(B590/C590,"-")</f>
        <v>-</v>
      </c>
      <c r="E590" s="83" t="s">
        <v>19</v>
      </c>
      <c r="F590" s="83" t="s">
        <v>19</v>
      </c>
      <c r="G590" s="83" t="str">
        <f t="shared" ref="G590:G622" si="278">IFERROR(E590/F590,"-")</f>
        <v>-</v>
      </c>
      <c r="H590" s="64"/>
      <c r="I590" s="64"/>
      <c r="J590" s="80" t="str">
        <f t="shared" ref="J590:J622" si="279">IFERROR(H590/I590,"-")</f>
        <v>-</v>
      </c>
      <c r="K590" s="66">
        <f t="shared" ref="K590:K622" si="280">IFERROR(SUM(B713,K713,T713),"-")</f>
        <v>0</v>
      </c>
      <c r="L590" s="66">
        <f t="shared" ref="L590:L622" si="281">IFERROR(SUM(C713,L713,U713),"-")</f>
        <v>0</v>
      </c>
      <c r="M590" s="83" t="str">
        <f t="shared" ref="M590:M622" si="282">IFERROR(K590/L590,"-")</f>
        <v>-</v>
      </c>
      <c r="N590" s="66">
        <f t="shared" ref="N590:N622" si="283">IFERROR(SUM(E713,N713,W713),"-")</f>
        <v>0</v>
      </c>
      <c r="O590" s="66">
        <f t="shared" ref="O590:O622" si="284">IFERROR(SUM(F713,O713,X713),"-")</f>
        <v>0</v>
      </c>
      <c r="P590" s="83" t="str">
        <f t="shared" ref="P590:P622" si="285">IFERROR(N590/O590,"-")</f>
        <v>-</v>
      </c>
      <c r="Q590" s="66">
        <f t="shared" ref="Q590:Q622" si="286">IFERROR(SUM(H713,Q713,Z713),"-")</f>
        <v>0</v>
      </c>
      <c r="R590" s="66">
        <f t="shared" ref="R590:R622" si="287">IFERROR(SUM(I713,R713,AA713),"-")</f>
        <v>0</v>
      </c>
      <c r="S590" s="83" t="str">
        <f t="shared" ref="S590:S622" si="288">IFERROR(Q590/R590,"-")</f>
        <v>-</v>
      </c>
      <c r="T590" s="80" t="s">
        <v>19</v>
      </c>
      <c r="U590" s="80" t="s">
        <v>19</v>
      </c>
      <c r="V590" s="80" t="str">
        <f t="shared" ref="V590:V622" si="289">IFERROR(T590/U590,"-")</f>
        <v>-</v>
      </c>
      <c r="W590" s="80" t="s">
        <v>19</v>
      </c>
      <c r="X590" s="80" t="s">
        <v>19</v>
      </c>
      <c r="Y590" s="80" t="str">
        <f t="shared" ref="Y590:Y622" si="290">IFERROR(W590/X590,"-")</f>
        <v>-</v>
      </c>
      <c r="Z590" s="80" t="s">
        <v>19</v>
      </c>
      <c r="AA590" s="80" t="s">
        <v>19</v>
      </c>
      <c r="AB590" s="80" t="str">
        <f t="shared" ref="AB590:AB622" si="291">IFERROR(Z590/AA590,"-")</f>
        <v>-</v>
      </c>
      <c r="AC590" s="139"/>
      <c r="AD590" s="139"/>
      <c r="AE590" s="37" t="str">
        <f t="shared" ref="AE590:AE622" si="292">IFERROR(AC590/AD590,"-")</f>
        <v>-</v>
      </c>
      <c r="AF590" s="44" t="s">
        <v>19</v>
      </c>
      <c r="AG590" s="44" t="s">
        <v>19</v>
      </c>
      <c r="AH590" s="44" t="str">
        <f t="shared" ref="AH590:AH622" si="293">IFERROR(AF590/AG590,"-")</f>
        <v>-</v>
      </c>
      <c r="AI590" s="201">
        <v>2591</v>
      </c>
      <c r="AJ590" s="201">
        <v>3786</v>
      </c>
      <c r="AK590" s="21">
        <f t="shared" ref="AK590:AK622" si="294">IFERROR(AI590/AJ590,"-")</f>
        <v>0.68436344426835716</v>
      </c>
      <c r="AL590" s="36">
        <f t="shared" ref="AL590:AN593" si="295">W669</f>
        <v>0</v>
      </c>
      <c r="AM590" s="36">
        <f t="shared" si="295"/>
        <v>0</v>
      </c>
      <c r="AN590" s="36">
        <f t="shared" si="295"/>
        <v>0</v>
      </c>
      <c r="AO590" s="37" t="s">
        <v>19</v>
      </c>
      <c r="AP590" s="37" t="s">
        <v>19</v>
      </c>
      <c r="AQ590" s="37" t="str">
        <f t="shared" ref="AQ590:AQ622" si="296">IFERROR(AO590/AP590,"-")</f>
        <v>-</v>
      </c>
      <c r="AR590" s="37" t="s">
        <v>19</v>
      </c>
      <c r="AS590" s="37" t="s">
        <v>19</v>
      </c>
      <c r="AT590" s="37" t="str">
        <f t="shared" ref="AT590:AT622" si="297">IFERROR(AR590/AS590,"-")</f>
        <v>-</v>
      </c>
      <c r="AU590" s="70"/>
      <c r="AV590" s="70"/>
      <c r="AW590" s="37" t="str">
        <f t="shared" ref="AW590:AW622" si="298">IFERROR(AU590/AV590,"-")</f>
        <v>-</v>
      </c>
      <c r="AX590" s="170"/>
      <c r="AY590" s="169"/>
      <c r="AZ590" s="169"/>
      <c r="BA590" s="169"/>
      <c r="BB590" s="169"/>
      <c r="BC590" s="169"/>
    </row>
    <row r="591" spans="1:55" ht="14.25" customHeight="1">
      <c r="A591" s="12" t="s">
        <v>69</v>
      </c>
      <c r="B591" s="98">
        <v>34</v>
      </c>
      <c r="C591" s="98">
        <v>37</v>
      </c>
      <c r="D591" s="65">
        <f t="shared" si="277"/>
        <v>0.91891891891891897</v>
      </c>
      <c r="E591" s="99">
        <v>32</v>
      </c>
      <c r="F591" s="99">
        <v>37</v>
      </c>
      <c r="G591" s="67">
        <f t="shared" si="278"/>
        <v>0.86486486486486491</v>
      </c>
      <c r="H591" s="98">
        <v>44</v>
      </c>
      <c r="I591" s="98">
        <v>48</v>
      </c>
      <c r="J591" s="65">
        <f t="shared" si="279"/>
        <v>0.91666666666666663</v>
      </c>
      <c r="K591" s="66">
        <f t="shared" si="280"/>
        <v>0</v>
      </c>
      <c r="L591" s="66">
        <f t="shared" si="281"/>
        <v>0</v>
      </c>
      <c r="M591" s="83" t="str">
        <f t="shared" si="282"/>
        <v>-</v>
      </c>
      <c r="N591" s="66">
        <f t="shared" si="283"/>
        <v>0</v>
      </c>
      <c r="O591" s="66">
        <f t="shared" si="284"/>
        <v>0</v>
      </c>
      <c r="P591" s="83" t="str">
        <f t="shared" si="285"/>
        <v>-</v>
      </c>
      <c r="Q591" s="66">
        <f t="shared" si="286"/>
        <v>0</v>
      </c>
      <c r="R591" s="66">
        <f t="shared" si="287"/>
        <v>0</v>
      </c>
      <c r="S591" s="83" t="str">
        <f t="shared" si="288"/>
        <v>-</v>
      </c>
      <c r="T591" s="200">
        <v>2</v>
      </c>
      <c r="U591" s="200">
        <v>2</v>
      </c>
      <c r="V591" s="65">
        <f t="shared" si="289"/>
        <v>1</v>
      </c>
      <c r="W591" s="98">
        <v>44</v>
      </c>
      <c r="X591" s="98">
        <v>44</v>
      </c>
      <c r="Y591" s="65">
        <f t="shared" si="290"/>
        <v>1</v>
      </c>
      <c r="Z591" s="64">
        <f t="shared" ref="Z591:Z610" si="299">SUM(T591,W591)</f>
        <v>46</v>
      </c>
      <c r="AA591" s="64">
        <f t="shared" ref="AA591:AA610" si="300">SUM(U591,X591)</f>
        <v>46</v>
      </c>
      <c r="AB591" s="65">
        <f t="shared" si="291"/>
        <v>1</v>
      </c>
      <c r="AC591" s="139"/>
      <c r="AD591" s="139"/>
      <c r="AE591" s="37" t="str">
        <f t="shared" si="292"/>
        <v>-</v>
      </c>
      <c r="AF591" s="44" t="s">
        <v>19</v>
      </c>
      <c r="AG591" s="44" t="s">
        <v>19</v>
      </c>
      <c r="AH591" s="44" t="str">
        <f t="shared" si="293"/>
        <v>-</v>
      </c>
      <c r="AI591" s="201">
        <v>788</v>
      </c>
      <c r="AJ591" s="201">
        <v>1043</v>
      </c>
      <c r="AK591" s="21">
        <f t="shared" si="294"/>
        <v>0.75551294343240649</v>
      </c>
      <c r="AL591" s="36">
        <f t="shared" si="295"/>
        <v>0</v>
      </c>
      <c r="AM591" s="36">
        <f t="shared" si="295"/>
        <v>0</v>
      </c>
      <c r="AN591" s="36">
        <f t="shared" si="295"/>
        <v>0</v>
      </c>
      <c r="AO591" s="201">
        <v>7</v>
      </c>
      <c r="AP591" s="201">
        <v>8</v>
      </c>
      <c r="AQ591" s="21">
        <f t="shared" si="296"/>
        <v>0.875</v>
      </c>
      <c r="AR591" s="201">
        <v>167</v>
      </c>
      <c r="AS591" s="201">
        <v>180</v>
      </c>
      <c r="AT591" s="21">
        <f t="shared" si="297"/>
        <v>0.92777777777777781</v>
      </c>
      <c r="AU591" s="70"/>
      <c r="AV591" s="70"/>
      <c r="AW591" s="37" t="str">
        <f t="shared" si="298"/>
        <v>-</v>
      </c>
      <c r="AX591" s="170"/>
      <c r="AY591" s="169"/>
      <c r="AZ591" s="169"/>
      <c r="BA591" s="169"/>
      <c r="BB591" s="169"/>
      <c r="BC591" s="169"/>
    </row>
    <row r="592" spans="1:55" ht="14.25" customHeight="1">
      <c r="A592" s="12" t="s">
        <v>70</v>
      </c>
      <c r="B592" s="98">
        <v>87</v>
      </c>
      <c r="C592" s="98">
        <v>89</v>
      </c>
      <c r="D592" s="65">
        <f t="shared" si="277"/>
        <v>0.97752808988764039</v>
      </c>
      <c r="E592" s="99">
        <v>81</v>
      </c>
      <c r="F592" s="99">
        <v>89</v>
      </c>
      <c r="G592" s="67">
        <f t="shared" si="278"/>
        <v>0.9101123595505618</v>
      </c>
      <c r="H592" s="98">
        <v>64</v>
      </c>
      <c r="I592" s="98">
        <v>76</v>
      </c>
      <c r="J592" s="65">
        <f t="shared" si="279"/>
        <v>0.84210526315789469</v>
      </c>
      <c r="K592" s="66">
        <f t="shared" si="280"/>
        <v>0</v>
      </c>
      <c r="L592" s="66">
        <f t="shared" si="281"/>
        <v>0</v>
      </c>
      <c r="M592" s="83" t="str">
        <f t="shared" si="282"/>
        <v>-</v>
      </c>
      <c r="N592" s="66">
        <f t="shared" si="283"/>
        <v>0</v>
      </c>
      <c r="O592" s="66">
        <f t="shared" si="284"/>
        <v>0</v>
      </c>
      <c r="P592" s="83" t="str">
        <f t="shared" si="285"/>
        <v>-</v>
      </c>
      <c r="Q592" s="66">
        <f t="shared" si="286"/>
        <v>0</v>
      </c>
      <c r="R592" s="66">
        <f t="shared" si="287"/>
        <v>0</v>
      </c>
      <c r="S592" s="83" t="str">
        <f t="shared" si="288"/>
        <v>-</v>
      </c>
      <c r="T592" s="98">
        <v>15</v>
      </c>
      <c r="U592" s="98">
        <v>15</v>
      </c>
      <c r="V592" s="65">
        <f t="shared" si="289"/>
        <v>1</v>
      </c>
      <c r="W592" s="98">
        <v>59</v>
      </c>
      <c r="X592" s="98">
        <v>59</v>
      </c>
      <c r="Y592" s="65">
        <f t="shared" si="290"/>
        <v>1</v>
      </c>
      <c r="Z592" s="64">
        <f t="shared" si="299"/>
        <v>74</v>
      </c>
      <c r="AA592" s="64">
        <f t="shared" si="300"/>
        <v>74</v>
      </c>
      <c r="AB592" s="65">
        <f t="shared" si="291"/>
        <v>1</v>
      </c>
      <c r="AC592" s="139"/>
      <c r="AD592" s="139"/>
      <c r="AE592" s="37" t="str">
        <f t="shared" si="292"/>
        <v>-</v>
      </c>
      <c r="AF592" s="44" t="s">
        <v>19</v>
      </c>
      <c r="AG592" s="44" t="s">
        <v>19</v>
      </c>
      <c r="AH592" s="44" t="str">
        <f t="shared" si="293"/>
        <v>-</v>
      </c>
      <c r="AI592" s="201">
        <v>874</v>
      </c>
      <c r="AJ592" s="201">
        <v>1509</v>
      </c>
      <c r="AK592" s="21">
        <f t="shared" si="294"/>
        <v>0.57919151756129883</v>
      </c>
      <c r="AL592" s="36">
        <f t="shared" si="295"/>
        <v>0</v>
      </c>
      <c r="AM592" s="36">
        <f t="shared" si="295"/>
        <v>0</v>
      </c>
      <c r="AN592" s="36">
        <f t="shared" si="295"/>
        <v>0</v>
      </c>
      <c r="AO592" s="201">
        <v>42</v>
      </c>
      <c r="AP592" s="201">
        <v>60</v>
      </c>
      <c r="AQ592" s="21">
        <f t="shared" si="296"/>
        <v>0.7</v>
      </c>
      <c r="AR592" s="201">
        <v>177</v>
      </c>
      <c r="AS592" s="201">
        <v>240</v>
      </c>
      <c r="AT592" s="21">
        <f t="shared" si="297"/>
        <v>0.73750000000000004</v>
      </c>
      <c r="AU592" s="70"/>
      <c r="AV592" s="70"/>
      <c r="AW592" s="37" t="str">
        <f t="shared" si="298"/>
        <v>-</v>
      </c>
      <c r="AX592" s="170"/>
      <c r="AY592" s="169"/>
      <c r="AZ592" s="169"/>
      <c r="BA592" s="169"/>
      <c r="BB592" s="169"/>
      <c r="BC592" s="169"/>
    </row>
    <row r="593" spans="1:55" ht="14.25" customHeight="1">
      <c r="A593" s="12" t="s">
        <v>71</v>
      </c>
      <c r="B593" s="98">
        <v>53</v>
      </c>
      <c r="C593" s="98">
        <v>57</v>
      </c>
      <c r="D593" s="65">
        <f t="shared" si="277"/>
        <v>0.92982456140350878</v>
      </c>
      <c r="E593" s="99">
        <v>42</v>
      </c>
      <c r="F593" s="99">
        <v>57</v>
      </c>
      <c r="G593" s="67">
        <f t="shared" si="278"/>
        <v>0.73684210526315785</v>
      </c>
      <c r="H593" s="98">
        <v>77</v>
      </c>
      <c r="I593" s="98">
        <v>89</v>
      </c>
      <c r="J593" s="65">
        <f t="shared" si="279"/>
        <v>0.8651685393258427</v>
      </c>
      <c r="K593" s="66">
        <f t="shared" si="280"/>
        <v>0</v>
      </c>
      <c r="L593" s="66">
        <f t="shared" si="281"/>
        <v>0</v>
      </c>
      <c r="M593" s="83" t="str">
        <f t="shared" si="282"/>
        <v>-</v>
      </c>
      <c r="N593" s="66">
        <f t="shared" si="283"/>
        <v>0</v>
      </c>
      <c r="O593" s="66">
        <f t="shared" si="284"/>
        <v>0</v>
      </c>
      <c r="P593" s="83" t="str">
        <f t="shared" si="285"/>
        <v>-</v>
      </c>
      <c r="Q593" s="66">
        <f t="shared" si="286"/>
        <v>0</v>
      </c>
      <c r="R593" s="66">
        <f t="shared" si="287"/>
        <v>0</v>
      </c>
      <c r="S593" s="83" t="str">
        <f t="shared" si="288"/>
        <v>-</v>
      </c>
      <c r="T593" s="200">
        <v>2</v>
      </c>
      <c r="U593" s="200">
        <v>2</v>
      </c>
      <c r="V593" s="65">
        <f t="shared" si="289"/>
        <v>1</v>
      </c>
      <c r="W593" s="200">
        <v>35</v>
      </c>
      <c r="X593" s="200">
        <v>35</v>
      </c>
      <c r="Y593" s="65">
        <f t="shared" si="290"/>
        <v>1</v>
      </c>
      <c r="Z593" s="64">
        <f t="shared" si="299"/>
        <v>37</v>
      </c>
      <c r="AA593" s="64">
        <f t="shared" si="300"/>
        <v>37</v>
      </c>
      <c r="AB593" s="65">
        <f t="shared" si="291"/>
        <v>1</v>
      </c>
      <c r="AC593" s="139"/>
      <c r="AD593" s="139"/>
      <c r="AE593" s="37" t="str">
        <f t="shared" si="292"/>
        <v>-</v>
      </c>
      <c r="AF593" s="44" t="s">
        <v>19</v>
      </c>
      <c r="AG593" s="44" t="s">
        <v>19</v>
      </c>
      <c r="AH593" s="44" t="str">
        <f t="shared" si="293"/>
        <v>-</v>
      </c>
      <c r="AI593" s="201">
        <v>1266</v>
      </c>
      <c r="AJ593" s="201">
        <v>1848</v>
      </c>
      <c r="AK593" s="21">
        <f t="shared" si="294"/>
        <v>0.68506493506493504</v>
      </c>
      <c r="AL593" s="36">
        <f t="shared" si="295"/>
        <v>0</v>
      </c>
      <c r="AM593" s="36">
        <f t="shared" si="295"/>
        <v>0</v>
      </c>
      <c r="AN593" s="36">
        <f t="shared" si="295"/>
        <v>0</v>
      </c>
      <c r="AO593" s="139">
        <v>7</v>
      </c>
      <c r="AP593" s="139">
        <v>8</v>
      </c>
      <c r="AQ593" s="21">
        <f t="shared" si="296"/>
        <v>0.875</v>
      </c>
      <c r="AR593" s="201">
        <v>150</v>
      </c>
      <c r="AS593" s="201">
        <v>169</v>
      </c>
      <c r="AT593" s="21">
        <f t="shared" si="297"/>
        <v>0.8875739644970414</v>
      </c>
      <c r="AU593" s="70"/>
      <c r="AV593" s="70"/>
      <c r="AW593" s="37" t="str">
        <f t="shared" si="298"/>
        <v>-</v>
      </c>
      <c r="AX593" s="170"/>
      <c r="AY593" s="169"/>
      <c r="AZ593" s="169"/>
      <c r="BA593" s="169"/>
      <c r="BB593" s="169"/>
      <c r="BC593" s="169"/>
    </row>
    <row r="594" spans="1:55" ht="14.25" customHeight="1">
      <c r="A594" s="12" t="s">
        <v>72</v>
      </c>
      <c r="B594" s="98">
        <v>16</v>
      </c>
      <c r="C594" s="98">
        <v>20</v>
      </c>
      <c r="D594" s="65">
        <f t="shared" si="277"/>
        <v>0.8</v>
      </c>
      <c r="E594" s="99">
        <v>17</v>
      </c>
      <c r="F594" s="99">
        <v>20</v>
      </c>
      <c r="G594" s="67">
        <f t="shared" si="278"/>
        <v>0.85</v>
      </c>
      <c r="H594" s="98">
        <v>6</v>
      </c>
      <c r="I594" s="98">
        <v>11</v>
      </c>
      <c r="J594" s="65">
        <f t="shared" si="279"/>
        <v>0.54545454545454541</v>
      </c>
      <c r="K594" s="66">
        <f t="shared" si="280"/>
        <v>0</v>
      </c>
      <c r="L594" s="66">
        <f t="shared" si="281"/>
        <v>0</v>
      </c>
      <c r="M594" s="83" t="str">
        <f t="shared" si="282"/>
        <v>-</v>
      </c>
      <c r="N594" s="66">
        <f t="shared" si="283"/>
        <v>0</v>
      </c>
      <c r="O594" s="66">
        <f t="shared" si="284"/>
        <v>0</v>
      </c>
      <c r="P594" s="83" t="str">
        <f t="shared" si="285"/>
        <v>-</v>
      </c>
      <c r="Q594" s="66">
        <f t="shared" si="286"/>
        <v>0</v>
      </c>
      <c r="R594" s="66">
        <f t="shared" si="287"/>
        <v>0</v>
      </c>
      <c r="S594" s="83" t="str">
        <f t="shared" si="288"/>
        <v>-</v>
      </c>
      <c r="T594" s="94" t="s">
        <v>19</v>
      </c>
      <c r="U594" s="94" t="s">
        <v>19</v>
      </c>
      <c r="V594" s="80" t="str">
        <f t="shared" si="289"/>
        <v>-</v>
      </c>
      <c r="W594" s="94" t="s">
        <v>19</v>
      </c>
      <c r="X594" s="94" t="s">
        <v>19</v>
      </c>
      <c r="Y594" s="80" t="str">
        <f t="shared" si="290"/>
        <v>-</v>
      </c>
      <c r="Z594" s="64">
        <f t="shared" si="299"/>
        <v>0</v>
      </c>
      <c r="AA594" s="64">
        <f t="shared" si="300"/>
        <v>0</v>
      </c>
      <c r="AB594" s="80" t="str">
        <f t="shared" si="291"/>
        <v>-</v>
      </c>
      <c r="AC594" s="139"/>
      <c r="AD594" s="139"/>
      <c r="AE594" s="37" t="str">
        <f t="shared" si="292"/>
        <v>-</v>
      </c>
      <c r="AF594" s="44" t="s">
        <v>19</v>
      </c>
      <c r="AG594" s="44" t="s">
        <v>19</v>
      </c>
      <c r="AH594" s="44" t="str">
        <f t="shared" si="293"/>
        <v>-</v>
      </c>
      <c r="AI594" s="201">
        <v>114</v>
      </c>
      <c r="AJ594" s="201">
        <v>121</v>
      </c>
      <c r="AK594" s="21">
        <f t="shared" si="294"/>
        <v>0.94214876033057848</v>
      </c>
      <c r="AL594" s="36">
        <f>W674</f>
        <v>0</v>
      </c>
      <c r="AM594" s="36">
        <f>X674</f>
        <v>0</v>
      </c>
      <c r="AN594" s="36">
        <f>Y674</f>
        <v>0</v>
      </c>
      <c r="AO594" s="81" t="s">
        <v>19</v>
      </c>
      <c r="AP594" s="81" t="s">
        <v>19</v>
      </c>
      <c r="AQ594" s="37" t="str">
        <f t="shared" si="296"/>
        <v>-</v>
      </c>
      <c r="AR594" s="121" t="s">
        <v>19</v>
      </c>
      <c r="AS594" s="121" t="s">
        <v>19</v>
      </c>
      <c r="AT594" s="37" t="str">
        <f t="shared" si="297"/>
        <v>-</v>
      </c>
      <c r="AU594" s="70"/>
      <c r="AV594" s="70"/>
      <c r="AW594" s="37" t="str">
        <f t="shared" si="298"/>
        <v>-</v>
      </c>
      <c r="AX594" s="170"/>
      <c r="AY594" s="169"/>
      <c r="AZ594" s="169"/>
      <c r="BA594" s="169"/>
      <c r="BB594" s="169"/>
      <c r="BC594" s="169"/>
    </row>
    <row r="595" spans="1:55" ht="14.25" customHeight="1">
      <c r="A595" s="12" t="s">
        <v>73</v>
      </c>
      <c r="B595" s="94" t="s">
        <v>19</v>
      </c>
      <c r="C595" s="94" t="s">
        <v>19</v>
      </c>
      <c r="D595" s="80" t="str">
        <f t="shared" si="277"/>
        <v>-</v>
      </c>
      <c r="E595" s="96" t="s">
        <v>19</v>
      </c>
      <c r="F595" s="96" t="s">
        <v>19</v>
      </c>
      <c r="G595" s="83" t="str">
        <f t="shared" si="278"/>
        <v>-</v>
      </c>
      <c r="H595" s="94" t="s">
        <v>19</v>
      </c>
      <c r="I595" s="94" t="s">
        <v>19</v>
      </c>
      <c r="J595" s="80" t="str">
        <f t="shared" si="279"/>
        <v>-</v>
      </c>
      <c r="K595" s="66">
        <f t="shared" si="280"/>
        <v>0</v>
      </c>
      <c r="L595" s="66">
        <f t="shared" si="281"/>
        <v>0</v>
      </c>
      <c r="M595" s="83" t="str">
        <f t="shared" si="282"/>
        <v>-</v>
      </c>
      <c r="N595" s="66">
        <f t="shared" si="283"/>
        <v>0</v>
      </c>
      <c r="O595" s="66">
        <f t="shared" si="284"/>
        <v>0</v>
      </c>
      <c r="P595" s="83" t="str">
        <f t="shared" si="285"/>
        <v>-</v>
      </c>
      <c r="Q595" s="66">
        <f t="shared" si="286"/>
        <v>0</v>
      </c>
      <c r="R595" s="66">
        <f t="shared" si="287"/>
        <v>0</v>
      </c>
      <c r="S595" s="83" t="str">
        <f t="shared" si="288"/>
        <v>-</v>
      </c>
      <c r="T595" s="98">
        <v>7</v>
      </c>
      <c r="U595" s="98">
        <v>7</v>
      </c>
      <c r="V595" s="65">
        <f t="shared" si="289"/>
        <v>1</v>
      </c>
      <c r="W595" s="98">
        <v>4</v>
      </c>
      <c r="X595" s="98">
        <v>4</v>
      </c>
      <c r="Y595" s="65">
        <f t="shared" si="290"/>
        <v>1</v>
      </c>
      <c r="Z595" s="64">
        <f t="shared" si="299"/>
        <v>11</v>
      </c>
      <c r="AA595" s="64">
        <f t="shared" si="300"/>
        <v>11</v>
      </c>
      <c r="AB595" s="65">
        <f t="shared" si="291"/>
        <v>1</v>
      </c>
      <c r="AC595" s="81" t="s">
        <v>19</v>
      </c>
      <c r="AD595" s="81" t="s">
        <v>19</v>
      </c>
      <c r="AE595" s="37" t="str">
        <f t="shared" si="292"/>
        <v>-</v>
      </c>
      <c r="AF595" s="44" t="s">
        <v>19</v>
      </c>
      <c r="AG595" s="44" t="s">
        <v>19</v>
      </c>
      <c r="AH595" s="44" t="str">
        <f t="shared" si="293"/>
        <v>-</v>
      </c>
      <c r="AI595" s="121" t="s">
        <v>19</v>
      </c>
      <c r="AJ595" s="121" t="s">
        <v>19</v>
      </c>
      <c r="AK595" s="37" t="str">
        <f t="shared" si="294"/>
        <v>-</v>
      </c>
      <c r="AL595" s="36">
        <f t="shared" ref="AL595:AL622" si="301">W674</f>
        <v>0</v>
      </c>
      <c r="AM595" s="36">
        <f t="shared" ref="AM595:AM622" si="302">X674</f>
        <v>0</v>
      </c>
      <c r="AN595" s="36">
        <f t="shared" ref="AN595:AN622" si="303">Y674</f>
        <v>0</v>
      </c>
      <c r="AO595" s="201">
        <v>23</v>
      </c>
      <c r="AP595" s="201">
        <v>28</v>
      </c>
      <c r="AQ595" s="21">
        <f t="shared" si="296"/>
        <v>0.8214285714285714</v>
      </c>
      <c r="AR595" s="201">
        <v>24</v>
      </c>
      <c r="AS595" s="201">
        <v>24</v>
      </c>
      <c r="AT595" s="21">
        <f t="shared" si="297"/>
        <v>1</v>
      </c>
      <c r="AU595" s="70"/>
      <c r="AV595" s="70"/>
      <c r="AW595" s="37" t="str">
        <f t="shared" si="298"/>
        <v>-</v>
      </c>
      <c r="AX595" s="170"/>
      <c r="AY595" s="169"/>
      <c r="AZ595" s="169"/>
      <c r="BA595" s="169"/>
      <c r="BB595" s="169"/>
      <c r="BC595" s="169"/>
    </row>
    <row r="596" spans="1:55" ht="14.25" customHeight="1">
      <c r="A596" s="12" t="s">
        <v>74</v>
      </c>
      <c r="B596" s="98">
        <v>47</v>
      </c>
      <c r="C596" s="98">
        <v>51</v>
      </c>
      <c r="D596" s="65">
        <f t="shared" si="277"/>
        <v>0.92156862745098034</v>
      </c>
      <c r="E596" s="99">
        <v>36</v>
      </c>
      <c r="F596" s="99">
        <v>51</v>
      </c>
      <c r="G596" s="67">
        <f t="shared" si="278"/>
        <v>0.70588235294117652</v>
      </c>
      <c r="H596" s="98">
        <v>33</v>
      </c>
      <c r="I596" s="98">
        <v>40</v>
      </c>
      <c r="J596" s="65">
        <f t="shared" si="279"/>
        <v>0.82499999999999996</v>
      </c>
      <c r="K596" s="66">
        <f t="shared" si="280"/>
        <v>0</v>
      </c>
      <c r="L596" s="66">
        <f t="shared" si="281"/>
        <v>0</v>
      </c>
      <c r="M596" s="83" t="str">
        <f t="shared" si="282"/>
        <v>-</v>
      </c>
      <c r="N596" s="66">
        <f t="shared" si="283"/>
        <v>0</v>
      </c>
      <c r="O596" s="66">
        <f t="shared" si="284"/>
        <v>0</v>
      </c>
      <c r="P596" s="83" t="str">
        <f t="shared" si="285"/>
        <v>-</v>
      </c>
      <c r="Q596" s="66">
        <f t="shared" si="286"/>
        <v>0</v>
      </c>
      <c r="R596" s="66">
        <f t="shared" si="287"/>
        <v>0</v>
      </c>
      <c r="S596" s="83" t="str">
        <f t="shared" si="288"/>
        <v>-</v>
      </c>
      <c r="T596" s="94" t="s">
        <v>19</v>
      </c>
      <c r="U596" s="94" t="s">
        <v>19</v>
      </c>
      <c r="V596" s="80" t="str">
        <f t="shared" si="289"/>
        <v>-</v>
      </c>
      <c r="W596" s="200">
        <v>18</v>
      </c>
      <c r="X596" s="200">
        <v>20</v>
      </c>
      <c r="Y596" s="65">
        <f t="shared" si="290"/>
        <v>0.9</v>
      </c>
      <c r="Z596" s="64">
        <f t="shared" si="299"/>
        <v>18</v>
      </c>
      <c r="AA596" s="64">
        <f t="shared" si="300"/>
        <v>20</v>
      </c>
      <c r="AB596" s="65">
        <f t="shared" si="291"/>
        <v>0.9</v>
      </c>
      <c r="AC596" s="139"/>
      <c r="AD596" s="139"/>
      <c r="AE596" s="37" t="str">
        <f t="shared" si="292"/>
        <v>-</v>
      </c>
      <c r="AF596" s="44" t="s">
        <v>19</v>
      </c>
      <c r="AG596" s="44" t="s">
        <v>19</v>
      </c>
      <c r="AH596" s="44" t="str">
        <f t="shared" si="293"/>
        <v>-</v>
      </c>
      <c r="AI596" s="201">
        <v>563</v>
      </c>
      <c r="AJ596" s="201">
        <v>772</v>
      </c>
      <c r="AK596" s="21">
        <f t="shared" si="294"/>
        <v>0.72927461139896377</v>
      </c>
      <c r="AL596" s="36">
        <f t="shared" si="301"/>
        <v>0</v>
      </c>
      <c r="AM596" s="36">
        <f t="shared" si="302"/>
        <v>0</v>
      </c>
      <c r="AN596" s="36">
        <f t="shared" si="303"/>
        <v>0</v>
      </c>
      <c r="AO596" s="81" t="s">
        <v>19</v>
      </c>
      <c r="AP596" s="81" t="s">
        <v>19</v>
      </c>
      <c r="AQ596" s="37" t="str">
        <f t="shared" si="296"/>
        <v>-</v>
      </c>
      <c r="AR596" s="201">
        <v>129</v>
      </c>
      <c r="AS596" s="201">
        <v>160</v>
      </c>
      <c r="AT596" s="21">
        <f t="shared" si="297"/>
        <v>0.80625000000000002</v>
      </c>
      <c r="AU596" s="70"/>
      <c r="AV596" s="70"/>
      <c r="AW596" s="37" t="str">
        <f t="shared" si="298"/>
        <v>-</v>
      </c>
      <c r="AX596" s="170"/>
      <c r="AY596" s="169"/>
      <c r="AZ596" s="169"/>
      <c r="BA596" s="169"/>
      <c r="BB596" s="169"/>
      <c r="BC596" s="169"/>
    </row>
    <row r="597" spans="1:55" ht="14.25" customHeight="1">
      <c r="A597" s="12" t="s">
        <v>75</v>
      </c>
      <c r="B597" s="98">
        <v>17</v>
      </c>
      <c r="C597" s="98">
        <v>18</v>
      </c>
      <c r="D597" s="65">
        <f t="shared" si="277"/>
        <v>0.94444444444444442</v>
      </c>
      <c r="E597" s="99">
        <v>18</v>
      </c>
      <c r="F597" s="99">
        <v>18</v>
      </c>
      <c r="G597" s="67">
        <f t="shared" si="278"/>
        <v>1</v>
      </c>
      <c r="H597" s="98">
        <v>22</v>
      </c>
      <c r="I597" s="98">
        <v>22</v>
      </c>
      <c r="J597" s="65">
        <f t="shared" si="279"/>
        <v>1</v>
      </c>
      <c r="K597" s="66">
        <f t="shared" si="280"/>
        <v>0</v>
      </c>
      <c r="L597" s="66">
        <f t="shared" si="281"/>
        <v>0</v>
      </c>
      <c r="M597" s="83" t="str">
        <f t="shared" si="282"/>
        <v>-</v>
      </c>
      <c r="N597" s="66">
        <f t="shared" si="283"/>
        <v>0</v>
      </c>
      <c r="O597" s="66">
        <f t="shared" si="284"/>
        <v>0</v>
      </c>
      <c r="P597" s="83" t="str">
        <f t="shared" si="285"/>
        <v>-</v>
      </c>
      <c r="Q597" s="66">
        <f t="shared" si="286"/>
        <v>0</v>
      </c>
      <c r="R597" s="66">
        <f t="shared" si="287"/>
        <v>0</v>
      </c>
      <c r="S597" s="83" t="str">
        <f t="shared" si="288"/>
        <v>-</v>
      </c>
      <c r="T597" s="200">
        <v>1</v>
      </c>
      <c r="U597" s="200">
        <v>1</v>
      </c>
      <c r="V597" s="65">
        <f t="shared" si="289"/>
        <v>1</v>
      </c>
      <c r="W597" s="200">
        <v>7</v>
      </c>
      <c r="X597" s="200">
        <v>7</v>
      </c>
      <c r="Y597" s="65">
        <f t="shared" si="290"/>
        <v>1</v>
      </c>
      <c r="Z597" s="64">
        <f t="shared" si="299"/>
        <v>8</v>
      </c>
      <c r="AA597" s="64">
        <f t="shared" si="300"/>
        <v>8</v>
      </c>
      <c r="AB597" s="65">
        <f t="shared" si="291"/>
        <v>1</v>
      </c>
      <c r="AC597" s="139"/>
      <c r="AD597" s="139"/>
      <c r="AE597" s="37" t="str">
        <f t="shared" si="292"/>
        <v>-</v>
      </c>
      <c r="AF597" s="44" t="s">
        <v>19</v>
      </c>
      <c r="AG597" s="44" t="s">
        <v>19</v>
      </c>
      <c r="AH597" s="44" t="str">
        <f t="shared" si="293"/>
        <v>-</v>
      </c>
      <c r="AI597" s="201">
        <v>406</v>
      </c>
      <c r="AJ597" s="201">
        <v>514</v>
      </c>
      <c r="AK597" s="21">
        <f t="shared" si="294"/>
        <v>0.78988326848249024</v>
      </c>
      <c r="AL597" s="36">
        <f t="shared" si="301"/>
        <v>0</v>
      </c>
      <c r="AM597" s="36">
        <f t="shared" si="302"/>
        <v>0</v>
      </c>
      <c r="AN597" s="36">
        <f t="shared" si="303"/>
        <v>0</v>
      </c>
      <c r="AO597" s="139">
        <v>3</v>
      </c>
      <c r="AP597" s="139">
        <v>4</v>
      </c>
      <c r="AQ597" s="21">
        <f t="shared" si="296"/>
        <v>0.75</v>
      </c>
      <c r="AR597" s="201">
        <v>38</v>
      </c>
      <c r="AS597" s="201">
        <v>44</v>
      </c>
      <c r="AT597" s="21">
        <f t="shared" si="297"/>
        <v>0.86363636363636365</v>
      </c>
      <c r="AU597" s="70"/>
      <c r="AV597" s="70"/>
      <c r="AW597" s="37" t="str">
        <f t="shared" si="298"/>
        <v>-</v>
      </c>
      <c r="AX597" s="170"/>
      <c r="AY597" s="169"/>
      <c r="AZ597" s="169"/>
      <c r="BA597" s="169"/>
      <c r="BB597" s="169"/>
      <c r="BC597" s="169"/>
    </row>
    <row r="598" spans="1:55" ht="14.25" customHeight="1">
      <c r="A598" s="12" t="s">
        <v>76</v>
      </c>
      <c r="B598" s="98">
        <v>47</v>
      </c>
      <c r="C598" s="98">
        <v>49</v>
      </c>
      <c r="D598" s="65">
        <f t="shared" si="277"/>
        <v>0.95918367346938771</v>
      </c>
      <c r="E598" s="99">
        <v>44</v>
      </c>
      <c r="F598" s="99">
        <v>49</v>
      </c>
      <c r="G598" s="67">
        <f t="shared" si="278"/>
        <v>0.89795918367346939</v>
      </c>
      <c r="H598" s="98">
        <v>51</v>
      </c>
      <c r="I598" s="98">
        <v>55</v>
      </c>
      <c r="J598" s="65">
        <f t="shared" si="279"/>
        <v>0.92727272727272725</v>
      </c>
      <c r="K598" s="66">
        <f t="shared" si="280"/>
        <v>0</v>
      </c>
      <c r="L598" s="66">
        <f t="shared" si="281"/>
        <v>0</v>
      </c>
      <c r="M598" s="83" t="str">
        <f t="shared" si="282"/>
        <v>-</v>
      </c>
      <c r="N598" s="66">
        <f t="shared" si="283"/>
        <v>0</v>
      </c>
      <c r="O598" s="66">
        <f t="shared" si="284"/>
        <v>0</v>
      </c>
      <c r="P598" s="83" t="str">
        <f t="shared" si="285"/>
        <v>-</v>
      </c>
      <c r="Q598" s="66">
        <f t="shared" si="286"/>
        <v>0</v>
      </c>
      <c r="R598" s="66">
        <f t="shared" si="287"/>
        <v>0</v>
      </c>
      <c r="S598" s="83" t="str">
        <f t="shared" si="288"/>
        <v>-</v>
      </c>
      <c r="T598" s="98">
        <v>1</v>
      </c>
      <c r="U598" s="98">
        <v>1</v>
      </c>
      <c r="V598" s="65">
        <f t="shared" si="289"/>
        <v>1</v>
      </c>
      <c r="W598" s="98">
        <v>70</v>
      </c>
      <c r="X598" s="98">
        <v>71</v>
      </c>
      <c r="Y598" s="65">
        <f t="shared" si="290"/>
        <v>0.9859154929577465</v>
      </c>
      <c r="Z598" s="64">
        <f t="shared" si="299"/>
        <v>71</v>
      </c>
      <c r="AA598" s="64">
        <f t="shared" si="300"/>
        <v>72</v>
      </c>
      <c r="AB598" s="65">
        <f t="shared" si="291"/>
        <v>0.98611111111111116</v>
      </c>
      <c r="AC598" s="139"/>
      <c r="AD598" s="139"/>
      <c r="AE598" s="37" t="str">
        <f t="shared" si="292"/>
        <v>-</v>
      </c>
      <c r="AF598" s="44" t="s">
        <v>19</v>
      </c>
      <c r="AG598" s="44" t="s">
        <v>19</v>
      </c>
      <c r="AH598" s="44" t="str">
        <f t="shared" si="293"/>
        <v>-</v>
      </c>
      <c r="AI598" s="201">
        <v>860</v>
      </c>
      <c r="AJ598" s="201">
        <v>1184</v>
      </c>
      <c r="AK598" s="21">
        <f t="shared" si="294"/>
        <v>0.72635135135135132</v>
      </c>
      <c r="AL598" s="36">
        <f t="shared" si="301"/>
        <v>0</v>
      </c>
      <c r="AM598" s="36">
        <f t="shared" si="302"/>
        <v>0</v>
      </c>
      <c r="AN598" s="36">
        <f t="shared" si="303"/>
        <v>0</v>
      </c>
      <c r="AO598" s="139">
        <v>4</v>
      </c>
      <c r="AP598" s="139">
        <v>4</v>
      </c>
      <c r="AQ598" s="21">
        <f t="shared" si="296"/>
        <v>1</v>
      </c>
      <c r="AR598" s="201">
        <v>244</v>
      </c>
      <c r="AS598" s="201">
        <v>300</v>
      </c>
      <c r="AT598" s="21">
        <f t="shared" si="297"/>
        <v>0.81333333333333335</v>
      </c>
      <c r="AU598" s="70"/>
      <c r="AV598" s="70"/>
      <c r="AW598" s="37" t="str">
        <f t="shared" si="298"/>
        <v>-</v>
      </c>
      <c r="AX598" s="170"/>
      <c r="AY598" s="169"/>
      <c r="AZ598" s="169"/>
      <c r="BA598" s="169"/>
      <c r="BB598" s="169"/>
      <c r="BC598" s="169"/>
    </row>
    <row r="599" spans="1:55" ht="14.25" customHeight="1">
      <c r="A599" s="12" t="s">
        <v>77</v>
      </c>
      <c r="B599" s="98">
        <v>81</v>
      </c>
      <c r="C599" s="98">
        <v>87</v>
      </c>
      <c r="D599" s="65">
        <f t="shared" si="277"/>
        <v>0.93103448275862066</v>
      </c>
      <c r="E599" s="99">
        <v>73</v>
      </c>
      <c r="F599" s="99">
        <v>87</v>
      </c>
      <c r="G599" s="67">
        <f t="shared" si="278"/>
        <v>0.83908045977011492</v>
      </c>
      <c r="H599" s="98">
        <v>57</v>
      </c>
      <c r="I599" s="98">
        <v>68</v>
      </c>
      <c r="J599" s="65">
        <f t="shared" si="279"/>
        <v>0.83823529411764708</v>
      </c>
      <c r="K599" s="66">
        <f t="shared" si="280"/>
        <v>0</v>
      </c>
      <c r="L599" s="66">
        <f t="shared" si="281"/>
        <v>0</v>
      </c>
      <c r="M599" s="83" t="str">
        <f t="shared" si="282"/>
        <v>-</v>
      </c>
      <c r="N599" s="66">
        <f t="shared" si="283"/>
        <v>0</v>
      </c>
      <c r="O599" s="66">
        <f t="shared" si="284"/>
        <v>0</v>
      </c>
      <c r="P599" s="83" t="str">
        <f t="shared" si="285"/>
        <v>-</v>
      </c>
      <c r="Q599" s="66">
        <f t="shared" si="286"/>
        <v>0</v>
      </c>
      <c r="R599" s="66">
        <f t="shared" si="287"/>
        <v>0</v>
      </c>
      <c r="S599" s="83" t="str">
        <f t="shared" si="288"/>
        <v>-</v>
      </c>
      <c r="T599" s="98">
        <v>5</v>
      </c>
      <c r="U599" s="98">
        <v>5</v>
      </c>
      <c r="V599" s="65">
        <f t="shared" si="289"/>
        <v>1</v>
      </c>
      <c r="W599" s="98">
        <v>73</v>
      </c>
      <c r="X599" s="98">
        <v>73</v>
      </c>
      <c r="Y599" s="65">
        <f t="shared" si="290"/>
        <v>1</v>
      </c>
      <c r="Z599" s="64">
        <f t="shared" si="299"/>
        <v>78</v>
      </c>
      <c r="AA599" s="64">
        <f t="shared" si="300"/>
        <v>78</v>
      </c>
      <c r="AB599" s="65">
        <f t="shared" si="291"/>
        <v>1</v>
      </c>
      <c r="AC599" s="139"/>
      <c r="AD599" s="139"/>
      <c r="AE599" s="37" t="str">
        <f t="shared" si="292"/>
        <v>-</v>
      </c>
      <c r="AF599" s="44" t="s">
        <v>19</v>
      </c>
      <c r="AG599" s="44" t="s">
        <v>19</v>
      </c>
      <c r="AH599" s="44" t="str">
        <f t="shared" si="293"/>
        <v>-</v>
      </c>
      <c r="AI599" s="201">
        <v>912</v>
      </c>
      <c r="AJ599" s="201">
        <v>1363</v>
      </c>
      <c r="AK599" s="21">
        <f t="shared" si="294"/>
        <v>0.66911225238444605</v>
      </c>
      <c r="AL599" s="36">
        <f t="shared" si="301"/>
        <v>0</v>
      </c>
      <c r="AM599" s="36">
        <f t="shared" si="302"/>
        <v>0</v>
      </c>
      <c r="AN599" s="36">
        <f t="shared" si="303"/>
        <v>0</v>
      </c>
      <c r="AO599" s="201">
        <v>8</v>
      </c>
      <c r="AP599" s="201">
        <v>20</v>
      </c>
      <c r="AQ599" s="21">
        <f t="shared" si="296"/>
        <v>0.4</v>
      </c>
      <c r="AR599" s="201">
        <v>269</v>
      </c>
      <c r="AS599" s="201">
        <v>308</v>
      </c>
      <c r="AT599" s="21">
        <f t="shared" si="297"/>
        <v>0.87337662337662336</v>
      </c>
      <c r="AU599" s="70"/>
      <c r="AV599" s="70"/>
      <c r="AW599" s="37" t="str">
        <f t="shared" si="298"/>
        <v>-</v>
      </c>
      <c r="AX599" s="170"/>
      <c r="AY599" s="169"/>
      <c r="AZ599" s="169"/>
      <c r="BA599" s="169"/>
      <c r="BB599" s="169"/>
      <c r="BC599" s="169"/>
    </row>
    <row r="600" spans="1:55" ht="14.25" customHeight="1">
      <c r="A600" s="12" t="s">
        <v>78</v>
      </c>
      <c r="B600" s="98">
        <v>396</v>
      </c>
      <c r="C600" s="98">
        <v>419</v>
      </c>
      <c r="D600" s="65">
        <f t="shared" si="277"/>
        <v>0.94510739856801906</v>
      </c>
      <c r="E600" s="99">
        <v>334</v>
      </c>
      <c r="F600" s="99">
        <v>419</v>
      </c>
      <c r="G600" s="67">
        <f t="shared" si="278"/>
        <v>0.79713603818615753</v>
      </c>
      <c r="H600" s="98">
        <v>341</v>
      </c>
      <c r="I600" s="98">
        <v>407</v>
      </c>
      <c r="J600" s="65">
        <f t="shared" si="279"/>
        <v>0.83783783783783783</v>
      </c>
      <c r="K600" s="66">
        <f t="shared" si="280"/>
        <v>0</v>
      </c>
      <c r="L600" s="66">
        <f t="shared" si="281"/>
        <v>0</v>
      </c>
      <c r="M600" s="83" t="str">
        <f t="shared" si="282"/>
        <v>-</v>
      </c>
      <c r="N600" s="66">
        <f t="shared" si="283"/>
        <v>0</v>
      </c>
      <c r="O600" s="66">
        <f t="shared" si="284"/>
        <v>0</v>
      </c>
      <c r="P600" s="83" t="str">
        <f t="shared" si="285"/>
        <v>-</v>
      </c>
      <c r="Q600" s="66">
        <f t="shared" si="286"/>
        <v>0</v>
      </c>
      <c r="R600" s="66">
        <f t="shared" si="287"/>
        <v>0</v>
      </c>
      <c r="S600" s="83" t="str">
        <f t="shared" si="288"/>
        <v>-</v>
      </c>
      <c r="T600" s="98">
        <v>33</v>
      </c>
      <c r="U600" s="98">
        <v>33</v>
      </c>
      <c r="V600" s="65">
        <f t="shared" si="289"/>
        <v>1</v>
      </c>
      <c r="W600" s="98">
        <v>354</v>
      </c>
      <c r="X600" s="98">
        <v>356</v>
      </c>
      <c r="Y600" s="65">
        <f t="shared" si="290"/>
        <v>0.9943820224719101</v>
      </c>
      <c r="Z600" s="64">
        <f t="shared" si="299"/>
        <v>387</v>
      </c>
      <c r="AA600" s="64">
        <f t="shared" si="300"/>
        <v>389</v>
      </c>
      <c r="AB600" s="65">
        <f t="shared" si="291"/>
        <v>0.99485861182519275</v>
      </c>
      <c r="AC600" s="139"/>
      <c r="AD600" s="139"/>
      <c r="AE600" s="37" t="str">
        <f t="shared" si="292"/>
        <v>-</v>
      </c>
      <c r="AF600" s="44" t="s">
        <v>19</v>
      </c>
      <c r="AG600" s="44" t="s">
        <v>19</v>
      </c>
      <c r="AH600" s="44" t="str">
        <f t="shared" si="293"/>
        <v>-</v>
      </c>
      <c r="AI600" s="201">
        <v>6359</v>
      </c>
      <c r="AJ600" s="201">
        <v>8124</v>
      </c>
      <c r="AK600" s="21">
        <f t="shared" si="294"/>
        <v>0.78274249138355489</v>
      </c>
      <c r="AL600" s="36">
        <f t="shared" si="301"/>
        <v>0</v>
      </c>
      <c r="AM600" s="36">
        <f t="shared" si="302"/>
        <v>0</v>
      </c>
      <c r="AN600" s="36">
        <f t="shared" si="303"/>
        <v>0</v>
      </c>
      <c r="AO600" s="201">
        <v>106</v>
      </c>
      <c r="AP600" s="201">
        <v>132</v>
      </c>
      <c r="AQ600" s="21">
        <f t="shared" si="296"/>
        <v>0.80303030303030298</v>
      </c>
      <c r="AR600" s="201">
        <v>1257</v>
      </c>
      <c r="AS600" s="201">
        <v>1421</v>
      </c>
      <c r="AT600" s="21">
        <f t="shared" si="297"/>
        <v>0.88458831808585503</v>
      </c>
      <c r="AU600" s="70"/>
      <c r="AV600" s="70"/>
      <c r="AW600" s="37" t="str">
        <f t="shared" si="298"/>
        <v>-</v>
      </c>
      <c r="AX600" s="170"/>
      <c r="AY600" s="169"/>
      <c r="AZ600" s="169"/>
      <c r="BA600" s="169"/>
      <c r="BB600" s="169"/>
      <c r="BC600" s="169"/>
    </row>
    <row r="601" spans="1:55" ht="14.25" customHeight="1">
      <c r="A601" s="12" t="s">
        <v>79</v>
      </c>
      <c r="B601" s="98">
        <v>57</v>
      </c>
      <c r="C601" s="98">
        <v>59</v>
      </c>
      <c r="D601" s="65">
        <f t="shared" si="277"/>
        <v>0.96610169491525422</v>
      </c>
      <c r="E601" s="99">
        <v>52</v>
      </c>
      <c r="F601" s="99">
        <v>59</v>
      </c>
      <c r="G601" s="67">
        <f t="shared" si="278"/>
        <v>0.88135593220338981</v>
      </c>
      <c r="H601" s="98">
        <v>46</v>
      </c>
      <c r="I601" s="98">
        <v>53</v>
      </c>
      <c r="J601" s="65">
        <f t="shared" si="279"/>
        <v>0.86792452830188682</v>
      </c>
      <c r="K601" s="66">
        <f t="shared" si="280"/>
        <v>0</v>
      </c>
      <c r="L601" s="66">
        <f t="shared" si="281"/>
        <v>0</v>
      </c>
      <c r="M601" s="83" t="str">
        <f t="shared" si="282"/>
        <v>-</v>
      </c>
      <c r="N601" s="66">
        <f t="shared" si="283"/>
        <v>0</v>
      </c>
      <c r="O601" s="66">
        <f t="shared" si="284"/>
        <v>0</v>
      </c>
      <c r="P601" s="83" t="str">
        <f t="shared" si="285"/>
        <v>-</v>
      </c>
      <c r="Q601" s="66">
        <f t="shared" si="286"/>
        <v>0</v>
      </c>
      <c r="R601" s="66">
        <f t="shared" si="287"/>
        <v>0</v>
      </c>
      <c r="S601" s="83" t="str">
        <f t="shared" si="288"/>
        <v>-</v>
      </c>
      <c r="T601" s="98">
        <v>4</v>
      </c>
      <c r="U601" s="98">
        <v>4</v>
      </c>
      <c r="V601" s="65">
        <f t="shared" si="289"/>
        <v>1</v>
      </c>
      <c r="W601" s="98">
        <v>21</v>
      </c>
      <c r="X601" s="98">
        <v>21</v>
      </c>
      <c r="Y601" s="65">
        <f t="shared" si="290"/>
        <v>1</v>
      </c>
      <c r="Z601" s="64">
        <f t="shared" si="299"/>
        <v>25</v>
      </c>
      <c r="AA601" s="64">
        <f t="shared" si="300"/>
        <v>25</v>
      </c>
      <c r="AB601" s="65">
        <f t="shared" si="291"/>
        <v>1</v>
      </c>
      <c r="AC601" s="139"/>
      <c r="AD601" s="139"/>
      <c r="AE601" s="37" t="str">
        <f t="shared" si="292"/>
        <v>-</v>
      </c>
      <c r="AF601" s="44" t="s">
        <v>19</v>
      </c>
      <c r="AG601" s="44" t="s">
        <v>19</v>
      </c>
      <c r="AH601" s="44" t="str">
        <f t="shared" si="293"/>
        <v>-</v>
      </c>
      <c r="AI601" s="201">
        <v>694</v>
      </c>
      <c r="AJ601" s="201">
        <v>1081</v>
      </c>
      <c r="AK601" s="21">
        <f t="shared" si="294"/>
        <v>0.6419981498612396</v>
      </c>
      <c r="AL601" s="36">
        <f t="shared" si="301"/>
        <v>0</v>
      </c>
      <c r="AM601" s="36">
        <f t="shared" si="302"/>
        <v>0</v>
      </c>
      <c r="AN601" s="36">
        <f t="shared" si="303"/>
        <v>0</v>
      </c>
      <c r="AO601" s="201">
        <v>12</v>
      </c>
      <c r="AP601" s="201">
        <v>16</v>
      </c>
      <c r="AQ601" s="21">
        <f t="shared" si="296"/>
        <v>0.75</v>
      </c>
      <c r="AR601" s="201">
        <v>83</v>
      </c>
      <c r="AS601" s="201">
        <v>100</v>
      </c>
      <c r="AT601" s="21">
        <f t="shared" si="297"/>
        <v>0.83</v>
      </c>
      <c r="AU601" s="70"/>
      <c r="AV601" s="70"/>
      <c r="AW601" s="37" t="str">
        <f t="shared" si="298"/>
        <v>-</v>
      </c>
      <c r="AX601" s="170"/>
      <c r="AY601" s="169"/>
      <c r="AZ601" s="169"/>
      <c r="BA601" s="169"/>
      <c r="BB601" s="169"/>
      <c r="BC601" s="169"/>
    </row>
    <row r="602" spans="1:55" ht="14.25" customHeight="1">
      <c r="A602" s="12" t="s">
        <v>80</v>
      </c>
      <c r="B602" s="98">
        <v>50</v>
      </c>
      <c r="C602" s="98">
        <v>55</v>
      </c>
      <c r="D602" s="65">
        <f t="shared" si="277"/>
        <v>0.90909090909090906</v>
      </c>
      <c r="E602" s="99">
        <v>47</v>
      </c>
      <c r="F602" s="99">
        <v>55</v>
      </c>
      <c r="G602" s="67">
        <f t="shared" si="278"/>
        <v>0.8545454545454545</v>
      </c>
      <c r="H602" s="98">
        <v>53</v>
      </c>
      <c r="I602" s="98">
        <v>59</v>
      </c>
      <c r="J602" s="65">
        <f t="shared" si="279"/>
        <v>0.89830508474576276</v>
      </c>
      <c r="K602" s="66">
        <f t="shared" si="280"/>
        <v>0</v>
      </c>
      <c r="L602" s="66">
        <f t="shared" si="281"/>
        <v>0</v>
      </c>
      <c r="M602" s="83" t="str">
        <f t="shared" si="282"/>
        <v>-</v>
      </c>
      <c r="N602" s="66">
        <f t="shared" si="283"/>
        <v>0</v>
      </c>
      <c r="O602" s="66">
        <f t="shared" si="284"/>
        <v>0</v>
      </c>
      <c r="P602" s="83" t="str">
        <f t="shared" si="285"/>
        <v>-</v>
      </c>
      <c r="Q602" s="66">
        <f t="shared" si="286"/>
        <v>0</v>
      </c>
      <c r="R602" s="66">
        <f t="shared" si="287"/>
        <v>0</v>
      </c>
      <c r="S602" s="83" t="str">
        <f t="shared" si="288"/>
        <v>-</v>
      </c>
      <c r="T602" s="98">
        <v>1</v>
      </c>
      <c r="U602" s="98">
        <v>1</v>
      </c>
      <c r="V602" s="65">
        <f t="shared" si="289"/>
        <v>1</v>
      </c>
      <c r="W602" s="98">
        <v>33</v>
      </c>
      <c r="X602" s="98">
        <v>35</v>
      </c>
      <c r="Y602" s="65">
        <f t="shared" si="290"/>
        <v>0.94285714285714284</v>
      </c>
      <c r="Z602" s="64">
        <f t="shared" si="299"/>
        <v>34</v>
      </c>
      <c r="AA602" s="64">
        <f t="shared" si="300"/>
        <v>36</v>
      </c>
      <c r="AB602" s="65">
        <f t="shared" si="291"/>
        <v>0.94444444444444442</v>
      </c>
      <c r="AC602" s="139"/>
      <c r="AD602" s="139"/>
      <c r="AE602" s="37" t="str">
        <f t="shared" si="292"/>
        <v>-</v>
      </c>
      <c r="AF602" s="44" t="s">
        <v>19</v>
      </c>
      <c r="AG602" s="44" t="s">
        <v>19</v>
      </c>
      <c r="AH602" s="44" t="str">
        <f t="shared" si="293"/>
        <v>-</v>
      </c>
      <c r="AI602" s="201">
        <v>885</v>
      </c>
      <c r="AJ602" s="201">
        <v>1244</v>
      </c>
      <c r="AK602" s="21">
        <f t="shared" si="294"/>
        <v>0.71141479099678462</v>
      </c>
      <c r="AL602" s="36">
        <f t="shared" si="301"/>
        <v>0</v>
      </c>
      <c r="AM602" s="36">
        <f t="shared" si="302"/>
        <v>0</v>
      </c>
      <c r="AN602" s="36">
        <f t="shared" si="303"/>
        <v>0</v>
      </c>
      <c r="AO602" s="201">
        <v>4</v>
      </c>
      <c r="AP602" s="201">
        <v>4</v>
      </c>
      <c r="AQ602" s="21">
        <f t="shared" si="296"/>
        <v>1</v>
      </c>
      <c r="AR602" s="201">
        <v>155</v>
      </c>
      <c r="AS602" s="201">
        <v>176</v>
      </c>
      <c r="AT602" s="21">
        <f t="shared" si="297"/>
        <v>0.88068181818181823</v>
      </c>
      <c r="AU602" s="70"/>
      <c r="AV602" s="70"/>
      <c r="AW602" s="37" t="str">
        <f t="shared" si="298"/>
        <v>-</v>
      </c>
      <c r="AX602" s="170"/>
      <c r="AY602" s="169"/>
      <c r="AZ602" s="169"/>
      <c r="BA602" s="169"/>
      <c r="BB602" s="169"/>
      <c r="BC602" s="169"/>
    </row>
    <row r="603" spans="1:55" ht="14.25" customHeight="1">
      <c r="A603" s="12" t="s">
        <v>81</v>
      </c>
      <c r="B603" s="98">
        <v>55</v>
      </c>
      <c r="C603" s="98">
        <v>61</v>
      </c>
      <c r="D603" s="65">
        <f t="shared" si="277"/>
        <v>0.90163934426229508</v>
      </c>
      <c r="E603" s="99">
        <v>44</v>
      </c>
      <c r="F603" s="99">
        <v>61</v>
      </c>
      <c r="G603" s="67">
        <f t="shared" si="278"/>
        <v>0.72131147540983609</v>
      </c>
      <c r="H603" s="98">
        <v>42</v>
      </c>
      <c r="I603" s="98">
        <v>44</v>
      </c>
      <c r="J603" s="65">
        <f t="shared" si="279"/>
        <v>0.95454545454545459</v>
      </c>
      <c r="K603" s="66">
        <f t="shared" si="280"/>
        <v>0</v>
      </c>
      <c r="L603" s="66">
        <f t="shared" si="281"/>
        <v>0</v>
      </c>
      <c r="M603" s="83" t="str">
        <f t="shared" si="282"/>
        <v>-</v>
      </c>
      <c r="N603" s="66">
        <f t="shared" si="283"/>
        <v>0</v>
      </c>
      <c r="O603" s="66">
        <f t="shared" si="284"/>
        <v>0</v>
      </c>
      <c r="P603" s="83" t="str">
        <f t="shared" si="285"/>
        <v>-</v>
      </c>
      <c r="Q603" s="66">
        <f t="shared" si="286"/>
        <v>0</v>
      </c>
      <c r="R603" s="66">
        <f t="shared" si="287"/>
        <v>0</v>
      </c>
      <c r="S603" s="83" t="str">
        <f t="shared" si="288"/>
        <v>-</v>
      </c>
      <c r="T603" s="94" t="s">
        <v>19</v>
      </c>
      <c r="U603" s="94" t="s">
        <v>19</v>
      </c>
      <c r="V603" s="80" t="str">
        <f t="shared" si="289"/>
        <v>-</v>
      </c>
      <c r="W603" s="98">
        <v>11</v>
      </c>
      <c r="X603" s="98">
        <v>11</v>
      </c>
      <c r="Y603" s="65">
        <f t="shared" si="290"/>
        <v>1</v>
      </c>
      <c r="Z603" s="64">
        <f t="shared" si="299"/>
        <v>11</v>
      </c>
      <c r="AA603" s="64">
        <f t="shared" si="300"/>
        <v>11</v>
      </c>
      <c r="AB603" s="65">
        <f t="shared" si="291"/>
        <v>1</v>
      </c>
      <c r="AC603" s="139"/>
      <c r="AD603" s="139"/>
      <c r="AE603" s="37" t="str">
        <f t="shared" si="292"/>
        <v>-</v>
      </c>
      <c r="AF603" s="44" t="s">
        <v>19</v>
      </c>
      <c r="AG603" s="44" t="s">
        <v>19</v>
      </c>
      <c r="AH603" s="44" t="str">
        <f t="shared" si="293"/>
        <v>-</v>
      </c>
      <c r="AI603" s="201">
        <v>579</v>
      </c>
      <c r="AJ603" s="201">
        <v>974</v>
      </c>
      <c r="AK603" s="21">
        <f t="shared" si="294"/>
        <v>0.59445585215605745</v>
      </c>
      <c r="AL603" s="36">
        <f t="shared" si="301"/>
        <v>0</v>
      </c>
      <c r="AM603" s="36">
        <f t="shared" si="302"/>
        <v>0</v>
      </c>
      <c r="AN603" s="36">
        <f t="shared" si="303"/>
        <v>0</v>
      </c>
      <c r="AO603" s="81" t="s">
        <v>19</v>
      </c>
      <c r="AP603" s="81" t="s">
        <v>19</v>
      </c>
      <c r="AQ603" s="37" t="str">
        <f t="shared" si="296"/>
        <v>-</v>
      </c>
      <c r="AR603" s="201">
        <v>39</v>
      </c>
      <c r="AS603" s="201">
        <v>44</v>
      </c>
      <c r="AT603" s="21">
        <f t="shared" si="297"/>
        <v>0.88636363636363635</v>
      </c>
      <c r="AU603" s="70"/>
      <c r="AV603" s="70"/>
      <c r="AW603" s="37" t="str">
        <f t="shared" si="298"/>
        <v>-</v>
      </c>
      <c r="AX603" s="170"/>
      <c r="AY603" s="169"/>
      <c r="AZ603" s="169"/>
      <c r="BA603" s="169"/>
      <c r="BB603" s="169"/>
      <c r="BC603" s="169"/>
    </row>
    <row r="604" spans="1:55" ht="14.25" customHeight="1">
      <c r="A604" s="12" t="s">
        <v>82</v>
      </c>
      <c r="B604" s="94" t="s">
        <v>19</v>
      </c>
      <c r="C604" s="94" t="s">
        <v>19</v>
      </c>
      <c r="D604" s="80" t="str">
        <f t="shared" si="277"/>
        <v>-</v>
      </c>
      <c r="E604" s="96" t="s">
        <v>19</v>
      </c>
      <c r="F604" s="96" t="s">
        <v>19</v>
      </c>
      <c r="G604" s="83" t="str">
        <f t="shared" si="278"/>
        <v>-</v>
      </c>
      <c r="H604" s="94" t="s">
        <v>19</v>
      </c>
      <c r="I604" s="94" t="s">
        <v>19</v>
      </c>
      <c r="J604" s="80" t="str">
        <f t="shared" si="279"/>
        <v>-</v>
      </c>
      <c r="K604" s="66">
        <f t="shared" si="280"/>
        <v>0</v>
      </c>
      <c r="L604" s="66">
        <f t="shared" si="281"/>
        <v>0</v>
      </c>
      <c r="M604" s="83" t="str">
        <f t="shared" si="282"/>
        <v>-</v>
      </c>
      <c r="N604" s="66">
        <f t="shared" si="283"/>
        <v>0</v>
      </c>
      <c r="O604" s="66">
        <f t="shared" si="284"/>
        <v>0</v>
      </c>
      <c r="P604" s="83" t="str">
        <f t="shared" si="285"/>
        <v>-</v>
      </c>
      <c r="Q604" s="66">
        <f t="shared" si="286"/>
        <v>0</v>
      </c>
      <c r="R604" s="66">
        <f t="shared" si="287"/>
        <v>0</v>
      </c>
      <c r="S604" s="83" t="str">
        <f t="shared" si="288"/>
        <v>-</v>
      </c>
      <c r="T604" s="94" t="s">
        <v>19</v>
      </c>
      <c r="U604" s="94" t="s">
        <v>19</v>
      </c>
      <c r="V604" s="80" t="str">
        <f t="shared" si="289"/>
        <v>-</v>
      </c>
      <c r="W604" s="98">
        <v>1</v>
      </c>
      <c r="X604" s="98">
        <v>1</v>
      </c>
      <c r="Y604" s="65">
        <f t="shared" si="290"/>
        <v>1</v>
      </c>
      <c r="Z604" s="64">
        <f t="shared" si="299"/>
        <v>1</v>
      </c>
      <c r="AA604" s="64">
        <f t="shared" si="300"/>
        <v>1</v>
      </c>
      <c r="AB604" s="65">
        <f t="shared" si="291"/>
        <v>1</v>
      </c>
      <c r="AC604" s="81" t="s">
        <v>19</v>
      </c>
      <c r="AD604" s="81" t="s">
        <v>19</v>
      </c>
      <c r="AE604" s="37" t="str">
        <f t="shared" si="292"/>
        <v>-</v>
      </c>
      <c r="AF604" s="44" t="s">
        <v>19</v>
      </c>
      <c r="AG604" s="44" t="s">
        <v>19</v>
      </c>
      <c r="AH604" s="44" t="str">
        <f t="shared" si="293"/>
        <v>-</v>
      </c>
      <c r="AI604" s="121" t="s">
        <v>19</v>
      </c>
      <c r="AJ604" s="121" t="s">
        <v>19</v>
      </c>
      <c r="AK604" s="37" t="str">
        <f t="shared" si="294"/>
        <v>-</v>
      </c>
      <c r="AL604" s="36">
        <f t="shared" si="301"/>
        <v>0</v>
      </c>
      <c r="AM604" s="36">
        <f t="shared" si="302"/>
        <v>0</v>
      </c>
      <c r="AN604" s="36">
        <f t="shared" si="303"/>
        <v>0</v>
      </c>
      <c r="AO604" s="81" t="s">
        <v>19</v>
      </c>
      <c r="AP604" s="81" t="s">
        <v>19</v>
      </c>
      <c r="AQ604" s="37" t="str">
        <f t="shared" si="296"/>
        <v>-</v>
      </c>
      <c r="AR604" s="201">
        <v>2</v>
      </c>
      <c r="AS604" s="201">
        <v>4</v>
      </c>
      <c r="AT604" s="21">
        <f t="shared" si="297"/>
        <v>0.5</v>
      </c>
      <c r="AU604" s="70"/>
      <c r="AV604" s="70"/>
      <c r="AW604" s="37" t="str">
        <f t="shared" si="298"/>
        <v>-</v>
      </c>
      <c r="AX604" s="170"/>
      <c r="AY604" s="169"/>
      <c r="AZ604" s="169"/>
      <c r="BA604" s="169"/>
      <c r="BB604" s="169"/>
      <c r="BC604" s="169"/>
    </row>
    <row r="605" spans="1:55" ht="14.25" customHeight="1">
      <c r="A605" s="12" t="s">
        <v>83</v>
      </c>
      <c r="B605" s="98">
        <v>29</v>
      </c>
      <c r="C605" s="98">
        <v>41</v>
      </c>
      <c r="D605" s="65">
        <f t="shared" si="277"/>
        <v>0.70731707317073167</v>
      </c>
      <c r="E605" s="99">
        <v>30</v>
      </c>
      <c r="F605" s="99">
        <v>41</v>
      </c>
      <c r="G605" s="67">
        <f t="shared" si="278"/>
        <v>0.73170731707317072</v>
      </c>
      <c r="H605" s="98">
        <v>11</v>
      </c>
      <c r="I605" s="98">
        <v>39</v>
      </c>
      <c r="J605" s="65">
        <f t="shared" si="279"/>
        <v>0.28205128205128205</v>
      </c>
      <c r="K605" s="66">
        <f t="shared" si="280"/>
        <v>0</v>
      </c>
      <c r="L605" s="66">
        <f t="shared" si="281"/>
        <v>0</v>
      </c>
      <c r="M605" s="83" t="str">
        <f t="shared" si="282"/>
        <v>-</v>
      </c>
      <c r="N605" s="66">
        <f t="shared" si="283"/>
        <v>0</v>
      </c>
      <c r="O605" s="66">
        <f t="shared" si="284"/>
        <v>0</v>
      </c>
      <c r="P605" s="83" t="str">
        <f t="shared" si="285"/>
        <v>-</v>
      </c>
      <c r="Q605" s="66">
        <f t="shared" si="286"/>
        <v>0</v>
      </c>
      <c r="R605" s="66">
        <f t="shared" si="287"/>
        <v>0</v>
      </c>
      <c r="S605" s="83" t="str">
        <f t="shared" si="288"/>
        <v>-</v>
      </c>
      <c r="T605" s="94" t="s">
        <v>19</v>
      </c>
      <c r="U605" s="94" t="s">
        <v>19</v>
      </c>
      <c r="V605" s="80" t="str">
        <f t="shared" si="289"/>
        <v>-</v>
      </c>
      <c r="W605" s="200">
        <v>19</v>
      </c>
      <c r="X605" s="200">
        <v>19</v>
      </c>
      <c r="Y605" s="65">
        <f t="shared" si="290"/>
        <v>1</v>
      </c>
      <c r="Z605" s="64">
        <f t="shared" si="299"/>
        <v>19</v>
      </c>
      <c r="AA605" s="64">
        <f t="shared" si="300"/>
        <v>19</v>
      </c>
      <c r="AB605" s="65">
        <f t="shared" si="291"/>
        <v>1</v>
      </c>
      <c r="AC605" s="139"/>
      <c r="AD605" s="139"/>
      <c r="AE605" s="37" t="str">
        <f t="shared" si="292"/>
        <v>-</v>
      </c>
      <c r="AF605" s="44" t="s">
        <v>19</v>
      </c>
      <c r="AG605" s="44" t="s">
        <v>19</v>
      </c>
      <c r="AH605" s="44" t="str">
        <f t="shared" si="293"/>
        <v>-</v>
      </c>
      <c r="AI605" s="201">
        <v>192</v>
      </c>
      <c r="AJ605" s="201">
        <v>265</v>
      </c>
      <c r="AK605" s="21">
        <f t="shared" si="294"/>
        <v>0.7245283018867924</v>
      </c>
      <c r="AL605" s="36">
        <f t="shared" si="301"/>
        <v>0</v>
      </c>
      <c r="AM605" s="36">
        <f t="shared" si="302"/>
        <v>0</v>
      </c>
      <c r="AN605" s="36">
        <f t="shared" si="303"/>
        <v>0</v>
      </c>
      <c r="AO605" s="81" t="s">
        <v>19</v>
      </c>
      <c r="AP605" s="81" t="s">
        <v>19</v>
      </c>
      <c r="AQ605" s="37" t="str">
        <f t="shared" si="296"/>
        <v>-</v>
      </c>
      <c r="AR605" s="201">
        <v>162</v>
      </c>
      <c r="AS605" s="201">
        <v>191</v>
      </c>
      <c r="AT605" s="21">
        <f t="shared" si="297"/>
        <v>0.84816753926701571</v>
      </c>
      <c r="AU605" s="70"/>
      <c r="AV605" s="70"/>
      <c r="AW605" s="37" t="str">
        <f t="shared" si="298"/>
        <v>-</v>
      </c>
      <c r="AX605" s="170"/>
      <c r="AY605" s="169"/>
      <c r="AZ605" s="169"/>
      <c r="BA605" s="169"/>
      <c r="BB605" s="169"/>
      <c r="BC605" s="169"/>
    </row>
    <row r="606" spans="1:55" ht="14.25" customHeight="1">
      <c r="A606" s="12" t="s">
        <v>84</v>
      </c>
      <c r="B606" s="98">
        <v>63</v>
      </c>
      <c r="C606" s="98">
        <v>68</v>
      </c>
      <c r="D606" s="65">
        <f t="shared" si="277"/>
        <v>0.92647058823529416</v>
      </c>
      <c r="E606" s="99">
        <v>62</v>
      </c>
      <c r="F606" s="99">
        <v>68</v>
      </c>
      <c r="G606" s="67">
        <f t="shared" si="278"/>
        <v>0.91176470588235292</v>
      </c>
      <c r="H606" s="98">
        <v>61</v>
      </c>
      <c r="I606" s="98">
        <v>68</v>
      </c>
      <c r="J606" s="65">
        <f t="shared" si="279"/>
        <v>0.8970588235294118</v>
      </c>
      <c r="K606" s="66">
        <f t="shared" si="280"/>
        <v>0</v>
      </c>
      <c r="L606" s="66">
        <f t="shared" si="281"/>
        <v>0</v>
      </c>
      <c r="M606" s="83" t="str">
        <f t="shared" si="282"/>
        <v>-</v>
      </c>
      <c r="N606" s="66">
        <f t="shared" si="283"/>
        <v>0</v>
      </c>
      <c r="O606" s="66">
        <f t="shared" si="284"/>
        <v>0</v>
      </c>
      <c r="P606" s="83" t="str">
        <f t="shared" si="285"/>
        <v>-</v>
      </c>
      <c r="Q606" s="66">
        <f t="shared" si="286"/>
        <v>0</v>
      </c>
      <c r="R606" s="66">
        <f t="shared" si="287"/>
        <v>0</v>
      </c>
      <c r="S606" s="83" t="str">
        <f t="shared" si="288"/>
        <v>-</v>
      </c>
      <c r="T606" s="94" t="s">
        <v>19</v>
      </c>
      <c r="U606" s="94" t="s">
        <v>19</v>
      </c>
      <c r="V606" s="80" t="str">
        <f t="shared" si="289"/>
        <v>-</v>
      </c>
      <c r="W606" s="98">
        <v>25</v>
      </c>
      <c r="X606" s="98">
        <v>26</v>
      </c>
      <c r="Y606" s="65">
        <f t="shared" si="290"/>
        <v>0.96153846153846156</v>
      </c>
      <c r="Z606" s="64">
        <f t="shared" si="299"/>
        <v>25</v>
      </c>
      <c r="AA606" s="64">
        <f t="shared" si="300"/>
        <v>26</v>
      </c>
      <c r="AB606" s="65">
        <f t="shared" si="291"/>
        <v>0.96153846153846156</v>
      </c>
      <c r="AC606" s="139"/>
      <c r="AD606" s="139"/>
      <c r="AE606" s="37" t="str">
        <f t="shared" si="292"/>
        <v>-</v>
      </c>
      <c r="AF606" s="44" t="s">
        <v>19</v>
      </c>
      <c r="AG606" s="44" t="s">
        <v>19</v>
      </c>
      <c r="AH606" s="44" t="str">
        <f t="shared" si="293"/>
        <v>-</v>
      </c>
      <c r="AI606" s="201">
        <v>1156</v>
      </c>
      <c r="AJ606" s="201">
        <v>1484</v>
      </c>
      <c r="AK606" s="21">
        <f t="shared" si="294"/>
        <v>0.77897574123989222</v>
      </c>
      <c r="AL606" s="36">
        <f t="shared" si="301"/>
        <v>0</v>
      </c>
      <c r="AM606" s="36">
        <f t="shared" si="302"/>
        <v>0</v>
      </c>
      <c r="AN606" s="36">
        <f t="shared" si="303"/>
        <v>0</v>
      </c>
      <c r="AO606" s="81" t="s">
        <v>19</v>
      </c>
      <c r="AP606" s="81" t="s">
        <v>19</v>
      </c>
      <c r="AQ606" s="37" t="str">
        <f t="shared" si="296"/>
        <v>-</v>
      </c>
      <c r="AR606" s="201">
        <v>95</v>
      </c>
      <c r="AS606" s="201">
        <v>112</v>
      </c>
      <c r="AT606" s="21">
        <f t="shared" si="297"/>
        <v>0.8482142857142857</v>
      </c>
      <c r="AU606" s="70"/>
      <c r="AV606" s="70"/>
      <c r="AW606" s="37" t="str">
        <f t="shared" si="298"/>
        <v>-</v>
      </c>
      <c r="AX606" s="170"/>
      <c r="AY606" s="169"/>
      <c r="AZ606" s="169"/>
      <c r="BA606" s="169"/>
      <c r="BB606" s="169"/>
      <c r="BC606" s="169"/>
    </row>
    <row r="607" spans="1:55" ht="14.25" customHeight="1">
      <c r="A607" s="12" t="s">
        <v>85</v>
      </c>
      <c r="B607" s="98">
        <v>88</v>
      </c>
      <c r="C607" s="98">
        <v>121</v>
      </c>
      <c r="D607" s="65">
        <f t="shared" si="277"/>
        <v>0.72727272727272729</v>
      </c>
      <c r="E607" s="99">
        <v>106</v>
      </c>
      <c r="F607" s="99">
        <v>128</v>
      </c>
      <c r="G607" s="67">
        <f t="shared" si="278"/>
        <v>0.828125</v>
      </c>
      <c r="H607" s="98">
        <v>46</v>
      </c>
      <c r="I607" s="98">
        <v>84</v>
      </c>
      <c r="J607" s="65">
        <f t="shared" si="279"/>
        <v>0.54761904761904767</v>
      </c>
      <c r="K607" s="66">
        <f t="shared" si="280"/>
        <v>0</v>
      </c>
      <c r="L607" s="66">
        <f t="shared" si="281"/>
        <v>0</v>
      </c>
      <c r="M607" s="83" t="str">
        <f t="shared" si="282"/>
        <v>-</v>
      </c>
      <c r="N607" s="66">
        <f t="shared" si="283"/>
        <v>0</v>
      </c>
      <c r="O607" s="66">
        <f t="shared" si="284"/>
        <v>0</v>
      </c>
      <c r="P607" s="83" t="str">
        <f t="shared" si="285"/>
        <v>-</v>
      </c>
      <c r="Q607" s="66">
        <f t="shared" si="286"/>
        <v>0</v>
      </c>
      <c r="R607" s="66">
        <f t="shared" si="287"/>
        <v>0</v>
      </c>
      <c r="S607" s="83" t="str">
        <f t="shared" si="288"/>
        <v>-</v>
      </c>
      <c r="T607" s="200">
        <v>45</v>
      </c>
      <c r="U607" s="200">
        <v>45</v>
      </c>
      <c r="V607" s="65">
        <f t="shared" si="289"/>
        <v>1</v>
      </c>
      <c r="W607" s="98">
        <v>50</v>
      </c>
      <c r="X607" s="98">
        <v>50</v>
      </c>
      <c r="Y607" s="65">
        <f t="shared" si="290"/>
        <v>1</v>
      </c>
      <c r="Z607" s="64">
        <f t="shared" si="299"/>
        <v>95</v>
      </c>
      <c r="AA607" s="64">
        <f t="shared" si="300"/>
        <v>95</v>
      </c>
      <c r="AB607" s="65">
        <f t="shared" si="291"/>
        <v>1</v>
      </c>
      <c r="AC607" s="139"/>
      <c r="AD607" s="139"/>
      <c r="AE607" s="37" t="str">
        <f t="shared" si="292"/>
        <v>-</v>
      </c>
      <c r="AF607" s="44" t="s">
        <v>19</v>
      </c>
      <c r="AG607" s="44" t="s">
        <v>19</v>
      </c>
      <c r="AH607" s="44" t="str">
        <f t="shared" si="293"/>
        <v>-</v>
      </c>
      <c r="AI607" s="201">
        <v>876</v>
      </c>
      <c r="AJ607" s="201">
        <v>1040</v>
      </c>
      <c r="AK607" s="21">
        <f t="shared" si="294"/>
        <v>0.84230769230769231</v>
      </c>
      <c r="AL607" s="36">
        <f t="shared" si="301"/>
        <v>0</v>
      </c>
      <c r="AM607" s="36">
        <f t="shared" si="302"/>
        <v>0</v>
      </c>
      <c r="AN607" s="36">
        <f t="shared" si="303"/>
        <v>0</v>
      </c>
      <c r="AO607" s="201">
        <v>155</v>
      </c>
      <c r="AP607" s="201">
        <v>180</v>
      </c>
      <c r="AQ607" s="21">
        <f t="shared" si="296"/>
        <v>0.86111111111111116</v>
      </c>
      <c r="AR607" s="201">
        <v>208</v>
      </c>
      <c r="AS607" s="201">
        <v>240</v>
      </c>
      <c r="AT607" s="21">
        <f t="shared" si="297"/>
        <v>0.8666666666666667</v>
      </c>
      <c r="AU607" s="70"/>
      <c r="AV607" s="70"/>
      <c r="AW607" s="37" t="str">
        <f t="shared" si="298"/>
        <v>-</v>
      </c>
      <c r="AX607" s="170"/>
      <c r="AY607" s="169"/>
      <c r="AZ607" s="169"/>
      <c r="BA607" s="169"/>
      <c r="BB607" s="169"/>
      <c r="BC607" s="169"/>
    </row>
    <row r="608" spans="1:55" ht="14.25" customHeight="1">
      <c r="A608" s="12" t="s">
        <v>86</v>
      </c>
      <c r="B608" s="94" t="s">
        <v>19</v>
      </c>
      <c r="C608" s="94" t="s">
        <v>19</v>
      </c>
      <c r="D608" s="80" t="str">
        <f t="shared" si="277"/>
        <v>-</v>
      </c>
      <c r="E608" s="96" t="s">
        <v>19</v>
      </c>
      <c r="F608" s="96" t="s">
        <v>19</v>
      </c>
      <c r="G608" s="83" t="str">
        <f t="shared" si="278"/>
        <v>-</v>
      </c>
      <c r="H608" s="94" t="s">
        <v>19</v>
      </c>
      <c r="I608" s="94" t="s">
        <v>19</v>
      </c>
      <c r="J608" s="80" t="str">
        <f t="shared" si="279"/>
        <v>-</v>
      </c>
      <c r="K608" s="66">
        <f t="shared" si="280"/>
        <v>0</v>
      </c>
      <c r="L608" s="66">
        <f t="shared" si="281"/>
        <v>0</v>
      </c>
      <c r="M608" s="83" t="str">
        <f t="shared" si="282"/>
        <v>-</v>
      </c>
      <c r="N608" s="66">
        <f t="shared" si="283"/>
        <v>0</v>
      </c>
      <c r="O608" s="66">
        <f t="shared" si="284"/>
        <v>0</v>
      </c>
      <c r="P608" s="83" t="str">
        <f t="shared" si="285"/>
        <v>-</v>
      </c>
      <c r="Q608" s="66">
        <f t="shared" si="286"/>
        <v>0</v>
      </c>
      <c r="R608" s="66">
        <f t="shared" si="287"/>
        <v>0</v>
      </c>
      <c r="S608" s="83" t="str">
        <f t="shared" si="288"/>
        <v>-</v>
      </c>
      <c r="T608" s="94" t="s">
        <v>19</v>
      </c>
      <c r="U608" s="94" t="s">
        <v>19</v>
      </c>
      <c r="V608" s="80" t="str">
        <f t="shared" si="289"/>
        <v>-</v>
      </c>
      <c r="W608" s="94" t="s">
        <v>19</v>
      </c>
      <c r="X608" s="94" t="s">
        <v>19</v>
      </c>
      <c r="Y608" s="80" t="str">
        <f t="shared" si="290"/>
        <v>-</v>
      </c>
      <c r="Z608" s="64">
        <f t="shared" si="299"/>
        <v>0</v>
      </c>
      <c r="AA608" s="64">
        <f t="shared" si="300"/>
        <v>0</v>
      </c>
      <c r="AB608" s="80" t="str">
        <f t="shared" si="291"/>
        <v>-</v>
      </c>
      <c r="AC608" s="81" t="s">
        <v>19</v>
      </c>
      <c r="AD608" s="81" t="s">
        <v>19</v>
      </c>
      <c r="AE608" s="37" t="str">
        <f t="shared" si="292"/>
        <v>-</v>
      </c>
      <c r="AF608" s="44" t="s">
        <v>19</v>
      </c>
      <c r="AG608" s="44" t="s">
        <v>19</v>
      </c>
      <c r="AH608" s="44" t="str">
        <f t="shared" si="293"/>
        <v>-</v>
      </c>
      <c r="AI608" s="121" t="s">
        <v>19</v>
      </c>
      <c r="AJ608" s="121" t="s">
        <v>19</v>
      </c>
      <c r="AK608" s="37" t="str">
        <f t="shared" si="294"/>
        <v>-</v>
      </c>
      <c r="AL608" s="36">
        <f t="shared" si="301"/>
        <v>0</v>
      </c>
      <c r="AM608" s="36">
        <f t="shared" si="302"/>
        <v>0</v>
      </c>
      <c r="AN608" s="36">
        <f t="shared" si="303"/>
        <v>0</v>
      </c>
      <c r="AO608" s="121" t="s">
        <v>19</v>
      </c>
      <c r="AP608" s="121" t="s">
        <v>19</v>
      </c>
      <c r="AQ608" s="37" t="str">
        <f t="shared" si="296"/>
        <v>-</v>
      </c>
      <c r="AR608" s="201">
        <v>4</v>
      </c>
      <c r="AS608" s="201">
        <v>4</v>
      </c>
      <c r="AT608" s="21">
        <f t="shared" si="297"/>
        <v>1</v>
      </c>
      <c r="AU608" s="70"/>
      <c r="AV608" s="70"/>
      <c r="AW608" s="37" t="str">
        <f t="shared" si="298"/>
        <v>-</v>
      </c>
      <c r="AX608" s="170"/>
      <c r="AY608" s="169"/>
      <c r="AZ608" s="169"/>
      <c r="BA608" s="169"/>
      <c r="BB608" s="169"/>
      <c r="BC608" s="169"/>
    </row>
    <row r="609" spans="1:55" ht="14.25" customHeight="1">
      <c r="A609" s="12" t="s">
        <v>87</v>
      </c>
      <c r="B609" s="98">
        <v>52</v>
      </c>
      <c r="C609" s="98">
        <v>57</v>
      </c>
      <c r="D609" s="65">
        <f t="shared" si="277"/>
        <v>0.91228070175438591</v>
      </c>
      <c r="E609" s="99">
        <v>43</v>
      </c>
      <c r="F609" s="99">
        <v>57</v>
      </c>
      <c r="G609" s="67">
        <f t="shared" si="278"/>
        <v>0.75438596491228072</v>
      </c>
      <c r="H609" s="98">
        <v>48</v>
      </c>
      <c r="I609" s="98">
        <v>54</v>
      </c>
      <c r="J609" s="65">
        <f t="shared" si="279"/>
        <v>0.88888888888888884</v>
      </c>
      <c r="K609" s="66">
        <f t="shared" si="280"/>
        <v>0</v>
      </c>
      <c r="L609" s="66">
        <f t="shared" si="281"/>
        <v>0</v>
      </c>
      <c r="M609" s="83" t="str">
        <f t="shared" si="282"/>
        <v>-</v>
      </c>
      <c r="N609" s="66">
        <f t="shared" si="283"/>
        <v>0</v>
      </c>
      <c r="O609" s="66">
        <f t="shared" si="284"/>
        <v>0</v>
      </c>
      <c r="P609" s="83" t="str">
        <f t="shared" si="285"/>
        <v>-</v>
      </c>
      <c r="Q609" s="66">
        <f t="shared" si="286"/>
        <v>0</v>
      </c>
      <c r="R609" s="66">
        <f t="shared" si="287"/>
        <v>0</v>
      </c>
      <c r="S609" s="83" t="str">
        <f t="shared" si="288"/>
        <v>-</v>
      </c>
      <c r="T609" s="94" t="s">
        <v>19</v>
      </c>
      <c r="U609" s="94" t="s">
        <v>19</v>
      </c>
      <c r="V609" s="80" t="str">
        <f t="shared" si="289"/>
        <v>-</v>
      </c>
      <c r="W609" s="98">
        <v>26</v>
      </c>
      <c r="X609" s="98">
        <v>26</v>
      </c>
      <c r="Y609" s="65">
        <f t="shared" si="290"/>
        <v>1</v>
      </c>
      <c r="Z609" s="64">
        <f t="shared" si="299"/>
        <v>26</v>
      </c>
      <c r="AA609" s="64">
        <f t="shared" si="300"/>
        <v>26</v>
      </c>
      <c r="AB609" s="65">
        <f t="shared" si="291"/>
        <v>1</v>
      </c>
      <c r="AC609" s="139"/>
      <c r="AD609" s="139"/>
      <c r="AE609" s="37" t="str">
        <f t="shared" si="292"/>
        <v>-</v>
      </c>
      <c r="AF609" s="44" t="s">
        <v>19</v>
      </c>
      <c r="AG609" s="44" t="s">
        <v>19</v>
      </c>
      <c r="AH609" s="44" t="str">
        <f t="shared" si="293"/>
        <v>-</v>
      </c>
      <c r="AI609" s="201">
        <v>807</v>
      </c>
      <c r="AJ609" s="201">
        <v>1153</v>
      </c>
      <c r="AK609" s="21">
        <f t="shared" si="294"/>
        <v>0.69991326973113621</v>
      </c>
      <c r="AL609" s="36">
        <f t="shared" si="301"/>
        <v>0</v>
      </c>
      <c r="AM609" s="36">
        <f t="shared" si="302"/>
        <v>0</v>
      </c>
      <c r="AN609" s="36">
        <f t="shared" si="303"/>
        <v>0</v>
      </c>
      <c r="AO609" s="121" t="s">
        <v>19</v>
      </c>
      <c r="AP609" s="121" t="s">
        <v>19</v>
      </c>
      <c r="AQ609" s="37" t="str">
        <f t="shared" si="296"/>
        <v>-</v>
      </c>
      <c r="AR609" s="201">
        <v>95</v>
      </c>
      <c r="AS609" s="201">
        <v>112</v>
      </c>
      <c r="AT609" s="21">
        <f t="shared" si="297"/>
        <v>0.8482142857142857</v>
      </c>
      <c r="AU609" s="70"/>
      <c r="AV609" s="70"/>
      <c r="AW609" s="37" t="str">
        <f t="shared" si="298"/>
        <v>-</v>
      </c>
      <c r="AX609" s="170"/>
      <c r="AY609" s="169"/>
      <c r="AZ609" s="169"/>
      <c r="BA609" s="169"/>
      <c r="BB609" s="169"/>
      <c r="BC609" s="169"/>
    </row>
    <row r="610" spans="1:55" ht="14.25" customHeight="1">
      <c r="A610" s="12" t="s">
        <v>88</v>
      </c>
      <c r="B610" s="98">
        <v>107</v>
      </c>
      <c r="C610" s="98">
        <v>109</v>
      </c>
      <c r="D610" s="65">
        <f t="shared" si="277"/>
        <v>0.98165137614678899</v>
      </c>
      <c r="E610" s="99">
        <v>88</v>
      </c>
      <c r="F610" s="99">
        <v>109</v>
      </c>
      <c r="G610" s="67">
        <f t="shared" si="278"/>
        <v>0.80733944954128445</v>
      </c>
      <c r="H610" s="98">
        <v>88</v>
      </c>
      <c r="I610" s="98">
        <v>105</v>
      </c>
      <c r="J610" s="65">
        <f t="shared" si="279"/>
        <v>0.83809523809523812</v>
      </c>
      <c r="K610" s="66">
        <f t="shared" si="280"/>
        <v>0</v>
      </c>
      <c r="L610" s="66">
        <f t="shared" si="281"/>
        <v>0</v>
      </c>
      <c r="M610" s="83" t="str">
        <f t="shared" si="282"/>
        <v>-</v>
      </c>
      <c r="N610" s="66">
        <f t="shared" si="283"/>
        <v>0</v>
      </c>
      <c r="O610" s="66">
        <f t="shared" si="284"/>
        <v>0</v>
      </c>
      <c r="P610" s="83" t="str">
        <f t="shared" si="285"/>
        <v>-</v>
      </c>
      <c r="Q610" s="66">
        <f t="shared" si="286"/>
        <v>0</v>
      </c>
      <c r="R610" s="66">
        <f t="shared" si="287"/>
        <v>0</v>
      </c>
      <c r="S610" s="83" t="str">
        <f t="shared" si="288"/>
        <v>-</v>
      </c>
      <c r="T610" s="200">
        <v>5</v>
      </c>
      <c r="U610" s="200">
        <v>5</v>
      </c>
      <c r="V610" s="65">
        <f t="shared" si="289"/>
        <v>1</v>
      </c>
      <c r="W610" s="98">
        <v>19</v>
      </c>
      <c r="X610" s="98">
        <v>20</v>
      </c>
      <c r="Y610" s="65">
        <f t="shared" si="290"/>
        <v>0.95</v>
      </c>
      <c r="Z610" s="64">
        <f t="shared" si="299"/>
        <v>24</v>
      </c>
      <c r="AA610" s="64">
        <f t="shared" si="300"/>
        <v>25</v>
      </c>
      <c r="AB610" s="65">
        <f t="shared" si="291"/>
        <v>0.96</v>
      </c>
      <c r="AC610" s="139"/>
      <c r="AD610" s="139"/>
      <c r="AE610" s="37" t="str">
        <f t="shared" si="292"/>
        <v>-</v>
      </c>
      <c r="AF610" s="44" t="s">
        <v>19</v>
      </c>
      <c r="AG610" s="44" t="s">
        <v>19</v>
      </c>
      <c r="AH610" s="44" t="str">
        <f t="shared" si="293"/>
        <v>-</v>
      </c>
      <c r="AI610" s="201">
        <v>1412</v>
      </c>
      <c r="AJ610" s="201">
        <v>2087</v>
      </c>
      <c r="AK610" s="21">
        <f t="shared" si="294"/>
        <v>0.67656923814087211</v>
      </c>
      <c r="AL610" s="36">
        <f t="shared" si="301"/>
        <v>0</v>
      </c>
      <c r="AM610" s="36">
        <f t="shared" si="302"/>
        <v>0</v>
      </c>
      <c r="AN610" s="36">
        <f t="shared" si="303"/>
        <v>0</v>
      </c>
      <c r="AO610" s="201">
        <v>12</v>
      </c>
      <c r="AP610" s="201">
        <v>20</v>
      </c>
      <c r="AQ610" s="21">
        <f t="shared" si="296"/>
        <v>0.6</v>
      </c>
      <c r="AR610" s="201">
        <v>156</v>
      </c>
      <c r="AS610" s="201">
        <v>180</v>
      </c>
      <c r="AT610" s="21">
        <f t="shared" si="297"/>
        <v>0.8666666666666667</v>
      </c>
      <c r="AU610" s="70"/>
      <c r="AV610" s="70"/>
      <c r="AW610" s="37" t="str">
        <f t="shared" si="298"/>
        <v>-</v>
      </c>
      <c r="AX610" s="170"/>
      <c r="AY610" s="169"/>
      <c r="AZ610" s="169"/>
      <c r="BA610" s="169"/>
      <c r="BB610" s="169"/>
      <c r="BC610" s="169"/>
    </row>
    <row r="611" spans="1:55" ht="14.25" customHeight="1">
      <c r="A611" s="12" t="s">
        <v>89</v>
      </c>
      <c r="B611" s="64">
        <f>SUM(B610,B595)</f>
        <v>107</v>
      </c>
      <c r="C611" s="64">
        <f>SUM(C610,C595)</f>
        <v>109</v>
      </c>
      <c r="D611" s="65">
        <f t="shared" si="277"/>
        <v>0.98165137614678899</v>
      </c>
      <c r="E611" s="66">
        <f>SUM(E610,E595)</f>
        <v>88</v>
      </c>
      <c r="F611" s="66">
        <f>SUM(F610,F595)</f>
        <v>109</v>
      </c>
      <c r="G611" s="67">
        <f t="shared" si="278"/>
        <v>0.80733944954128445</v>
      </c>
      <c r="H611" s="64">
        <f>SUM(H610,H595)</f>
        <v>88</v>
      </c>
      <c r="I611" s="64">
        <f>SUM(I610,I595)</f>
        <v>105</v>
      </c>
      <c r="J611" s="65">
        <f t="shared" si="279"/>
        <v>0.83809523809523812</v>
      </c>
      <c r="K611" s="66">
        <f t="shared" si="280"/>
        <v>0</v>
      </c>
      <c r="L611" s="66">
        <f t="shared" si="281"/>
        <v>0</v>
      </c>
      <c r="M611" s="83" t="str">
        <f t="shared" si="282"/>
        <v>-</v>
      </c>
      <c r="N611" s="66">
        <f t="shared" si="283"/>
        <v>0</v>
      </c>
      <c r="O611" s="66">
        <f t="shared" si="284"/>
        <v>0</v>
      </c>
      <c r="P611" s="83" t="str">
        <f t="shared" si="285"/>
        <v>-</v>
      </c>
      <c r="Q611" s="66">
        <f t="shared" si="286"/>
        <v>0</v>
      </c>
      <c r="R611" s="66">
        <f t="shared" si="287"/>
        <v>0</v>
      </c>
      <c r="S611" s="83" t="str">
        <f t="shared" si="288"/>
        <v>-</v>
      </c>
      <c r="T611" s="64">
        <f>SUM(T610,T595)</f>
        <v>12</v>
      </c>
      <c r="U611" s="64">
        <f>SUM(U610,U595)</f>
        <v>12</v>
      </c>
      <c r="V611" s="65">
        <f t="shared" si="289"/>
        <v>1</v>
      </c>
      <c r="W611" s="64">
        <f>SUM(W610,W595)</f>
        <v>23</v>
      </c>
      <c r="X611" s="64">
        <f>SUM(X610,X595)</f>
        <v>24</v>
      </c>
      <c r="Y611" s="65">
        <f t="shared" si="290"/>
        <v>0.95833333333333337</v>
      </c>
      <c r="Z611" s="64">
        <f>SUM(Z610,Z595)</f>
        <v>35</v>
      </c>
      <c r="AA611" s="64">
        <f>SUM(AA610,AA595)</f>
        <v>36</v>
      </c>
      <c r="AB611" s="65">
        <f t="shared" si="291"/>
        <v>0.97222222222222221</v>
      </c>
      <c r="AC611" s="70">
        <f>SUM(AC610,AC595)</f>
        <v>0</v>
      </c>
      <c r="AD611" s="70">
        <f>SUM(AD610,AD595)</f>
        <v>0</v>
      </c>
      <c r="AE611" s="37" t="str">
        <f t="shared" si="292"/>
        <v>-</v>
      </c>
      <c r="AF611" s="69">
        <f>SUM(AF610,AF595)</f>
        <v>0</v>
      </c>
      <c r="AG611" s="69">
        <f>SUM(AG610,AG595)</f>
        <v>0</v>
      </c>
      <c r="AH611" s="44" t="str">
        <f t="shared" si="293"/>
        <v>-</v>
      </c>
      <c r="AI611" s="70">
        <f>SUM(AI610,AI595)</f>
        <v>1412</v>
      </c>
      <c r="AJ611" s="70">
        <f>SUM(AJ610,AJ595)</f>
        <v>2087</v>
      </c>
      <c r="AK611" s="21">
        <f t="shared" si="294"/>
        <v>0.67656923814087211</v>
      </c>
      <c r="AL611" s="36">
        <f t="shared" si="301"/>
        <v>0</v>
      </c>
      <c r="AM611" s="36">
        <f t="shared" si="302"/>
        <v>0</v>
      </c>
      <c r="AN611" s="36">
        <f t="shared" si="303"/>
        <v>0</v>
      </c>
      <c r="AO611" s="70">
        <f>SUM(AO610,AO595)</f>
        <v>35</v>
      </c>
      <c r="AP611" s="70">
        <f>SUM(AP610,AP595)</f>
        <v>48</v>
      </c>
      <c r="AQ611" s="21">
        <f t="shared" si="296"/>
        <v>0.72916666666666663</v>
      </c>
      <c r="AR611" s="70">
        <f>SUM(AR610,AR595)</f>
        <v>180</v>
      </c>
      <c r="AS611" s="70">
        <f>SUM(AS610,AS595)</f>
        <v>204</v>
      </c>
      <c r="AT611" s="21">
        <f t="shared" si="297"/>
        <v>0.88235294117647056</v>
      </c>
      <c r="AU611" s="70"/>
      <c r="AV611" s="70"/>
      <c r="AW611" s="37" t="str">
        <f t="shared" si="298"/>
        <v>-</v>
      </c>
      <c r="AX611" s="170"/>
      <c r="AY611" s="169"/>
      <c r="AZ611" s="169"/>
      <c r="BA611" s="169"/>
      <c r="BB611" s="169"/>
      <c r="BC611" s="169"/>
    </row>
    <row r="612" spans="1:55" ht="14.25" customHeight="1">
      <c r="A612" s="12" t="s">
        <v>90</v>
      </c>
      <c r="B612" s="64">
        <f>SUM(B601,B608)</f>
        <v>57</v>
      </c>
      <c r="C612" s="64">
        <f>SUM(C601,C608)</f>
        <v>59</v>
      </c>
      <c r="D612" s="65">
        <f t="shared" si="277"/>
        <v>0.96610169491525422</v>
      </c>
      <c r="E612" s="66">
        <f>SUM(E601,E608)</f>
        <v>52</v>
      </c>
      <c r="F612" s="66">
        <f>SUM(F601,F608)</f>
        <v>59</v>
      </c>
      <c r="G612" s="67">
        <f t="shared" si="278"/>
        <v>0.88135593220338981</v>
      </c>
      <c r="H612" s="64">
        <f>SUM(H601,H608)</f>
        <v>46</v>
      </c>
      <c r="I612" s="64">
        <f>SUM(I601,I608)</f>
        <v>53</v>
      </c>
      <c r="J612" s="65">
        <f t="shared" si="279"/>
        <v>0.86792452830188682</v>
      </c>
      <c r="K612" s="66">
        <f t="shared" si="280"/>
        <v>0</v>
      </c>
      <c r="L612" s="66">
        <f t="shared" si="281"/>
        <v>0</v>
      </c>
      <c r="M612" s="83" t="str">
        <f t="shared" si="282"/>
        <v>-</v>
      </c>
      <c r="N612" s="66">
        <f t="shared" si="283"/>
        <v>0</v>
      </c>
      <c r="O612" s="66">
        <f t="shared" si="284"/>
        <v>0</v>
      </c>
      <c r="P612" s="83" t="str">
        <f t="shared" si="285"/>
        <v>-</v>
      </c>
      <c r="Q612" s="66">
        <f t="shared" si="286"/>
        <v>0</v>
      </c>
      <c r="R612" s="66">
        <f t="shared" si="287"/>
        <v>0</v>
      </c>
      <c r="S612" s="83" t="str">
        <f t="shared" si="288"/>
        <v>-</v>
      </c>
      <c r="T612" s="64">
        <f>SUM(T601,T608)</f>
        <v>4</v>
      </c>
      <c r="U612" s="64">
        <f>SUM(U601,U608)</f>
        <v>4</v>
      </c>
      <c r="V612" s="65">
        <f t="shared" si="289"/>
        <v>1</v>
      </c>
      <c r="W612" s="64">
        <f>SUM(W601,W608)</f>
        <v>21</v>
      </c>
      <c r="X612" s="64">
        <f>SUM(X601,X608)</f>
        <v>21</v>
      </c>
      <c r="Y612" s="65">
        <f t="shared" si="290"/>
        <v>1</v>
      </c>
      <c r="Z612" s="64">
        <f>SUM(Z601,Z608)</f>
        <v>25</v>
      </c>
      <c r="AA612" s="64">
        <f>SUM(AA601,AA608)</f>
        <v>25</v>
      </c>
      <c r="AB612" s="65">
        <f t="shared" si="291"/>
        <v>1</v>
      </c>
      <c r="AC612" s="70">
        <f>SUM(AC601,AC608)</f>
        <v>0</v>
      </c>
      <c r="AD612" s="70">
        <f>SUM(AD601,AD608)</f>
        <v>0</v>
      </c>
      <c r="AE612" s="37" t="str">
        <f t="shared" si="292"/>
        <v>-</v>
      </c>
      <c r="AF612" s="69">
        <f>SUM(AF601,AF608)</f>
        <v>0</v>
      </c>
      <c r="AG612" s="69">
        <f>SUM(AG601,AG608)</f>
        <v>0</v>
      </c>
      <c r="AH612" s="44" t="str">
        <f t="shared" si="293"/>
        <v>-</v>
      </c>
      <c r="AI612" s="70">
        <f>SUM(AI601,AI608)</f>
        <v>694</v>
      </c>
      <c r="AJ612" s="70">
        <f>SUM(AJ601,AJ608)</f>
        <v>1081</v>
      </c>
      <c r="AK612" s="21">
        <f t="shared" si="294"/>
        <v>0.6419981498612396</v>
      </c>
      <c r="AL612" s="36">
        <f t="shared" si="301"/>
        <v>0</v>
      </c>
      <c r="AM612" s="36">
        <f t="shared" si="302"/>
        <v>0</v>
      </c>
      <c r="AN612" s="36">
        <f t="shared" si="303"/>
        <v>0</v>
      </c>
      <c r="AO612" s="70">
        <f>SUM(AO601,AO608)</f>
        <v>12</v>
      </c>
      <c r="AP612" s="70">
        <f>SUM(AP601,AP608)</f>
        <v>16</v>
      </c>
      <c r="AQ612" s="21">
        <f t="shared" si="296"/>
        <v>0.75</v>
      </c>
      <c r="AR612" s="70">
        <f>SUM(AR601,AR608)</f>
        <v>87</v>
      </c>
      <c r="AS612" s="70">
        <f>SUM(AS601,AS608)</f>
        <v>104</v>
      </c>
      <c r="AT612" s="21">
        <f t="shared" si="297"/>
        <v>0.83653846153846156</v>
      </c>
      <c r="AU612" s="70"/>
      <c r="AV612" s="70"/>
      <c r="AW612" s="37" t="str">
        <f t="shared" si="298"/>
        <v>-</v>
      </c>
      <c r="AX612" s="170"/>
      <c r="AY612" s="169"/>
      <c r="AZ612" s="169"/>
      <c r="BA612" s="169"/>
      <c r="BB612" s="169"/>
      <c r="BC612" s="169"/>
    </row>
    <row r="613" spans="1:55" ht="14.25" customHeight="1">
      <c r="A613" s="12" t="s">
        <v>91</v>
      </c>
      <c r="B613" s="64">
        <f>SUM(B599,B600,B604)</f>
        <v>477</v>
      </c>
      <c r="C613" s="64">
        <f>SUM(C599,C600,C604)</f>
        <v>506</v>
      </c>
      <c r="D613" s="65">
        <f t="shared" si="277"/>
        <v>0.94268774703557312</v>
      </c>
      <c r="E613" s="66">
        <f>SUM(E599:E600,E604)</f>
        <v>407</v>
      </c>
      <c r="F613" s="66">
        <f>SUM(F599:F600,F604)</f>
        <v>506</v>
      </c>
      <c r="G613" s="67">
        <f t="shared" si="278"/>
        <v>0.80434782608695654</v>
      </c>
      <c r="H613" s="64">
        <f>SUM(H599,H600,H604)</f>
        <v>398</v>
      </c>
      <c r="I613" s="64">
        <f>SUM(I599,I600,I604)</f>
        <v>475</v>
      </c>
      <c r="J613" s="65">
        <f t="shared" si="279"/>
        <v>0.83789473684210525</v>
      </c>
      <c r="K613" s="66">
        <f t="shared" si="280"/>
        <v>0</v>
      </c>
      <c r="L613" s="66">
        <f t="shared" si="281"/>
        <v>0</v>
      </c>
      <c r="M613" s="83" t="str">
        <f t="shared" si="282"/>
        <v>-</v>
      </c>
      <c r="N613" s="66">
        <f t="shared" si="283"/>
        <v>0</v>
      </c>
      <c r="O613" s="66">
        <f t="shared" si="284"/>
        <v>0</v>
      </c>
      <c r="P613" s="83" t="str">
        <f t="shared" si="285"/>
        <v>-</v>
      </c>
      <c r="Q613" s="66">
        <f t="shared" si="286"/>
        <v>0</v>
      </c>
      <c r="R613" s="66">
        <f t="shared" si="287"/>
        <v>0</v>
      </c>
      <c r="S613" s="83" t="str">
        <f t="shared" si="288"/>
        <v>-</v>
      </c>
      <c r="T613" s="64">
        <f>SUM(T599:T600,T604)</f>
        <v>38</v>
      </c>
      <c r="U613" s="64">
        <f>SUM(U599:U600,U604)</f>
        <v>38</v>
      </c>
      <c r="V613" s="65">
        <f t="shared" si="289"/>
        <v>1</v>
      </c>
      <c r="W613" s="64">
        <f>SUM(W599:W600,W604)</f>
        <v>428</v>
      </c>
      <c r="X613" s="64">
        <f>SUM(X599:X600,X604)</f>
        <v>430</v>
      </c>
      <c r="Y613" s="65">
        <f t="shared" si="290"/>
        <v>0.99534883720930234</v>
      </c>
      <c r="Z613" s="64">
        <f>SUM(Z599:Z600,Z604)</f>
        <v>466</v>
      </c>
      <c r="AA613" s="64">
        <f>SUM(AA599:AA600,AA604)</f>
        <v>468</v>
      </c>
      <c r="AB613" s="65">
        <f t="shared" si="291"/>
        <v>0.99572649572649574</v>
      </c>
      <c r="AC613" s="70">
        <f>SUM(AC599:AC600,AC604)</f>
        <v>0</v>
      </c>
      <c r="AD613" s="70">
        <f>SUM(AD599:AD600,AD604)</f>
        <v>0</v>
      </c>
      <c r="AE613" s="37" t="str">
        <f t="shared" si="292"/>
        <v>-</v>
      </c>
      <c r="AF613" s="69">
        <f>SUM(AF599,AF600,AF604)</f>
        <v>0</v>
      </c>
      <c r="AG613" s="69">
        <f>SUM(AG599,AG600,AG604)</f>
        <v>0</v>
      </c>
      <c r="AH613" s="44" t="str">
        <f t="shared" si="293"/>
        <v>-</v>
      </c>
      <c r="AI613" s="70">
        <f>SUM(AI599,AI600,AI604)</f>
        <v>7271</v>
      </c>
      <c r="AJ613" s="70">
        <f>SUM(AJ599,AJ600,AJ604)</f>
        <v>9487</v>
      </c>
      <c r="AK613" s="21">
        <f t="shared" si="294"/>
        <v>0.76641720248761458</v>
      </c>
      <c r="AL613" s="36">
        <f t="shared" si="301"/>
        <v>0</v>
      </c>
      <c r="AM613" s="36">
        <f t="shared" si="302"/>
        <v>0</v>
      </c>
      <c r="AN613" s="36">
        <f t="shared" si="303"/>
        <v>0</v>
      </c>
      <c r="AO613" s="70">
        <f>SUM(AO599,AO600,AO604)</f>
        <v>114</v>
      </c>
      <c r="AP613" s="70">
        <f>SUM(AP599,AP600,AP604)</f>
        <v>152</v>
      </c>
      <c r="AQ613" s="21">
        <f t="shared" si="296"/>
        <v>0.75</v>
      </c>
      <c r="AR613" s="70">
        <f>SUM(AR599,AR600,AR604)</f>
        <v>1528</v>
      </c>
      <c r="AS613" s="70">
        <f>SUM(AS599,AS600,AS604)</f>
        <v>1733</v>
      </c>
      <c r="AT613" s="21">
        <f t="shared" si="297"/>
        <v>0.88170802077322563</v>
      </c>
      <c r="AU613" s="70"/>
      <c r="AV613" s="70"/>
      <c r="AW613" s="37" t="str">
        <f t="shared" si="298"/>
        <v>-</v>
      </c>
      <c r="AX613" s="170"/>
      <c r="AY613" s="169"/>
      <c r="AZ613" s="169"/>
      <c r="BA613" s="169"/>
      <c r="BB613" s="169"/>
      <c r="BC613" s="169"/>
    </row>
    <row r="614" spans="1:55" ht="14.25" customHeight="1">
      <c r="A614" s="12" t="s">
        <v>93</v>
      </c>
      <c r="B614" s="84">
        <f>SUM(B592,B598)</f>
        <v>134</v>
      </c>
      <c r="C614" s="84">
        <f>SUM(C592,C598)</f>
        <v>138</v>
      </c>
      <c r="D614" s="65">
        <f t="shared" si="277"/>
        <v>0.97101449275362317</v>
      </c>
      <c r="E614" s="66">
        <f>SUM(E592,E598)</f>
        <v>125</v>
      </c>
      <c r="F614" s="66">
        <f>SUM(F592,F598)</f>
        <v>138</v>
      </c>
      <c r="G614" s="67">
        <f t="shared" si="278"/>
        <v>0.90579710144927539</v>
      </c>
      <c r="H614" s="84">
        <f>SUM(H592,H598)</f>
        <v>115</v>
      </c>
      <c r="I614" s="84">
        <f>SUM(I592,I598)</f>
        <v>131</v>
      </c>
      <c r="J614" s="65">
        <f t="shared" si="279"/>
        <v>0.87786259541984735</v>
      </c>
      <c r="K614" s="66">
        <f t="shared" si="280"/>
        <v>0</v>
      </c>
      <c r="L614" s="66">
        <f t="shared" si="281"/>
        <v>0</v>
      </c>
      <c r="M614" s="83" t="str">
        <f t="shared" si="282"/>
        <v>-</v>
      </c>
      <c r="N614" s="66">
        <f t="shared" si="283"/>
        <v>0</v>
      </c>
      <c r="O614" s="66">
        <f t="shared" si="284"/>
        <v>0</v>
      </c>
      <c r="P614" s="83" t="str">
        <f t="shared" si="285"/>
        <v>-</v>
      </c>
      <c r="Q614" s="66">
        <f t="shared" si="286"/>
        <v>0</v>
      </c>
      <c r="R614" s="66">
        <f t="shared" si="287"/>
        <v>0</v>
      </c>
      <c r="S614" s="83" t="str">
        <f t="shared" si="288"/>
        <v>-</v>
      </c>
      <c r="T614" s="64">
        <f>SUM(T592,T598)</f>
        <v>16</v>
      </c>
      <c r="U614" s="64">
        <f>SUM(U592,U598)</f>
        <v>16</v>
      </c>
      <c r="V614" s="65">
        <f t="shared" si="289"/>
        <v>1</v>
      </c>
      <c r="W614" s="64">
        <f>SUM(W592,W598)</f>
        <v>129</v>
      </c>
      <c r="X614" s="64">
        <f>SUM(X592,X598)</f>
        <v>130</v>
      </c>
      <c r="Y614" s="65">
        <f t="shared" si="290"/>
        <v>0.99230769230769234</v>
      </c>
      <c r="Z614" s="64">
        <f>SUM(Z592,Z598)</f>
        <v>145</v>
      </c>
      <c r="AA614" s="64">
        <f>SUM(AA592,AA598)</f>
        <v>146</v>
      </c>
      <c r="AB614" s="65">
        <f t="shared" si="291"/>
        <v>0.99315068493150682</v>
      </c>
      <c r="AC614" s="70">
        <f>SUM(AC592,AC598)</f>
        <v>0</v>
      </c>
      <c r="AD614" s="70">
        <f>SUM(AD592,AD598)</f>
        <v>0</v>
      </c>
      <c r="AE614" s="37" t="str">
        <f t="shared" si="292"/>
        <v>-</v>
      </c>
      <c r="AF614" s="69">
        <f>SUM(AF592,AF598)</f>
        <v>0</v>
      </c>
      <c r="AG614" s="69">
        <f>SUM(AG592,AG598)</f>
        <v>0</v>
      </c>
      <c r="AH614" s="44" t="str">
        <f t="shared" si="293"/>
        <v>-</v>
      </c>
      <c r="AI614" s="70">
        <f>SUM(AI592,AI598)</f>
        <v>1734</v>
      </c>
      <c r="AJ614" s="70">
        <f>SUM(AJ592,AJ598)</f>
        <v>2693</v>
      </c>
      <c r="AK614" s="21">
        <f t="shared" si="294"/>
        <v>0.64389157073895287</v>
      </c>
      <c r="AL614" s="36">
        <f t="shared" si="301"/>
        <v>0</v>
      </c>
      <c r="AM614" s="36">
        <f t="shared" si="302"/>
        <v>0</v>
      </c>
      <c r="AN614" s="36">
        <f t="shared" si="303"/>
        <v>0</v>
      </c>
      <c r="AO614" s="70">
        <f>SUM(AO592,AO598)</f>
        <v>46</v>
      </c>
      <c r="AP614" s="70">
        <f>SUM(AP592,AP598)</f>
        <v>64</v>
      </c>
      <c r="AQ614" s="21">
        <f t="shared" si="296"/>
        <v>0.71875</v>
      </c>
      <c r="AR614" s="70">
        <f>SUM(AR592,AR598)</f>
        <v>421</v>
      </c>
      <c r="AS614" s="70">
        <f>SUM(AS592,AS598)</f>
        <v>540</v>
      </c>
      <c r="AT614" s="21">
        <f t="shared" si="297"/>
        <v>0.77962962962962967</v>
      </c>
      <c r="AU614" s="70"/>
      <c r="AV614" s="70"/>
      <c r="AW614" s="37" t="str">
        <f t="shared" si="298"/>
        <v>-</v>
      </c>
      <c r="AX614" s="170"/>
      <c r="AY614" s="169"/>
      <c r="AZ614" s="169"/>
      <c r="BA614" s="169"/>
      <c r="BB614" s="169"/>
      <c r="BC614" s="169"/>
    </row>
    <row r="615" spans="1:55" ht="14.25" customHeight="1">
      <c r="A615" s="12" t="s">
        <v>94</v>
      </c>
      <c r="B615" s="64">
        <f>SUM(B593,B604)</f>
        <v>53</v>
      </c>
      <c r="C615" s="64">
        <f>SUM(C593,C604)</f>
        <v>57</v>
      </c>
      <c r="D615" s="65">
        <f t="shared" si="277"/>
        <v>0.92982456140350878</v>
      </c>
      <c r="E615" s="66">
        <f>SUM(E593,E604)</f>
        <v>42</v>
      </c>
      <c r="F615" s="66">
        <f>SUM(F593,F604)</f>
        <v>57</v>
      </c>
      <c r="G615" s="67">
        <f t="shared" si="278"/>
        <v>0.73684210526315785</v>
      </c>
      <c r="H615" s="64">
        <f>SUM(H593,H604)</f>
        <v>77</v>
      </c>
      <c r="I615" s="64">
        <f>SUM(I593,I604)</f>
        <v>89</v>
      </c>
      <c r="J615" s="65">
        <f t="shared" si="279"/>
        <v>0.8651685393258427</v>
      </c>
      <c r="K615" s="66">
        <f t="shared" si="280"/>
        <v>0</v>
      </c>
      <c r="L615" s="66">
        <f t="shared" si="281"/>
        <v>0</v>
      </c>
      <c r="M615" s="83" t="str">
        <f t="shared" si="282"/>
        <v>-</v>
      </c>
      <c r="N615" s="66">
        <f t="shared" si="283"/>
        <v>0</v>
      </c>
      <c r="O615" s="66">
        <f t="shared" si="284"/>
        <v>0</v>
      </c>
      <c r="P615" s="83" t="str">
        <f t="shared" si="285"/>
        <v>-</v>
      </c>
      <c r="Q615" s="66">
        <f t="shared" si="286"/>
        <v>0</v>
      </c>
      <c r="R615" s="66">
        <f t="shared" si="287"/>
        <v>0</v>
      </c>
      <c r="S615" s="83" t="str">
        <f t="shared" si="288"/>
        <v>-</v>
      </c>
      <c r="T615" s="64">
        <f>SUM(T593,T604)</f>
        <v>2</v>
      </c>
      <c r="U615" s="64">
        <f>SUM(U593,U604)</f>
        <v>2</v>
      </c>
      <c r="V615" s="65">
        <f t="shared" si="289"/>
        <v>1</v>
      </c>
      <c r="W615" s="64">
        <f>SUM(W593,W604)</f>
        <v>36</v>
      </c>
      <c r="X615" s="64">
        <f>SUM(X593,X604)</f>
        <v>36</v>
      </c>
      <c r="Y615" s="65">
        <f t="shared" si="290"/>
        <v>1</v>
      </c>
      <c r="Z615" s="64">
        <f>SUM(Z593,Z604)</f>
        <v>38</v>
      </c>
      <c r="AA615" s="64">
        <f>SUM(AA593,AA604)</f>
        <v>38</v>
      </c>
      <c r="AB615" s="65">
        <f t="shared" si="291"/>
        <v>1</v>
      </c>
      <c r="AC615" s="70">
        <f>SUM(AC593,AC604)</f>
        <v>0</v>
      </c>
      <c r="AD615" s="70">
        <f>SUM(AD593,AD604)</f>
        <v>0</v>
      </c>
      <c r="AE615" s="37" t="str">
        <f t="shared" si="292"/>
        <v>-</v>
      </c>
      <c r="AF615" s="69">
        <f>SUM(AF593,AF604)</f>
        <v>0</v>
      </c>
      <c r="AG615" s="69">
        <f>SUM(AG593,AG604)</f>
        <v>0</v>
      </c>
      <c r="AH615" s="44" t="str">
        <f t="shared" si="293"/>
        <v>-</v>
      </c>
      <c r="AI615" s="70">
        <f>SUM(AI593,AI604)</f>
        <v>1266</v>
      </c>
      <c r="AJ615" s="70">
        <f>SUM(AJ593,AJ604)</f>
        <v>1848</v>
      </c>
      <c r="AK615" s="21">
        <f t="shared" si="294"/>
        <v>0.68506493506493504</v>
      </c>
      <c r="AL615" s="36">
        <f t="shared" si="301"/>
        <v>0</v>
      </c>
      <c r="AM615" s="36">
        <f t="shared" si="302"/>
        <v>0</v>
      </c>
      <c r="AN615" s="36">
        <f t="shared" si="303"/>
        <v>0</v>
      </c>
      <c r="AO615" s="70">
        <f>SUM(AO593,AO604)</f>
        <v>7</v>
      </c>
      <c r="AP615" s="70">
        <f>SUM(AP593,AP604)</f>
        <v>8</v>
      </c>
      <c r="AQ615" s="21">
        <f t="shared" si="296"/>
        <v>0.875</v>
      </c>
      <c r="AR615" s="97">
        <f>SUM(AR593,AR604)</f>
        <v>152</v>
      </c>
      <c r="AS615" s="97">
        <f>SUM(AS593,AS604)</f>
        <v>173</v>
      </c>
      <c r="AT615" s="21">
        <f t="shared" si="297"/>
        <v>0.87861271676300579</v>
      </c>
      <c r="AU615" s="70"/>
      <c r="AV615" s="70"/>
      <c r="AW615" s="37" t="str">
        <f t="shared" si="298"/>
        <v>-</v>
      </c>
      <c r="AX615" s="170"/>
      <c r="AY615" s="169"/>
      <c r="AZ615" s="169"/>
      <c r="BA615" s="169"/>
      <c r="BB615" s="169"/>
      <c r="BC615" s="169"/>
    </row>
    <row r="616" spans="1:55" ht="14.25" customHeight="1">
      <c r="A616" s="12" t="s">
        <v>95</v>
      </c>
      <c r="B616" s="64">
        <f>SUM(B595:B596)</f>
        <v>47</v>
      </c>
      <c r="C616" s="64">
        <f>SUM(C595:C596)</f>
        <v>51</v>
      </c>
      <c r="D616" s="65">
        <f t="shared" si="277"/>
        <v>0.92156862745098034</v>
      </c>
      <c r="E616" s="66">
        <f>SUM(E595,E596)</f>
        <v>36</v>
      </c>
      <c r="F616" s="66">
        <f>SUM(F595,F596)</f>
        <v>51</v>
      </c>
      <c r="G616" s="67">
        <f t="shared" si="278"/>
        <v>0.70588235294117652</v>
      </c>
      <c r="H616" s="64">
        <f>SUM(H595:H596)</f>
        <v>33</v>
      </c>
      <c r="I616" s="64">
        <f>SUM(I595:I596)</f>
        <v>40</v>
      </c>
      <c r="J616" s="65">
        <f t="shared" si="279"/>
        <v>0.82499999999999996</v>
      </c>
      <c r="K616" s="66">
        <f t="shared" si="280"/>
        <v>0</v>
      </c>
      <c r="L616" s="66">
        <f t="shared" si="281"/>
        <v>0</v>
      </c>
      <c r="M616" s="83" t="str">
        <f t="shared" si="282"/>
        <v>-</v>
      </c>
      <c r="N616" s="66">
        <f t="shared" si="283"/>
        <v>0</v>
      </c>
      <c r="O616" s="66">
        <f t="shared" si="284"/>
        <v>0</v>
      </c>
      <c r="P616" s="83" t="str">
        <f t="shared" si="285"/>
        <v>-</v>
      </c>
      <c r="Q616" s="66">
        <f t="shared" si="286"/>
        <v>0</v>
      </c>
      <c r="R616" s="66">
        <f t="shared" si="287"/>
        <v>0</v>
      </c>
      <c r="S616" s="83" t="str">
        <f t="shared" si="288"/>
        <v>-</v>
      </c>
      <c r="T616" s="64">
        <f>SUM(T595,T596)</f>
        <v>7</v>
      </c>
      <c r="U616" s="64">
        <f>SUM(U595,U596)</f>
        <v>7</v>
      </c>
      <c r="V616" s="65">
        <f t="shared" si="289"/>
        <v>1</v>
      </c>
      <c r="W616" s="64">
        <f>SUM(W595,W596)</f>
        <v>22</v>
      </c>
      <c r="X616" s="64">
        <f>SUM(X595,X596)</f>
        <v>24</v>
      </c>
      <c r="Y616" s="65">
        <f t="shared" si="290"/>
        <v>0.91666666666666663</v>
      </c>
      <c r="Z616" s="64">
        <f>SUM(Z595,Z596)</f>
        <v>29</v>
      </c>
      <c r="AA616" s="64">
        <f>SUM(AA595,AA596)</f>
        <v>31</v>
      </c>
      <c r="AB616" s="65">
        <f t="shared" si="291"/>
        <v>0.93548387096774188</v>
      </c>
      <c r="AC616" s="70">
        <f>SUM(AC595,AC596)</f>
        <v>0</v>
      </c>
      <c r="AD616" s="70">
        <f>SUM(AD595,AD596)</f>
        <v>0</v>
      </c>
      <c r="AE616" s="37" t="str">
        <f t="shared" si="292"/>
        <v>-</v>
      </c>
      <c r="AF616" s="69">
        <f>SUM(AF595,AF596)</f>
        <v>0</v>
      </c>
      <c r="AG616" s="69">
        <f>SUM(AG595,AG596)</f>
        <v>0</v>
      </c>
      <c r="AH616" s="44" t="str">
        <f t="shared" si="293"/>
        <v>-</v>
      </c>
      <c r="AI616" s="70">
        <f>SUM(AI595,AI596)</f>
        <v>563</v>
      </c>
      <c r="AJ616" s="70">
        <f>SUM(AJ595,AJ596)</f>
        <v>772</v>
      </c>
      <c r="AK616" s="21">
        <f t="shared" si="294"/>
        <v>0.72927461139896377</v>
      </c>
      <c r="AL616" s="36">
        <f t="shared" si="301"/>
        <v>0</v>
      </c>
      <c r="AM616" s="36">
        <f t="shared" si="302"/>
        <v>0</v>
      </c>
      <c r="AN616" s="36">
        <f t="shared" si="303"/>
        <v>0</v>
      </c>
      <c r="AO616" s="70">
        <f>SUM(AO595,AO596)</f>
        <v>23</v>
      </c>
      <c r="AP616" s="70">
        <f>SUM(AP595,AP596)</f>
        <v>28</v>
      </c>
      <c r="AQ616" s="21">
        <f t="shared" si="296"/>
        <v>0.8214285714285714</v>
      </c>
      <c r="AR616" s="97">
        <f>SUM(AR595,AR596)</f>
        <v>153</v>
      </c>
      <c r="AS616" s="97">
        <f>SUM(AS595,AS596)</f>
        <v>184</v>
      </c>
      <c r="AT616" s="21">
        <f t="shared" si="297"/>
        <v>0.83152173913043481</v>
      </c>
      <c r="AU616" s="70"/>
      <c r="AV616" s="70"/>
      <c r="AW616" s="37" t="str">
        <f t="shared" si="298"/>
        <v>-</v>
      </c>
      <c r="AX616" s="170"/>
      <c r="AY616" s="169"/>
      <c r="AZ616" s="169"/>
      <c r="BA616" s="169"/>
      <c r="BB616" s="169"/>
      <c r="BC616" s="169"/>
    </row>
    <row r="617" spans="1:55" ht="14.25" customHeight="1">
      <c r="A617" s="12" t="s">
        <v>96</v>
      </c>
      <c r="B617" s="64">
        <f>SUM(B608,B603)</f>
        <v>55</v>
      </c>
      <c r="C617" s="64">
        <f>SUM(C608,C603)</f>
        <v>61</v>
      </c>
      <c r="D617" s="65">
        <f t="shared" si="277"/>
        <v>0.90163934426229508</v>
      </c>
      <c r="E617" s="66">
        <f>SUM(E603,E608)</f>
        <v>44</v>
      </c>
      <c r="F617" s="66">
        <f>SUM(F603,F608)</f>
        <v>61</v>
      </c>
      <c r="G617" s="67">
        <f t="shared" si="278"/>
        <v>0.72131147540983609</v>
      </c>
      <c r="H617" s="64">
        <f>SUM(H608,H603)</f>
        <v>42</v>
      </c>
      <c r="I617" s="64">
        <f>SUM(I608,I603)</f>
        <v>44</v>
      </c>
      <c r="J617" s="65">
        <f t="shared" si="279"/>
        <v>0.95454545454545459</v>
      </c>
      <c r="K617" s="66">
        <f t="shared" si="280"/>
        <v>0</v>
      </c>
      <c r="L617" s="66">
        <f t="shared" si="281"/>
        <v>0</v>
      </c>
      <c r="M617" s="83" t="str">
        <f t="shared" si="282"/>
        <v>-</v>
      </c>
      <c r="N617" s="66">
        <f t="shared" si="283"/>
        <v>0</v>
      </c>
      <c r="O617" s="66">
        <f t="shared" si="284"/>
        <v>0</v>
      </c>
      <c r="P617" s="83" t="str">
        <f t="shared" si="285"/>
        <v>-</v>
      </c>
      <c r="Q617" s="66">
        <f t="shared" si="286"/>
        <v>0</v>
      </c>
      <c r="R617" s="66">
        <f t="shared" si="287"/>
        <v>0</v>
      </c>
      <c r="S617" s="83" t="str">
        <f t="shared" si="288"/>
        <v>-</v>
      </c>
      <c r="T617" s="64">
        <f>SUM(T603,T608)</f>
        <v>0</v>
      </c>
      <c r="U617" s="64">
        <f>SUM(U603,U608)</f>
        <v>0</v>
      </c>
      <c r="V617" s="80" t="str">
        <f t="shared" si="289"/>
        <v>-</v>
      </c>
      <c r="W617" s="64">
        <f>SUM(W603,W608)</f>
        <v>11</v>
      </c>
      <c r="X617" s="64">
        <f>SUM(X603,X608)</f>
        <v>11</v>
      </c>
      <c r="Y617" s="65">
        <f t="shared" si="290"/>
        <v>1</v>
      </c>
      <c r="Z617" s="64">
        <f>SUM(Z603,Z608)</f>
        <v>11</v>
      </c>
      <c r="AA617" s="64">
        <f>SUM(AA603,AA608)</f>
        <v>11</v>
      </c>
      <c r="AB617" s="65">
        <f t="shared" si="291"/>
        <v>1</v>
      </c>
      <c r="AC617" s="70">
        <f>SUM(AC603,AC608)</f>
        <v>0</v>
      </c>
      <c r="AD617" s="70">
        <f>SUM(AD603,AD608)</f>
        <v>0</v>
      </c>
      <c r="AE617" s="37" t="str">
        <f t="shared" si="292"/>
        <v>-</v>
      </c>
      <c r="AF617" s="69">
        <f>SUM(AF603,AF608)</f>
        <v>0</v>
      </c>
      <c r="AG617" s="69">
        <f>SUM(AG603,AG608)</f>
        <v>0</v>
      </c>
      <c r="AH617" s="44" t="str">
        <f t="shared" si="293"/>
        <v>-</v>
      </c>
      <c r="AI617" s="70">
        <f>SUM(AI603,AI608)</f>
        <v>579</v>
      </c>
      <c r="AJ617" s="70">
        <f>SUM(AJ603,AJ608)</f>
        <v>974</v>
      </c>
      <c r="AK617" s="21">
        <f t="shared" si="294"/>
        <v>0.59445585215605745</v>
      </c>
      <c r="AL617" s="36">
        <f t="shared" si="301"/>
        <v>0</v>
      </c>
      <c r="AM617" s="36">
        <f t="shared" si="302"/>
        <v>0</v>
      </c>
      <c r="AN617" s="36">
        <f t="shared" si="303"/>
        <v>0</v>
      </c>
      <c r="AO617" s="70">
        <f>SUM(AO603,AO608)</f>
        <v>0</v>
      </c>
      <c r="AP617" s="70">
        <f>SUM(AP603,AP608)</f>
        <v>0</v>
      </c>
      <c r="AQ617" s="37" t="str">
        <f t="shared" si="296"/>
        <v>-</v>
      </c>
      <c r="AR617" s="97">
        <f>SUM(AR603,AR608)</f>
        <v>43</v>
      </c>
      <c r="AS617" s="97">
        <f>SUM(AS603,AS608)</f>
        <v>48</v>
      </c>
      <c r="AT617" s="21">
        <f t="shared" si="297"/>
        <v>0.89583333333333337</v>
      </c>
      <c r="AU617" s="70"/>
      <c r="AV617" s="70"/>
      <c r="AW617" s="37" t="str">
        <f t="shared" si="298"/>
        <v>-</v>
      </c>
      <c r="AX617" s="170"/>
      <c r="AY617" s="169"/>
      <c r="AZ617" s="169"/>
      <c r="BA617" s="169"/>
      <c r="BB617" s="169"/>
      <c r="BC617" s="169"/>
    </row>
    <row r="618" spans="1:55" ht="14.25" customHeight="1">
      <c r="A618" s="43" t="s">
        <v>97</v>
      </c>
      <c r="B618" s="98">
        <v>43</v>
      </c>
      <c r="C618" s="98">
        <v>54</v>
      </c>
      <c r="D618" s="65">
        <f t="shared" si="277"/>
        <v>0.79629629629629628</v>
      </c>
      <c r="E618" s="99">
        <v>43</v>
      </c>
      <c r="F618" s="99">
        <v>54</v>
      </c>
      <c r="G618" s="67">
        <f t="shared" si="278"/>
        <v>0.79629629629629628</v>
      </c>
      <c r="H618" s="94" t="s">
        <v>19</v>
      </c>
      <c r="I618" s="94" t="s">
        <v>19</v>
      </c>
      <c r="J618" s="80" t="str">
        <f t="shared" si="279"/>
        <v>-</v>
      </c>
      <c r="K618" s="66">
        <f t="shared" si="280"/>
        <v>0</v>
      </c>
      <c r="L618" s="66">
        <f t="shared" si="281"/>
        <v>0</v>
      </c>
      <c r="M618" s="83" t="str">
        <f t="shared" si="282"/>
        <v>-</v>
      </c>
      <c r="N618" s="66">
        <f t="shared" si="283"/>
        <v>0</v>
      </c>
      <c r="O618" s="66">
        <f t="shared" si="284"/>
        <v>0</v>
      </c>
      <c r="P618" s="83" t="str">
        <f t="shared" si="285"/>
        <v>-</v>
      </c>
      <c r="Q618" s="66">
        <f t="shared" si="286"/>
        <v>0</v>
      </c>
      <c r="R618" s="66">
        <f t="shared" si="287"/>
        <v>0</v>
      </c>
      <c r="S618" s="83" t="str">
        <f t="shared" si="288"/>
        <v>-</v>
      </c>
      <c r="T618" s="94" t="s">
        <v>19</v>
      </c>
      <c r="U618" s="94" t="s">
        <v>19</v>
      </c>
      <c r="V618" s="80" t="str">
        <f t="shared" si="289"/>
        <v>-</v>
      </c>
      <c r="W618" s="94" t="s">
        <v>19</v>
      </c>
      <c r="X618" s="94" t="s">
        <v>19</v>
      </c>
      <c r="Y618" s="80" t="str">
        <f t="shared" si="290"/>
        <v>-</v>
      </c>
      <c r="Z618" s="64">
        <f t="shared" ref="Z618:AA622" si="304">SUM(T618,W618)</f>
        <v>0</v>
      </c>
      <c r="AA618" s="64">
        <f t="shared" si="304"/>
        <v>0</v>
      </c>
      <c r="AB618" s="80" t="str">
        <f t="shared" si="291"/>
        <v>-</v>
      </c>
      <c r="AC618" s="139">
        <v>17</v>
      </c>
      <c r="AD618" s="139">
        <v>43</v>
      </c>
      <c r="AE618" s="21">
        <f t="shared" si="292"/>
        <v>0.39534883720930231</v>
      </c>
      <c r="AF618" s="44" t="s">
        <v>19</v>
      </c>
      <c r="AG618" s="44" t="s">
        <v>19</v>
      </c>
      <c r="AH618" s="44" t="str">
        <f t="shared" si="293"/>
        <v>-</v>
      </c>
      <c r="AI618" s="171"/>
      <c r="AJ618" s="171"/>
      <c r="AK618" s="37" t="str">
        <f t="shared" si="294"/>
        <v>-</v>
      </c>
      <c r="AL618" s="36">
        <f t="shared" si="301"/>
        <v>0</v>
      </c>
      <c r="AM618" s="36">
        <f t="shared" si="302"/>
        <v>0</v>
      </c>
      <c r="AN618" s="36">
        <f t="shared" si="303"/>
        <v>0</v>
      </c>
      <c r="AO618" s="121" t="s">
        <v>19</v>
      </c>
      <c r="AP618" s="121" t="s">
        <v>19</v>
      </c>
      <c r="AQ618" s="37" t="str">
        <f t="shared" si="296"/>
        <v>-</v>
      </c>
      <c r="AR618" s="121" t="s">
        <v>19</v>
      </c>
      <c r="AS618" s="121" t="s">
        <v>19</v>
      </c>
      <c r="AT618" s="37" t="str">
        <f t="shared" si="297"/>
        <v>-</v>
      </c>
      <c r="AU618" s="70"/>
      <c r="AV618" s="70"/>
      <c r="AW618" s="37" t="str">
        <f t="shared" si="298"/>
        <v>-</v>
      </c>
      <c r="AX618" s="170"/>
      <c r="AY618" s="169"/>
      <c r="AZ618" s="169"/>
      <c r="BA618" s="169"/>
      <c r="BB618" s="169"/>
      <c r="BC618" s="169"/>
    </row>
    <row r="619" spans="1:55" ht="14.25" customHeight="1">
      <c r="A619" s="43" t="s">
        <v>98</v>
      </c>
      <c r="B619" s="98">
        <v>16</v>
      </c>
      <c r="C619" s="98">
        <v>22</v>
      </c>
      <c r="D619" s="65">
        <f t="shared" si="277"/>
        <v>0.72727272727272729</v>
      </c>
      <c r="E619" s="99">
        <v>18</v>
      </c>
      <c r="F619" s="99">
        <v>22</v>
      </c>
      <c r="G619" s="67">
        <f t="shared" si="278"/>
        <v>0.81818181818181823</v>
      </c>
      <c r="H619" s="94" t="s">
        <v>19</v>
      </c>
      <c r="I619" s="94" t="s">
        <v>19</v>
      </c>
      <c r="J619" s="80" t="str">
        <f t="shared" si="279"/>
        <v>-</v>
      </c>
      <c r="K619" s="66">
        <f t="shared" si="280"/>
        <v>0</v>
      </c>
      <c r="L619" s="66">
        <f t="shared" si="281"/>
        <v>0</v>
      </c>
      <c r="M619" s="83" t="str">
        <f t="shared" si="282"/>
        <v>-</v>
      </c>
      <c r="N619" s="66">
        <f t="shared" si="283"/>
        <v>0</v>
      </c>
      <c r="O619" s="66">
        <f t="shared" si="284"/>
        <v>0</v>
      </c>
      <c r="P619" s="83" t="str">
        <f t="shared" si="285"/>
        <v>-</v>
      </c>
      <c r="Q619" s="66">
        <f t="shared" si="286"/>
        <v>0</v>
      </c>
      <c r="R619" s="66">
        <f t="shared" si="287"/>
        <v>0</v>
      </c>
      <c r="S619" s="83" t="str">
        <f t="shared" si="288"/>
        <v>-</v>
      </c>
      <c r="T619" s="94" t="s">
        <v>19</v>
      </c>
      <c r="U619" s="94" t="s">
        <v>19</v>
      </c>
      <c r="V619" s="80" t="str">
        <f t="shared" si="289"/>
        <v>-</v>
      </c>
      <c r="W619" s="94" t="s">
        <v>19</v>
      </c>
      <c r="X619" s="94" t="s">
        <v>19</v>
      </c>
      <c r="Y619" s="80" t="str">
        <f t="shared" si="290"/>
        <v>-</v>
      </c>
      <c r="Z619" s="64">
        <f t="shared" si="304"/>
        <v>0</v>
      </c>
      <c r="AA619" s="64">
        <f t="shared" si="304"/>
        <v>0</v>
      </c>
      <c r="AB619" s="80" t="str">
        <f t="shared" si="291"/>
        <v>-</v>
      </c>
      <c r="AC619" s="139">
        <v>10</v>
      </c>
      <c r="AD619" s="139">
        <v>16</v>
      </c>
      <c r="AE619" s="21">
        <f t="shared" si="292"/>
        <v>0.625</v>
      </c>
      <c r="AF619" s="44" t="s">
        <v>19</v>
      </c>
      <c r="AG619" s="44" t="s">
        <v>19</v>
      </c>
      <c r="AH619" s="44" t="str">
        <f t="shared" si="293"/>
        <v>-</v>
      </c>
      <c r="AI619" s="171"/>
      <c r="AJ619" s="171"/>
      <c r="AK619" s="37" t="str">
        <f t="shared" si="294"/>
        <v>-</v>
      </c>
      <c r="AL619" s="36">
        <f t="shared" si="301"/>
        <v>0</v>
      </c>
      <c r="AM619" s="36">
        <f t="shared" si="302"/>
        <v>0</v>
      </c>
      <c r="AN619" s="36">
        <f t="shared" si="303"/>
        <v>0</v>
      </c>
      <c r="AO619" s="121" t="s">
        <v>19</v>
      </c>
      <c r="AP619" s="121" t="s">
        <v>19</v>
      </c>
      <c r="AQ619" s="37" t="str">
        <f t="shared" si="296"/>
        <v>-</v>
      </c>
      <c r="AR619" s="121" t="s">
        <v>19</v>
      </c>
      <c r="AS619" s="121" t="s">
        <v>19</v>
      </c>
      <c r="AT619" s="37" t="str">
        <f t="shared" si="297"/>
        <v>-</v>
      </c>
      <c r="AU619" s="70"/>
      <c r="AV619" s="70"/>
      <c r="AW619" s="37" t="str">
        <f t="shared" si="298"/>
        <v>-</v>
      </c>
      <c r="AX619" s="170"/>
      <c r="AY619" s="169"/>
      <c r="AZ619" s="169"/>
      <c r="BA619" s="169"/>
      <c r="BB619" s="169"/>
      <c r="BC619" s="169"/>
    </row>
    <row r="620" spans="1:55" ht="14.25" customHeight="1">
      <c r="A620" s="43" t="s">
        <v>99</v>
      </c>
      <c r="B620" s="98">
        <v>59</v>
      </c>
      <c r="C620" s="98">
        <v>71</v>
      </c>
      <c r="D620" s="65">
        <f t="shared" si="277"/>
        <v>0.83098591549295775</v>
      </c>
      <c r="E620" s="99">
        <v>63</v>
      </c>
      <c r="F620" s="99">
        <v>71</v>
      </c>
      <c r="G620" s="67">
        <f t="shared" si="278"/>
        <v>0.88732394366197187</v>
      </c>
      <c r="H620" s="94" t="s">
        <v>19</v>
      </c>
      <c r="I620" s="94" t="s">
        <v>19</v>
      </c>
      <c r="J620" s="80" t="str">
        <f t="shared" si="279"/>
        <v>-</v>
      </c>
      <c r="K620" s="66">
        <f t="shared" si="280"/>
        <v>0</v>
      </c>
      <c r="L620" s="66">
        <f t="shared" si="281"/>
        <v>0</v>
      </c>
      <c r="M620" s="83" t="str">
        <f t="shared" si="282"/>
        <v>-</v>
      </c>
      <c r="N620" s="66">
        <f t="shared" si="283"/>
        <v>0</v>
      </c>
      <c r="O620" s="66">
        <f t="shared" si="284"/>
        <v>0</v>
      </c>
      <c r="P620" s="83" t="str">
        <f t="shared" si="285"/>
        <v>-</v>
      </c>
      <c r="Q620" s="66">
        <f t="shared" si="286"/>
        <v>0</v>
      </c>
      <c r="R620" s="66">
        <f t="shared" si="287"/>
        <v>0</v>
      </c>
      <c r="S620" s="83" t="str">
        <f t="shared" si="288"/>
        <v>-</v>
      </c>
      <c r="T620" s="94" t="s">
        <v>19</v>
      </c>
      <c r="U620" s="94" t="s">
        <v>19</v>
      </c>
      <c r="V620" s="80" t="str">
        <f t="shared" si="289"/>
        <v>-</v>
      </c>
      <c r="W620" s="94" t="s">
        <v>19</v>
      </c>
      <c r="X620" s="94" t="s">
        <v>19</v>
      </c>
      <c r="Y620" s="80" t="str">
        <f t="shared" si="290"/>
        <v>-</v>
      </c>
      <c r="Z620" s="64">
        <f t="shared" si="304"/>
        <v>0</v>
      </c>
      <c r="AA620" s="64">
        <f t="shared" si="304"/>
        <v>0</v>
      </c>
      <c r="AB620" s="80" t="str">
        <f t="shared" si="291"/>
        <v>-</v>
      </c>
      <c r="AC620" s="139">
        <v>38</v>
      </c>
      <c r="AD620" s="139">
        <v>59</v>
      </c>
      <c r="AE620" s="21">
        <f t="shared" si="292"/>
        <v>0.64406779661016944</v>
      </c>
      <c r="AF620" s="44" t="s">
        <v>19</v>
      </c>
      <c r="AG620" s="44" t="s">
        <v>19</v>
      </c>
      <c r="AH620" s="44" t="str">
        <f t="shared" si="293"/>
        <v>-</v>
      </c>
      <c r="AI620" s="171"/>
      <c r="AJ620" s="171"/>
      <c r="AK620" s="37" t="str">
        <f t="shared" si="294"/>
        <v>-</v>
      </c>
      <c r="AL620" s="36">
        <f t="shared" si="301"/>
        <v>0</v>
      </c>
      <c r="AM620" s="36">
        <f t="shared" si="302"/>
        <v>0</v>
      </c>
      <c r="AN620" s="36">
        <f t="shared" si="303"/>
        <v>0</v>
      </c>
      <c r="AO620" s="121" t="s">
        <v>19</v>
      </c>
      <c r="AP620" s="121" t="s">
        <v>19</v>
      </c>
      <c r="AQ620" s="37" t="str">
        <f t="shared" si="296"/>
        <v>-</v>
      </c>
      <c r="AR620" s="121" t="s">
        <v>19</v>
      </c>
      <c r="AS620" s="121" t="s">
        <v>19</v>
      </c>
      <c r="AT620" s="37" t="str">
        <f t="shared" si="297"/>
        <v>-</v>
      </c>
      <c r="AU620" s="70"/>
      <c r="AV620" s="70"/>
      <c r="AW620" s="37" t="str">
        <f t="shared" si="298"/>
        <v>-</v>
      </c>
      <c r="AX620" s="170"/>
      <c r="AY620" s="169"/>
      <c r="AZ620" s="169"/>
      <c r="BA620" s="169"/>
      <c r="BB620" s="169"/>
      <c r="BC620" s="169"/>
    </row>
    <row r="621" spans="1:55" ht="14.25" customHeight="1">
      <c r="A621" s="45" t="s">
        <v>100</v>
      </c>
      <c r="B621" s="98">
        <f t="shared" si="86"/>
        <v>13</v>
      </c>
      <c r="C621" s="98">
        <f t="shared" si="87"/>
        <v>14</v>
      </c>
      <c r="D621" s="65">
        <f t="shared" si="277"/>
        <v>0.9285714285714286</v>
      </c>
      <c r="E621" s="99">
        <v>13</v>
      </c>
      <c r="F621" s="99">
        <v>14</v>
      </c>
      <c r="G621" s="67">
        <f t="shared" si="278"/>
        <v>0.9285714285714286</v>
      </c>
      <c r="H621" s="94" t="s">
        <v>19</v>
      </c>
      <c r="I621" s="94" t="s">
        <v>19</v>
      </c>
      <c r="J621" s="80" t="str">
        <f t="shared" si="279"/>
        <v>-</v>
      </c>
      <c r="K621" s="66">
        <f t="shared" si="280"/>
        <v>0</v>
      </c>
      <c r="L621" s="66">
        <f t="shared" si="281"/>
        <v>0</v>
      </c>
      <c r="M621" s="83" t="str">
        <f t="shared" si="282"/>
        <v>-</v>
      </c>
      <c r="N621" s="66">
        <f t="shared" si="283"/>
        <v>0</v>
      </c>
      <c r="O621" s="66">
        <f t="shared" si="284"/>
        <v>0</v>
      </c>
      <c r="P621" s="83" t="str">
        <f t="shared" si="285"/>
        <v>-</v>
      </c>
      <c r="Q621" s="66">
        <f t="shared" si="286"/>
        <v>0</v>
      </c>
      <c r="R621" s="66">
        <f t="shared" si="287"/>
        <v>0</v>
      </c>
      <c r="S621" s="83" t="str">
        <f t="shared" si="288"/>
        <v>-</v>
      </c>
      <c r="T621" s="94" t="s">
        <v>19</v>
      </c>
      <c r="U621" s="94" t="s">
        <v>19</v>
      </c>
      <c r="V621" s="80" t="str">
        <f t="shared" si="289"/>
        <v>-</v>
      </c>
      <c r="W621" s="94" t="s">
        <v>19</v>
      </c>
      <c r="X621" s="94" t="s">
        <v>19</v>
      </c>
      <c r="Y621" s="80" t="str">
        <f t="shared" si="290"/>
        <v>-</v>
      </c>
      <c r="Z621" s="64">
        <f t="shared" si="304"/>
        <v>0</v>
      </c>
      <c r="AA621" s="64">
        <f t="shared" si="304"/>
        <v>0</v>
      </c>
      <c r="AB621" s="80" t="str">
        <f t="shared" si="291"/>
        <v>-</v>
      </c>
      <c r="AC621" s="139"/>
      <c r="AD621" s="139"/>
      <c r="AE621" s="37" t="str">
        <f t="shared" si="292"/>
        <v>-</v>
      </c>
      <c r="AF621" s="44" t="s">
        <v>19</v>
      </c>
      <c r="AG621" s="44" t="s">
        <v>19</v>
      </c>
      <c r="AH621" s="44" t="str">
        <f t="shared" si="293"/>
        <v>-</v>
      </c>
      <c r="AI621" s="171"/>
      <c r="AJ621" s="171"/>
      <c r="AK621" s="37" t="str">
        <f t="shared" si="294"/>
        <v>-</v>
      </c>
      <c r="AL621" s="36">
        <f t="shared" si="301"/>
        <v>0</v>
      </c>
      <c r="AM621" s="36">
        <f t="shared" si="302"/>
        <v>0</v>
      </c>
      <c r="AN621" s="36">
        <f t="shared" si="303"/>
        <v>0</v>
      </c>
      <c r="AO621" s="121" t="s">
        <v>19</v>
      </c>
      <c r="AP621" s="121" t="s">
        <v>19</v>
      </c>
      <c r="AQ621" s="37" t="str">
        <f t="shared" si="296"/>
        <v>-</v>
      </c>
      <c r="AR621" s="121" t="s">
        <v>19</v>
      </c>
      <c r="AS621" s="121" t="s">
        <v>19</v>
      </c>
      <c r="AT621" s="37" t="str">
        <f t="shared" si="297"/>
        <v>-</v>
      </c>
      <c r="AU621" s="70"/>
      <c r="AV621" s="70"/>
      <c r="AW621" s="37" t="str">
        <f t="shared" si="298"/>
        <v>-</v>
      </c>
      <c r="AX621" s="170"/>
      <c r="AY621" s="169"/>
      <c r="AZ621" s="169"/>
      <c r="BA621" s="169"/>
      <c r="BB621" s="169"/>
      <c r="BC621" s="169"/>
    </row>
    <row r="622" spans="1:55" ht="14.25" customHeight="1">
      <c r="A622" s="45" t="s">
        <v>101</v>
      </c>
      <c r="B622" s="98">
        <f t="shared" si="88"/>
        <v>17</v>
      </c>
      <c r="C622" s="98">
        <f t="shared" si="89"/>
        <v>19</v>
      </c>
      <c r="D622" s="65">
        <f t="shared" si="277"/>
        <v>0.89473684210526316</v>
      </c>
      <c r="E622" s="99">
        <v>18</v>
      </c>
      <c r="F622" s="99">
        <v>19</v>
      </c>
      <c r="G622" s="67">
        <f t="shared" si="278"/>
        <v>0.94736842105263153</v>
      </c>
      <c r="H622" s="94" t="s">
        <v>19</v>
      </c>
      <c r="I622" s="94" t="s">
        <v>19</v>
      </c>
      <c r="J622" s="80" t="str">
        <f t="shared" si="279"/>
        <v>-</v>
      </c>
      <c r="K622" s="66">
        <f t="shared" si="280"/>
        <v>0</v>
      </c>
      <c r="L622" s="66">
        <f t="shared" si="281"/>
        <v>0</v>
      </c>
      <c r="M622" s="83" t="str">
        <f t="shared" si="282"/>
        <v>-</v>
      </c>
      <c r="N622" s="66">
        <f t="shared" si="283"/>
        <v>0</v>
      </c>
      <c r="O622" s="66">
        <f t="shared" si="284"/>
        <v>0</v>
      </c>
      <c r="P622" s="83" t="str">
        <f t="shared" si="285"/>
        <v>-</v>
      </c>
      <c r="Q622" s="66">
        <f t="shared" si="286"/>
        <v>0</v>
      </c>
      <c r="R622" s="66">
        <f t="shared" si="287"/>
        <v>0</v>
      </c>
      <c r="S622" s="83" t="str">
        <f t="shared" si="288"/>
        <v>-</v>
      </c>
      <c r="T622" s="94" t="s">
        <v>19</v>
      </c>
      <c r="U622" s="94" t="s">
        <v>19</v>
      </c>
      <c r="V622" s="80" t="str">
        <f t="shared" si="289"/>
        <v>-</v>
      </c>
      <c r="W622" s="94" t="s">
        <v>19</v>
      </c>
      <c r="X622" s="94" t="s">
        <v>19</v>
      </c>
      <c r="Y622" s="80" t="str">
        <f t="shared" si="290"/>
        <v>-</v>
      </c>
      <c r="Z622" s="64">
        <f t="shared" si="304"/>
        <v>0</v>
      </c>
      <c r="AA622" s="64">
        <f t="shared" si="304"/>
        <v>0</v>
      </c>
      <c r="AB622" s="80" t="str">
        <f t="shared" si="291"/>
        <v>-</v>
      </c>
      <c r="AC622" s="139"/>
      <c r="AD622" s="139"/>
      <c r="AE622" s="37" t="str">
        <f t="shared" si="292"/>
        <v>-</v>
      </c>
      <c r="AF622" s="44" t="s">
        <v>19</v>
      </c>
      <c r="AG622" s="44" t="s">
        <v>19</v>
      </c>
      <c r="AH622" s="44" t="str">
        <f t="shared" si="293"/>
        <v>-</v>
      </c>
      <c r="AI622" s="171"/>
      <c r="AJ622" s="171"/>
      <c r="AK622" s="37" t="str">
        <f t="shared" si="294"/>
        <v>-</v>
      </c>
      <c r="AL622" s="36">
        <f t="shared" si="301"/>
        <v>0</v>
      </c>
      <c r="AM622" s="36">
        <f t="shared" si="302"/>
        <v>0</v>
      </c>
      <c r="AN622" s="36">
        <f t="shared" si="303"/>
        <v>0</v>
      </c>
      <c r="AO622" s="121" t="s">
        <v>19</v>
      </c>
      <c r="AP622" s="121" t="s">
        <v>19</v>
      </c>
      <c r="AQ622" s="37" t="str">
        <f t="shared" si="296"/>
        <v>-</v>
      </c>
      <c r="AR622" s="121" t="s">
        <v>19</v>
      </c>
      <c r="AS622" s="121" t="s">
        <v>19</v>
      </c>
      <c r="AT622" s="37" t="str">
        <f t="shared" si="297"/>
        <v>-</v>
      </c>
      <c r="AU622" s="70"/>
      <c r="AV622" s="70"/>
      <c r="AW622" s="37" t="str">
        <f t="shared" si="298"/>
        <v>-</v>
      </c>
      <c r="AX622" s="170"/>
      <c r="AY622" s="169"/>
      <c r="AZ622" s="169"/>
      <c r="BA622" s="169"/>
      <c r="BB622" s="169"/>
      <c r="BC622" s="169"/>
    </row>
    <row r="623" spans="1:55" ht="14.25" customHeight="1">
      <c r="A623" s="177"/>
      <c r="B623" s="177"/>
      <c r="C623" s="177"/>
      <c r="D623" s="177"/>
      <c r="E623" s="177"/>
      <c r="F623" s="177"/>
      <c r="G623" s="177"/>
      <c r="H623" s="177"/>
      <c r="I623" s="177"/>
      <c r="J623" s="177"/>
      <c r="K623" s="177"/>
      <c r="L623" s="177"/>
      <c r="M623" s="177"/>
      <c r="N623" s="177"/>
      <c r="O623" s="177"/>
      <c r="P623" s="177"/>
      <c r="Q623" s="177"/>
      <c r="R623" s="177"/>
      <c r="S623" s="177"/>
      <c r="T623" s="177"/>
      <c r="U623" s="177"/>
      <c r="V623" s="177"/>
      <c r="W623" s="177"/>
      <c r="X623" s="177"/>
      <c r="Y623" s="177"/>
      <c r="Z623" s="177"/>
      <c r="AA623" s="177"/>
      <c r="AB623" s="177"/>
      <c r="AC623" s="177"/>
      <c r="AD623" s="177"/>
      <c r="AE623" s="177"/>
      <c r="AF623" s="177"/>
      <c r="AG623" s="177"/>
      <c r="AH623" s="177"/>
      <c r="AI623" s="177"/>
      <c r="AJ623" s="177"/>
      <c r="AK623" s="177"/>
      <c r="AL623" s="177"/>
      <c r="AM623" s="177"/>
      <c r="AN623" s="177"/>
      <c r="AO623" s="177"/>
      <c r="AP623" s="177"/>
      <c r="AQ623" s="177"/>
      <c r="AR623" s="177"/>
      <c r="AS623" s="177"/>
      <c r="AT623" s="177"/>
      <c r="AU623" s="177"/>
      <c r="AV623" s="177"/>
      <c r="AW623" s="177"/>
      <c r="AX623" s="169"/>
      <c r="AY623" s="169"/>
      <c r="AZ623" s="169"/>
      <c r="BA623" s="169"/>
      <c r="BB623" s="169"/>
      <c r="BC623" s="169"/>
    </row>
    <row r="624" spans="1:55" ht="14.25" customHeight="1">
      <c r="A624" s="169"/>
      <c r="B624" s="169"/>
      <c r="C624" s="169"/>
      <c r="D624" s="169"/>
      <c r="E624" s="203"/>
      <c r="F624" s="169"/>
      <c r="G624" s="169"/>
      <c r="H624" s="169"/>
      <c r="I624" s="169"/>
      <c r="J624" s="169"/>
      <c r="K624" s="169"/>
      <c r="L624" s="169"/>
      <c r="M624" s="169"/>
      <c r="N624" s="169"/>
      <c r="O624" s="169"/>
      <c r="P624" s="169"/>
      <c r="Q624" s="169"/>
      <c r="R624" s="169"/>
      <c r="S624" s="169"/>
      <c r="T624" s="169"/>
      <c r="U624" s="169"/>
      <c r="V624" s="169"/>
      <c r="W624" s="169"/>
      <c r="X624" s="169"/>
      <c r="Y624" s="169"/>
      <c r="Z624" s="169"/>
      <c r="AA624" s="169"/>
      <c r="AB624" s="169"/>
      <c r="AC624" s="169"/>
      <c r="AD624" s="169"/>
      <c r="AE624" s="169"/>
      <c r="AF624" s="169"/>
      <c r="AG624" s="169"/>
      <c r="AH624" s="169"/>
      <c r="AI624" s="169"/>
      <c r="AJ624" s="169"/>
      <c r="AK624" s="169"/>
      <c r="AL624" s="169"/>
      <c r="AM624" s="169"/>
      <c r="AN624" s="169"/>
      <c r="AO624" s="169"/>
      <c r="AP624" s="169"/>
      <c r="AQ624" s="169"/>
      <c r="AR624" s="169"/>
      <c r="AS624" s="169"/>
      <c r="AT624" s="169"/>
      <c r="AU624" s="169"/>
      <c r="AV624" s="169"/>
      <c r="AW624" s="169"/>
      <c r="AX624" s="169"/>
      <c r="AY624" s="169"/>
      <c r="AZ624" s="169"/>
      <c r="BA624" s="169"/>
      <c r="BB624" s="169"/>
      <c r="BC624" s="169"/>
    </row>
    <row r="625" spans="1:55" ht="14.25" customHeight="1">
      <c r="A625" s="179"/>
      <c r="B625" s="179"/>
      <c r="C625" s="179"/>
      <c r="D625" s="179"/>
      <c r="E625" s="179"/>
      <c r="F625" s="179"/>
      <c r="G625" s="179"/>
      <c r="H625" s="179"/>
      <c r="I625" s="179"/>
      <c r="J625" s="179"/>
      <c r="K625" s="179"/>
      <c r="L625" s="179"/>
      <c r="M625" s="179"/>
      <c r="N625" s="179"/>
      <c r="O625" s="179"/>
      <c r="P625" s="179"/>
      <c r="Q625" s="179"/>
      <c r="R625" s="179"/>
      <c r="S625" s="179"/>
      <c r="T625" s="179"/>
      <c r="U625" s="179"/>
      <c r="V625" s="169"/>
      <c r="W625" s="169"/>
      <c r="X625" s="169"/>
      <c r="Y625" s="169"/>
      <c r="Z625" s="169"/>
      <c r="AA625" s="169"/>
      <c r="AB625" s="169"/>
      <c r="AC625" s="169"/>
      <c r="AD625" s="169"/>
      <c r="AE625" s="169"/>
      <c r="AF625" s="169"/>
      <c r="AG625" s="169"/>
      <c r="AH625" s="169"/>
      <c r="AI625" s="169"/>
      <c r="AJ625" s="169"/>
      <c r="AK625" s="169"/>
      <c r="AL625" s="169"/>
      <c r="AM625" s="169"/>
      <c r="AN625" s="169"/>
      <c r="AO625" s="169"/>
      <c r="AP625" s="169"/>
      <c r="AQ625" s="169"/>
      <c r="AR625" s="169"/>
      <c r="AS625" s="169"/>
      <c r="AT625" s="169"/>
      <c r="AU625" s="169"/>
      <c r="AV625" s="169"/>
      <c r="AW625" s="169"/>
      <c r="AX625" s="169"/>
      <c r="AY625" s="169"/>
      <c r="AZ625" s="169"/>
      <c r="BA625" s="169"/>
      <c r="BB625" s="169"/>
      <c r="BC625" s="169"/>
    </row>
    <row r="626" spans="1:55" ht="14.25" customHeight="1">
      <c r="A626" s="180" t="s">
        <v>36</v>
      </c>
      <c r="B626" s="181"/>
      <c r="C626" s="182"/>
      <c r="D626" s="182"/>
      <c r="E626" s="182"/>
      <c r="F626" s="182"/>
      <c r="G626" s="182"/>
      <c r="H626" s="182"/>
      <c r="I626" s="182"/>
      <c r="J626" s="182"/>
      <c r="K626" s="182"/>
      <c r="L626" s="29" t="s">
        <v>17</v>
      </c>
      <c r="M626" s="183"/>
      <c r="N626" s="184"/>
      <c r="O626" s="184"/>
      <c r="P626" s="184"/>
      <c r="Q626" s="184"/>
      <c r="R626" s="184"/>
      <c r="S626" s="184"/>
      <c r="T626" s="184"/>
      <c r="U626" s="184"/>
      <c r="V626" s="185"/>
      <c r="W626" s="169"/>
      <c r="X626" s="169"/>
      <c r="Y626" s="169"/>
      <c r="Z626" s="169"/>
      <c r="AA626" s="169"/>
      <c r="AB626" s="169"/>
      <c r="AC626" s="169"/>
      <c r="AD626" s="169"/>
      <c r="AE626" s="169"/>
      <c r="AF626" s="169"/>
      <c r="AG626" s="169"/>
      <c r="AH626" s="169"/>
      <c r="AI626" s="169"/>
      <c r="AJ626" s="169"/>
      <c r="AK626" s="169"/>
      <c r="AL626" s="169"/>
      <c r="AM626" s="169"/>
      <c r="AN626" s="169"/>
      <c r="AO626" s="169"/>
      <c r="AP626" s="169"/>
      <c r="AQ626" s="169"/>
      <c r="AR626" s="169"/>
      <c r="AS626" s="169"/>
      <c r="AT626" s="169"/>
      <c r="AU626" s="169"/>
      <c r="AV626" s="169"/>
      <c r="AW626" s="169"/>
      <c r="AX626" s="169"/>
      <c r="AY626" s="169"/>
      <c r="AZ626" s="169"/>
      <c r="BA626" s="169"/>
      <c r="BB626" s="169"/>
      <c r="BC626" s="169"/>
    </row>
    <row r="627" spans="1:55" ht="14.25" customHeight="1">
      <c r="A627" s="511" t="s">
        <v>112</v>
      </c>
      <c r="B627" s="511" t="s">
        <v>38</v>
      </c>
      <c r="C627" s="511" t="s">
        <v>18</v>
      </c>
      <c r="D627" s="32" t="s">
        <v>20</v>
      </c>
      <c r="E627" s="502" t="s">
        <v>21</v>
      </c>
      <c r="F627" s="503"/>
      <c r="G627" s="505"/>
      <c r="H627" s="502" t="s">
        <v>25</v>
      </c>
      <c r="I627" s="503"/>
      <c r="J627" s="505"/>
      <c r="K627" s="511" t="s">
        <v>39</v>
      </c>
      <c r="L627" s="511" t="s">
        <v>38</v>
      </c>
      <c r="M627" s="511" t="s">
        <v>18</v>
      </c>
      <c r="N627" s="32" t="s">
        <v>20</v>
      </c>
      <c r="O627" s="502" t="s">
        <v>21</v>
      </c>
      <c r="P627" s="503"/>
      <c r="Q627" s="505"/>
      <c r="R627" s="502" t="s">
        <v>25</v>
      </c>
      <c r="S627" s="503"/>
      <c r="T627" s="505"/>
      <c r="U627" s="511" t="s">
        <v>39</v>
      </c>
      <c r="V627" s="170"/>
      <c r="W627" s="169"/>
      <c r="X627" s="169"/>
      <c r="Y627" s="20"/>
      <c r="Z627" s="20"/>
      <c r="AA627" s="20"/>
      <c r="AB627" s="20"/>
      <c r="AC627" s="20"/>
      <c r="AD627" s="20"/>
      <c r="AE627" s="20"/>
      <c r="AF627" s="20"/>
      <c r="AG627" s="20"/>
      <c r="AH627" s="20"/>
      <c r="AI627" s="20"/>
      <c r="AJ627" s="20"/>
      <c r="AK627" s="20"/>
      <c r="AL627" s="203"/>
      <c r="AM627" s="203"/>
      <c r="AN627" s="20"/>
      <c r="AO627" s="20"/>
      <c r="AP627" s="169"/>
      <c r="AQ627" s="169"/>
      <c r="AR627" s="169"/>
      <c r="AS627" s="169"/>
      <c r="AT627" s="169"/>
      <c r="AU627" s="169"/>
      <c r="AV627" s="169"/>
      <c r="AW627" s="169"/>
      <c r="AX627" s="169"/>
      <c r="AY627" s="169"/>
      <c r="AZ627" s="169"/>
      <c r="BA627" s="169"/>
      <c r="BB627" s="169"/>
      <c r="BC627" s="169"/>
    </row>
    <row r="628" spans="1:55" ht="14.25" customHeight="1">
      <c r="A628" s="521"/>
      <c r="B628" s="521"/>
      <c r="C628" s="521"/>
      <c r="D628" s="32" t="s">
        <v>240</v>
      </c>
      <c r="E628" s="32" t="s">
        <v>238</v>
      </c>
      <c r="F628" s="32" t="s">
        <v>239</v>
      </c>
      <c r="G628" s="32" t="s">
        <v>240</v>
      </c>
      <c r="H628" s="32" t="s">
        <v>238</v>
      </c>
      <c r="I628" s="32" t="s">
        <v>239</v>
      </c>
      <c r="J628" s="32" t="s">
        <v>240</v>
      </c>
      <c r="K628" s="521"/>
      <c r="L628" s="521"/>
      <c r="M628" s="521"/>
      <c r="N628" s="32" t="s">
        <v>240</v>
      </c>
      <c r="O628" s="32" t="s">
        <v>238</v>
      </c>
      <c r="P628" s="32" t="s">
        <v>239</v>
      </c>
      <c r="Q628" s="32" t="s">
        <v>240</v>
      </c>
      <c r="R628" s="32" t="s">
        <v>238</v>
      </c>
      <c r="S628" s="32" t="s">
        <v>239</v>
      </c>
      <c r="T628" s="32" t="s">
        <v>240</v>
      </c>
      <c r="U628" s="521"/>
      <c r="V628" s="170"/>
      <c r="W628" s="169"/>
      <c r="X628" s="169"/>
      <c r="Y628" s="20"/>
      <c r="Z628" s="169"/>
      <c r="AA628" s="169"/>
      <c r="AB628" s="169"/>
      <c r="AC628" s="169"/>
      <c r="AD628" s="169"/>
      <c r="AE628" s="169"/>
      <c r="AF628" s="169"/>
      <c r="AG628" s="169"/>
      <c r="AH628" s="169"/>
      <c r="AI628" s="169"/>
      <c r="AJ628" s="169"/>
      <c r="AK628" s="169"/>
      <c r="AL628" s="169"/>
      <c r="AM628" s="169"/>
      <c r="AN628" s="169"/>
      <c r="AO628" s="169"/>
      <c r="AP628" s="169"/>
      <c r="AQ628" s="169"/>
      <c r="AR628" s="169"/>
      <c r="AS628" s="169"/>
      <c r="AT628" s="169"/>
      <c r="AU628" s="169"/>
      <c r="AV628" s="169"/>
      <c r="AW628" s="169"/>
      <c r="AX628" s="169"/>
      <c r="AY628" s="169"/>
      <c r="AZ628" s="169"/>
      <c r="BA628" s="169"/>
      <c r="BB628" s="169"/>
      <c r="BC628" s="169"/>
    </row>
    <row r="629" spans="1:55" ht="14.25" customHeight="1">
      <c r="A629" s="12" t="s">
        <v>67</v>
      </c>
      <c r="B629" s="44" t="str">
        <f t="shared" ref="B629:B640" si="305">D646</f>
        <v>-</v>
      </c>
      <c r="C629" s="44" t="str">
        <f t="shared" ref="C629:C640" si="306">G646</f>
        <v>-</v>
      </c>
      <c r="D629" s="44" t="str">
        <f t="shared" ref="D629:D640" si="307">J646</f>
        <v>-</v>
      </c>
      <c r="E629" s="36">
        <f t="shared" ref="E629:E640" si="308">K752</f>
        <v>0</v>
      </c>
      <c r="F629" s="36">
        <f t="shared" ref="F629:F640" si="309">L752</f>
        <v>0</v>
      </c>
      <c r="G629" s="36">
        <f t="shared" ref="G629:G640" si="310">M752</f>
        <v>0</v>
      </c>
      <c r="H629" s="44" t="str">
        <f t="shared" ref="H629:H640" si="311">V646</f>
        <v>-</v>
      </c>
      <c r="I629" s="44" t="str">
        <f t="shared" ref="I629:I640" si="312">Y646</f>
        <v>-</v>
      </c>
      <c r="J629" s="44" t="str">
        <f t="shared" ref="J629:J640" si="313">AB646</f>
        <v>-</v>
      </c>
      <c r="K629" s="36">
        <f t="shared" ref="K629:K640" si="314">AVERAGE(C629,D629,G629,J629)</f>
        <v>0</v>
      </c>
      <c r="L629" s="37" t="str">
        <f t="shared" ref="L629:L640" si="315">AE646</f>
        <v>-</v>
      </c>
      <c r="M629" s="37" t="str">
        <f>M551</f>
        <v>-</v>
      </c>
      <c r="N629" s="21">
        <f t="shared" ref="N629:N640" si="316">AK646</f>
        <v>0.68436344426835716</v>
      </c>
      <c r="O629" s="21">
        <f t="shared" ref="O629:O640" si="317">W752</f>
        <v>0</v>
      </c>
      <c r="P629" s="21">
        <f t="shared" ref="P629:P640" si="318">X752</f>
        <v>0</v>
      </c>
      <c r="Q629" s="21">
        <f t="shared" ref="Q629:Q640" si="319">Y752</f>
        <v>0</v>
      </c>
      <c r="R629" s="37" t="str">
        <f>R551</f>
        <v>-</v>
      </c>
      <c r="S629" s="37" t="str">
        <f>S551</f>
        <v>-</v>
      </c>
      <c r="T629" s="37" t="str">
        <f>T551</f>
        <v>-</v>
      </c>
      <c r="U629" s="21">
        <f t="shared" ref="U629:U640" si="320">AVERAGE(T629,Q629,N629,M629)</f>
        <v>0.34218172213417858</v>
      </c>
      <c r="V629" s="170"/>
      <c r="W629" s="20"/>
      <c r="X629" s="20"/>
      <c r="Y629" s="20"/>
      <c r="Z629" s="20"/>
      <c r="AA629" s="20"/>
      <c r="AB629" s="20"/>
      <c r="AC629" s="20"/>
      <c r="AD629" s="20"/>
      <c r="AE629" s="20"/>
      <c r="AF629" s="169"/>
      <c r="AG629" s="169"/>
      <c r="AH629" s="204" t="s">
        <v>119</v>
      </c>
      <c r="AI629" s="205">
        <v>2229</v>
      </c>
      <c r="AJ629" s="205">
        <v>2835</v>
      </c>
      <c r="AK629" s="20">
        <f t="shared" ref="AK629:AK635" si="321">IFERROR(AI629/AJ629,"-")</f>
        <v>0.78624338624338619</v>
      </c>
      <c r="AL629" s="169"/>
      <c r="AM629" s="169"/>
      <c r="AN629" s="169"/>
      <c r="AO629" s="169"/>
      <c r="AP629" s="169"/>
      <c r="AQ629" s="169"/>
      <c r="AR629" s="169"/>
      <c r="AS629" s="169"/>
      <c r="AT629" s="169"/>
      <c r="AU629" s="169"/>
      <c r="AV629" s="169"/>
      <c r="AW629" s="169"/>
      <c r="AX629" s="169"/>
      <c r="AY629" s="169"/>
      <c r="AZ629" s="169"/>
      <c r="BA629" s="169"/>
      <c r="BB629" s="169"/>
      <c r="BC629" s="169"/>
    </row>
    <row r="630" spans="1:55" ht="14.25" customHeight="1">
      <c r="A630" s="12" t="s">
        <v>119</v>
      </c>
      <c r="B630" s="36">
        <f t="shared" si="305"/>
        <v>0.89912280701754388</v>
      </c>
      <c r="C630" s="36">
        <f t="shared" si="306"/>
        <v>0.81331403762662813</v>
      </c>
      <c r="D630" s="36">
        <f t="shared" si="307"/>
        <v>0.79935275080906154</v>
      </c>
      <c r="E630" s="36">
        <f t="shared" si="308"/>
        <v>0</v>
      </c>
      <c r="F630" s="36">
        <f t="shared" si="309"/>
        <v>0</v>
      </c>
      <c r="G630" s="36">
        <f t="shared" si="310"/>
        <v>0</v>
      </c>
      <c r="H630" s="36">
        <f t="shared" si="311"/>
        <v>1</v>
      </c>
      <c r="I630" s="36">
        <f t="shared" si="312"/>
        <v>0.99617590822179736</v>
      </c>
      <c r="J630" s="36">
        <f t="shared" si="313"/>
        <v>0.99671592775041051</v>
      </c>
      <c r="K630" s="36">
        <f t="shared" si="314"/>
        <v>0.65234567904652496</v>
      </c>
      <c r="L630" s="37" t="str">
        <f t="shared" si="315"/>
        <v>-</v>
      </c>
      <c r="M630" s="37" t="str">
        <f t="shared" ref="M630:M640" si="322">AH647</f>
        <v>-</v>
      </c>
      <c r="N630" s="21">
        <f t="shared" si="316"/>
        <v>0.77401419895646228</v>
      </c>
      <c r="O630" s="21">
        <f t="shared" si="317"/>
        <v>0</v>
      </c>
      <c r="P630" s="21">
        <f t="shared" si="318"/>
        <v>0</v>
      </c>
      <c r="Q630" s="21">
        <f t="shared" si="319"/>
        <v>0</v>
      </c>
      <c r="R630" s="21">
        <f t="shared" ref="R630:R640" si="323">AQ647</f>
        <v>0.81176470588235294</v>
      </c>
      <c r="S630" s="21">
        <f t="shared" ref="S630:S640" si="324">AT647</f>
        <v>0.88459748720335041</v>
      </c>
      <c r="T630" s="37" t="str">
        <f t="shared" ref="T630:T640" si="325">AW647</f>
        <v>-</v>
      </c>
      <c r="U630" s="21">
        <f t="shared" si="320"/>
        <v>0.38700709947823114</v>
      </c>
      <c r="V630" s="170"/>
      <c r="W630" s="20"/>
      <c r="X630" s="169"/>
      <c r="Y630" s="20"/>
      <c r="Z630" s="169"/>
      <c r="AA630" s="169"/>
      <c r="AB630" s="169"/>
      <c r="AC630" s="169"/>
      <c r="AD630" s="169"/>
      <c r="AE630" s="169"/>
      <c r="AF630" s="169"/>
      <c r="AG630" s="169"/>
      <c r="AH630" s="204" t="s">
        <v>120</v>
      </c>
      <c r="AI630" s="205">
        <v>687</v>
      </c>
      <c r="AJ630" s="205">
        <v>994</v>
      </c>
      <c r="AK630" s="20">
        <f t="shared" si="321"/>
        <v>0.69114688128772639</v>
      </c>
      <c r="AL630" s="169"/>
      <c r="AM630" s="169"/>
      <c r="AN630" s="169"/>
      <c r="AO630" s="169"/>
      <c r="AP630" s="169"/>
      <c r="AQ630" s="169"/>
      <c r="AR630" s="169"/>
      <c r="AS630" s="169"/>
      <c r="AT630" s="169"/>
      <c r="AU630" s="169"/>
      <c r="AV630" s="169"/>
      <c r="AW630" s="169"/>
      <c r="AX630" s="169"/>
      <c r="AY630" s="169"/>
      <c r="AZ630" s="169"/>
      <c r="BA630" s="169"/>
      <c r="BB630" s="169"/>
      <c r="BC630" s="169"/>
    </row>
    <row r="631" spans="1:55" ht="14.25" customHeight="1">
      <c r="A631" s="12" t="s">
        <v>120</v>
      </c>
      <c r="B631" s="36">
        <f t="shared" si="305"/>
        <v>0.94883720930232562</v>
      </c>
      <c r="C631" s="36">
        <f t="shared" si="306"/>
        <v>0.79534883720930227</v>
      </c>
      <c r="D631" s="36">
        <f t="shared" si="307"/>
        <v>0.8529411764705882</v>
      </c>
      <c r="E631" s="36">
        <f t="shared" si="308"/>
        <v>0</v>
      </c>
      <c r="F631" s="36">
        <f t="shared" si="309"/>
        <v>0</v>
      </c>
      <c r="G631" s="36">
        <f t="shared" si="310"/>
        <v>0</v>
      </c>
      <c r="H631" s="36">
        <f t="shared" si="311"/>
        <v>1</v>
      </c>
      <c r="I631" s="36">
        <f t="shared" si="312"/>
        <v>0.93670886075949367</v>
      </c>
      <c r="J631" s="36">
        <f t="shared" si="313"/>
        <v>0.94565217391304346</v>
      </c>
      <c r="K631" s="36">
        <f t="shared" si="314"/>
        <v>0.64848554689823346</v>
      </c>
      <c r="L631" s="37" t="str">
        <f t="shared" si="315"/>
        <v>-</v>
      </c>
      <c r="M631" s="37" t="str">
        <f t="shared" si="322"/>
        <v>-</v>
      </c>
      <c r="N631" s="21">
        <f t="shared" si="316"/>
        <v>0.69705093833780163</v>
      </c>
      <c r="O631" s="21">
        <f t="shared" si="317"/>
        <v>0</v>
      </c>
      <c r="P631" s="21">
        <f t="shared" si="318"/>
        <v>0</v>
      </c>
      <c r="Q631" s="21">
        <f t="shared" si="319"/>
        <v>0</v>
      </c>
      <c r="R631" s="21">
        <f t="shared" si="323"/>
        <v>0.75</v>
      </c>
      <c r="S631" s="21">
        <f t="shared" si="324"/>
        <v>0.85925925925925928</v>
      </c>
      <c r="T631" s="37" t="str">
        <f t="shared" si="325"/>
        <v>-</v>
      </c>
      <c r="U631" s="21">
        <f t="shared" si="320"/>
        <v>0.34852546916890081</v>
      </c>
      <c r="V631" s="170"/>
      <c r="W631" s="20"/>
      <c r="X631" s="169"/>
      <c r="Y631" s="20"/>
      <c r="Z631" s="169"/>
      <c r="AA631" s="169"/>
      <c r="AB631" s="169"/>
      <c r="AC631" s="169"/>
      <c r="AD631" s="169"/>
      <c r="AE631" s="169"/>
      <c r="AF631" s="169"/>
      <c r="AG631" s="169"/>
      <c r="AH631" s="204" t="s">
        <v>121</v>
      </c>
      <c r="AI631" s="205">
        <v>347</v>
      </c>
      <c r="AJ631" s="205">
        <v>505</v>
      </c>
      <c r="AK631" s="20">
        <f t="shared" si="321"/>
        <v>0.68712871287128718</v>
      </c>
      <c r="AL631" s="169"/>
      <c r="AM631" s="169"/>
      <c r="AN631" s="169"/>
      <c r="AO631" s="169"/>
      <c r="AP631" s="169"/>
      <c r="AQ631" s="169"/>
      <c r="AR631" s="169"/>
      <c r="AS631" s="169"/>
      <c r="AT631" s="169"/>
      <c r="AU631" s="169"/>
      <c r="AV631" s="169"/>
      <c r="AW631" s="169"/>
      <c r="AX631" s="169"/>
      <c r="AY631" s="169"/>
      <c r="AZ631" s="169"/>
      <c r="BA631" s="169"/>
      <c r="BB631" s="169"/>
      <c r="BC631" s="169"/>
    </row>
    <row r="632" spans="1:55" ht="14.25" customHeight="1">
      <c r="A632" s="12" t="s">
        <v>121</v>
      </c>
      <c r="B632" s="36">
        <f t="shared" si="305"/>
        <v>0.93333333333333335</v>
      </c>
      <c r="C632" s="36">
        <f t="shared" si="306"/>
        <v>0.8</v>
      </c>
      <c r="D632" s="36">
        <f t="shared" si="307"/>
        <v>0.90721649484536082</v>
      </c>
      <c r="E632" s="36">
        <f t="shared" si="308"/>
        <v>0</v>
      </c>
      <c r="F632" s="36">
        <f t="shared" si="309"/>
        <v>0</v>
      </c>
      <c r="G632" s="36">
        <f t="shared" si="310"/>
        <v>0</v>
      </c>
      <c r="H632" s="36">
        <f t="shared" si="311"/>
        <v>1</v>
      </c>
      <c r="I632" s="36">
        <f t="shared" si="312"/>
        <v>1</v>
      </c>
      <c r="J632" s="36">
        <f t="shared" si="313"/>
        <v>1</v>
      </c>
      <c r="K632" s="36">
        <f t="shared" si="314"/>
        <v>0.67680412371134024</v>
      </c>
      <c r="L632" s="37" t="str">
        <f t="shared" si="315"/>
        <v>-</v>
      </c>
      <c r="M632" s="37" t="str">
        <f t="shared" si="322"/>
        <v>-</v>
      </c>
      <c r="N632" s="21">
        <f t="shared" si="316"/>
        <v>0.61946472019464716</v>
      </c>
      <c r="O632" s="21">
        <f t="shared" si="317"/>
        <v>0</v>
      </c>
      <c r="P632" s="21">
        <f t="shared" si="318"/>
        <v>0</v>
      </c>
      <c r="Q632" s="21">
        <f t="shared" si="319"/>
        <v>0</v>
      </c>
      <c r="R632" s="21">
        <f t="shared" si="323"/>
        <v>0.75</v>
      </c>
      <c r="S632" s="21">
        <f t="shared" si="324"/>
        <v>0.85135135135135132</v>
      </c>
      <c r="T632" s="37" t="str">
        <f t="shared" si="325"/>
        <v>-</v>
      </c>
      <c r="U632" s="21">
        <f t="shared" si="320"/>
        <v>0.30973236009732358</v>
      </c>
      <c r="V632" s="170"/>
      <c r="W632" s="20"/>
      <c r="X632" s="169"/>
      <c r="Y632" s="20"/>
      <c r="Z632" s="169"/>
      <c r="AA632" s="169"/>
      <c r="AB632" s="169"/>
      <c r="AC632" s="169"/>
      <c r="AD632" s="169"/>
      <c r="AE632" s="169"/>
      <c r="AF632" s="169"/>
      <c r="AG632" s="169"/>
      <c r="AH632" s="204" t="s">
        <v>122</v>
      </c>
      <c r="AI632" s="205">
        <v>326</v>
      </c>
      <c r="AJ632" s="205">
        <v>452</v>
      </c>
      <c r="AK632" s="20">
        <f t="shared" si="321"/>
        <v>0.72123893805309736</v>
      </c>
      <c r="AL632" s="169"/>
      <c r="AM632" s="169"/>
      <c r="AN632" s="169"/>
      <c r="AO632" s="169"/>
      <c r="AP632" s="169"/>
      <c r="AQ632" s="169"/>
      <c r="AR632" s="169"/>
      <c r="AS632" s="169"/>
      <c r="AT632" s="169"/>
      <c r="AU632" s="169"/>
      <c r="AV632" s="169"/>
      <c r="AW632" s="169"/>
      <c r="AX632" s="169"/>
      <c r="AY632" s="169"/>
      <c r="AZ632" s="169"/>
      <c r="BA632" s="169"/>
      <c r="BB632" s="169"/>
      <c r="BC632" s="169"/>
    </row>
    <row r="633" spans="1:55" ht="14.25" customHeight="1">
      <c r="A633" s="12" t="s">
        <v>122</v>
      </c>
      <c r="B633" s="36">
        <f t="shared" si="305"/>
        <v>0.92982456140350878</v>
      </c>
      <c r="C633" s="36">
        <f t="shared" si="306"/>
        <v>0.73684210526315785</v>
      </c>
      <c r="D633" s="36">
        <f t="shared" si="307"/>
        <v>0.8651685393258427</v>
      </c>
      <c r="E633" s="36">
        <f t="shared" si="308"/>
        <v>0</v>
      </c>
      <c r="F633" s="36">
        <f t="shared" si="309"/>
        <v>0</v>
      </c>
      <c r="G633" s="36">
        <f t="shared" si="310"/>
        <v>0</v>
      </c>
      <c r="H633" s="36">
        <f t="shared" si="311"/>
        <v>1</v>
      </c>
      <c r="I633" s="36">
        <f t="shared" si="312"/>
        <v>1</v>
      </c>
      <c r="J633" s="36">
        <f t="shared" si="313"/>
        <v>1</v>
      </c>
      <c r="K633" s="36">
        <f t="shared" si="314"/>
        <v>0.65050266114725019</v>
      </c>
      <c r="L633" s="37" t="str">
        <f t="shared" si="315"/>
        <v>-</v>
      </c>
      <c r="M633" s="37" t="str">
        <f t="shared" si="322"/>
        <v>-</v>
      </c>
      <c r="N633" s="21">
        <f t="shared" si="316"/>
        <v>0.68506493506493504</v>
      </c>
      <c r="O633" s="21">
        <f t="shared" si="317"/>
        <v>0</v>
      </c>
      <c r="P633" s="21">
        <f t="shared" si="318"/>
        <v>0</v>
      </c>
      <c r="Q633" s="21">
        <f t="shared" si="319"/>
        <v>0</v>
      </c>
      <c r="R633" s="21">
        <f t="shared" si="323"/>
        <v>0.875</v>
      </c>
      <c r="S633" s="21">
        <f t="shared" si="324"/>
        <v>0.87861271676300579</v>
      </c>
      <c r="T633" s="37" t="str">
        <f t="shared" si="325"/>
        <v>-</v>
      </c>
      <c r="U633" s="21">
        <f t="shared" si="320"/>
        <v>0.34253246753246752</v>
      </c>
      <c r="V633" s="170"/>
      <c r="W633" s="20"/>
      <c r="X633" s="169"/>
      <c r="Y633" s="20"/>
      <c r="Z633" s="169"/>
      <c r="AA633" s="169"/>
      <c r="AB633" s="169"/>
      <c r="AC633" s="169"/>
      <c r="AD633" s="169"/>
      <c r="AE633" s="169"/>
      <c r="AF633" s="169"/>
      <c r="AG633" s="169"/>
      <c r="AH633" s="204" t="s">
        <v>123</v>
      </c>
      <c r="AI633" s="205">
        <v>322</v>
      </c>
      <c r="AJ633" s="205">
        <v>412</v>
      </c>
      <c r="AK633" s="20">
        <f t="shared" si="321"/>
        <v>0.78155339805825241</v>
      </c>
      <c r="AL633" s="205">
        <v>4264</v>
      </c>
      <c r="AM633" s="169"/>
      <c r="AN633" s="20"/>
      <c r="AO633" s="169"/>
      <c r="AP633" s="169"/>
      <c r="AQ633" s="169"/>
      <c r="AR633" s="169"/>
      <c r="AS633" s="169"/>
      <c r="AT633" s="169"/>
      <c r="AU633" s="169"/>
      <c r="AV633" s="169"/>
      <c r="AW633" s="169"/>
      <c r="AX633" s="169"/>
      <c r="AY633" s="169"/>
      <c r="AZ633" s="169"/>
      <c r="BA633" s="169"/>
      <c r="BB633" s="169"/>
      <c r="BC633" s="169"/>
    </row>
    <row r="634" spans="1:55" ht="14.25" customHeight="1">
      <c r="A634" s="12" t="s">
        <v>123</v>
      </c>
      <c r="B634" s="36">
        <f t="shared" si="305"/>
        <v>0.84403669724770647</v>
      </c>
      <c r="C634" s="36">
        <f t="shared" si="306"/>
        <v>0.84403669724770647</v>
      </c>
      <c r="D634" s="36">
        <f t="shared" si="307"/>
        <v>0.67289719626168221</v>
      </c>
      <c r="E634" s="36">
        <f t="shared" si="308"/>
        <v>0</v>
      </c>
      <c r="F634" s="36">
        <f t="shared" si="309"/>
        <v>0</v>
      </c>
      <c r="G634" s="36">
        <f t="shared" si="310"/>
        <v>0</v>
      </c>
      <c r="H634" s="44" t="str">
        <f t="shared" si="311"/>
        <v>-</v>
      </c>
      <c r="I634" s="36">
        <f t="shared" si="312"/>
        <v>0.97777777777777775</v>
      </c>
      <c r="J634" s="36">
        <f t="shared" si="313"/>
        <v>0.97777777777777775</v>
      </c>
      <c r="K634" s="36">
        <f t="shared" si="314"/>
        <v>0.62367791782179161</v>
      </c>
      <c r="L634" s="37" t="str">
        <f t="shared" si="315"/>
        <v>-</v>
      </c>
      <c r="M634" s="37" t="str">
        <f t="shared" si="322"/>
        <v>-</v>
      </c>
      <c r="N634" s="21">
        <f t="shared" si="316"/>
        <v>0.77072612921669525</v>
      </c>
      <c r="O634" s="21">
        <f t="shared" si="317"/>
        <v>0</v>
      </c>
      <c r="P634" s="21">
        <f t="shared" si="318"/>
        <v>0</v>
      </c>
      <c r="Q634" s="21">
        <f t="shared" si="319"/>
        <v>0</v>
      </c>
      <c r="R634" s="37" t="str">
        <f t="shared" si="323"/>
        <v>-</v>
      </c>
      <c r="S634" s="21">
        <f t="shared" si="324"/>
        <v>0.84818481848184824</v>
      </c>
      <c r="T634" s="37" t="str">
        <f t="shared" si="325"/>
        <v>-</v>
      </c>
      <c r="U634" s="21">
        <f t="shared" si="320"/>
        <v>0.38536306460834763</v>
      </c>
      <c r="V634" s="170"/>
      <c r="W634" s="20"/>
      <c r="X634" s="169"/>
      <c r="Y634" s="20"/>
      <c r="Z634" s="169"/>
      <c r="AA634" s="169"/>
      <c r="AB634" s="169"/>
      <c r="AC634" s="169"/>
      <c r="AD634" s="169"/>
      <c r="AE634" s="169"/>
      <c r="AF634" s="169"/>
      <c r="AG634" s="169"/>
      <c r="AH634" s="204" t="s">
        <v>124</v>
      </c>
      <c r="AI634" s="205">
        <v>226</v>
      </c>
      <c r="AJ634" s="205">
        <v>278</v>
      </c>
      <c r="AK634" s="20">
        <f t="shared" si="321"/>
        <v>0.81294964028776984</v>
      </c>
      <c r="AL634" s="169"/>
      <c r="AM634" s="169"/>
      <c r="AN634" s="169"/>
      <c r="AO634" s="169"/>
      <c r="AP634" s="169"/>
      <c r="AQ634" s="169"/>
      <c r="AR634" s="169"/>
      <c r="AS634" s="169"/>
      <c r="AT634" s="169"/>
      <c r="AU634" s="169"/>
      <c r="AV634" s="169"/>
      <c r="AW634" s="169"/>
      <c r="AX634" s="169"/>
      <c r="AY634" s="169"/>
      <c r="AZ634" s="169"/>
      <c r="BA634" s="169"/>
      <c r="BB634" s="169"/>
      <c r="BC634" s="169"/>
    </row>
    <row r="635" spans="1:55" ht="14.25" customHeight="1">
      <c r="A635" s="12" t="s">
        <v>124</v>
      </c>
      <c r="B635" s="36">
        <f t="shared" si="305"/>
        <v>0.91228070175438591</v>
      </c>
      <c r="C635" s="36">
        <f t="shared" si="306"/>
        <v>0.75438596491228072</v>
      </c>
      <c r="D635" s="36">
        <f t="shared" si="307"/>
        <v>0.88888888888888884</v>
      </c>
      <c r="E635" s="36">
        <f t="shared" si="308"/>
        <v>0</v>
      </c>
      <c r="F635" s="36">
        <f t="shared" si="309"/>
        <v>0</v>
      </c>
      <c r="G635" s="36">
        <f t="shared" si="310"/>
        <v>0</v>
      </c>
      <c r="H635" s="44" t="str">
        <f t="shared" si="311"/>
        <v>-</v>
      </c>
      <c r="I635" s="36">
        <f t="shared" si="312"/>
        <v>1</v>
      </c>
      <c r="J635" s="36">
        <f t="shared" si="313"/>
        <v>1</v>
      </c>
      <c r="K635" s="36">
        <f t="shared" si="314"/>
        <v>0.66081871345029242</v>
      </c>
      <c r="L635" s="37" t="str">
        <f t="shared" si="315"/>
        <v>-</v>
      </c>
      <c r="M635" s="37" t="str">
        <f t="shared" si="322"/>
        <v>-</v>
      </c>
      <c r="N635" s="21">
        <f t="shared" si="316"/>
        <v>0.69991326973113621</v>
      </c>
      <c r="O635" s="21">
        <f t="shared" si="317"/>
        <v>0</v>
      </c>
      <c r="P635" s="21">
        <f t="shared" si="318"/>
        <v>0</v>
      </c>
      <c r="Q635" s="21">
        <f t="shared" si="319"/>
        <v>0</v>
      </c>
      <c r="R635" s="37" t="str">
        <f t="shared" si="323"/>
        <v>-</v>
      </c>
      <c r="S635" s="21">
        <f t="shared" si="324"/>
        <v>0.8482142857142857</v>
      </c>
      <c r="T635" s="37" t="str">
        <f t="shared" si="325"/>
        <v>-</v>
      </c>
      <c r="U635" s="21">
        <f t="shared" si="320"/>
        <v>0.34995663486556811</v>
      </c>
      <c r="V635" s="170"/>
      <c r="W635" s="20"/>
      <c r="X635" s="169"/>
      <c r="Y635" s="20"/>
      <c r="Z635" s="169"/>
      <c r="AA635" s="169"/>
      <c r="AB635" s="169"/>
      <c r="AC635" s="169"/>
      <c r="AD635" s="169"/>
      <c r="AE635" s="169"/>
      <c r="AF635" s="169"/>
      <c r="AG635" s="169"/>
      <c r="AH635" s="204" t="s">
        <v>125</v>
      </c>
      <c r="AI635" s="205">
        <v>543</v>
      </c>
      <c r="AJ635" s="205">
        <v>779</v>
      </c>
      <c r="AK635" s="20">
        <f t="shared" si="321"/>
        <v>0.69704749679075739</v>
      </c>
      <c r="AL635" s="169"/>
      <c r="AM635" s="169"/>
      <c r="AN635" s="169"/>
      <c r="AO635" s="169"/>
      <c r="AP635" s="169"/>
      <c r="AQ635" s="169"/>
      <c r="AR635" s="169"/>
      <c r="AS635" s="169"/>
      <c r="AT635" s="169"/>
      <c r="AU635" s="169"/>
      <c r="AV635" s="169"/>
      <c r="AW635" s="169"/>
      <c r="AX635" s="169"/>
      <c r="AY635" s="169"/>
      <c r="AZ635" s="169"/>
      <c r="BA635" s="169"/>
      <c r="BB635" s="169"/>
      <c r="BC635" s="169"/>
    </row>
    <row r="636" spans="1:55" ht="14.25" customHeight="1">
      <c r="A636" s="12" t="s">
        <v>125</v>
      </c>
      <c r="B636" s="36">
        <f t="shared" si="305"/>
        <v>0.96794871794871795</v>
      </c>
      <c r="C636" s="36">
        <f t="shared" si="306"/>
        <v>0.91666666666666663</v>
      </c>
      <c r="D636" s="36">
        <f t="shared" si="307"/>
        <v>0.89542483660130723</v>
      </c>
      <c r="E636" s="36">
        <f t="shared" si="308"/>
        <v>0</v>
      </c>
      <c r="F636" s="36">
        <f t="shared" si="309"/>
        <v>0</v>
      </c>
      <c r="G636" s="36">
        <f t="shared" si="310"/>
        <v>0</v>
      </c>
      <c r="H636" s="36">
        <f t="shared" si="311"/>
        <v>1</v>
      </c>
      <c r="I636" s="36">
        <f t="shared" si="312"/>
        <v>0.99270072992700731</v>
      </c>
      <c r="J636" s="36">
        <f t="shared" si="313"/>
        <v>0.99350649350649356</v>
      </c>
      <c r="K636" s="36">
        <f t="shared" si="314"/>
        <v>0.70139949919361688</v>
      </c>
      <c r="L636" s="37" t="str">
        <f t="shared" si="315"/>
        <v>-</v>
      </c>
      <c r="M636" s="37" t="str">
        <f t="shared" si="322"/>
        <v>-</v>
      </c>
      <c r="N636" s="21">
        <f t="shared" si="316"/>
        <v>0.66729030246336141</v>
      </c>
      <c r="O636" s="21">
        <f t="shared" si="317"/>
        <v>0</v>
      </c>
      <c r="P636" s="21">
        <f t="shared" si="318"/>
        <v>0</v>
      </c>
      <c r="Q636" s="21">
        <f t="shared" si="319"/>
        <v>0</v>
      </c>
      <c r="R636" s="21">
        <f t="shared" si="323"/>
        <v>0.72058823529411764</v>
      </c>
      <c r="S636" s="21">
        <f t="shared" si="324"/>
        <v>0.78595890410958902</v>
      </c>
      <c r="T636" s="37" t="str">
        <f t="shared" si="325"/>
        <v>-</v>
      </c>
      <c r="U636" s="21">
        <f t="shared" si="320"/>
        <v>0.3336451512316807</v>
      </c>
      <c r="V636" s="170"/>
      <c r="W636" s="20"/>
      <c r="X636" s="169"/>
      <c r="Y636" s="20"/>
      <c r="Z636" s="169"/>
      <c r="AA636" s="169"/>
      <c r="AB636" s="169"/>
      <c r="AC636" s="169"/>
      <c r="AD636" s="169"/>
      <c r="AE636" s="169"/>
      <c r="AF636" s="169"/>
      <c r="AG636" s="169"/>
      <c r="AH636" s="169"/>
      <c r="AI636" s="169"/>
      <c r="AJ636" s="169"/>
      <c r="AK636" s="169"/>
      <c r="AL636" s="169"/>
      <c r="AM636" s="169"/>
      <c r="AN636" s="169"/>
      <c r="AO636" s="169"/>
      <c r="AP636" s="169"/>
      <c r="AQ636" s="169"/>
      <c r="AR636" s="169"/>
      <c r="AS636" s="169"/>
      <c r="AT636" s="169"/>
      <c r="AU636" s="169"/>
      <c r="AV636" s="169"/>
      <c r="AW636" s="169"/>
      <c r="AX636" s="169"/>
      <c r="AY636" s="169"/>
      <c r="AZ636" s="169"/>
      <c r="BA636" s="169"/>
      <c r="BB636" s="169"/>
      <c r="BC636" s="169"/>
    </row>
    <row r="637" spans="1:55" ht="14.25" customHeight="1">
      <c r="A637" s="12" t="s">
        <v>244</v>
      </c>
      <c r="B637" s="36">
        <f t="shared" si="305"/>
        <v>0.81599999999999995</v>
      </c>
      <c r="C637" s="36">
        <f t="shared" si="306"/>
        <v>0.84799999999999998</v>
      </c>
      <c r="D637" s="44" t="str">
        <f t="shared" si="307"/>
        <v>-</v>
      </c>
      <c r="E637" s="36">
        <f t="shared" si="308"/>
        <v>0</v>
      </c>
      <c r="F637" s="36">
        <f t="shared" si="309"/>
        <v>0</v>
      </c>
      <c r="G637" s="36">
        <f t="shared" si="310"/>
        <v>0</v>
      </c>
      <c r="H637" s="44" t="str">
        <f t="shared" si="311"/>
        <v>-</v>
      </c>
      <c r="I637" s="44" t="str">
        <f t="shared" si="312"/>
        <v>-</v>
      </c>
      <c r="J637" s="44" t="str">
        <f t="shared" si="313"/>
        <v>-</v>
      </c>
      <c r="K637" s="36">
        <f t="shared" si="314"/>
        <v>0.42399999999999999</v>
      </c>
      <c r="L637" s="21">
        <f t="shared" si="315"/>
        <v>0.53921568627450978</v>
      </c>
      <c r="M637" s="37" t="str">
        <f t="shared" si="322"/>
        <v>-</v>
      </c>
      <c r="N637" s="37" t="str">
        <f t="shared" si="316"/>
        <v>-</v>
      </c>
      <c r="O637" s="21">
        <f t="shared" si="317"/>
        <v>0</v>
      </c>
      <c r="P637" s="21">
        <f t="shared" si="318"/>
        <v>0</v>
      </c>
      <c r="Q637" s="21">
        <f t="shared" si="319"/>
        <v>0</v>
      </c>
      <c r="R637" s="37" t="str">
        <f t="shared" si="323"/>
        <v>-</v>
      </c>
      <c r="S637" s="37" t="str">
        <f t="shared" si="324"/>
        <v>-</v>
      </c>
      <c r="T637" s="37" t="str">
        <f t="shared" si="325"/>
        <v>-</v>
      </c>
      <c r="U637" s="21">
        <f t="shared" si="320"/>
        <v>0</v>
      </c>
      <c r="V637" s="170"/>
      <c r="W637" s="20"/>
      <c r="X637" s="169"/>
      <c r="Y637" s="20"/>
      <c r="Z637" s="169"/>
      <c r="AA637" s="169"/>
      <c r="AB637" s="169"/>
      <c r="AC637" s="169"/>
      <c r="AD637" s="169"/>
      <c r="AE637" s="169"/>
      <c r="AF637" s="169"/>
      <c r="AG637" s="169"/>
      <c r="AH637" s="169"/>
      <c r="AI637" s="169"/>
      <c r="AJ637" s="169"/>
      <c r="AK637" s="169"/>
      <c r="AL637" s="169"/>
      <c r="AM637" s="169"/>
      <c r="AN637" s="169"/>
      <c r="AO637" s="169"/>
      <c r="AP637" s="169"/>
      <c r="AQ637" s="169"/>
      <c r="AR637" s="169"/>
      <c r="AS637" s="169"/>
      <c r="AT637" s="169"/>
      <c r="AU637" s="169"/>
      <c r="AV637" s="169"/>
      <c r="AW637" s="169"/>
      <c r="AX637" s="169"/>
      <c r="AY637" s="169"/>
      <c r="AZ637" s="169"/>
      <c r="BA637" s="169"/>
      <c r="BB637" s="169"/>
      <c r="BC637" s="169"/>
    </row>
    <row r="638" spans="1:55" ht="14.25" customHeight="1">
      <c r="A638" s="12" t="s">
        <v>245</v>
      </c>
      <c r="B638" s="36">
        <f t="shared" si="305"/>
        <v>0.72727272727272729</v>
      </c>
      <c r="C638" s="36">
        <f t="shared" si="306"/>
        <v>0.81818181818181823</v>
      </c>
      <c r="D638" s="44" t="str">
        <f t="shared" si="307"/>
        <v>-</v>
      </c>
      <c r="E638" s="36">
        <f t="shared" si="308"/>
        <v>0</v>
      </c>
      <c r="F638" s="36">
        <f t="shared" si="309"/>
        <v>0</v>
      </c>
      <c r="G638" s="36">
        <f t="shared" si="310"/>
        <v>0</v>
      </c>
      <c r="H638" s="44" t="str">
        <f t="shared" si="311"/>
        <v>-</v>
      </c>
      <c r="I638" s="44" t="str">
        <f t="shared" si="312"/>
        <v>-</v>
      </c>
      <c r="J638" s="44" t="str">
        <f t="shared" si="313"/>
        <v>-</v>
      </c>
      <c r="K638" s="36">
        <f t="shared" si="314"/>
        <v>0.40909090909090912</v>
      </c>
      <c r="L638" s="21">
        <f t="shared" si="315"/>
        <v>0.625</v>
      </c>
      <c r="M638" s="37" t="str">
        <f t="shared" si="322"/>
        <v>-</v>
      </c>
      <c r="N638" s="37" t="str">
        <f t="shared" si="316"/>
        <v>-</v>
      </c>
      <c r="O638" s="21">
        <f t="shared" si="317"/>
        <v>0</v>
      </c>
      <c r="P638" s="21">
        <f t="shared" si="318"/>
        <v>0</v>
      </c>
      <c r="Q638" s="21">
        <f t="shared" si="319"/>
        <v>0</v>
      </c>
      <c r="R638" s="37" t="str">
        <f t="shared" si="323"/>
        <v>-</v>
      </c>
      <c r="S638" s="37" t="str">
        <f t="shared" si="324"/>
        <v>-</v>
      </c>
      <c r="T638" s="37" t="str">
        <f t="shared" si="325"/>
        <v>-</v>
      </c>
      <c r="U638" s="21">
        <f t="shared" si="320"/>
        <v>0</v>
      </c>
      <c r="V638" s="170"/>
      <c r="W638" s="20"/>
      <c r="X638" s="169"/>
      <c r="Y638" s="20"/>
      <c r="Z638" s="169"/>
      <c r="AA638" s="169"/>
      <c r="AB638" s="169"/>
      <c r="AC638" s="169"/>
      <c r="AD638" s="169"/>
      <c r="AE638" s="169"/>
      <c r="AF638" s="169"/>
      <c r="AG638" s="169"/>
      <c r="AH638" s="169"/>
      <c r="AI638" s="169"/>
      <c r="AJ638" s="169"/>
      <c r="AK638" s="169"/>
      <c r="AL638" s="169"/>
      <c r="AM638" s="169"/>
      <c r="AN638" s="169"/>
      <c r="AO638" s="169"/>
      <c r="AP638" s="169"/>
      <c r="AQ638" s="169"/>
      <c r="AR638" s="169"/>
      <c r="AS638" s="169"/>
      <c r="AT638" s="169"/>
      <c r="AU638" s="169"/>
      <c r="AV638" s="169"/>
      <c r="AW638" s="169"/>
      <c r="AX638" s="169"/>
      <c r="AY638" s="169"/>
      <c r="AZ638" s="169"/>
      <c r="BA638" s="169"/>
      <c r="BB638" s="169"/>
      <c r="BC638" s="169"/>
    </row>
    <row r="639" spans="1:55" ht="14.25" customHeight="1">
      <c r="A639" s="12" t="s">
        <v>246</v>
      </c>
      <c r="B639" s="36">
        <f t="shared" si="305"/>
        <v>0.88627935723114959</v>
      </c>
      <c r="C639" s="36">
        <f t="shared" si="306"/>
        <v>0.81862745098039214</v>
      </c>
      <c r="D639" s="36">
        <f t="shared" si="307"/>
        <v>0.79935275080906154</v>
      </c>
      <c r="E639" s="36">
        <f t="shared" si="308"/>
        <v>0</v>
      </c>
      <c r="F639" s="36">
        <f t="shared" si="309"/>
        <v>0</v>
      </c>
      <c r="G639" s="36">
        <f t="shared" si="310"/>
        <v>0</v>
      </c>
      <c r="H639" s="36">
        <f t="shared" si="311"/>
        <v>1</v>
      </c>
      <c r="I639" s="36">
        <f t="shared" si="312"/>
        <v>0.99617590822179736</v>
      </c>
      <c r="J639" s="36">
        <f t="shared" si="313"/>
        <v>0.99529411764705877</v>
      </c>
      <c r="K639" s="36">
        <f t="shared" si="314"/>
        <v>0.65331857985912811</v>
      </c>
      <c r="L639" s="21">
        <f t="shared" si="315"/>
        <v>0.53921568627450978</v>
      </c>
      <c r="M639" s="37" t="str">
        <f t="shared" si="322"/>
        <v>-</v>
      </c>
      <c r="N639" s="21">
        <f t="shared" si="316"/>
        <v>0.77401419895646228</v>
      </c>
      <c r="O639" s="21">
        <f t="shared" si="317"/>
        <v>0</v>
      </c>
      <c r="P639" s="21">
        <f t="shared" si="318"/>
        <v>0</v>
      </c>
      <c r="Q639" s="21">
        <f t="shared" si="319"/>
        <v>0</v>
      </c>
      <c r="R639" s="21">
        <f t="shared" si="323"/>
        <v>0.81176470588235294</v>
      </c>
      <c r="S639" s="21">
        <f t="shared" si="324"/>
        <v>0.88459748720335041</v>
      </c>
      <c r="T639" s="37" t="str">
        <f t="shared" si="325"/>
        <v>-</v>
      </c>
      <c r="U639" s="21">
        <f t="shared" si="320"/>
        <v>0.38700709947823114</v>
      </c>
      <c r="V639" s="170"/>
      <c r="W639" s="20"/>
      <c r="X639" s="169"/>
      <c r="Y639" s="20"/>
      <c r="Z639" s="169"/>
      <c r="AA639" s="169"/>
      <c r="AB639" s="169"/>
      <c r="AC639" s="169"/>
      <c r="AD639" s="169"/>
      <c r="AE639" s="169"/>
      <c r="AF639" s="169"/>
      <c r="AG639" s="169"/>
      <c r="AH639" s="169"/>
      <c r="AI639" s="169"/>
      <c r="AJ639" s="169"/>
      <c r="AK639" s="169"/>
      <c r="AL639" s="169"/>
      <c r="AM639" s="169"/>
      <c r="AN639" s="169"/>
      <c r="AO639" s="169"/>
      <c r="AP639" s="169"/>
      <c r="AQ639" s="169"/>
      <c r="AR639" s="169"/>
      <c r="AS639" s="169"/>
      <c r="AT639" s="169"/>
      <c r="AU639" s="169"/>
      <c r="AV639" s="169"/>
      <c r="AW639" s="169"/>
      <c r="AX639" s="169"/>
      <c r="AY639" s="169"/>
      <c r="AZ639" s="169"/>
      <c r="BA639" s="169"/>
      <c r="BB639" s="169"/>
      <c r="BC639" s="169"/>
    </row>
    <row r="640" spans="1:55" ht="14.25" customHeight="1">
      <c r="A640" s="12" t="s">
        <v>247</v>
      </c>
      <c r="B640" s="36">
        <f t="shared" si="305"/>
        <v>0.90140845070422537</v>
      </c>
      <c r="C640" s="36">
        <f t="shared" si="306"/>
        <v>0.80281690140845074</v>
      </c>
      <c r="D640" s="36">
        <f t="shared" si="307"/>
        <v>0.90721649484536082</v>
      </c>
      <c r="E640" s="36">
        <f t="shared" si="308"/>
        <v>0</v>
      </c>
      <c r="F640" s="36">
        <f t="shared" si="309"/>
        <v>0</v>
      </c>
      <c r="G640" s="36">
        <f t="shared" si="310"/>
        <v>0</v>
      </c>
      <c r="H640" s="36">
        <f t="shared" si="311"/>
        <v>1</v>
      </c>
      <c r="I640" s="36">
        <f t="shared" si="312"/>
        <v>1</v>
      </c>
      <c r="J640" s="36">
        <f t="shared" si="313"/>
        <v>0.95061728395061729</v>
      </c>
      <c r="K640" s="36">
        <f t="shared" si="314"/>
        <v>0.6651626700511073</v>
      </c>
      <c r="L640" s="21">
        <f t="shared" si="315"/>
        <v>0.625</v>
      </c>
      <c r="M640" s="37" t="str">
        <f t="shared" si="322"/>
        <v>-</v>
      </c>
      <c r="N640" s="21">
        <f t="shared" si="316"/>
        <v>0.61946472019464716</v>
      </c>
      <c r="O640" s="21">
        <f t="shared" si="317"/>
        <v>0</v>
      </c>
      <c r="P640" s="21">
        <f t="shared" si="318"/>
        <v>0</v>
      </c>
      <c r="Q640" s="21">
        <f t="shared" si="319"/>
        <v>0</v>
      </c>
      <c r="R640" s="21">
        <f t="shared" si="323"/>
        <v>0.75</v>
      </c>
      <c r="S640" s="21">
        <f t="shared" si="324"/>
        <v>0.85135135135135132</v>
      </c>
      <c r="T640" s="37" t="str">
        <f t="shared" si="325"/>
        <v>-</v>
      </c>
      <c r="U640" s="21">
        <f t="shared" si="320"/>
        <v>0.30973236009732358</v>
      </c>
      <c r="V640" s="170"/>
      <c r="W640" s="20"/>
      <c r="X640" s="169"/>
      <c r="Y640" s="20"/>
      <c r="Z640" s="169"/>
      <c r="AA640" s="169"/>
      <c r="AB640" s="169"/>
      <c r="AC640" s="169"/>
      <c r="AD640" s="169"/>
      <c r="AE640" s="169"/>
      <c r="AF640" s="169"/>
      <c r="AG640" s="169"/>
      <c r="AH640" s="169"/>
      <c r="AI640" s="169"/>
      <c r="AJ640" s="169"/>
      <c r="AK640" s="169"/>
      <c r="AL640" s="169"/>
      <c r="AM640" s="169"/>
      <c r="AN640" s="169"/>
      <c r="AO640" s="169"/>
      <c r="AP640" s="169"/>
      <c r="AQ640" s="169"/>
      <c r="AR640" s="169"/>
      <c r="AS640" s="169"/>
      <c r="AT640" s="169"/>
      <c r="AU640" s="169"/>
      <c r="AV640" s="169"/>
      <c r="AW640" s="169"/>
      <c r="AX640" s="169"/>
      <c r="AY640" s="169"/>
      <c r="AZ640" s="169"/>
      <c r="BA640" s="169"/>
      <c r="BB640" s="169"/>
      <c r="BC640" s="169"/>
    </row>
    <row r="641" spans="1:55" ht="14.25" customHeight="1">
      <c r="A641" s="177"/>
      <c r="B641" s="177"/>
      <c r="C641" s="177"/>
      <c r="D641" s="177"/>
      <c r="E641" s="177"/>
      <c r="F641" s="177"/>
      <c r="G641" s="177"/>
      <c r="H641" s="177"/>
      <c r="I641" s="177"/>
      <c r="J641" s="177"/>
      <c r="K641" s="177"/>
      <c r="L641" s="177"/>
      <c r="M641" s="177"/>
      <c r="N641" s="177"/>
      <c r="O641" s="177"/>
      <c r="P641" s="177"/>
      <c r="Q641" s="177"/>
      <c r="R641" s="177"/>
      <c r="S641" s="177"/>
      <c r="T641" s="177"/>
      <c r="U641" s="177"/>
      <c r="V641" s="169"/>
      <c r="W641" s="20"/>
      <c r="X641" s="169"/>
      <c r="Y641" s="169"/>
      <c r="Z641" s="169"/>
      <c r="AA641" s="169"/>
      <c r="AB641" s="169"/>
      <c r="AC641" s="169"/>
      <c r="AD641" s="169"/>
      <c r="AE641" s="169"/>
      <c r="AF641" s="169"/>
      <c r="AG641" s="169"/>
      <c r="AH641" s="169"/>
      <c r="AI641" s="169"/>
      <c r="AJ641" s="169"/>
      <c r="AK641" s="169"/>
      <c r="AL641" s="169"/>
      <c r="AM641" s="169"/>
      <c r="AN641" s="169"/>
      <c r="AO641" s="169"/>
      <c r="AP641" s="169"/>
      <c r="AQ641" s="169"/>
      <c r="AR641" s="169"/>
      <c r="AS641" s="169"/>
      <c r="AT641" s="169"/>
      <c r="AU641" s="169"/>
      <c r="AV641" s="169"/>
      <c r="AW641" s="169"/>
      <c r="AX641" s="169"/>
      <c r="AY641" s="169"/>
      <c r="AZ641" s="169"/>
      <c r="BA641" s="169"/>
      <c r="BB641" s="169"/>
      <c r="BC641" s="169"/>
    </row>
    <row r="642" spans="1:55" ht="14.25" customHeight="1">
      <c r="A642" s="179"/>
      <c r="B642" s="179"/>
      <c r="C642" s="179"/>
      <c r="D642" s="179"/>
      <c r="E642" s="179"/>
      <c r="F642" s="179"/>
      <c r="G642" s="179"/>
      <c r="H642" s="179"/>
      <c r="I642" s="179"/>
      <c r="J642" s="179"/>
      <c r="K642" s="179"/>
      <c r="L642" s="179"/>
      <c r="M642" s="179"/>
      <c r="N642" s="179"/>
      <c r="O642" s="179"/>
      <c r="P642" s="179"/>
      <c r="Q642" s="179"/>
      <c r="R642" s="179"/>
      <c r="S642" s="179"/>
      <c r="T642" s="179"/>
      <c r="U642" s="179"/>
      <c r="V642" s="179"/>
      <c r="W642" s="191"/>
      <c r="X642" s="179"/>
      <c r="Y642" s="179"/>
      <c r="Z642" s="179"/>
      <c r="AA642" s="179"/>
      <c r="AB642" s="179"/>
      <c r="AC642" s="179"/>
      <c r="AD642" s="179"/>
      <c r="AE642" s="179"/>
      <c r="AF642" s="179"/>
      <c r="AG642" s="179"/>
      <c r="AH642" s="179"/>
      <c r="AI642" s="179"/>
      <c r="AJ642" s="179"/>
      <c r="AK642" s="179"/>
      <c r="AL642" s="179"/>
      <c r="AM642" s="179"/>
      <c r="AN642" s="179"/>
      <c r="AO642" s="179"/>
      <c r="AP642" s="179"/>
      <c r="AQ642" s="179"/>
      <c r="AR642" s="179"/>
      <c r="AS642" s="179"/>
      <c r="AT642" s="179"/>
      <c r="AU642" s="179"/>
      <c r="AV642" s="179"/>
      <c r="AW642" s="179"/>
      <c r="AX642" s="169"/>
      <c r="AY642" s="169"/>
      <c r="AZ642" s="169"/>
      <c r="BA642" s="169"/>
      <c r="BB642" s="169"/>
      <c r="BC642" s="169"/>
    </row>
    <row r="643" spans="1:55" ht="14.25" customHeight="1">
      <c r="A643" s="192"/>
      <c r="B643" s="59" t="s">
        <v>102</v>
      </c>
      <c r="C643" s="193"/>
      <c r="D643" s="193"/>
      <c r="E643" s="194" t="s">
        <v>103</v>
      </c>
      <c r="F643" s="195"/>
      <c r="G643" s="195"/>
      <c r="H643" s="59" t="s">
        <v>104</v>
      </c>
      <c r="I643" s="193"/>
      <c r="J643" s="196"/>
      <c r="K643" s="194" t="s">
        <v>105</v>
      </c>
      <c r="L643" s="195"/>
      <c r="M643" s="195"/>
      <c r="N643" s="195"/>
      <c r="O643" s="195"/>
      <c r="P643" s="195"/>
      <c r="Q643" s="195"/>
      <c r="R643" s="195"/>
      <c r="S643" s="195"/>
      <c r="T643" s="59" t="s">
        <v>106</v>
      </c>
      <c r="U643" s="196"/>
      <c r="V643" s="196"/>
      <c r="W643" s="196"/>
      <c r="X643" s="196"/>
      <c r="Y643" s="196"/>
      <c r="Z643" s="196"/>
      <c r="AA643" s="196"/>
      <c r="AB643" s="196"/>
      <c r="AC643" s="29" t="s">
        <v>107</v>
      </c>
      <c r="AD643" s="184"/>
      <c r="AE643" s="184"/>
      <c r="AF643" s="27" t="s">
        <v>108</v>
      </c>
      <c r="AG643" s="181"/>
      <c r="AH643" s="182"/>
      <c r="AI643" s="29" t="s">
        <v>109</v>
      </c>
      <c r="AJ643" s="184"/>
      <c r="AK643" s="184"/>
      <c r="AL643" s="27" t="s">
        <v>110</v>
      </c>
      <c r="AM643" s="181"/>
      <c r="AN643" s="182"/>
      <c r="AO643" s="29" t="s">
        <v>111</v>
      </c>
      <c r="AP643" s="184"/>
      <c r="AQ643" s="184"/>
      <c r="AR643" s="184"/>
      <c r="AS643" s="184"/>
      <c r="AT643" s="184"/>
      <c r="AU643" s="184"/>
      <c r="AV643" s="184"/>
      <c r="AW643" s="184"/>
      <c r="AX643" s="185"/>
      <c r="AY643" s="169"/>
      <c r="AZ643" s="169"/>
      <c r="BA643" s="169"/>
      <c r="BB643" s="169"/>
      <c r="BC643" s="169"/>
    </row>
    <row r="644" spans="1:55" ht="14.25" customHeight="1">
      <c r="A644" s="511" t="s">
        <v>112</v>
      </c>
      <c r="B644" s="502" t="s">
        <v>240</v>
      </c>
      <c r="C644" s="503"/>
      <c r="D644" s="505"/>
      <c r="E644" s="502" t="s">
        <v>240</v>
      </c>
      <c r="F644" s="503"/>
      <c r="G644" s="505"/>
      <c r="H644" s="502" t="s">
        <v>240</v>
      </c>
      <c r="I644" s="503"/>
      <c r="J644" s="505"/>
      <c r="K644" s="502" t="s">
        <v>238</v>
      </c>
      <c r="L644" s="503"/>
      <c r="M644" s="505"/>
      <c r="N644" s="502" t="s">
        <v>239</v>
      </c>
      <c r="O644" s="503"/>
      <c r="P644" s="505"/>
      <c r="Q644" s="502" t="s">
        <v>240</v>
      </c>
      <c r="R644" s="503"/>
      <c r="S644" s="505"/>
      <c r="T644" s="502" t="s">
        <v>238</v>
      </c>
      <c r="U644" s="503"/>
      <c r="V644" s="505"/>
      <c r="W644" s="502" t="s">
        <v>239</v>
      </c>
      <c r="X644" s="503"/>
      <c r="Y644" s="505"/>
      <c r="Z644" s="502" t="s">
        <v>240</v>
      </c>
      <c r="AA644" s="503"/>
      <c r="AB644" s="505"/>
      <c r="AC644" s="502" t="s">
        <v>240</v>
      </c>
      <c r="AD644" s="503"/>
      <c r="AE644" s="505"/>
      <c r="AF644" s="502" t="s">
        <v>240</v>
      </c>
      <c r="AG644" s="503"/>
      <c r="AH644" s="505"/>
      <c r="AI644" s="502" t="s">
        <v>240</v>
      </c>
      <c r="AJ644" s="503"/>
      <c r="AK644" s="505"/>
      <c r="AL644" s="511" t="s">
        <v>238</v>
      </c>
      <c r="AM644" s="511" t="s">
        <v>239</v>
      </c>
      <c r="AN644" s="511" t="s">
        <v>240</v>
      </c>
      <c r="AO644" s="502" t="s">
        <v>238</v>
      </c>
      <c r="AP644" s="503"/>
      <c r="AQ644" s="505"/>
      <c r="AR644" s="502" t="s">
        <v>239</v>
      </c>
      <c r="AS644" s="503"/>
      <c r="AT644" s="505"/>
      <c r="AU644" s="502" t="s">
        <v>240</v>
      </c>
      <c r="AV644" s="503"/>
      <c r="AW644" s="505"/>
      <c r="AX644" s="170"/>
      <c r="AY644" s="169"/>
      <c r="AZ644" s="169"/>
      <c r="BA644" s="169"/>
      <c r="BB644" s="169"/>
      <c r="BC644" s="169"/>
    </row>
    <row r="645" spans="1:55" ht="14.25" customHeight="1">
      <c r="A645" s="521"/>
      <c r="B645" s="32" t="s">
        <v>113</v>
      </c>
      <c r="C645" s="32" t="s">
        <v>114</v>
      </c>
      <c r="D645" s="32" t="s">
        <v>14</v>
      </c>
      <c r="E645" s="32" t="s">
        <v>113</v>
      </c>
      <c r="F645" s="32" t="s">
        <v>114</v>
      </c>
      <c r="G645" s="32" t="s">
        <v>14</v>
      </c>
      <c r="H645" s="32" t="s">
        <v>113</v>
      </c>
      <c r="I645" s="32" t="s">
        <v>114</v>
      </c>
      <c r="J645" s="32" t="s">
        <v>14</v>
      </c>
      <c r="K645" s="32" t="s">
        <v>113</v>
      </c>
      <c r="L645" s="32" t="s">
        <v>114</v>
      </c>
      <c r="M645" s="32" t="s">
        <v>14</v>
      </c>
      <c r="N645" s="32" t="s">
        <v>113</v>
      </c>
      <c r="O645" s="32" t="s">
        <v>114</v>
      </c>
      <c r="P645" s="32" t="s">
        <v>14</v>
      </c>
      <c r="Q645" s="32" t="s">
        <v>113</v>
      </c>
      <c r="R645" s="32" t="s">
        <v>114</v>
      </c>
      <c r="S645" s="32" t="s">
        <v>14</v>
      </c>
      <c r="T645" s="32" t="s">
        <v>113</v>
      </c>
      <c r="U645" s="32" t="s">
        <v>114</v>
      </c>
      <c r="V645" s="32" t="s">
        <v>14</v>
      </c>
      <c r="W645" s="32" t="s">
        <v>113</v>
      </c>
      <c r="X645" s="32" t="s">
        <v>114</v>
      </c>
      <c r="Y645" s="32" t="s">
        <v>14</v>
      </c>
      <c r="Z645" s="32" t="s">
        <v>113</v>
      </c>
      <c r="AA645" s="32" t="s">
        <v>114</v>
      </c>
      <c r="AB645" s="32" t="s">
        <v>14</v>
      </c>
      <c r="AC645" s="32" t="s">
        <v>115</v>
      </c>
      <c r="AD645" s="32" t="s">
        <v>116</v>
      </c>
      <c r="AE645" s="32" t="s">
        <v>17</v>
      </c>
      <c r="AF645" s="32" t="s">
        <v>117</v>
      </c>
      <c r="AG645" s="32" t="s">
        <v>118</v>
      </c>
      <c r="AH645" s="32" t="s">
        <v>17</v>
      </c>
      <c r="AI645" s="32" t="s">
        <v>117</v>
      </c>
      <c r="AJ645" s="32" t="s">
        <v>118</v>
      </c>
      <c r="AK645" s="32" t="s">
        <v>17</v>
      </c>
      <c r="AL645" s="521"/>
      <c r="AM645" s="521"/>
      <c r="AN645" s="521"/>
      <c r="AO645" s="32" t="s">
        <v>117</v>
      </c>
      <c r="AP645" s="32" t="s">
        <v>118</v>
      </c>
      <c r="AQ645" s="32" t="s">
        <v>17</v>
      </c>
      <c r="AR645" s="32" t="s">
        <v>117</v>
      </c>
      <c r="AS645" s="32" t="s">
        <v>118</v>
      </c>
      <c r="AT645" s="32" t="s">
        <v>17</v>
      </c>
      <c r="AU645" s="32" t="s">
        <v>117</v>
      </c>
      <c r="AV645" s="32" t="s">
        <v>118</v>
      </c>
      <c r="AW645" s="32" t="s">
        <v>17</v>
      </c>
      <c r="AX645" s="170"/>
      <c r="AY645" s="169"/>
      <c r="AZ645" s="169"/>
      <c r="BA645" s="169"/>
      <c r="BB645" s="169"/>
      <c r="BC645" s="169"/>
    </row>
    <row r="646" spans="1:55" ht="14.25" customHeight="1">
      <c r="A646" s="12" t="s">
        <v>67</v>
      </c>
      <c r="B646" s="206">
        <f>B590</f>
        <v>0</v>
      </c>
      <c r="C646" s="206">
        <f>C590</f>
        <v>0</v>
      </c>
      <c r="D646" s="80" t="str">
        <f t="shared" ref="D646:D657" si="326">IFERROR(B646/C646,"-")</f>
        <v>-</v>
      </c>
      <c r="E646" s="96" t="str">
        <f>E590</f>
        <v>-</v>
      </c>
      <c r="F646" s="96" t="str">
        <f>F590</f>
        <v>-</v>
      </c>
      <c r="G646" s="83" t="str">
        <f t="shared" ref="G646:G657" si="327">IFERROR(E646/F646,"-")</f>
        <v>-</v>
      </c>
      <c r="H646" s="108">
        <f>H590</f>
        <v>0</v>
      </c>
      <c r="I646" s="108">
        <f>I590</f>
        <v>0</v>
      </c>
      <c r="J646" s="80" t="str">
        <f t="shared" ref="J646:J657" si="328">IFERROR(H646/I646,"-")</f>
        <v>-</v>
      </c>
      <c r="K646" s="66">
        <f t="shared" ref="K646:L653" si="329">IFERROR(SUM(B769,K769,T769),"-")</f>
        <v>0</v>
      </c>
      <c r="L646" s="66">
        <f t="shared" si="329"/>
        <v>0</v>
      </c>
      <c r="M646" s="83" t="str">
        <f t="shared" ref="M646:M657" si="330">IFERROR(K646/L646,"-")</f>
        <v>-</v>
      </c>
      <c r="N646" s="66">
        <f t="shared" ref="N646:O653" si="331">IFERROR(SUM(E769,N769,W769),"-")</f>
        <v>0</v>
      </c>
      <c r="O646" s="66">
        <f t="shared" si="331"/>
        <v>0</v>
      </c>
      <c r="P646" s="83" t="str">
        <f t="shared" ref="P646:P657" si="332">IFERROR(N646/O646,"-")</f>
        <v>-</v>
      </c>
      <c r="Q646" s="66">
        <f t="shared" ref="Q646:R653" si="333">IFERROR(SUM(H769,Q769,Z769),"-")</f>
        <v>0</v>
      </c>
      <c r="R646" s="66">
        <f t="shared" si="333"/>
        <v>0</v>
      </c>
      <c r="S646" s="83" t="str">
        <f t="shared" ref="S646:S657" si="334">IFERROR(Q646/R646,"-")</f>
        <v>-</v>
      </c>
      <c r="T646" s="80" t="str">
        <f>T590</f>
        <v>-</v>
      </c>
      <c r="U646" s="80" t="str">
        <f>U590</f>
        <v>-</v>
      </c>
      <c r="V646" s="80" t="str">
        <f t="shared" ref="V646:V657" si="335">IFERROR(T646/U646,"-")</f>
        <v>-</v>
      </c>
      <c r="W646" s="80" t="str">
        <f>W590</f>
        <v>-</v>
      </c>
      <c r="X646" s="80" t="str">
        <f>X590</f>
        <v>-</v>
      </c>
      <c r="Y646" s="80" t="str">
        <f t="shared" ref="Y646:Y657" si="336">IFERROR(W646/X646,"-")</f>
        <v>-</v>
      </c>
      <c r="Z646" s="80" t="str">
        <f>Z590</f>
        <v>-</v>
      </c>
      <c r="AA646" s="80" t="str">
        <f>AA590</f>
        <v>-</v>
      </c>
      <c r="AB646" s="80" t="str">
        <f t="shared" ref="AB646:AB657" si="337">IFERROR(Z646/AA646,"-")</f>
        <v>-</v>
      </c>
      <c r="AC646" s="70">
        <f>AC590</f>
        <v>0</v>
      </c>
      <c r="AD646" s="70">
        <f>AD590</f>
        <v>0</v>
      </c>
      <c r="AE646" s="37" t="str">
        <f t="shared" ref="AE646:AE657" si="338">IFERROR(AC646/AD646,"-")</f>
        <v>-</v>
      </c>
      <c r="AF646" s="104" t="s">
        <v>19</v>
      </c>
      <c r="AG646" s="104" t="s">
        <v>19</v>
      </c>
      <c r="AH646" s="44" t="str">
        <f t="shared" ref="AH646:AH657" si="339">IFERROR(AF646/AG646,"-")</f>
        <v>-</v>
      </c>
      <c r="AI646" s="105">
        <f>AI590</f>
        <v>2591</v>
      </c>
      <c r="AJ646" s="105">
        <f>AJ590</f>
        <v>3786</v>
      </c>
      <c r="AK646" s="21">
        <f t="shared" ref="AK646:AK657" si="340">IFERROR(AI646/AJ646,"-")</f>
        <v>0.68436344426835716</v>
      </c>
      <c r="AL646" s="36">
        <f t="shared" ref="AL646:AL657" si="341">W752</f>
        <v>0</v>
      </c>
      <c r="AM646" s="36">
        <f t="shared" ref="AM646:AM657" si="342">X752</f>
        <v>0</v>
      </c>
      <c r="AN646" s="36">
        <f t="shared" ref="AN646:AN657" si="343">Y752</f>
        <v>0</v>
      </c>
      <c r="AO646" s="37" t="str">
        <f>AO590</f>
        <v>-</v>
      </c>
      <c r="AP646" s="37" t="str">
        <f>AP590</f>
        <v>-</v>
      </c>
      <c r="AQ646" s="37" t="str">
        <f t="shared" ref="AQ646:AQ657" si="344">IFERROR(AO646/AP646,"-")</f>
        <v>-</v>
      </c>
      <c r="AR646" s="37" t="str">
        <f>AR590</f>
        <v>-</v>
      </c>
      <c r="AS646" s="37" t="str">
        <f>AS590</f>
        <v>-</v>
      </c>
      <c r="AT646" s="37" t="str">
        <f t="shared" ref="AT646:AT657" si="345">IFERROR(AR646/AS646,"-")</f>
        <v>-</v>
      </c>
      <c r="AU646" s="70"/>
      <c r="AV646" s="70"/>
      <c r="AW646" s="37" t="str">
        <f t="shared" ref="AW646:AW657" si="346">IFERROR(AU646/AV646,"-")</f>
        <v>-</v>
      </c>
      <c r="AX646" s="170"/>
      <c r="AY646" s="169"/>
      <c r="AZ646" s="169"/>
      <c r="BA646" s="169"/>
      <c r="BB646" s="169"/>
      <c r="BC646" s="169"/>
    </row>
    <row r="647" spans="1:55" ht="14.25" customHeight="1">
      <c r="A647" s="12" t="s">
        <v>119</v>
      </c>
      <c r="B647" s="106">
        <f>SUM(B591,B599,B600,B607,B594)</f>
        <v>615</v>
      </c>
      <c r="C647" s="106">
        <f>SUM(C591,C599,C600,C607,C594)</f>
        <v>684</v>
      </c>
      <c r="D647" s="65">
        <f t="shared" si="326"/>
        <v>0.89912280701754388</v>
      </c>
      <c r="E647" s="107">
        <f>SUM(E591,E599,E600,E607,E594)</f>
        <v>562</v>
      </c>
      <c r="F647" s="107">
        <f>SUM(F591,F599,F600,F607,F594)</f>
        <v>691</v>
      </c>
      <c r="G647" s="67">
        <f t="shared" si="327"/>
        <v>0.81331403762662813</v>
      </c>
      <c r="H647" s="108">
        <f>SUM(H591,H599,H600,H607,H594)</f>
        <v>494</v>
      </c>
      <c r="I647" s="108">
        <f>SUM(I591,I599,I600,I607,I594)</f>
        <v>618</v>
      </c>
      <c r="J647" s="65">
        <f t="shared" si="328"/>
        <v>0.79935275080906154</v>
      </c>
      <c r="K647" s="66">
        <f t="shared" si="329"/>
        <v>0</v>
      </c>
      <c r="L647" s="66">
        <f t="shared" si="329"/>
        <v>0</v>
      </c>
      <c r="M647" s="83" t="str">
        <f t="shared" si="330"/>
        <v>-</v>
      </c>
      <c r="N647" s="66">
        <f t="shared" si="331"/>
        <v>0</v>
      </c>
      <c r="O647" s="66">
        <f t="shared" si="331"/>
        <v>0</v>
      </c>
      <c r="P647" s="83" t="str">
        <f t="shared" si="332"/>
        <v>-</v>
      </c>
      <c r="Q647" s="66">
        <f t="shared" si="333"/>
        <v>0</v>
      </c>
      <c r="R647" s="66">
        <f t="shared" si="333"/>
        <v>0</v>
      </c>
      <c r="S647" s="83" t="str">
        <f t="shared" si="334"/>
        <v>-</v>
      </c>
      <c r="T647" s="108">
        <f>SUM(T591,T599,T600,T607,T594)</f>
        <v>85</v>
      </c>
      <c r="U647" s="108">
        <f>SUM(U591,U599,U600,U607,U594)</f>
        <v>85</v>
      </c>
      <c r="V647" s="65">
        <f t="shared" si="335"/>
        <v>1</v>
      </c>
      <c r="W647" s="108">
        <f>SUM(W591,W599,W600,W607,W594)</f>
        <v>521</v>
      </c>
      <c r="X647" s="108">
        <f>SUM(X591,X599,X600,X607,X594)</f>
        <v>523</v>
      </c>
      <c r="Y647" s="65">
        <f t="shared" si="336"/>
        <v>0.99617590822179736</v>
      </c>
      <c r="Z647" s="108">
        <f>SUM(Z591,Z599,Z600,Z607,Z604,Z594)</f>
        <v>607</v>
      </c>
      <c r="AA647" s="108">
        <f>SUM(AA591,AA599,AA600,AA607,AA604,AA594)</f>
        <v>609</v>
      </c>
      <c r="AB647" s="65">
        <f t="shared" si="337"/>
        <v>0.99671592775041051</v>
      </c>
      <c r="AC647" s="139"/>
      <c r="AD647" s="139"/>
      <c r="AE647" s="37" t="str">
        <f t="shared" si="338"/>
        <v>-</v>
      </c>
      <c r="AF647" s="109">
        <f>SUM(AF591,AF599,AF600,AF607,AF594)</f>
        <v>0</v>
      </c>
      <c r="AG647" s="109">
        <f>SUM(AG591,AG599,AG600,AG607,AG594)</f>
        <v>0</v>
      </c>
      <c r="AH647" s="44" t="str">
        <f t="shared" si="339"/>
        <v>-</v>
      </c>
      <c r="AI647" s="110">
        <f>SUM(AI591,AI599,AI600,AI607,AI594)</f>
        <v>9049</v>
      </c>
      <c r="AJ647" s="110">
        <f>SUM(AJ591,AJ599,AJ600,AJ607,AJ594)</f>
        <v>11691</v>
      </c>
      <c r="AK647" s="21">
        <f t="shared" si="340"/>
        <v>0.77401419895646228</v>
      </c>
      <c r="AL647" s="36">
        <f t="shared" si="341"/>
        <v>0</v>
      </c>
      <c r="AM647" s="36">
        <f t="shared" si="342"/>
        <v>0</v>
      </c>
      <c r="AN647" s="36">
        <f t="shared" si="343"/>
        <v>0</v>
      </c>
      <c r="AO647" s="110">
        <f>SUM(AO591,AO599,AO600,AO607,AO594)</f>
        <v>276</v>
      </c>
      <c r="AP647" s="110">
        <f>SUM(AP591,AP599,AP600,AP607,AP594)</f>
        <v>340</v>
      </c>
      <c r="AQ647" s="21">
        <f t="shared" si="344"/>
        <v>0.81176470588235294</v>
      </c>
      <c r="AR647" s="110">
        <f>SUM(AR591,AR599,AR600,AR607,AR594)</f>
        <v>1901</v>
      </c>
      <c r="AS647" s="110">
        <f>SUM(AS591,AS599,AS600,AS607,AS594)</f>
        <v>2149</v>
      </c>
      <c r="AT647" s="21">
        <f t="shared" si="345"/>
        <v>0.88459748720335041</v>
      </c>
      <c r="AU647" s="70"/>
      <c r="AV647" s="70"/>
      <c r="AW647" s="37" t="str">
        <f t="shared" si="346"/>
        <v>-</v>
      </c>
      <c r="AX647" s="170"/>
      <c r="AY647" s="169"/>
      <c r="AZ647" s="169"/>
      <c r="BA647" s="169"/>
      <c r="BB647" s="169"/>
      <c r="BC647" s="169"/>
    </row>
    <row r="648" spans="1:55" ht="14.25" customHeight="1">
      <c r="A648" s="12" t="s">
        <v>120</v>
      </c>
      <c r="B648" s="111">
        <f>SUM(B595,B596,B602,B610)</f>
        <v>204</v>
      </c>
      <c r="C648" s="111">
        <f>SUM(C595,C596,C602,C610)</f>
        <v>215</v>
      </c>
      <c r="D648" s="65">
        <f t="shared" si="326"/>
        <v>0.94883720930232562</v>
      </c>
      <c r="E648" s="107">
        <f>SUM(E595,E596,E602,E610)</f>
        <v>171</v>
      </c>
      <c r="F648" s="107">
        <f>SUM(F595,F596,F602,F610)</f>
        <v>215</v>
      </c>
      <c r="G648" s="67">
        <f t="shared" si="327"/>
        <v>0.79534883720930227</v>
      </c>
      <c r="H648" s="108">
        <f>SUM(H595,H596,H602,H610)</f>
        <v>174</v>
      </c>
      <c r="I648" s="108">
        <f>SUM(I595,I596,I602,I610)</f>
        <v>204</v>
      </c>
      <c r="J648" s="65">
        <f t="shared" si="328"/>
        <v>0.8529411764705882</v>
      </c>
      <c r="K648" s="66">
        <f t="shared" si="329"/>
        <v>0</v>
      </c>
      <c r="L648" s="66">
        <f t="shared" si="329"/>
        <v>0</v>
      </c>
      <c r="M648" s="83" t="str">
        <f t="shared" si="330"/>
        <v>-</v>
      </c>
      <c r="N648" s="66">
        <f t="shared" si="331"/>
        <v>0</v>
      </c>
      <c r="O648" s="66">
        <f t="shared" si="331"/>
        <v>0</v>
      </c>
      <c r="P648" s="83" t="str">
        <f t="shared" si="332"/>
        <v>-</v>
      </c>
      <c r="Q648" s="66">
        <f t="shared" si="333"/>
        <v>0</v>
      </c>
      <c r="R648" s="66">
        <f t="shared" si="333"/>
        <v>0</v>
      </c>
      <c r="S648" s="83" t="str">
        <f t="shared" si="334"/>
        <v>-</v>
      </c>
      <c r="T648" s="108">
        <f>SUM(T595,T596,T602,T610)</f>
        <v>13</v>
      </c>
      <c r="U648" s="108">
        <f>SUM(U595,U596,U602,U610)</f>
        <v>13</v>
      </c>
      <c r="V648" s="65">
        <f t="shared" si="335"/>
        <v>1</v>
      </c>
      <c r="W648" s="108">
        <f>SUM(W595,W596,W602,W610)</f>
        <v>74</v>
      </c>
      <c r="X648" s="108">
        <f>SUM(X595,X596,X602,X610)</f>
        <v>79</v>
      </c>
      <c r="Y648" s="65">
        <f t="shared" si="336"/>
        <v>0.93670886075949367</v>
      </c>
      <c r="Z648" s="108">
        <f>SUM(Z595,Z596,Z602,Z610)</f>
        <v>87</v>
      </c>
      <c r="AA648" s="108">
        <f>SUM(AA595,AA596,AA602,AA610)</f>
        <v>92</v>
      </c>
      <c r="AB648" s="65">
        <f t="shared" si="337"/>
        <v>0.94565217391304346</v>
      </c>
      <c r="AC648" s="139"/>
      <c r="AD648" s="139"/>
      <c r="AE648" s="37" t="str">
        <f t="shared" si="338"/>
        <v>-</v>
      </c>
      <c r="AF648" s="109">
        <f>SUM(AF595,AF596,AF602,AF610)</f>
        <v>0</v>
      </c>
      <c r="AG648" s="109">
        <f>SUM(AG595,AG596,AG602,AG610)</f>
        <v>0</v>
      </c>
      <c r="AH648" s="44" t="str">
        <f t="shared" si="339"/>
        <v>-</v>
      </c>
      <c r="AI648" s="110">
        <f>SUM(AI595,AI596,AI602,AI610)</f>
        <v>2860</v>
      </c>
      <c r="AJ648" s="110">
        <f>SUM(AJ595,AJ596,AJ602,AJ610)</f>
        <v>4103</v>
      </c>
      <c r="AK648" s="21">
        <f t="shared" si="340"/>
        <v>0.69705093833780163</v>
      </c>
      <c r="AL648" s="36">
        <f t="shared" si="341"/>
        <v>0</v>
      </c>
      <c r="AM648" s="36">
        <f t="shared" si="342"/>
        <v>0</v>
      </c>
      <c r="AN648" s="36">
        <f t="shared" si="343"/>
        <v>0</v>
      </c>
      <c r="AO648" s="110">
        <f>SUM(AO595,AO596,AO602,AO610)</f>
        <v>39</v>
      </c>
      <c r="AP648" s="110">
        <f>SUM(AP595,AP596,AP602,AP610)</f>
        <v>52</v>
      </c>
      <c r="AQ648" s="21">
        <f t="shared" si="344"/>
        <v>0.75</v>
      </c>
      <c r="AR648" s="110">
        <f>SUM(AR595,AR596,AR602,AR610)</f>
        <v>464</v>
      </c>
      <c r="AS648" s="110">
        <f>SUM(AS595,AS596,AS602,AS610)</f>
        <v>540</v>
      </c>
      <c r="AT648" s="21">
        <f t="shared" si="345"/>
        <v>0.85925925925925928</v>
      </c>
      <c r="AU648" s="70"/>
      <c r="AV648" s="70"/>
      <c r="AW648" s="37" t="str">
        <f t="shared" si="346"/>
        <v>-</v>
      </c>
      <c r="AX648" s="170"/>
      <c r="AY648" s="169"/>
      <c r="AZ648" s="169"/>
      <c r="BA648" s="169"/>
      <c r="BB648" s="169"/>
      <c r="BC648" s="169"/>
    </row>
    <row r="649" spans="1:55" ht="14.25" customHeight="1">
      <c r="A649" s="12" t="s">
        <v>121</v>
      </c>
      <c r="B649" s="111">
        <f>SUM(B601,B603,B608)</f>
        <v>112</v>
      </c>
      <c r="C649" s="111">
        <f>SUM(C601,C603,C608)</f>
        <v>120</v>
      </c>
      <c r="D649" s="65">
        <f t="shared" si="326"/>
        <v>0.93333333333333335</v>
      </c>
      <c r="E649" s="107">
        <f>SUM(E601,E603,E608)</f>
        <v>96</v>
      </c>
      <c r="F649" s="107">
        <f>SUM(F601,F603,F608)</f>
        <v>120</v>
      </c>
      <c r="G649" s="67">
        <f t="shared" si="327"/>
        <v>0.8</v>
      </c>
      <c r="H649" s="108">
        <f>SUM(H601,H603,H608)</f>
        <v>88</v>
      </c>
      <c r="I649" s="108">
        <f>SUM(I601,I603,I608)</f>
        <v>97</v>
      </c>
      <c r="J649" s="65">
        <f t="shared" si="328"/>
        <v>0.90721649484536082</v>
      </c>
      <c r="K649" s="66">
        <f t="shared" si="329"/>
        <v>0</v>
      </c>
      <c r="L649" s="66">
        <f t="shared" si="329"/>
        <v>0</v>
      </c>
      <c r="M649" s="83" t="str">
        <f t="shared" si="330"/>
        <v>-</v>
      </c>
      <c r="N649" s="66">
        <f t="shared" si="331"/>
        <v>0</v>
      </c>
      <c r="O649" s="66">
        <f t="shared" si="331"/>
        <v>0</v>
      </c>
      <c r="P649" s="83" t="str">
        <f t="shared" si="332"/>
        <v>-</v>
      </c>
      <c r="Q649" s="66">
        <f t="shared" si="333"/>
        <v>0</v>
      </c>
      <c r="R649" s="66">
        <f t="shared" si="333"/>
        <v>0</v>
      </c>
      <c r="S649" s="83" t="str">
        <f t="shared" si="334"/>
        <v>-</v>
      </c>
      <c r="T649" s="108">
        <f>SUM(T601,T603,T608)</f>
        <v>4</v>
      </c>
      <c r="U649" s="108">
        <f>SUM(U601,U603,U608)</f>
        <v>4</v>
      </c>
      <c r="V649" s="65">
        <f t="shared" si="335"/>
        <v>1</v>
      </c>
      <c r="W649" s="108">
        <f>SUM(W601,W603,W608)</f>
        <v>32</v>
      </c>
      <c r="X649" s="108">
        <f>SUM(X601,X603,X608)</f>
        <v>32</v>
      </c>
      <c r="Y649" s="65">
        <f t="shared" si="336"/>
        <v>1</v>
      </c>
      <c r="Z649" s="108">
        <f>SUM(Z601,Z603,Z608)</f>
        <v>36</v>
      </c>
      <c r="AA649" s="108">
        <f>SUM(AA601,AA603,AA608)</f>
        <v>36</v>
      </c>
      <c r="AB649" s="65">
        <f t="shared" si="337"/>
        <v>1</v>
      </c>
      <c r="AC649" s="139"/>
      <c r="AD649" s="139"/>
      <c r="AE649" s="37" t="str">
        <f t="shared" si="338"/>
        <v>-</v>
      </c>
      <c r="AF649" s="109">
        <f>SUM(AF601,AF603,AF608)</f>
        <v>0</v>
      </c>
      <c r="AG649" s="109">
        <f>SUM(AG601,AG603,AG608)</f>
        <v>0</v>
      </c>
      <c r="AH649" s="44" t="str">
        <f t="shared" si="339"/>
        <v>-</v>
      </c>
      <c r="AI649" s="110">
        <f>SUM(AI601,AI603,AI608)</f>
        <v>1273</v>
      </c>
      <c r="AJ649" s="110">
        <f>SUM(AJ601,AJ603,AJ608)</f>
        <v>2055</v>
      </c>
      <c r="AK649" s="21">
        <f t="shared" si="340"/>
        <v>0.61946472019464716</v>
      </c>
      <c r="AL649" s="36">
        <f t="shared" si="341"/>
        <v>0</v>
      </c>
      <c r="AM649" s="36">
        <f t="shared" si="342"/>
        <v>0</v>
      </c>
      <c r="AN649" s="36">
        <f t="shared" si="343"/>
        <v>0</v>
      </c>
      <c r="AO649" s="110">
        <f>SUM(AO601,AO603,AO608)</f>
        <v>12</v>
      </c>
      <c r="AP649" s="110">
        <f>SUM(AP601,AP603,AP608)</f>
        <v>16</v>
      </c>
      <c r="AQ649" s="21">
        <f t="shared" si="344"/>
        <v>0.75</v>
      </c>
      <c r="AR649" s="110">
        <f>SUM(AR601,AR603,AR608)</f>
        <v>126</v>
      </c>
      <c r="AS649" s="110">
        <f>SUM(AS601,AS603,AS608)</f>
        <v>148</v>
      </c>
      <c r="AT649" s="21">
        <f t="shared" si="345"/>
        <v>0.85135135135135132</v>
      </c>
      <c r="AU649" s="70"/>
      <c r="AV649" s="70"/>
      <c r="AW649" s="37" t="str">
        <f t="shared" si="346"/>
        <v>-</v>
      </c>
      <c r="AX649" s="170"/>
      <c r="AY649" s="169"/>
      <c r="AZ649" s="169"/>
      <c r="BA649" s="169"/>
      <c r="BB649" s="169"/>
      <c r="BC649" s="169"/>
    </row>
    <row r="650" spans="1:55" ht="14.25" customHeight="1">
      <c r="A650" s="12" t="s">
        <v>122</v>
      </c>
      <c r="B650" s="111">
        <f>SUM(B593,B604)</f>
        <v>53</v>
      </c>
      <c r="C650" s="111">
        <f>SUM(C593,C604)</f>
        <v>57</v>
      </c>
      <c r="D650" s="65">
        <f t="shared" si="326"/>
        <v>0.92982456140350878</v>
      </c>
      <c r="E650" s="107">
        <f>SUM(E593,E604)</f>
        <v>42</v>
      </c>
      <c r="F650" s="107">
        <f>SUM(F593,F604)</f>
        <v>57</v>
      </c>
      <c r="G650" s="67">
        <f t="shared" si="327"/>
        <v>0.73684210526315785</v>
      </c>
      <c r="H650" s="108">
        <f>SUM(H593,H604)</f>
        <v>77</v>
      </c>
      <c r="I650" s="108">
        <f>SUM(I593,I604)</f>
        <v>89</v>
      </c>
      <c r="J650" s="65">
        <f t="shared" si="328"/>
        <v>0.8651685393258427</v>
      </c>
      <c r="K650" s="66">
        <f t="shared" si="329"/>
        <v>0</v>
      </c>
      <c r="L650" s="66">
        <f t="shared" si="329"/>
        <v>0</v>
      </c>
      <c r="M650" s="83" t="str">
        <f t="shared" si="330"/>
        <v>-</v>
      </c>
      <c r="N650" s="66">
        <f t="shared" si="331"/>
        <v>0</v>
      </c>
      <c r="O650" s="66">
        <f t="shared" si="331"/>
        <v>0</v>
      </c>
      <c r="P650" s="83" t="str">
        <f t="shared" si="332"/>
        <v>-</v>
      </c>
      <c r="Q650" s="66">
        <f t="shared" si="333"/>
        <v>0</v>
      </c>
      <c r="R650" s="66">
        <f t="shared" si="333"/>
        <v>0</v>
      </c>
      <c r="S650" s="83" t="str">
        <f t="shared" si="334"/>
        <v>-</v>
      </c>
      <c r="T650" s="108">
        <f>SUM(T593,T604)</f>
        <v>2</v>
      </c>
      <c r="U650" s="108">
        <f>SUM(U593,U604)</f>
        <v>2</v>
      </c>
      <c r="V650" s="65">
        <f t="shared" si="335"/>
        <v>1</v>
      </c>
      <c r="W650" s="108">
        <f>SUM(W593,W604)</f>
        <v>36</v>
      </c>
      <c r="X650" s="108">
        <f>SUM(X593,X604)</f>
        <v>36</v>
      </c>
      <c r="Y650" s="65">
        <f t="shared" si="336"/>
        <v>1</v>
      </c>
      <c r="Z650" s="108">
        <f>SUM(Z593)</f>
        <v>37</v>
      </c>
      <c r="AA650" s="108">
        <f>SUM(AA593)</f>
        <v>37</v>
      </c>
      <c r="AB650" s="65">
        <f t="shared" si="337"/>
        <v>1</v>
      </c>
      <c r="AC650" s="139"/>
      <c r="AD650" s="139"/>
      <c r="AE650" s="37" t="str">
        <f t="shared" si="338"/>
        <v>-</v>
      </c>
      <c r="AF650" s="109">
        <f>SUM(AF593,AF604)</f>
        <v>0</v>
      </c>
      <c r="AG650" s="109">
        <f>SUM(AG593,AG604)</f>
        <v>0</v>
      </c>
      <c r="AH650" s="44" t="str">
        <f t="shared" si="339"/>
        <v>-</v>
      </c>
      <c r="AI650" s="110">
        <f>SUM(AI593,AI604)</f>
        <v>1266</v>
      </c>
      <c r="AJ650" s="110">
        <f>SUM(AJ593,AJ604)</f>
        <v>1848</v>
      </c>
      <c r="AK650" s="21">
        <f t="shared" si="340"/>
        <v>0.68506493506493504</v>
      </c>
      <c r="AL650" s="36">
        <f t="shared" si="341"/>
        <v>0</v>
      </c>
      <c r="AM650" s="36">
        <f t="shared" si="342"/>
        <v>0</v>
      </c>
      <c r="AN650" s="36">
        <f t="shared" si="343"/>
        <v>0</v>
      </c>
      <c r="AO650" s="110">
        <f>SUM(AO593,AO604)</f>
        <v>7</v>
      </c>
      <c r="AP650" s="110">
        <f>SUM(AP593,AP604)</f>
        <v>8</v>
      </c>
      <c r="AQ650" s="21">
        <f t="shared" si="344"/>
        <v>0.875</v>
      </c>
      <c r="AR650" s="110">
        <f>SUM(AR593,AR604)</f>
        <v>152</v>
      </c>
      <c r="AS650" s="110">
        <f>SUM(AS593,AS604)</f>
        <v>173</v>
      </c>
      <c r="AT650" s="21">
        <f t="shared" si="345"/>
        <v>0.87861271676300579</v>
      </c>
      <c r="AU650" s="70"/>
      <c r="AV650" s="70"/>
      <c r="AW650" s="37" t="str">
        <f t="shared" si="346"/>
        <v>-</v>
      </c>
      <c r="AX650" s="170"/>
      <c r="AY650" s="169"/>
      <c r="AZ650" s="169"/>
      <c r="BA650" s="169"/>
      <c r="BB650" s="169"/>
      <c r="BC650" s="169"/>
    </row>
    <row r="651" spans="1:55" ht="14.25" customHeight="1">
      <c r="A651" s="12" t="s">
        <v>123</v>
      </c>
      <c r="B651" s="106">
        <f>SUM(B605,B606)</f>
        <v>92</v>
      </c>
      <c r="C651" s="106">
        <f>SUM(C605,C606)</f>
        <v>109</v>
      </c>
      <c r="D651" s="65">
        <f t="shared" si="326"/>
        <v>0.84403669724770647</v>
      </c>
      <c r="E651" s="107">
        <f>SUM(E605,E606)</f>
        <v>92</v>
      </c>
      <c r="F651" s="107">
        <f>SUM(F605,F606)</f>
        <v>109</v>
      </c>
      <c r="G651" s="67">
        <f t="shared" si="327"/>
        <v>0.84403669724770647</v>
      </c>
      <c r="H651" s="108">
        <f>SUM(H605,H606)</f>
        <v>72</v>
      </c>
      <c r="I651" s="108">
        <f>SUM(I605,I606)</f>
        <v>107</v>
      </c>
      <c r="J651" s="65">
        <f t="shared" si="328"/>
        <v>0.67289719626168221</v>
      </c>
      <c r="K651" s="66">
        <f t="shared" si="329"/>
        <v>0</v>
      </c>
      <c r="L651" s="66">
        <f t="shared" si="329"/>
        <v>0</v>
      </c>
      <c r="M651" s="83" t="str">
        <f t="shared" si="330"/>
        <v>-</v>
      </c>
      <c r="N651" s="66">
        <f t="shared" si="331"/>
        <v>0</v>
      </c>
      <c r="O651" s="66">
        <f t="shared" si="331"/>
        <v>0</v>
      </c>
      <c r="P651" s="83" t="str">
        <f t="shared" si="332"/>
        <v>-</v>
      </c>
      <c r="Q651" s="66">
        <f t="shared" si="333"/>
        <v>0</v>
      </c>
      <c r="R651" s="66">
        <f t="shared" si="333"/>
        <v>0</v>
      </c>
      <c r="S651" s="83" t="str">
        <f t="shared" si="334"/>
        <v>-</v>
      </c>
      <c r="T651" s="108">
        <f>SUM(T605,T606)</f>
        <v>0</v>
      </c>
      <c r="U651" s="108">
        <f>SUM(U605,U606)</f>
        <v>0</v>
      </c>
      <c r="V651" s="80" t="str">
        <f t="shared" si="335"/>
        <v>-</v>
      </c>
      <c r="W651" s="108">
        <f>SUM(W605,W606)</f>
        <v>44</v>
      </c>
      <c r="X651" s="108">
        <f>SUM(X605,X606)</f>
        <v>45</v>
      </c>
      <c r="Y651" s="65">
        <f t="shared" si="336"/>
        <v>0.97777777777777775</v>
      </c>
      <c r="Z651" s="108">
        <f>SUM(Z605,Z606)</f>
        <v>44</v>
      </c>
      <c r="AA651" s="108">
        <f>SUM(AA605,AA606)</f>
        <v>45</v>
      </c>
      <c r="AB651" s="65">
        <f t="shared" si="337"/>
        <v>0.97777777777777775</v>
      </c>
      <c r="AC651" s="139"/>
      <c r="AD651" s="139"/>
      <c r="AE651" s="37" t="str">
        <f t="shared" si="338"/>
        <v>-</v>
      </c>
      <c r="AF651" s="109">
        <f>SUM(AF605,AF606)</f>
        <v>0</v>
      </c>
      <c r="AG651" s="109">
        <f>SUM(AG605,AG606)</f>
        <v>0</v>
      </c>
      <c r="AH651" s="44" t="str">
        <f t="shared" si="339"/>
        <v>-</v>
      </c>
      <c r="AI651" s="207">
        <f>SUM(AI605:AI606)</f>
        <v>1348</v>
      </c>
      <c r="AJ651" s="207">
        <f>SUM(AJ605:AJ606)</f>
        <v>1749</v>
      </c>
      <c r="AK651" s="21">
        <f t="shared" si="340"/>
        <v>0.77072612921669525</v>
      </c>
      <c r="AL651" s="36">
        <f t="shared" si="341"/>
        <v>0</v>
      </c>
      <c r="AM651" s="36">
        <f t="shared" si="342"/>
        <v>0</v>
      </c>
      <c r="AN651" s="36">
        <f t="shared" si="343"/>
        <v>0</v>
      </c>
      <c r="AO651" s="110">
        <f>SUM(AO605,AO606)</f>
        <v>0</v>
      </c>
      <c r="AP651" s="110">
        <f>SUM(AP605,AP606)</f>
        <v>0</v>
      </c>
      <c r="AQ651" s="37" t="str">
        <f t="shared" si="344"/>
        <v>-</v>
      </c>
      <c r="AR651" s="110">
        <f>SUM(AR605,AR606)</f>
        <v>257</v>
      </c>
      <c r="AS651" s="110">
        <f>SUM(AS605,AS606)</f>
        <v>303</v>
      </c>
      <c r="AT651" s="21">
        <f t="shared" si="345"/>
        <v>0.84818481848184824</v>
      </c>
      <c r="AU651" s="70"/>
      <c r="AV651" s="70"/>
      <c r="AW651" s="37" t="str">
        <f t="shared" si="346"/>
        <v>-</v>
      </c>
      <c r="AX651" s="170"/>
      <c r="AY651" s="169"/>
      <c r="AZ651" s="169"/>
      <c r="BA651" s="169"/>
      <c r="BB651" s="169"/>
      <c r="BC651" s="169"/>
    </row>
    <row r="652" spans="1:55" ht="14.25" customHeight="1">
      <c r="A652" s="12" t="s">
        <v>124</v>
      </c>
      <c r="B652" s="106">
        <f>SUM(B609)</f>
        <v>52</v>
      </c>
      <c r="C652" s="106">
        <f>SUM(C609)</f>
        <v>57</v>
      </c>
      <c r="D652" s="65">
        <f t="shared" si="326"/>
        <v>0.91228070175438591</v>
      </c>
      <c r="E652" s="114">
        <f>SUM(E609)</f>
        <v>43</v>
      </c>
      <c r="F652" s="114">
        <f>SUM(F609)</f>
        <v>57</v>
      </c>
      <c r="G652" s="67">
        <f t="shared" si="327"/>
        <v>0.75438596491228072</v>
      </c>
      <c r="H652" s="115">
        <f>SUM(H609)</f>
        <v>48</v>
      </c>
      <c r="I652" s="115">
        <f>SUM(I609)</f>
        <v>54</v>
      </c>
      <c r="J652" s="65">
        <f t="shared" si="328"/>
        <v>0.88888888888888884</v>
      </c>
      <c r="K652" s="66">
        <f t="shared" si="329"/>
        <v>0</v>
      </c>
      <c r="L652" s="66">
        <f t="shared" si="329"/>
        <v>0</v>
      </c>
      <c r="M652" s="83" t="str">
        <f t="shared" si="330"/>
        <v>-</v>
      </c>
      <c r="N652" s="66">
        <f t="shared" si="331"/>
        <v>0</v>
      </c>
      <c r="O652" s="66">
        <f t="shared" si="331"/>
        <v>0</v>
      </c>
      <c r="P652" s="83" t="str">
        <f t="shared" si="332"/>
        <v>-</v>
      </c>
      <c r="Q652" s="66">
        <f t="shared" si="333"/>
        <v>0</v>
      </c>
      <c r="R652" s="66">
        <f t="shared" si="333"/>
        <v>0</v>
      </c>
      <c r="S652" s="83" t="str">
        <f t="shared" si="334"/>
        <v>-</v>
      </c>
      <c r="T652" s="108">
        <f>SUM(T609)</f>
        <v>0</v>
      </c>
      <c r="U652" s="108">
        <f>SUM(U609)</f>
        <v>0</v>
      </c>
      <c r="V652" s="80" t="str">
        <f t="shared" si="335"/>
        <v>-</v>
      </c>
      <c r="W652" s="115">
        <f>SUM(W609)</f>
        <v>26</v>
      </c>
      <c r="X652" s="115">
        <f>SUM(X609)</f>
        <v>26</v>
      </c>
      <c r="Y652" s="65">
        <f t="shared" si="336"/>
        <v>1</v>
      </c>
      <c r="Z652" s="108">
        <f>SUM(Z609)</f>
        <v>26</v>
      </c>
      <c r="AA652" s="108">
        <f>SUM(AA609)</f>
        <v>26</v>
      </c>
      <c r="AB652" s="65">
        <f t="shared" si="337"/>
        <v>1</v>
      </c>
      <c r="AC652" s="139"/>
      <c r="AD652" s="139"/>
      <c r="AE652" s="37" t="str">
        <f t="shared" si="338"/>
        <v>-</v>
      </c>
      <c r="AF652" s="109">
        <f>SUM(AF609)</f>
        <v>0</v>
      </c>
      <c r="AG652" s="109">
        <f>SUM(AG609)</f>
        <v>0</v>
      </c>
      <c r="AH652" s="44" t="str">
        <f t="shared" si="339"/>
        <v>-</v>
      </c>
      <c r="AI652" s="105">
        <f>SUM(AI609)</f>
        <v>807</v>
      </c>
      <c r="AJ652" s="105">
        <f>SUM(AJ609)</f>
        <v>1153</v>
      </c>
      <c r="AK652" s="21">
        <f t="shared" si="340"/>
        <v>0.69991326973113621</v>
      </c>
      <c r="AL652" s="36">
        <f t="shared" si="341"/>
        <v>0</v>
      </c>
      <c r="AM652" s="36">
        <f t="shared" si="342"/>
        <v>0</v>
      </c>
      <c r="AN652" s="36">
        <f t="shared" si="343"/>
        <v>0</v>
      </c>
      <c r="AO652" s="105">
        <f>SUM(AO609)</f>
        <v>0</v>
      </c>
      <c r="AP652" s="105">
        <f>SUM(AP609)</f>
        <v>0</v>
      </c>
      <c r="AQ652" s="37" t="str">
        <f t="shared" si="344"/>
        <v>-</v>
      </c>
      <c r="AR652" s="105">
        <f>SUM(AR609)</f>
        <v>95</v>
      </c>
      <c r="AS652" s="105">
        <f>SUM(AS609)</f>
        <v>112</v>
      </c>
      <c r="AT652" s="21">
        <f t="shared" si="345"/>
        <v>0.8482142857142857</v>
      </c>
      <c r="AU652" s="70"/>
      <c r="AV652" s="70"/>
      <c r="AW652" s="37" t="str">
        <f t="shared" si="346"/>
        <v>-</v>
      </c>
      <c r="AX652" s="170"/>
      <c r="AY652" s="169"/>
      <c r="AZ652" s="169"/>
      <c r="BA652" s="169"/>
      <c r="BB652" s="169"/>
      <c r="BC652" s="169"/>
    </row>
    <row r="653" spans="1:55" ht="14.25" customHeight="1">
      <c r="A653" s="12" t="s">
        <v>125</v>
      </c>
      <c r="B653" s="106">
        <f>SUM(B592,B597,B598)</f>
        <v>151</v>
      </c>
      <c r="C653" s="106">
        <f>SUM(C592,C597,C598)</f>
        <v>156</v>
      </c>
      <c r="D653" s="65">
        <f t="shared" si="326"/>
        <v>0.96794871794871795</v>
      </c>
      <c r="E653" s="114">
        <f>SUM(E592,E597,E598)</f>
        <v>143</v>
      </c>
      <c r="F653" s="114">
        <f>SUM(F592,F597,F598)</f>
        <v>156</v>
      </c>
      <c r="G653" s="67">
        <f t="shared" si="327"/>
        <v>0.91666666666666663</v>
      </c>
      <c r="H653" s="115">
        <f>SUM(H592,H597,H598)</f>
        <v>137</v>
      </c>
      <c r="I653" s="115">
        <f>SUM(I592,I597,I598)</f>
        <v>153</v>
      </c>
      <c r="J653" s="65">
        <f t="shared" si="328"/>
        <v>0.89542483660130723</v>
      </c>
      <c r="K653" s="66">
        <f t="shared" si="329"/>
        <v>0</v>
      </c>
      <c r="L653" s="66">
        <f t="shared" si="329"/>
        <v>0</v>
      </c>
      <c r="M653" s="83" t="str">
        <f t="shared" si="330"/>
        <v>-</v>
      </c>
      <c r="N653" s="66">
        <f t="shared" si="331"/>
        <v>0</v>
      </c>
      <c r="O653" s="66">
        <f t="shared" si="331"/>
        <v>0</v>
      </c>
      <c r="P653" s="83" t="str">
        <f t="shared" si="332"/>
        <v>-</v>
      </c>
      <c r="Q653" s="66">
        <f t="shared" si="333"/>
        <v>0</v>
      </c>
      <c r="R653" s="66">
        <f t="shared" si="333"/>
        <v>0</v>
      </c>
      <c r="S653" s="83" t="str">
        <f t="shared" si="334"/>
        <v>-</v>
      </c>
      <c r="T653" s="108">
        <f>SUM(T592,T597,T598)</f>
        <v>17</v>
      </c>
      <c r="U653" s="108">
        <f>SUM(U592,U597,U598)</f>
        <v>17</v>
      </c>
      <c r="V653" s="65">
        <f t="shared" si="335"/>
        <v>1</v>
      </c>
      <c r="W653" s="108">
        <f>SUM(W592,W597,W598)</f>
        <v>136</v>
      </c>
      <c r="X653" s="108">
        <f>SUM(X592,X597,X598)</f>
        <v>137</v>
      </c>
      <c r="Y653" s="65">
        <f t="shared" si="336"/>
        <v>0.99270072992700731</v>
      </c>
      <c r="Z653" s="108">
        <f>SUM(Z592,Z597,Z598)</f>
        <v>153</v>
      </c>
      <c r="AA653" s="108">
        <f>SUM(AA592,AA597,AA598)</f>
        <v>154</v>
      </c>
      <c r="AB653" s="65">
        <f t="shared" si="337"/>
        <v>0.99350649350649356</v>
      </c>
      <c r="AC653" s="139"/>
      <c r="AD653" s="139"/>
      <c r="AE653" s="37" t="str">
        <f t="shared" si="338"/>
        <v>-</v>
      </c>
      <c r="AF653" s="109">
        <f>SUM(AF592,AF597,AF598)</f>
        <v>0</v>
      </c>
      <c r="AG653" s="109">
        <f>SUM(AG592,AG597,AG598)</f>
        <v>0</v>
      </c>
      <c r="AH653" s="44" t="str">
        <f t="shared" si="339"/>
        <v>-</v>
      </c>
      <c r="AI653" s="105">
        <f>SUM(AI592,AI597,AI598)</f>
        <v>2140</v>
      </c>
      <c r="AJ653" s="105">
        <f>SUM(AJ592,AJ597,AJ598)</f>
        <v>3207</v>
      </c>
      <c r="AK653" s="21">
        <f t="shared" si="340"/>
        <v>0.66729030246336141</v>
      </c>
      <c r="AL653" s="36">
        <f t="shared" si="341"/>
        <v>0</v>
      </c>
      <c r="AM653" s="36">
        <f t="shared" si="342"/>
        <v>0</v>
      </c>
      <c r="AN653" s="36">
        <f t="shared" si="343"/>
        <v>0</v>
      </c>
      <c r="AO653" s="110">
        <f>SUM(AO592,AO597,AO598)</f>
        <v>49</v>
      </c>
      <c r="AP653" s="110">
        <f>SUM(AP592,AP597,AP598)</f>
        <v>68</v>
      </c>
      <c r="AQ653" s="21">
        <f t="shared" si="344"/>
        <v>0.72058823529411764</v>
      </c>
      <c r="AR653" s="105">
        <f>SUM(AR592,AR597,AR598)</f>
        <v>459</v>
      </c>
      <c r="AS653" s="105">
        <f>SUM(AS592,AS597,AS598)</f>
        <v>584</v>
      </c>
      <c r="AT653" s="21">
        <f t="shared" si="345"/>
        <v>0.78595890410958902</v>
      </c>
      <c r="AU653" s="70"/>
      <c r="AV653" s="70"/>
      <c r="AW653" s="37" t="str">
        <f t="shared" si="346"/>
        <v>-</v>
      </c>
      <c r="AX653" s="170"/>
      <c r="AY653" s="169"/>
      <c r="AZ653" s="169"/>
      <c r="BA653" s="169"/>
      <c r="BB653" s="169"/>
      <c r="BC653" s="169"/>
    </row>
    <row r="654" spans="1:55" ht="14.25" customHeight="1">
      <c r="A654" s="12" t="s">
        <v>244</v>
      </c>
      <c r="B654" s="106">
        <f>SUM(B618,B620)</f>
        <v>102</v>
      </c>
      <c r="C654" s="106">
        <f>SUM(C618,C620)</f>
        <v>125</v>
      </c>
      <c r="D654" s="65">
        <f t="shared" si="326"/>
        <v>0.81599999999999995</v>
      </c>
      <c r="E654" s="114">
        <f>SUM(E618,E620)</f>
        <v>106</v>
      </c>
      <c r="F654" s="114">
        <f>SUM(F618,F620)</f>
        <v>125</v>
      </c>
      <c r="G654" s="67">
        <f t="shared" si="327"/>
        <v>0.84799999999999998</v>
      </c>
      <c r="H654" s="115">
        <f>SUM(H618,H620)</f>
        <v>0</v>
      </c>
      <c r="I654" s="115">
        <f>SUM(I618,I620)</f>
        <v>0</v>
      </c>
      <c r="J654" s="80" t="str">
        <f t="shared" si="328"/>
        <v>-</v>
      </c>
      <c r="K654" s="66">
        <f>SUM(K618,K620)</f>
        <v>0</v>
      </c>
      <c r="L654" s="66">
        <f>SUM(L618,L620)</f>
        <v>0</v>
      </c>
      <c r="M654" s="83" t="str">
        <f t="shared" si="330"/>
        <v>-</v>
      </c>
      <c r="N654" s="66">
        <f>SUM(N618,N620)</f>
        <v>0</v>
      </c>
      <c r="O654" s="66">
        <f>SUM(O618,O620)</f>
        <v>0</v>
      </c>
      <c r="P654" s="83" t="str">
        <f t="shared" si="332"/>
        <v>-</v>
      </c>
      <c r="Q654" s="66">
        <f>SUM(Q618,Q620)</f>
        <v>0</v>
      </c>
      <c r="R654" s="66">
        <f>SUM(R618,R620)</f>
        <v>0</v>
      </c>
      <c r="S654" s="83" t="str">
        <f t="shared" si="334"/>
        <v>-</v>
      </c>
      <c r="T654" s="108">
        <f>SUM(T618,T620)</f>
        <v>0</v>
      </c>
      <c r="U654" s="108">
        <f>SUM(U618,U620)</f>
        <v>0</v>
      </c>
      <c r="V654" s="80" t="str">
        <f t="shared" si="335"/>
        <v>-</v>
      </c>
      <c r="W654" s="108">
        <f>SUM(W618,W620)</f>
        <v>0</v>
      </c>
      <c r="X654" s="108">
        <f>SUM(X618,X620)</f>
        <v>0</v>
      </c>
      <c r="Y654" s="80" t="str">
        <f t="shared" si="336"/>
        <v>-</v>
      </c>
      <c r="Z654" s="108">
        <f>SUM(Z618,Z620)</f>
        <v>0</v>
      </c>
      <c r="AA654" s="108">
        <f>SUM(AA618,AA620)</f>
        <v>0</v>
      </c>
      <c r="AB654" s="80" t="str">
        <f t="shared" si="337"/>
        <v>-</v>
      </c>
      <c r="AC654" s="139">
        <v>55</v>
      </c>
      <c r="AD654" s="139">
        <v>102</v>
      </c>
      <c r="AE654" s="21">
        <f t="shared" si="338"/>
        <v>0.53921568627450978</v>
      </c>
      <c r="AF654" s="109">
        <f>SUM(AF618,AF620)</f>
        <v>0</v>
      </c>
      <c r="AG654" s="109">
        <f>SUM(AG618,AG620)</f>
        <v>0</v>
      </c>
      <c r="AH654" s="44" t="str">
        <f t="shared" si="339"/>
        <v>-</v>
      </c>
      <c r="AI654" s="105">
        <f>SUM(AI618,AI620)</f>
        <v>0</v>
      </c>
      <c r="AJ654" s="105">
        <f>SUM(AJ618,AJ620)</f>
        <v>0</v>
      </c>
      <c r="AK654" s="37" t="str">
        <f t="shared" si="340"/>
        <v>-</v>
      </c>
      <c r="AL654" s="36">
        <f t="shared" si="341"/>
        <v>0</v>
      </c>
      <c r="AM654" s="36">
        <f t="shared" si="342"/>
        <v>0</v>
      </c>
      <c r="AN654" s="36">
        <f t="shared" si="343"/>
        <v>0</v>
      </c>
      <c r="AO654" s="105">
        <f>SUM(AO618,AO620)</f>
        <v>0</v>
      </c>
      <c r="AP654" s="105">
        <f>SUM(AP618,AP620)</f>
        <v>0</v>
      </c>
      <c r="AQ654" s="37" t="str">
        <f t="shared" si="344"/>
        <v>-</v>
      </c>
      <c r="AR654" s="105">
        <f>SUM(AR618,AR620)</f>
        <v>0</v>
      </c>
      <c r="AS654" s="105">
        <f>SUM(AS618,AS620)</f>
        <v>0</v>
      </c>
      <c r="AT654" s="37" t="str">
        <f t="shared" si="345"/>
        <v>-</v>
      </c>
      <c r="AU654" s="70"/>
      <c r="AV654" s="70"/>
      <c r="AW654" s="37" t="str">
        <f t="shared" si="346"/>
        <v>-</v>
      </c>
      <c r="AX654" s="170"/>
      <c r="AY654" s="169"/>
      <c r="AZ654" s="169"/>
      <c r="BA654" s="169"/>
      <c r="BB654" s="169"/>
      <c r="BC654" s="169"/>
    </row>
    <row r="655" spans="1:55" ht="14.25" customHeight="1">
      <c r="A655" s="12" t="s">
        <v>245</v>
      </c>
      <c r="B655" s="106">
        <f>B619</f>
        <v>16</v>
      </c>
      <c r="C655" s="106">
        <f>C619</f>
        <v>22</v>
      </c>
      <c r="D655" s="65">
        <f t="shared" si="326"/>
        <v>0.72727272727272729</v>
      </c>
      <c r="E655" s="114">
        <f>SUM(E619)</f>
        <v>18</v>
      </c>
      <c r="F655" s="114">
        <f>SUM(F619)</f>
        <v>22</v>
      </c>
      <c r="G655" s="67">
        <f t="shared" si="327"/>
        <v>0.81818181818181823</v>
      </c>
      <c r="H655" s="115">
        <f>SUM(H619)</f>
        <v>0</v>
      </c>
      <c r="I655" s="115">
        <f>SUM(I619)</f>
        <v>0</v>
      </c>
      <c r="J655" s="80" t="str">
        <f t="shared" si="328"/>
        <v>-</v>
      </c>
      <c r="K655" s="66">
        <f>SUM(K619)</f>
        <v>0</v>
      </c>
      <c r="L655" s="66">
        <f>SUM(L619)</f>
        <v>0</v>
      </c>
      <c r="M655" s="83" t="str">
        <f t="shared" si="330"/>
        <v>-</v>
      </c>
      <c r="N655" s="66">
        <f>SUM(N619)</f>
        <v>0</v>
      </c>
      <c r="O655" s="66">
        <f>SUM(O619)</f>
        <v>0</v>
      </c>
      <c r="P655" s="83" t="str">
        <f t="shared" si="332"/>
        <v>-</v>
      </c>
      <c r="Q655" s="66">
        <f>SUM(Q619)</f>
        <v>0</v>
      </c>
      <c r="R655" s="66">
        <f>SUM(R619)</f>
        <v>0</v>
      </c>
      <c r="S655" s="83" t="str">
        <f t="shared" si="334"/>
        <v>-</v>
      </c>
      <c r="T655" s="117" t="str">
        <f>T619</f>
        <v>-</v>
      </c>
      <c r="U655" s="117" t="str">
        <f>U619</f>
        <v>-</v>
      </c>
      <c r="V655" s="80" t="str">
        <f t="shared" si="335"/>
        <v>-</v>
      </c>
      <c r="W655" s="117" t="str">
        <f>W619</f>
        <v>-</v>
      </c>
      <c r="X655" s="117" t="str">
        <f>X619</f>
        <v>-</v>
      </c>
      <c r="Y655" s="80" t="str">
        <f t="shared" si="336"/>
        <v>-</v>
      </c>
      <c r="Z655" s="108">
        <f>SUM(Z619)</f>
        <v>0</v>
      </c>
      <c r="AA655" s="108">
        <f>SUM(AA619)</f>
        <v>0</v>
      </c>
      <c r="AB655" s="80" t="str">
        <f t="shared" si="337"/>
        <v>-</v>
      </c>
      <c r="AC655" s="139">
        <v>10</v>
      </c>
      <c r="AD655" s="139">
        <v>16</v>
      </c>
      <c r="AE655" s="21">
        <f t="shared" si="338"/>
        <v>0.625</v>
      </c>
      <c r="AF655" s="119" t="str">
        <f>AF619</f>
        <v>-</v>
      </c>
      <c r="AG655" s="119" t="str">
        <f>AG619</f>
        <v>-</v>
      </c>
      <c r="AH655" s="44" t="str">
        <f t="shared" si="339"/>
        <v>-</v>
      </c>
      <c r="AI655" s="105">
        <f>AI619</f>
        <v>0</v>
      </c>
      <c r="AJ655" s="105">
        <f>AJ619</f>
        <v>0</v>
      </c>
      <c r="AK655" s="37" t="str">
        <f t="shared" si="340"/>
        <v>-</v>
      </c>
      <c r="AL655" s="36">
        <f t="shared" si="341"/>
        <v>0</v>
      </c>
      <c r="AM655" s="36">
        <f t="shared" si="342"/>
        <v>0</v>
      </c>
      <c r="AN655" s="36">
        <f t="shared" si="343"/>
        <v>0</v>
      </c>
      <c r="AO655" s="121" t="str">
        <f>AO619</f>
        <v>-</v>
      </c>
      <c r="AP655" s="121" t="str">
        <f>AP619</f>
        <v>-</v>
      </c>
      <c r="AQ655" s="37" t="str">
        <f t="shared" si="344"/>
        <v>-</v>
      </c>
      <c r="AR655" s="121" t="str">
        <f>AR619</f>
        <v>-</v>
      </c>
      <c r="AS655" s="121" t="str">
        <f>AS619</f>
        <v>-</v>
      </c>
      <c r="AT655" s="37" t="str">
        <f t="shared" si="345"/>
        <v>-</v>
      </c>
      <c r="AU655" s="70"/>
      <c r="AV655" s="70"/>
      <c r="AW655" s="37" t="str">
        <f t="shared" si="346"/>
        <v>-</v>
      </c>
      <c r="AX655" s="170"/>
      <c r="AY655" s="169"/>
      <c r="AZ655" s="169"/>
      <c r="BA655" s="169"/>
      <c r="BB655" s="169"/>
      <c r="BC655" s="169"/>
    </row>
    <row r="656" spans="1:55" ht="14.25" customHeight="1">
      <c r="A656" s="12" t="s">
        <v>246</v>
      </c>
      <c r="B656" s="106">
        <f>SUM(B647,B654)</f>
        <v>717</v>
      </c>
      <c r="C656" s="106">
        <f>SUM(C647,C654)</f>
        <v>809</v>
      </c>
      <c r="D656" s="65">
        <f t="shared" si="326"/>
        <v>0.88627935723114959</v>
      </c>
      <c r="E656" s="107">
        <f>SUM(E647,E654)</f>
        <v>668</v>
      </c>
      <c r="F656" s="107">
        <f>SUM(F647,F654)</f>
        <v>816</v>
      </c>
      <c r="G656" s="67">
        <f t="shared" si="327"/>
        <v>0.81862745098039214</v>
      </c>
      <c r="H656" s="108">
        <f>SUM(H647,H654)</f>
        <v>494</v>
      </c>
      <c r="I656" s="108">
        <f>SUM(I647,I654)</f>
        <v>618</v>
      </c>
      <c r="J656" s="65">
        <f t="shared" si="328"/>
        <v>0.79935275080906154</v>
      </c>
      <c r="K656" s="66">
        <f>IFERROR(SUM(B779,K779,T779),"-")</f>
        <v>0</v>
      </c>
      <c r="L656" s="66">
        <f>IFERROR(SUM(C779,L779,U779),"-")</f>
        <v>0</v>
      </c>
      <c r="M656" s="83" t="str">
        <f t="shared" si="330"/>
        <v>-</v>
      </c>
      <c r="N656" s="66">
        <f>IFERROR(SUM(E779,N779,W779),"-")</f>
        <v>0</v>
      </c>
      <c r="O656" s="66">
        <f>IFERROR(SUM(F779,O779,X779),"-")</f>
        <v>0</v>
      </c>
      <c r="P656" s="83" t="str">
        <f t="shared" si="332"/>
        <v>-</v>
      </c>
      <c r="Q656" s="66">
        <f>IFERROR(SUM(H779,Q779,Z779),"-")</f>
        <v>0</v>
      </c>
      <c r="R656" s="66">
        <f>IFERROR(SUM(I779,R779,AA779),"-")</f>
        <v>0</v>
      </c>
      <c r="S656" s="83" t="str">
        <f t="shared" si="334"/>
        <v>-</v>
      </c>
      <c r="T656" s="108">
        <f>SUM(T647,T654)</f>
        <v>85</v>
      </c>
      <c r="U656" s="108">
        <f>SUM(U647,U654)</f>
        <v>85</v>
      </c>
      <c r="V656" s="65">
        <f t="shared" si="335"/>
        <v>1</v>
      </c>
      <c r="W656" s="108">
        <f>SUM(W647,W654)</f>
        <v>521</v>
      </c>
      <c r="X656" s="108">
        <f>SUM(X647,X654)</f>
        <v>523</v>
      </c>
      <c r="Y656" s="65">
        <f t="shared" si="336"/>
        <v>0.99617590822179736</v>
      </c>
      <c r="Z656" s="108">
        <f>SUM(Z595,Z600,Z601)</f>
        <v>423</v>
      </c>
      <c r="AA656" s="108">
        <f>SUM(AA595,AA600,AA601)</f>
        <v>425</v>
      </c>
      <c r="AB656" s="65">
        <f t="shared" si="337"/>
        <v>0.99529411764705877</v>
      </c>
      <c r="AC656" s="70">
        <f>SUM(AC647,AC654)</f>
        <v>55</v>
      </c>
      <c r="AD656" s="70">
        <f>SUM(AD647,AD654)</f>
        <v>102</v>
      </c>
      <c r="AE656" s="21">
        <f t="shared" si="338"/>
        <v>0.53921568627450978</v>
      </c>
      <c r="AF656" s="109">
        <f>SUM(AF647,AF654)</f>
        <v>0</v>
      </c>
      <c r="AG656" s="109">
        <f>SUM(AG647,AG654)</f>
        <v>0</v>
      </c>
      <c r="AH656" s="44" t="str">
        <f t="shared" si="339"/>
        <v>-</v>
      </c>
      <c r="AI656" s="110">
        <f>SUM(AI647,AI654)</f>
        <v>9049</v>
      </c>
      <c r="AJ656" s="110">
        <f>SUM(AJ647,AJ654)</f>
        <v>11691</v>
      </c>
      <c r="AK656" s="21">
        <f t="shared" si="340"/>
        <v>0.77401419895646228</v>
      </c>
      <c r="AL656" s="36">
        <f t="shared" si="341"/>
        <v>0</v>
      </c>
      <c r="AM656" s="36">
        <f t="shared" si="342"/>
        <v>0</v>
      </c>
      <c r="AN656" s="36">
        <f t="shared" si="343"/>
        <v>0</v>
      </c>
      <c r="AO656" s="110">
        <f>SUM(AO647,AO654)</f>
        <v>276</v>
      </c>
      <c r="AP656" s="110">
        <f>SUM(AP647,AP654)</f>
        <v>340</v>
      </c>
      <c r="AQ656" s="21">
        <f t="shared" si="344"/>
        <v>0.81176470588235294</v>
      </c>
      <c r="AR656" s="110">
        <f>SUM(AR647,AR654)</f>
        <v>1901</v>
      </c>
      <c r="AS656" s="110">
        <f>SUM(AS647,AS654)</f>
        <v>2149</v>
      </c>
      <c r="AT656" s="21">
        <f t="shared" si="345"/>
        <v>0.88459748720335041</v>
      </c>
      <c r="AU656" s="70"/>
      <c r="AV656" s="70"/>
      <c r="AW656" s="37" t="str">
        <f t="shared" si="346"/>
        <v>-</v>
      </c>
      <c r="AX656" s="170"/>
      <c r="AY656" s="169"/>
      <c r="AZ656" s="169"/>
      <c r="BA656" s="169"/>
      <c r="BB656" s="169"/>
      <c r="BC656" s="169"/>
    </row>
    <row r="657" spans="1:55" ht="14.25" customHeight="1">
      <c r="A657" s="12" t="s">
        <v>247</v>
      </c>
      <c r="B657" s="111">
        <f>SUM(B649,B655)</f>
        <v>128</v>
      </c>
      <c r="C657" s="111">
        <f>SUM(C649,C655)</f>
        <v>142</v>
      </c>
      <c r="D657" s="65">
        <f t="shared" si="326"/>
        <v>0.90140845070422537</v>
      </c>
      <c r="E657" s="107">
        <f>SUM(E649,E655)</f>
        <v>114</v>
      </c>
      <c r="F657" s="107">
        <f>SUM(F649,F655)</f>
        <v>142</v>
      </c>
      <c r="G657" s="67">
        <f t="shared" si="327"/>
        <v>0.80281690140845074</v>
      </c>
      <c r="H657" s="108">
        <f>SUM(H649,H655)</f>
        <v>88</v>
      </c>
      <c r="I657" s="108">
        <f>SUM(I649,I655)</f>
        <v>97</v>
      </c>
      <c r="J657" s="65">
        <f t="shared" si="328"/>
        <v>0.90721649484536082</v>
      </c>
      <c r="K657" s="66">
        <f>IFERROR(SUM(B780,K780,T780),"-")</f>
        <v>0</v>
      </c>
      <c r="L657" s="66">
        <f>IFERROR(SUM(C780,L780,U780),"-")</f>
        <v>0</v>
      </c>
      <c r="M657" s="83" t="str">
        <f t="shared" si="330"/>
        <v>-</v>
      </c>
      <c r="N657" s="66">
        <f>IFERROR(SUM(E780,N780,W780),"-")</f>
        <v>0</v>
      </c>
      <c r="O657" s="66">
        <f>IFERROR(SUM(F780,O780,X780),"-")</f>
        <v>0</v>
      </c>
      <c r="P657" s="83" t="str">
        <f t="shared" si="332"/>
        <v>-</v>
      </c>
      <c r="Q657" s="66">
        <f>IFERROR(SUM(H780,Q780,Z780),"-")</f>
        <v>0</v>
      </c>
      <c r="R657" s="66">
        <f>IFERROR(SUM(I780,R780,AA780),"-")</f>
        <v>0</v>
      </c>
      <c r="S657" s="83" t="str">
        <f t="shared" si="334"/>
        <v>-</v>
      </c>
      <c r="T657" s="108">
        <f>SUM(T649,T655)</f>
        <v>4</v>
      </c>
      <c r="U657" s="108">
        <f>SUM(U649,U655)</f>
        <v>4</v>
      </c>
      <c r="V657" s="65">
        <f t="shared" si="335"/>
        <v>1</v>
      </c>
      <c r="W657" s="108">
        <f>SUM(W649,W655)</f>
        <v>32</v>
      </c>
      <c r="X657" s="108">
        <f>SUM(X649,X655)</f>
        <v>32</v>
      </c>
      <c r="Y657" s="65">
        <f t="shared" si="336"/>
        <v>1</v>
      </c>
      <c r="Z657" s="108">
        <f>SUM(Z596,Z601,Z602)</f>
        <v>77</v>
      </c>
      <c r="AA657" s="108">
        <f>SUM(AA596,AA601,AA602)</f>
        <v>81</v>
      </c>
      <c r="AB657" s="65">
        <f t="shared" si="337"/>
        <v>0.95061728395061729</v>
      </c>
      <c r="AC657" s="70">
        <f>SUM(AC649,AC655)</f>
        <v>10</v>
      </c>
      <c r="AD657" s="70">
        <f>SUM(AD649,AD655)</f>
        <v>16</v>
      </c>
      <c r="AE657" s="21">
        <f t="shared" si="338"/>
        <v>0.625</v>
      </c>
      <c r="AF657" s="109">
        <f>SUM(AF649,AF655)</f>
        <v>0</v>
      </c>
      <c r="AG657" s="109">
        <f>SUM(AG649,AG655)</f>
        <v>0</v>
      </c>
      <c r="AH657" s="44" t="str">
        <f t="shared" si="339"/>
        <v>-</v>
      </c>
      <c r="AI657" s="110">
        <f>SUM(AI649,AI655)</f>
        <v>1273</v>
      </c>
      <c r="AJ657" s="110">
        <f>SUM(AJ649,AJ655)</f>
        <v>2055</v>
      </c>
      <c r="AK657" s="21">
        <f t="shared" si="340"/>
        <v>0.61946472019464716</v>
      </c>
      <c r="AL657" s="36">
        <f t="shared" si="341"/>
        <v>0</v>
      </c>
      <c r="AM657" s="36">
        <f t="shared" si="342"/>
        <v>0</v>
      </c>
      <c r="AN657" s="36">
        <f t="shared" si="343"/>
        <v>0</v>
      </c>
      <c r="AO657" s="110">
        <f>SUM(AO649,AO655)</f>
        <v>12</v>
      </c>
      <c r="AP657" s="110">
        <f>SUM(AP649,AP655)</f>
        <v>16</v>
      </c>
      <c r="AQ657" s="21">
        <f t="shared" si="344"/>
        <v>0.75</v>
      </c>
      <c r="AR657" s="110">
        <f>SUM(AR649,AR655)</f>
        <v>126</v>
      </c>
      <c r="AS657" s="110">
        <f>SUM(AS649,AS655)</f>
        <v>148</v>
      </c>
      <c r="AT657" s="21">
        <f t="shared" si="345"/>
        <v>0.85135135135135132</v>
      </c>
      <c r="AU657" s="70"/>
      <c r="AV657" s="70"/>
      <c r="AW657" s="37" t="str">
        <f t="shared" si="346"/>
        <v>-</v>
      </c>
      <c r="AX657" s="170"/>
      <c r="AY657" s="169"/>
      <c r="AZ657" s="169"/>
      <c r="BA657" s="169"/>
      <c r="BB657" s="169"/>
      <c r="BC657" s="169"/>
    </row>
    <row r="658" spans="1:55" ht="14.25" customHeight="1">
      <c r="A658" s="177"/>
      <c r="B658" s="177"/>
      <c r="C658" s="177"/>
      <c r="D658" s="208"/>
      <c r="E658" s="177"/>
      <c r="F658" s="177"/>
      <c r="G658" s="188"/>
      <c r="H658" s="177"/>
      <c r="I658" s="177"/>
      <c r="J658" s="208"/>
      <c r="K658" s="189"/>
      <c r="L658" s="189"/>
      <c r="M658" s="188"/>
      <c r="N658" s="189"/>
      <c r="O658" s="189"/>
      <c r="P658" s="188"/>
      <c r="Q658" s="189"/>
      <c r="R658" s="189"/>
      <c r="S658" s="188"/>
      <c r="T658" s="177"/>
      <c r="U658" s="177"/>
      <c r="V658" s="208"/>
      <c r="W658" s="177"/>
      <c r="X658" s="177"/>
      <c r="Y658" s="208"/>
      <c r="Z658" s="177"/>
      <c r="AA658" s="177"/>
      <c r="AB658" s="208"/>
      <c r="AC658" s="189"/>
      <c r="AD658" s="189"/>
      <c r="AE658" s="208"/>
      <c r="AF658" s="189"/>
      <c r="AG658" s="189"/>
      <c r="AH658" s="208"/>
      <c r="AI658" s="177"/>
      <c r="AJ658" s="177"/>
      <c r="AK658" s="188"/>
      <c r="AL658" s="208"/>
      <c r="AM658" s="208"/>
      <c r="AN658" s="208"/>
      <c r="AO658" s="177"/>
      <c r="AP658" s="177"/>
      <c r="AQ658" s="188"/>
      <c r="AR658" s="177"/>
      <c r="AS658" s="177"/>
      <c r="AT658" s="188"/>
      <c r="AU658" s="189"/>
      <c r="AV658" s="189"/>
      <c r="AW658" s="188"/>
      <c r="AX658" s="169"/>
      <c r="AY658" s="169"/>
      <c r="AZ658" s="169"/>
      <c r="BA658" s="169"/>
      <c r="BB658" s="169"/>
      <c r="BC658" s="169"/>
    </row>
    <row r="659" spans="1:55" ht="14.25" customHeight="1">
      <c r="A659" s="169"/>
      <c r="B659" s="169"/>
      <c r="C659" s="169"/>
      <c r="D659" s="203"/>
      <c r="E659" s="169"/>
      <c r="F659" s="169"/>
      <c r="G659" s="20"/>
      <c r="H659" s="169"/>
      <c r="I659" s="169"/>
      <c r="J659" s="203"/>
      <c r="K659" s="190"/>
      <c r="L659" s="190"/>
      <c r="M659" s="20"/>
      <c r="N659" s="190"/>
      <c r="O659" s="190"/>
      <c r="P659" s="20"/>
      <c r="Q659" s="190"/>
      <c r="R659" s="190"/>
      <c r="S659" s="20"/>
      <c r="T659" s="169"/>
      <c r="U659" s="169"/>
      <c r="V659" s="203"/>
      <c r="W659" s="169"/>
      <c r="X659" s="169"/>
      <c r="Y659" s="203"/>
      <c r="Z659" s="169"/>
      <c r="AA659" s="169"/>
      <c r="AB659" s="203"/>
      <c r="AC659" s="169"/>
      <c r="AD659" s="190"/>
      <c r="AE659" s="203"/>
      <c r="AF659" s="190"/>
      <c r="AG659" s="190"/>
      <c r="AH659" s="203"/>
      <c r="AI659" s="169"/>
      <c r="AJ659" s="169"/>
      <c r="AK659" s="20"/>
      <c r="AL659" s="203"/>
      <c r="AM659" s="203"/>
      <c r="AN659" s="203"/>
      <c r="AO659" s="169"/>
      <c r="AP659" s="169"/>
      <c r="AQ659" s="20"/>
      <c r="AR659" s="169"/>
      <c r="AS659" s="169"/>
      <c r="AT659" s="20"/>
      <c r="AU659" s="190"/>
      <c r="AV659" s="190"/>
      <c r="AW659" s="20"/>
      <c r="AX659" s="169"/>
      <c r="AY659" s="169"/>
      <c r="AZ659" s="169"/>
      <c r="BA659" s="169"/>
      <c r="BB659" s="169"/>
      <c r="BC659" s="169"/>
    </row>
    <row r="660" spans="1:55" ht="14.25" customHeight="1">
      <c r="A660" s="169"/>
      <c r="B660" s="169"/>
      <c r="C660" s="169"/>
      <c r="D660" s="169"/>
      <c r="E660" s="169"/>
      <c r="F660" s="169"/>
      <c r="G660" s="169"/>
      <c r="H660" s="169"/>
      <c r="I660" s="169"/>
      <c r="J660" s="169"/>
      <c r="K660" s="169"/>
      <c r="L660" s="169"/>
      <c r="M660" s="169"/>
      <c r="N660" s="169"/>
      <c r="O660" s="169"/>
      <c r="P660" s="169"/>
      <c r="Q660" s="169"/>
      <c r="R660" s="169"/>
      <c r="S660" s="169"/>
      <c r="T660" s="169"/>
      <c r="U660" s="169"/>
      <c r="V660" s="169"/>
      <c r="W660" s="169"/>
      <c r="X660" s="169"/>
      <c r="Y660" s="169"/>
      <c r="Z660" s="169"/>
      <c r="AA660" s="169"/>
      <c r="AB660" s="169"/>
      <c r="AC660" s="169"/>
      <c r="AD660" s="169"/>
      <c r="AE660" s="169"/>
      <c r="AF660" s="169"/>
      <c r="AG660" s="169"/>
      <c r="AH660" s="169"/>
      <c r="AI660" s="169"/>
      <c r="AJ660" s="169"/>
      <c r="AK660" s="169"/>
      <c r="AL660" s="169"/>
      <c r="AM660" s="169"/>
      <c r="AN660" s="169"/>
      <c r="AO660" s="169"/>
      <c r="AP660" s="169"/>
      <c r="AQ660" s="169"/>
      <c r="AR660" s="169"/>
      <c r="AS660" s="169"/>
      <c r="AT660" s="169"/>
      <c r="AU660" s="169"/>
      <c r="AV660" s="169"/>
      <c r="AW660" s="169"/>
      <c r="AX660" s="169"/>
      <c r="AY660" s="169"/>
      <c r="AZ660" s="169"/>
      <c r="BA660" s="169"/>
      <c r="BB660" s="169"/>
      <c r="BC660" s="169"/>
    </row>
    <row r="661" spans="1:55" ht="14.25" customHeight="1">
      <c r="A661" s="169"/>
      <c r="B661" s="169"/>
      <c r="C661" s="169"/>
      <c r="D661" s="169"/>
      <c r="E661" s="169"/>
      <c r="F661" s="169"/>
      <c r="G661" s="169"/>
      <c r="H661" s="169"/>
      <c r="I661" s="169"/>
      <c r="J661" s="169"/>
      <c r="K661" s="169"/>
      <c r="L661" s="169"/>
      <c r="M661" s="169"/>
      <c r="N661" s="169"/>
      <c r="O661" s="169"/>
      <c r="P661" s="169"/>
      <c r="Q661" s="169"/>
      <c r="R661" s="169"/>
      <c r="S661" s="169"/>
      <c r="T661" s="169"/>
      <c r="U661" s="169"/>
      <c r="V661" s="169"/>
      <c r="W661" s="169"/>
      <c r="X661" s="169"/>
      <c r="Y661" s="169"/>
      <c r="Z661" s="169"/>
      <c r="AA661" s="169"/>
      <c r="AB661" s="169"/>
      <c r="AC661" s="169"/>
      <c r="AD661" s="169"/>
      <c r="AE661" s="169"/>
      <c r="AF661" s="169"/>
      <c r="AG661" s="169"/>
      <c r="AH661" s="169"/>
      <c r="AI661" s="169"/>
      <c r="AJ661" s="169"/>
      <c r="AK661" s="169"/>
      <c r="AL661" s="169"/>
      <c r="AM661" s="169"/>
      <c r="AN661" s="169"/>
      <c r="AO661" s="169"/>
      <c r="AP661" s="169"/>
      <c r="AQ661" s="169"/>
      <c r="AR661" s="169"/>
      <c r="AS661" s="169"/>
      <c r="AT661" s="169"/>
      <c r="AU661" s="169"/>
      <c r="AV661" s="169"/>
      <c r="AW661" s="169"/>
      <c r="AX661" s="169"/>
      <c r="AY661" s="169"/>
      <c r="AZ661" s="169"/>
      <c r="BA661" s="169"/>
      <c r="BB661" s="169"/>
      <c r="BC661" s="169"/>
    </row>
    <row r="662" spans="1:55" ht="14.25" customHeight="1">
      <c r="A662" s="169"/>
      <c r="B662" s="169"/>
      <c r="C662" s="169"/>
      <c r="D662" s="169"/>
      <c r="E662" s="169"/>
      <c r="F662" s="169"/>
      <c r="G662" s="169"/>
      <c r="H662" s="169"/>
      <c r="I662" s="169"/>
      <c r="J662" s="169"/>
      <c r="K662" s="169"/>
      <c r="L662" s="169"/>
      <c r="M662" s="169"/>
      <c r="N662" s="169"/>
      <c r="O662" s="169"/>
      <c r="P662" s="169"/>
      <c r="Q662" s="169"/>
      <c r="R662" s="169"/>
      <c r="S662" s="169"/>
      <c r="T662" s="169"/>
      <c r="U662" s="169"/>
      <c r="V662" s="169"/>
      <c r="W662" s="169"/>
      <c r="X662" s="169"/>
      <c r="Y662" s="169"/>
      <c r="Z662" s="169"/>
      <c r="AA662" s="169"/>
      <c r="AB662" s="169"/>
      <c r="AC662" s="169"/>
      <c r="AD662" s="169"/>
      <c r="AE662" s="169"/>
      <c r="AF662" s="169"/>
      <c r="AG662" s="169"/>
      <c r="AH662" s="169"/>
      <c r="AI662" s="169"/>
      <c r="AJ662" s="169"/>
      <c r="AK662" s="169"/>
      <c r="AL662" s="169"/>
      <c r="AM662" s="169"/>
      <c r="AN662" s="169"/>
      <c r="AO662" s="169"/>
      <c r="AP662" s="169"/>
      <c r="AQ662" s="169"/>
      <c r="AR662" s="169"/>
      <c r="AS662" s="169"/>
      <c r="AT662" s="169"/>
      <c r="AU662" s="169"/>
      <c r="AV662" s="169"/>
      <c r="AW662" s="169"/>
      <c r="AX662" s="169"/>
      <c r="AY662" s="169"/>
      <c r="AZ662" s="169"/>
      <c r="BA662" s="169"/>
      <c r="BB662" s="169"/>
      <c r="BC662" s="169"/>
    </row>
    <row r="663" spans="1:55" ht="14.25" customHeight="1">
      <c r="A663" s="169"/>
      <c r="B663" s="169"/>
      <c r="C663" s="169"/>
      <c r="D663" s="169"/>
      <c r="E663" s="169"/>
      <c r="F663" s="169"/>
      <c r="G663" s="169"/>
      <c r="H663" s="169"/>
      <c r="I663" s="169"/>
      <c r="J663" s="169"/>
      <c r="K663" s="169"/>
      <c r="L663" s="169"/>
      <c r="M663" s="169"/>
      <c r="N663" s="169"/>
      <c r="O663" s="169"/>
      <c r="P663" s="169"/>
      <c r="Q663" s="169"/>
      <c r="R663" s="169"/>
      <c r="S663" s="169"/>
      <c r="T663" s="169"/>
      <c r="U663" s="169"/>
      <c r="V663" s="169"/>
      <c r="W663" s="169"/>
      <c r="X663" s="169"/>
      <c r="Y663" s="169"/>
      <c r="Z663" s="169"/>
      <c r="AA663" s="169"/>
      <c r="AB663" s="169"/>
      <c r="AC663" s="169"/>
      <c r="AD663" s="169"/>
      <c r="AE663" s="169"/>
      <c r="AF663" s="169"/>
      <c r="AG663" s="169"/>
      <c r="AH663" s="169"/>
      <c r="AI663" s="169"/>
      <c r="AJ663" s="169"/>
      <c r="AK663" s="169"/>
      <c r="AL663" s="169"/>
      <c r="AM663" s="169"/>
      <c r="AN663" s="169"/>
      <c r="AO663" s="169"/>
      <c r="AP663" s="169"/>
      <c r="AQ663" s="169"/>
      <c r="AR663" s="169"/>
      <c r="AS663" s="169"/>
      <c r="AT663" s="169"/>
      <c r="AU663" s="169"/>
      <c r="AV663" s="169"/>
      <c r="AW663" s="169"/>
      <c r="AX663" s="169"/>
      <c r="AY663" s="169"/>
      <c r="AZ663" s="169"/>
      <c r="BA663" s="169"/>
      <c r="BB663" s="169"/>
      <c r="BC663" s="169"/>
    </row>
    <row r="664" spans="1:55" ht="14.25" customHeight="1">
      <c r="A664" s="169"/>
      <c r="B664" s="169"/>
      <c r="C664" s="169"/>
      <c r="D664" s="169"/>
      <c r="E664" s="169"/>
      <c r="F664" s="169"/>
      <c r="G664" s="169"/>
      <c r="H664" s="169"/>
      <c r="I664" s="169"/>
      <c r="J664" s="169"/>
      <c r="K664" s="169"/>
      <c r="L664" s="169"/>
      <c r="M664" s="169"/>
      <c r="N664" s="169"/>
      <c r="O664" s="169"/>
      <c r="P664" s="169"/>
      <c r="Q664" s="169"/>
      <c r="R664" s="169"/>
      <c r="S664" s="169"/>
      <c r="T664" s="169"/>
      <c r="U664" s="169"/>
      <c r="V664" s="169"/>
      <c r="W664" s="169"/>
      <c r="X664" s="169"/>
      <c r="Y664" s="169"/>
      <c r="Z664" s="169"/>
      <c r="AA664" s="169"/>
      <c r="AB664" s="169"/>
      <c r="AC664" s="169"/>
      <c r="AD664" s="169"/>
      <c r="AE664" s="169"/>
      <c r="AF664" s="169"/>
      <c r="AG664" s="169"/>
      <c r="AH664" s="169"/>
      <c r="AI664" s="169"/>
      <c r="AJ664" s="169"/>
      <c r="AK664" s="169"/>
      <c r="AL664" s="169"/>
      <c r="AM664" s="169"/>
      <c r="AN664" s="169"/>
      <c r="AO664" s="169"/>
      <c r="AP664" s="169"/>
      <c r="AQ664" s="169"/>
      <c r="AR664" s="169"/>
      <c r="AS664" s="169"/>
      <c r="AT664" s="169"/>
      <c r="AU664" s="169"/>
      <c r="AV664" s="169"/>
      <c r="AW664" s="169"/>
      <c r="AX664" s="169"/>
      <c r="AY664" s="169"/>
      <c r="AZ664" s="169"/>
      <c r="BA664" s="169"/>
      <c r="BB664" s="169"/>
      <c r="BC664" s="169"/>
    </row>
    <row r="665" spans="1:55" ht="14.25" customHeight="1">
      <c r="A665" s="169"/>
      <c r="B665" s="169"/>
      <c r="C665" s="169"/>
      <c r="D665" s="169"/>
      <c r="E665" s="169"/>
      <c r="F665" s="169"/>
      <c r="G665" s="169"/>
      <c r="H665" s="169"/>
      <c r="I665" s="169"/>
      <c r="J665" s="169"/>
      <c r="K665" s="169"/>
      <c r="L665" s="169"/>
      <c r="M665" s="169"/>
      <c r="N665" s="169"/>
      <c r="O665" s="169"/>
      <c r="P665" s="169"/>
      <c r="Q665" s="169"/>
      <c r="R665" s="169"/>
      <c r="S665" s="169"/>
      <c r="T665" s="169"/>
      <c r="U665" s="169"/>
      <c r="V665" s="169"/>
      <c r="W665" s="169"/>
      <c r="X665" s="169"/>
      <c r="Y665" s="169"/>
      <c r="Z665" s="169"/>
      <c r="AA665" s="169"/>
      <c r="AB665" s="169"/>
      <c r="AC665" s="169"/>
      <c r="AD665" s="169"/>
      <c r="AE665" s="169"/>
      <c r="AF665" s="169"/>
      <c r="AG665" s="169"/>
      <c r="AH665" s="169"/>
      <c r="AI665" s="169"/>
      <c r="AJ665" s="169"/>
      <c r="AK665" s="169"/>
      <c r="AL665" s="169"/>
      <c r="AM665" s="169"/>
      <c r="AN665" s="169"/>
      <c r="AO665" s="169"/>
      <c r="AP665" s="169"/>
      <c r="AQ665" s="169"/>
      <c r="AR665" s="169"/>
      <c r="AS665" s="169"/>
      <c r="AT665" s="169"/>
      <c r="AU665" s="169"/>
      <c r="AV665" s="169"/>
      <c r="AW665" s="169"/>
      <c r="AX665" s="169"/>
      <c r="AY665" s="169"/>
      <c r="AZ665" s="169"/>
      <c r="BA665" s="169"/>
      <c r="BB665" s="169"/>
      <c r="BC665" s="169"/>
    </row>
    <row r="666" spans="1:55" ht="14.25" customHeight="1">
      <c r="A666" s="169"/>
      <c r="B666" s="169"/>
      <c r="C666" s="169"/>
      <c r="D666" s="169"/>
      <c r="E666" s="169"/>
      <c r="F666" s="169"/>
      <c r="G666" s="169"/>
      <c r="H666" s="169"/>
      <c r="I666" s="169"/>
      <c r="J666" s="169"/>
      <c r="K666" s="169"/>
      <c r="L666" s="169"/>
      <c r="M666" s="169"/>
      <c r="N666" s="169"/>
      <c r="O666" s="169"/>
      <c r="P666" s="169"/>
      <c r="Q666" s="169"/>
      <c r="R666" s="169"/>
      <c r="S666" s="169"/>
      <c r="T666" s="169"/>
      <c r="U666" s="169"/>
      <c r="V666" s="169"/>
      <c r="W666" s="169"/>
      <c r="X666" s="169"/>
      <c r="Y666" s="169"/>
      <c r="Z666" s="169"/>
      <c r="AA666" s="169"/>
      <c r="AB666" s="169"/>
      <c r="AC666" s="169"/>
      <c r="AD666" s="169"/>
      <c r="AE666" s="169"/>
      <c r="AF666" s="169"/>
      <c r="AG666" s="169"/>
      <c r="AH666" s="169"/>
      <c r="AI666" s="169"/>
      <c r="AJ666" s="169"/>
      <c r="AK666" s="169"/>
      <c r="AL666" s="169"/>
      <c r="AM666" s="169"/>
      <c r="AN666" s="169"/>
      <c r="AO666" s="169"/>
      <c r="AP666" s="169"/>
      <c r="AQ666" s="169"/>
      <c r="AR666" s="169"/>
      <c r="AS666" s="169"/>
      <c r="AT666" s="169"/>
      <c r="AU666" s="169"/>
      <c r="AV666" s="169"/>
      <c r="AW666" s="169"/>
      <c r="AX666" s="169"/>
      <c r="AY666" s="169"/>
      <c r="AZ666" s="169"/>
      <c r="BA666" s="169"/>
      <c r="BB666" s="169"/>
      <c r="BC666" s="169"/>
    </row>
    <row r="667" spans="1:55" ht="14.25" customHeight="1">
      <c r="A667" s="169"/>
      <c r="B667" s="169"/>
      <c r="C667" s="169"/>
      <c r="D667" s="169"/>
      <c r="E667" s="169"/>
      <c r="F667" s="169"/>
      <c r="G667" s="169"/>
      <c r="H667" s="169"/>
      <c r="I667" s="169"/>
      <c r="J667" s="169"/>
      <c r="K667" s="169"/>
      <c r="L667" s="169"/>
      <c r="M667" s="169"/>
      <c r="N667" s="169"/>
      <c r="O667" s="169"/>
      <c r="P667" s="169"/>
      <c r="Q667" s="169"/>
      <c r="R667" s="169"/>
      <c r="S667" s="169"/>
      <c r="T667" s="169"/>
      <c r="U667" s="169"/>
      <c r="V667" s="169"/>
      <c r="W667" s="169"/>
      <c r="X667" s="169"/>
      <c r="Y667" s="169"/>
      <c r="Z667" s="169"/>
      <c r="AA667" s="169"/>
      <c r="AB667" s="169"/>
      <c r="AC667" s="169"/>
      <c r="AD667" s="169"/>
      <c r="AE667" s="169"/>
      <c r="AF667" s="169"/>
      <c r="AG667" s="169"/>
      <c r="AH667" s="169"/>
      <c r="AI667" s="169"/>
      <c r="AJ667" s="169"/>
      <c r="AK667" s="169"/>
      <c r="AL667" s="169"/>
      <c r="AM667" s="169"/>
      <c r="AN667" s="169"/>
      <c r="AO667" s="169"/>
      <c r="AP667" s="169"/>
      <c r="AQ667" s="169"/>
      <c r="AR667" s="169"/>
      <c r="AS667" s="169"/>
      <c r="AT667" s="169"/>
      <c r="AU667" s="169"/>
      <c r="AV667" s="169"/>
      <c r="AW667" s="169"/>
      <c r="AX667" s="169"/>
      <c r="AY667" s="169"/>
      <c r="AZ667" s="169"/>
      <c r="BA667" s="169"/>
      <c r="BB667" s="169"/>
      <c r="BC667" s="169"/>
    </row>
    <row r="668" spans="1:55" ht="14.25" customHeight="1">
      <c r="A668" s="169"/>
      <c r="B668" s="169"/>
      <c r="C668" s="169"/>
      <c r="D668" s="169"/>
      <c r="E668" s="169"/>
      <c r="F668" s="169"/>
      <c r="G668" s="169"/>
      <c r="H668" s="169"/>
      <c r="I668" s="169"/>
      <c r="J668" s="169"/>
      <c r="K668" s="169"/>
      <c r="L668" s="169"/>
      <c r="M668" s="169"/>
      <c r="N668" s="169"/>
      <c r="O668" s="169"/>
      <c r="P668" s="169"/>
      <c r="Q668" s="169"/>
      <c r="R668" s="169"/>
      <c r="S668" s="169"/>
      <c r="T668" s="169"/>
      <c r="U668" s="169"/>
      <c r="V668" s="169"/>
      <c r="W668" s="169"/>
      <c r="X668" s="169"/>
      <c r="Y668" s="169"/>
      <c r="Z668" s="169"/>
      <c r="AA668" s="169"/>
      <c r="AB668" s="169"/>
      <c r="AC668" s="169"/>
      <c r="AD668" s="169"/>
      <c r="AE668" s="169"/>
      <c r="AF668" s="169"/>
      <c r="AG668" s="169"/>
      <c r="AH668" s="169"/>
      <c r="AI668" s="169"/>
      <c r="AJ668" s="169"/>
      <c r="AK668" s="169"/>
      <c r="AL668" s="169"/>
      <c r="AM668" s="169"/>
      <c r="AN668" s="169"/>
      <c r="AO668" s="169"/>
      <c r="AP668" s="169"/>
      <c r="AQ668" s="169"/>
      <c r="AR668" s="169"/>
      <c r="AS668" s="169"/>
      <c r="AT668" s="169"/>
      <c r="AU668" s="169"/>
      <c r="AV668" s="169"/>
      <c r="AW668" s="169"/>
      <c r="AX668" s="169"/>
      <c r="AY668" s="169"/>
      <c r="AZ668" s="169"/>
      <c r="BA668" s="169"/>
      <c r="BB668" s="169"/>
      <c r="BC668" s="169"/>
    </row>
    <row r="669" spans="1:55" ht="14.25" customHeight="1">
      <c r="A669" s="169"/>
      <c r="B669" s="169"/>
      <c r="C669" s="169"/>
      <c r="D669" s="169"/>
      <c r="E669" s="169"/>
      <c r="F669" s="169"/>
      <c r="G669" s="169"/>
      <c r="H669" s="169"/>
      <c r="I669" s="169"/>
      <c r="J669" s="169"/>
      <c r="K669" s="169"/>
      <c r="L669" s="169"/>
      <c r="M669" s="169"/>
      <c r="N669" s="169"/>
      <c r="O669" s="169"/>
      <c r="P669" s="169"/>
      <c r="Q669" s="169"/>
      <c r="R669" s="169"/>
      <c r="S669" s="169"/>
      <c r="T669" s="169"/>
      <c r="U669" s="169"/>
      <c r="V669" s="169"/>
      <c r="W669" s="169"/>
      <c r="X669" s="169"/>
      <c r="Y669" s="169"/>
      <c r="Z669" s="169"/>
      <c r="AA669" s="169"/>
      <c r="AB669" s="169"/>
      <c r="AC669" s="169"/>
      <c r="AD669" s="169"/>
      <c r="AE669" s="169"/>
      <c r="AF669" s="169"/>
      <c r="AG669" s="169"/>
      <c r="AH669" s="169"/>
      <c r="AI669" s="169"/>
      <c r="AJ669" s="169"/>
      <c r="AK669" s="169"/>
      <c r="AL669" s="169"/>
      <c r="AM669" s="169"/>
      <c r="AN669" s="169"/>
      <c r="AO669" s="169"/>
      <c r="AP669" s="169"/>
      <c r="AQ669" s="169"/>
      <c r="AR669" s="169"/>
      <c r="AS669" s="169"/>
      <c r="AT669" s="169"/>
      <c r="AU669" s="169"/>
      <c r="AV669" s="169"/>
      <c r="AW669" s="169"/>
      <c r="AX669" s="169"/>
      <c r="AY669" s="169"/>
      <c r="AZ669" s="169"/>
      <c r="BA669" s="169"/>
      <c r="BB669" s="169"/>
      <c r="BC669" s="169"/>
    </row>
    <row r="670" spans="1:55" ht="14.25" customHeight="1">
      <c r="A670" s="169"/>
      <c r="B670" s="169"/>
      <c r="C670" s="169"/>
      <c r="D670" s="169"/>
      <c r="E670" s="169"/>
      <c r="F670" s="169"/>
      <c r="G670" s="169"/>
      <c r="H670" s="169"/>
      <c r="I670" s="169"/>
      <c r="J670" s="169"/>
      <c r="K670" s="169"/>
      <c r="L670" s="169"/>
      <c r="M670" s="169"/>
      <c r="N670" s="169"/>
      <c r="O670" s="169"/>
      <c r="P670" s="169"/>
      <c r="Q670" s="169"/>
      <c r="R670" s="169"/>
      <c r="S670" s="169"/>
      <c r="T670" s="169"/>
      <c r="U670" s="169"/>
      <c r="V670" s="169"/>
      <c r="W670" s="169"/>
      <c r="X670" s="169"/>
      <c r="Y670" s="169"/>
      <c r="Z670" s="169"/>
      <c r="AA670" s="169"/>
      <c r="AB670" s="169"/>
      <c r="AC670" s="169"/>
      <c r="AD670" s="169"/>
      <c r="AE670" s="169"/>
      <c r="AF670" s="169"/>
      <c r="AG670" s="169"/>
      <c r="AH670" s="169"/>
      <c r="AI670" s="169"/>
      <c r="AJ670" s="169"/>
      <c r="AK670" s="169"/>
      <c r="AL670" s="169"/>
      <c r="AM670" s="169"/>
      <c r="AN670" s="169"/>
      <c r="AO670" s="169"/>
      <c r="AP670" s="169"/>
      <c r="AQ670" s="169"/>
      <c r="AR670" s="169"/>
      <c r="AS670" s="169"/>
      <c r="AT670" s="169"/>
      <c r="AU670" s="169"/>
      <c r="AV670" s="169"/>
      <c r="AW670" s="169"/>
      <c r="AX670" s="169"/>
      <c r="AY670" s="169"/>
      <c r="AZ670" s="169"/>
      <c r="BA670" s="169"/>
      <c r="BB670" s="169"/>
      <c r="BC670" s="169"/>
    </row>
    <row r="671" spans="1:55" ht="14.25" customHeight="1">
      <c r="A671" s="169"/>
      <c r="B671" s="169"/>
      <c r="C671" s="169"/>
      <c r="D671" s="169"/>
      <c r="E671" s="169"/>
      <c r="F671" s="169"/>
      <c r="G671" s="169"/>
      <c r="H671" s="169"/>
      <c r="I671" s="169"/>
      <c r="J671" s="169"/>
      <c r="K671" s="169"/>
      <c r="L671" s="169"/>
      <c r="M671" s="169"/>
      <c r="N671" s="169"/>
      <c r="O671" s="169"/>
      <c r="P671" s="169"/>
      <c r="Q671" s="169"/>
      <c r="R671" s="169"/>
      <c r="S671" s="169"/>
      <c r="T671" s="169"/>
      <c r="U671" s="169"/>
      <c r="V671" s="169"/>
      <c r="W671" s="169"/>
      <c r="X671" s="169"/>
      <c r="Y671" s="169"/>
      <c r="Z671" s="169"/>
      <c r="AA671" s="169"/>
      <c r="AB671" s="169"/>
      <c r="AC671" s="169"/>
      <c r="AD671" s="169"/>
      <c r="AE671" s="169"/>
      <c r="AF671" s="169"/>
      <c r="AG671" s="169"/>
      <c r="AH671" s="169"/>
      <c r="AI671" s="169"/>
      <c r="AJ671" s="169"/>
      <c r="AK671" s="169"/>
      <c r="AL671" s="169"/>
      <c r="AM671" s="169"/>
      <c r="AN671" s="169"/>
      <c r="AO671" s="169"/>
      <c r="AP671" s="169"/>
      <c r="AQ671" s="169"/>
      <c r="AR671" s="169"/>
      <c r="AS671" s="169"/>
      <c r="AT671" s="169"/>
      <c r="AU671" s="169"/>
      <c r="AV671" s="169"/>
      <c r="AW671" s="169"/>
      <c r="AX671" s="169"/>
      <c r="AY671" s="169"/>
      <c r="AZ671" s="169"/>
      <c r="BA671" s="169"/>
      <c r="BB671" s="169"/>
      <c r="BC671" s="169"/>
    </row>
    <row r="672" spans="1:55" ht="14.25" customHeight="1">
      <c r="A672" s="169"/>
      <c r="B672" s="169"/>
      <c r="C672" s="169"/>
      <c r="D672" s="169"/>
      <c r="E672" s="169"/>
      <c r="F672" s="169"/>
      <c r="G672" s="169"/>
      <c r="H672" s="169"/>
      <c r="I672" s="169"/>
      <c r="J672" s="169"/>
      <c r="K672" s="169"/>
      <c r="L672" s="169"/>
      <c r="M672" s="169"/>
      <c r="N672" s="169"/>
      <c r="O672" s="169"/>
      <c r="P672" s="169"/>
      <c r="Q672" s="169"/>
      <c r="R672" s="169"/>
      <c r="S672" s="169"/>
      <c r="T672" s="169"/>
      <c r="U672" s="169"/>
      <c r="V672" s="169"/>
      <c r="W672" s="169"/>
      <c r="X672" s="169"/>
      <c r="Y672" s="169"/>
      <c r="Z672" s="169"/>
      <c r="AA672" s="169"/>
      <c r="AB672" s="169"/>
      <c r="AC672" s="169"/>
      <c r="AD672" s="169"/>
      <c r="AE672" s="169"/>
      <c r="AF672" s="169"/>
      <c r="AG672" s="169"/>
      <c r="AH672" s="169"/>
      <c r="AI672" s="169"/>
      <c r="AJ672" s="169"/>
      <c r="AK672" s="169"/>
      <c r="AL672" s="169"/>
      <c r="AM672" s="169"/>
      <c r="AN672" s="169"/>
      <c r="AO672" s="169"/>
      <c r="AP672" s="169"/>
      <c r="AQ672" s="169"/>
      <c r="AR672" s="169"/>
      <c r="AS672" s="169"/>
      <c r="AT672" s="169"/>
      <c r="AU672" s="169"/>
      <c r="AV672" s="169"/>
      <c r="AW672" s="169"/>
      <c r="AX672" s="169"/>
      <c r="AY672" s="169"/>
      <c r="AZ672" s="169"/>
      <c r="BA672" s="169"/>
      <c r="BB672" s="169"/>
      <c r="BC672" s="169"/>
    </row>
    <row r="673" spans="1:55" ht="14.25" customHeight="1">
      <c r="A673" s="169"/>
      <c r="B673" s="169"/>
      <c r="C673" s="169"/>
      <c r="D673" s="169"/>
      <c r="E673" s="169"/>
      <c r="F673" s="169"/>
      <c r="G673" s="169"/>
      <c r="H673" s="169"/>
      <c r="I673" s="169"/>
      <c r="J673" s="169"/>
      <c r="K673" s="169"/>
      <c r="L673" s="169"/>
      <c r="M673" s="169"/>
      <c r="N673" s="169"/>
      <c r="O673" s="169"/>
      <c r="P673" s="169"/>
      <c r="Q673" s="169"/>
      <c r="R673" s="169"/>
      <c r="S673" s="169"/>
      <c r="T673" s="169"/>
      <c r="U673" s="169"/>
      <c r="V673" s="169"/>
      <c r="W673" s="169"/>
      <c r="X673" s="169"/>
      <c r="Y673" s="169"/>
      <c r="Z673" s="169"/>
      <c r="AA673" s="169"/>
      <c r="AB673" s="169"/>
      <c r="AC673" s="169"/>
      <c r="AD673" s="169"/>
      <c r="AE673" s="169"/>
      <c r="AF673" s="169"/>
      <c r="AG673" s="169"/>
      <c r="AH673" s="169"/>
      <c r="AI673" s="169"/>
      <c r="AJ673" s="169"/>
      <c r="AK673" s="169"/>
      <c r="AL673" s="169"/>
      <c r="AM673" s="169"/>
      <c r="AN673" s="169"/>
      <c r="AO673" s="169"/>
      <c r="AP673" s="169"/>
      <c r="AQ673" s="169"/>
      <c r="AR673" s="169"/>
      <c r="AS673" s="169"/>
      <c r="AT673" s="169"/>
      <c r="AU673" s="169"/>
      <c r="AV673" s="169"/>
      <c r="AW673" s="169"/>
      <c r="AX673" s="169"/>
      <c r="AY673" s="169"/>
      <c r="AZ673" s="169"/>
      <c r="BA673" s="169"/>
      <c r="BB673" s="169"/>
      <c r="BC673" s="169"/>
    </row>
    <row r="674" spans="1:55" ht="14.25" customHeight="1">
      <c r="A674" s="169"/>
      <c r="B674" s="169"/>
      <c r="C674" s="169"/>
      <c r="D674" s="169"/>
      <c r="E674" s="169"/>
      <c r="F674" s="169"/>
      <c r="G674" s="169"/>
      <c r="H674" s="169"/>
      <c r="I674" s="169"/>
      <c r="J674" s="169"/>
      <c r="K674" s="169"/>
      <c r="L674" s="169"/>
      <c r="M674" s="169"/>
      <c r="N674" s="169"/>
      <c r="O674" s="169"/>
      <c r="P674" s="169"/>
      <c r="Q674" s="169"/>
      <c r="R674" s="169"/>
      <c r="S674" s="169"/>
      <c r="T674" s="169"/>
      <c r="U674" s="169"/>
      <c r="V674" s="169"/>
      <c r="W674" s="169"/>
      <c r="X674" s="169"/>
      <c r="Y674" s="169"/>
      <c r="Z674" s="169"/>
      <c r="AA674" s="169"/>
      <c r="AB674" s="169"/>
      <c r="AC674" s="169"/>
      <c r="AD674" s="169"/>
      <c r="AE674" s="169"/>
      <c r="AF674" s="169"/>
      <c r="AG674" s="169"/>
      <c r="AH674" s="169"/>
      <c r="AI674" s="169"/>
      <c r="AJ674" s="169"/>
      <c r="AK674" s="169"/>
      <c r="AL674" s="169"/>
      <c r="AM674" s="169"/>
      <c r="AN674" s="169"/>
      <c r="AO674" s="169"/>
      <c r="AP674" s="169"/>
      <c r="AQ674" s="169"/>
      <c r="AR674" s="169"/>
      <c r="AS674" s="169"/>
      <c r="AT674" s="169"/>
      <c r="AU674" s="169"/>
      <c r="AV674" s="169"/>
      <c r="AW674" s="169"/>
      <c r="AX674" s="169"/>
      <c r="AY674" s="169"/>
      <c r="AZ674" s="169"/>
      <c r="BA674" s="169"/>
      <c r="BB674" s="169"/>
      <c r="BC674" s="169"/>
    </row>
    <row r="675" spans="1:55" ht="14.25" customHeight="1">
      <c r="A675" s="169"/>
      <c r="B675" s="169"/>
      <c r="C675" s="169"/>
      <c r="D675" s="169"/>
      <c r="E675" s="169"/>
      <c r="F675" s="169"/>
      <c r="G675" s="169"/>
      <c r="H675" s="169"/>
      <c r="I675" s="169"/>
      <c r="J675" s="169"/>
      <c r="K675" s="169"/>
      <c r="L675" s="169"/>
      <c r="M675" s="169"/>
      <c r="N675" s="169"/>
      <c r="O675" s="169"/>
      <c r="P675" s="169"/>
      <c r="Q675" s="169"/>
      <c r="R675" s="169"/>
      <c r="S675" s="169"/>
      <c r="T675" s="169"/>
      <c r="U675" s="169"/>
      <c r="V675" s="169"/>
      <c r="W675" s="169"/>
      <c r="X675" s="169"/>
      <c r="Y675" s="169"/>
      <c r="Z675" s="169"/>
      <c r="AA675" s="169"/>
      <c r="AB675" s="169"/>
      <c r="AC675" s="169"/>
      <c r="AD675" s="169"/>
      <c r="AE675" s="169"/>
      <c r="AF675" s="169"/>
      <c r="AG675" s="169"/>
      <c r="AH675" s="169"/>
      <c r="AI675" s="169"/>
      <c r="AJ675" s="169"/>
      <c r="AK675" s="169"/>
      <c r="AL675" s="169"/>
      <c r="AM675" s="169"/>
      <c r="AN675" s="169"/>
      <c r="AO675" s="169"/>
      <c r="AP675" s="169"/>
      <c r="AQ675" s="169"/>
      <c r="AR675" s="169"/>
      <c r="AS675" s="169"/>
      <c r="AT675" s="169"/>
      <c r="AU675" s="169"/>
      <c r="AV675" s="169"/>
      <c r="AW675" s="169"/>
      <c r="AX675" s="169"/>
      <c r="AY675" s="169"/>
      <c r="AZ675" s="169"/>
      <c r="BA675" s="169"/>
      <c r="BB675" s="169"/>
      <c r="BC675" s="169"/>
    </row>
    <row r="676" spans="1:55" ht="14.25" customHeight="1">
      <c r="A676" s="169"/>
      <c r="B676" s="169"/>
      <c r="C676" s="169"/>
      <c r="D676" s="169"/>
      <c r="E676" s="169"/>
      <c r="F676" s="169"/>
      <c r="G676" s="169"/>
      <c r="H676" s="169"/>
      <c r="I676" s="169"/>
      <c r="J676" s="169"/>
      <c r="K676" s="169"/>
      <c r="L676" s="169"/>
      <c r="M676" s="169"/>
      <c r="N676" s="169"/>
      <c r="O676" s="169"/>
      <c r="P676" s="169"/>
      <c r="Q676" s="169"/>
      <c r="R676" s="169"/>
      <c r="S676" s="169"/>
      <c r="T676" s="169"/>
      <c r="U676" s="169"/>
      <c r="V676" s="169"/>
      <c r="W676" s="169"/>
      <c r="X676" s="169"/>
      <c r="Y676" s="169"/>
      <c r="Z676" s="169"/>
      <c r="AA676" s="169"/>
      <c r="AB676" s="169"/>
      <c r="AC676" s="169"/>
      <c r="AD676" s="169"/>
      <c r="AE676" s="169"/>
      <c r="AF676" s="169"/>
      <c r="AG676" s="169"/>
      <c r="AH676" s="169"/>
      <c r="AI676" s="169"/>
      <c r="AJ676" s="169"/>
      <c r="AK676" s="169"/>
      <c r="AL676" s="169"/>
      <c r="AM676" s="169"/>
      <c r="AN676" s="169"/>
      <c r="AO676" s="169"/>
      <c r="AP676" s="169"/>
      <c r="AQ676" s="169"/>
      <c r="AR676" s="169"/>
      <c r="AS676" s="169"/>
      <c r="AT676" s="169"/>
      <c r="AU676" s="169"/>
      <c r="AV676" s="169"/>
      <c r="AW676" s="169"/>
      <c r="AX676" s="169"/>
      <c r="AY676" s="169"/>
      <c r="AZ676" s="169"/>
      <c r="BA676" s="169"/>
      <c r="BB676" s="169"/>
      <c r="BC676" s="169"/>
    </row>
    <row r="677" spans="1:55" ht="14.25" customHeight="1">
      <c r="A677" s="169"/>
      <c r="B677" s="169"/>
      <c r="C677" s="169"/>
      <c r="D677" s="169"/>
      <c r="E677" s="169"/>
      <c r="F677" s="169"/>
      <c r="G677" s="169"/>
      <c r="H677" s="169"/>
      <c r="I677" s="169"/>
      <c r="J677" s="169"/>
      <c r="K677" s="169"/>
      <c r="L677" s="169"/>
      <c r="M677" s="169"/>
      <c r="N677" s="169"/>
      <c r="O677" s="169"/>
      <c r="P677" s="169"/>
      <c r="Q677" s="169"/>
      <c r="R677" s="169"/>
      <c r="S677" s="169"/>
      <c r="T677" s="169"/>
      <c r="U677" s="169"/>
      <c r="V677" s="169"/>
      <c r="W677" s="169"/>
      <c r="X677" s="169"/>
      <c r="Y677" s="169"/>
      <c r="Z677" s="169"/>
      <c r="AA677" s="169"/>
      <c r="AB677" s="169"/>
      <c r="AC677" s="169"/>
      <c r="AD677" s="169"/>
      <c r="AE677" s="169"/>
      <c r="AF677" s="169"/>
      <c r="AG677" s="169"/>
      <c r="AH677" s="169"/>
      <c r="AI677" s="169"/>
      <c r="AJ677" s="169"/>
      <c r="AK677" s="169"/>
      <c r="AL677" s="169"/>
      <c r="AM677" s="169"/>
      <c r="AN677" s="169"/>
      <c r="AO677" s="169"/>
      <c r="AP677" s="169"/>
      <c r="AQ677" s="169"/>
      <c r="AR677" s="169"/>
      <c r="AS677" s="169"/>
      <c r="AT677" s="169"/>
      <c r="AU677" s="169"/>
      <c r="AV677" s="169"/>
      <c r="AW677" s="169"/>
      <c r="AX677" s="169"/>
      <c r="AY677" s="169"/>
      <c r="AZ677" s="169"/>
      <c r="BA677" s="169"/>
      <c r="BB677" s="169"/>
      <c r="BC677" s="169"/>
    </row>
    <row r="678" spans="1:55" ht="14.25" customHeight="1">
      <c r="A678" s="169"/>
      <c r="B678" s="169"/>
      <c r="C678" s="169"/>
      <c r="D678" s="169"/>
      <c r="E678" s="169"/>
      <c r="F678" s="169"/>
      <c r="G678" s="169"/>
      <c r="H678" s="169"/>
      <c r="I678" s="169"/>
      <c r="J678" s="169"/>
      <c r="K678" s="169"/>
      <c r="L678" s="169"/>
      <c r="M678" s="169"/>
      <c r="N678" s="169"/>
      <c r="O678" s="169"/>
      <c r="P678" s="169"/>
      <c r="Q678" s="169"/>
      <c r="R678" s="169"/>
      <c r="S678" s="169"/>
      <c r="T678" s="169"/>
      <c r="U678" s="169"/>
      <c r="V678" s="169"/>
      <c r="W678" s="169"/>
      <c r="X678" s="169"/>
      <c r="Y678" s="169"/>
      <c r="Z678" s="169"/>
      <c r="AA678" s="169"/>
      <c r="AB678" s="169"/>
      <c r="AC678" s="169"/>
      <c r="AD678" s="169"/>
      <c r="AE678" s="169"/>
      <c r="AF678" s="169"/>
      <c r="AG678" s="169"/>
      <c r="AH678" s="169"/>
      <c r="AI678" s="169"/>
      <c r="AJ678" s="169"/>
      <c r="AK678" s="169"/>
      <c r="AL678" s="169"/>
      <c r="AM678" s="169"/>
      <c r="AN678" s="169"/>
      <c r="AO678" s="169"/>
      <c r="AP678" s="169"/>
      <c r="AQ678" s="169"/>
      <c r="AR678" s="169"/>
      <c r="AS678" s="169"/>
      <c r="AT678" s="169"/>
      <c r="AU678" s="169"/>
      <c r="AV678" s="169"/>
      <c r="AW678" s="169"/>
      <c r="AX678" s="169"/>
      <c r="AY678" s="169"/>
      <c r="AZ678" s="169"/>
      <c r="BA678" s="169"/>
      <c r="BB678" s="169"/>
      <c r="BC678" s="169"/>
    </row>
    <row r="679" spans="1:55" ht="14.25" customHeight="1">
      <c r="A679" s="169"/>
      <c r="B679" s="169"/>
      <c r="C679" s="169"/>
      <c r="D679" s="169"/>
      <c r="E679" s="169"/>
      <c r="F679" s="169"/>
      <c r="G679" s="169"/>
      <c r="H679" s="169"/>
      <c r="I679" s="169"/>
      <c r="J679" s="169"/>
      <c r="K679" s="169"/>
      <c r="L679" s="169"/>
      <c r="M679" s="169"/>
      <c r="N679" s="169"/>
      <c r="O679" s="169"/>
      <c r="P679" s="169"/>
      <c r="Q679" s="169"/>
      <c r="R679" s="169"/>
      <c r="S679" s="169"/>
      <c r="T679" s="169"/>
      <c r="U679" s="169"/>
      <c r="V679" s="169"/>
      <c r="W679" s="169"/>
      <c r="X679" s="169"/>
      <c r="Y679" s="169"/>
      <c r="Z679" s="169"/>
      <c r="AA679" s="169"/>
      <c r="AB679" s="169"/>
      <c r="AC679" s="169"/>
      <c r="AD679" s="169"/>
      <c r="AE679" s="169"/>
      <c r="AF679" s="169"/>
      <c r="AG679" s="169"/>
      <c r="AH679" s="169"/>
      <c r="AI679" s="169"/>
      <c r="AJ679" s="169"/>
      <c r="AK679" s="169"/>
      <c r="AL679" s="169"/>
      <c r="AM679" s="169"/>
      <c r="AN679" s="169"/>
      <c r="AO679" s="169"/>
      <c r="AP679" s="169"/>
      <c r="AQ679" s="169"/>
      <c r="AR679" s="169"/>
      <c r="AS679" s="169"/>
      <c r="AT679" s="169"/>
      <c r="AU679" s="169"/>
      <c r="AV679" s="169"/>
      <c r="AW679" s="169"/>
      <c r="AX679" s="169"/>
      <c r="AY679" s="169"/>
      <c r="AZ679" s="169"/>
      <c r="BA679" s="169"/>
      <c r="BB679" s="169"/>
      <c r="BC679" s="169"/>
    </row>
    <row r="680" spans="1:55" ht="14.25" customHeight="1">
      <c r="A680" s="169"/>
      <c r="B680" s="169"/>
      <c r="C680" s="169"/>
      <c r="D680" s="169"/>
      <c r="E680" s="169"/>
      <c r="F680" s="169"/>
      <c r="G680" s="169"/>
      <c r="H680" s="169"/>
      <c r="I680" s="169"/>
      <c r="J680" s="169"/>
      <c r="K680" s="169"/>
      <c r="L680" s="169"/>
      <c r="M680" s="169"/>
      <c r="N680" s="169"/>
      <c r="O680" s="169"/>
      <c r="P680" s="169"/>
      <c r="Q680" s="169"/>
      <c r="R680" s="169"/>
      <c r="S680" s="169"/>
      <c r="T680" s="169"/>
      <c r="U680" s="169"/>
      <c r="V680" s="169"/>
      <c r="W680" s="169"/>
      <c r="X680" s="169"/>
      <c r="Y680" s="169"/>
      <c r="Z680" s="169"/>
      <c r="AA680" s="169"/>
      <c r="AB680" s="169"/>
      <c r="AC680" s="169"/>
      <c r="AD680" s="169"/>
      <c r="AE680" s="169"/>
      <c r="AF680" s="169"/>
      <c r="AG680" s="169"/>
      <c r="AH680" s="169"/>
      <c r="AI680" s="169"/>
      <c r="AJ680" s="169"/>
      <c r="AK680" s="169"/>
      <c r="AL680" s="169"/>
      <c r="AM680" s="169"/>
      <c r="AN680" s="169"/>
      <c r="AO680" s="169"/>
      <c r="AP680" s="169"/>
      <c r="AQ680" s="169"/>
      <c r="AR680" s="169"/>
      <c r="AS680" s="169"/>
      <c r="AT680" s="169"/>
      <c r="AU680" s="169"/>
      <c r="AV680" s="169"/>
      <c r="AW680" s="169"/>
      <c r="AX680" s="169"/>
      <c r="AY680" s="169"/>
      <c r="AZ680" s="169"/>
      <c r="BA680" s="169"/>
      <c r="BB680" s="169"/>
      <c r="BC680" s="169"/>
    </row>
    <row r="681" spans="1:55" ht="14.25" customHeight="1">
      <c r="A681" s="169"/>
      <c r="B681" s="169"/>
      <c r="C681" s="169"/>
      <c r="D681" s="169"/>
      <c r="E681" s="169"/>
      <c r="F681" s="169"/>
      <c r="G681" s="169"/>
      <c r="H681" s="169"/>
      <c r="I681" s="169"/>
      <c r="J681" s="169"/>
      <c r="K681" s="169"/>
      <c r="L681" s="169"/>
      <c r="M681" s="169"/>
      <c r="N681" s="169"/>
      <c r="O681" s="169"/>
      <c r="P681" s="169"/>
      <c r="Q681" s="169"/>
      <c r="R681" s="169"/>
      <c r="S681" s="169"/>
      <c r="T681" s="169"/>
      <c r="U681" s="169"/>
      <c r="V681" s="169"/>
      <c r="W681" s="169"/>
      <c r="X681" s="169"/>
      <c r="Y681" s="169"/>
      <c r="Z681" s="169"/>
      <c r="AA681" s="169"/>
      <c r="AB681" s="169"/>
      <c r="AC681" s="169"/>
      <c r="AD681" s="169"/>
      <c r="AE681" s="169"/>
      <c r="AF681" s="169"/>
      <c r="AG681" s="169"/>
      <c r="AH681" s="169"/>
      <c r="AI681" s="169"/>
      <c r="AJ681" s="169"/>
      <c r="AK681" s="169"/>
      <c r="AL681" s="169"/>
      <c r="AM681" s="169"/>
      <c r="AN681" s="169"/>
      <c r="AO681" s="169"/>
      <c r="AP681" s="169"/>
      <c r="AQ681" s="169"/>
      <c r="AR681" s="169"/>
      <c r="AS681" s="169"/>
      <c r="AT681" s="169"/>
      <c r="AU681" s="169"/>
      <c r="AV681" s="169"/>
      <c r="AW681" s="169"/>
      <c r="AX681" s="169"/>
      <c r="AY681" s="169"/>
      <c r="AZ681" s="169"/>
      <c r="BA681" s="169"/>
      <c r="BB681" s="169"/>
      <c r="BC681" s="169"/>
    </row>
    <row r="682" spans="1:55" ht="14.25" customHeight="1">
      <c r="A682" s="169"/>
      <c r="B682" s="169"/>
      <c r="C682" s="169"/>
      <c r="D682" s="169"/>
      <c r="E682" s="169"/>
      <c r="F682" s="169"/>
      <c r="G682" s="169"/>
      <c r="H682" s="169"/>
      <c r="I682" s="169"/>
      <c r="J682" s="169"/>
      <c r="K682" s="169"/>
      <c r="L682" s="169"/>
      <c r="M682" s="169"/>
      <c r="N682" s="169"/>
      <c r="O682" s="169"/>
      <c r="P682" s="169"/>
      <c r="Q682" s="169"/>
      <c r="R682" s="169"/>
      <c r="S682" s="169"/>
      <c r="T682" s="169"/>
      <c r="U682" s="169"/>
      <c r="V682" s="169"/>
      <c r="W682" s="169"/>
      <c r="X682" s="169"/>
      <c r="Y682" s="169"/>
      <c r="Z682" s="169"/>
      <c r="AA682" s="169"/>
      <c r="AB682" s="169"/>
      <c r="AC682" s="169"/>
      <c r="AD682" s="169"/>
      <c r="AE682" s="169"/>
      <c r="AF682" s="169"/>
      <c r="AG682" s="169"/>
      <c r="AH682" s="169"/>
      <c r="AI682" s="169"/>
      <c r="AJ682" s="169"/>
      <c r="AK682" s="169"/>
      <c r="AL682" s="169"/>
      <c r="AM682" s="169"/>
      <c r="AN682" s="169"/>
      <c r="AO682" s="169"/>
      <c r="AP682" s="169"/>
      <c r="AQ682" s="169"/>
      <c r="AR682" s="169"/>
      <c r="AS682" s="169"/>
      <c r="AT682" s="169"/>
      <c r="AU682" s="169"/>
      <c r="AV682" s="169"/>
      <c r="AW682" s="169"/>
      <c r="AX682" s="169"/>
      <c r="AY682" s="169"/>
      <c r="AZ682" s="169"/>
      <c r="BA682" s="169"/>
      <c r="BB682" s="169"/>
      <c r="BC682" s="169"/>
    </row>
    <row r="683" spans="1:55" ht="14.25" customHeight="1">
      <c r="A683" s="169"/>
      <c r="B683" s="169"/>
      <c r="C683" s="169"/>
      <c r="D683" s="169"/>
      <c r="E683" s="169"/>
      <c r="F683" s="169"/>
      <c r="G683" s="169"/>
      <c r="H683" s="169"/>
      <c r="I683" s="169"/>
      <c r="J683" s="169"/>
      <c r="K683" s="169"/>
      <c r="L683" s="169"/>
      <c r="M683" s="169"/>
      <c r="N683" s="169"/>
      <c r="O683" s="169"/>
      <c r="P683" s="169"/>
      <c r="Q683" s="169"/>
      <c r="R683" s="169"/>
      <c r="S683" s="169"/>
      <c r="T683" s="169"/>
      <c r="U683" s="169"/>
      <c r="V683" s="169"/>
      <c r="W683" s="169"/>
      <c r="X683" s="169"/>
      <c r="Y683" s="169"/>
      <c r="Z683" s="169"/>
      <c r="AA683" s="169"/>
      <c r="AB683" s="169"/>
      <c r="AC683" s="169"/>
      <c r="AD683" s="169"/>
      <c r="AE683" s="169"/>
      <c r="AF683" s="169"/>
      <c r="AG683" s="169"/>
      <c r="AH683" s="169"/>
      <c r="AI683" s="169"/>
      <c r="AJ683" s="169"/>
      <c r="AK683" s="169"/>
      <c r="AL683" s="169"/>
      <c r="AM683" s="169"/>
      <c r="AN683" s="169"/>
      <c r="AO683" s="169"/>
      <c r="AP683" s="169"/>
      <c r="AQ683" s="169"/>
      <c r="AR683" s="169"/>
      <c r="AS683" s="169"/>
      <c r="AT683" s="169"/>
      <c r="AU683" s="169"/>
      <c r="AV683" s="169"/>
      <c r="AW683" s="169"/>
      <c r="AX683" s="169"/>
      <c r="AY683" s="169"/>
      <c r="AZ683" s="169"/>
      <c r="BA683" s="169"/>
      <c r="BB683" s="169"/>
      <c r="BC683" s="169"/>
    </row>
    <row r="684" spans="1:55" ht="14.25" customHeight="1">
      <c r="A684" s="169"/>
      <c r="B684" s="169"/>
      <c r="C684" s="169"/>
      <c r="D684" s="169"/>
      <c r="E684" s="169"/>
      <c r="F684" s="169"/>
      <c r="G684" s="169"/>
      <c r="H684" s="169"/>
      <c r="I684" s="169"/>
      <c r="J684" s="169"/>
      <c r="K684" s="169"/>
      <c r="L684" s="169"/>
      <c r="M684" s="169"/>
      <c r="N684" s="169"/>
      <c r="O684" s="169"/>
      <c r="P684" s="169"/>
      <c r="Q684" s="169"/>
      <c r="R684" s="169"/>
      <c r="S684" s="169"/>
      <c r="T684" s="169"/>
      <c r="U684" s="169"/>
      <c r="V684" s="169"/>
      <c r="W684" s="169"/>
      <c r="X684" s="169"/>
      <c r="Y684" s="169"/>
      <c r="Z684" s="169"/>
      <c r="AA684" s="169"/>
      <c r="AB684" s="169"/>
      <c r="AC684" s="169"/>
      <c r="AD684" s="169"/>
      <c r="AE684" s="169"/>
      <c r="AF684" s="169"/>
      <c r="AG684" s="169"/>
      <c r="AH684" s="169"/>
      <c r="AI684" s="169"/>
      <c r="AJ684" s="169"/>
      <c r="AK684" s="169"/>
      <c r="AL684" s="169"/>
      <c r="AM684" s="169"/>
      <c r="AN684" s="169"/>
      <c r="AO684" s="169"/>
      <c r="AP684" s="169"/>
      <c r="AQ684" s="169"/>
      <c r="AR684" s="169"/>
      <c r="AS684" s="169"/>
      <c r="AT684" s="169"/>
      <c r="AU684" s="169"/>
      <c r="AV684" s="169"/>
      <c r="AW684" s="169"/>
      <c r="AX684" s="169"/>
      <c r="AY684" s="169"/>
      <c r="AZ684" s="169"/>
      <c r="BA684" s="169"/>
      <c r="BB684" s="169"/>
      <c r="BC684" s="169"/>
    </row>
    <row r="685" spans="1:55" ht="14.25" customHeight="1">
      <c r="A685" s="169"/>
      <c r="B685" s="169"/>
      <c r="C685" s="169"/>
      <c r="D685" s="169"/>
      <c r="E685" s="169"/>
      <c r="F685" s="169"/>
      <c r="G685" s="169"/>
      <c r="H685" s="169"/>
      <c r="I685" s="169"/>
      <c r="J685" s="169"/>
      <c r="K685" s="169"/>
      <c r="L685" s="169"/>
      <c r="M685" s="169"/>
      <c r="N685" s="169"/>
      <c r="O685" s="169"/>
      <c r="P685" s="169"/>
      <c r="Q685" s="169"/>
      <c r="R685" s="169"/>
      <c r="S685" s="169"/>
      <c r="T685" s="169"/>
      <c r="U685" s="169"/>
      <c r="V685" s="169"/>
      <c r="W685" s="169"/>
      <c r="X685" s="169"/>
      <c r="Y685" s="169"/>
      <c r="Z685" s="169"/>
      <c r="AA685" s="169"/>
      <c r="AB685" s="169"/>
      <c r="AC685" s="169"/>
      <c r="AD685" s="169"/>
      <c r="AE685" s="169"/>
      <c r="AF685" s="169"/>
      <c r="AG685" s="169"/>
      <c r="AH685" s="169"/>
      <c r="AI685" s="169"/>
      <c r="AJ685" s="169"/>
      <c r="AK685" s="169"/>
      <c r="AL685" s="169"/>
      <c r="AM685" s="169"/>
      <c r="AN685" s="169"/>
      <c r="AO685" s="169"/>
      <c r="AP685" s="169"/>
      <c r="AQ685" s="169"/>
      <c r="AR685" s="169"/>
      <c r="AS685" s="169"/>
      <c r="AT685" s="169"/>
      <c r="AU685" s="169"/>
      <c r="AV685" s="169"/>
      <c r="AW685" s="169"/>
      <c r="AX685" s="169"/>
      <c r="AY685" s="169"/>
      <c r="AZ685" s="169"/>
      <c r="BA685" s="169"/>
      <c r="BB685" s="169"/>
      <c r="BC685" s="169"/>
    </row>
    <row r="686" spans="1:55" ht="14.25" customHeight="1">
      <c r="A686" s="169"/>
      <c r="B686" s="169"/>
      <c r="C686" s="169"/>
      <c r="D686" s="169"/>
      <c r="E686" s="169"/>
      <c r="F686" s="169"/>
      <c r="G686" s="169"/>
      <c r="H686" s="169"/>
      <c r="I686" s="169"/>
      <c r="J686" s="169"/>
      <c r="K686" s="169"/>
      <c r="L686" s="169"/>
      <c r="M686" s="169"/>
      <c r="N686" s="169"/>
      <c r="O686" s="169"/>
      <c r="P686" s="169"/>
      <c r="Q686" s="169"/>
      <c r="R686" s="169"/>
      <c r="S686" s="169"/>
      <c r="T686" s="169"/>
      <c r="U686" s="169"/>
      <c r="V686" s="169"/>
      <c r="W686" s="169"/>
      <c r="X686" s="169"/>
      <c r="Y686" s="169"/>
      <c r="Z686" s="169"/>
      <c r="AA686" s="169"/>
      <c r="AB686" s="169"/>
      <c r="AC686" s="169"/>
      <c r="AD686" s="169"/>
      <c r="AE686" s="169"/>
      <c r="AF686" s="169"/>
      <c r="AG686" s="169"/>
      <c r="AH686" s="169"/>
      <c r="AI686" s="169"/>
      <c r="AJ686" s="169"/>
      <c r="AK686" s="169"/>
      <c r="AL686" s="169"/>
      <c r="AM686" s="169"/>
      <c r="AN686" s="169"/>
      <c r="AO686" s="169"/>
      <c r="AP686" s="169"/>
      <c r="AQ686" s="169"/>
      <c r="AR686" s="169"/>
      <c r="AS686" s="169"/>
      <c r="AT686" s="169"/>
      <c r="AU686" s="169"/>
      <c r="AV686" s="169"/>
      <c r="AW686" s="169"/>
      <c r="AX686" s="169"/>
      <c r="AY686" s="169"/>
      <c r="AZ686" s="169"/>
      <c r="BA686" s="169"/>
      <c r="BB686" s="169"/>
      <c r="BC686" s="169"/>
    </row>
    <row r="687" spans="1:55" ht="14.25" customHeight="1">
      <c r="A687" s="169"/>
      <c r="B687" s="169"/>
      <c r="C687" s="169"/>
      <c r="D687" s="169"/>
      <c r="E687" s="169"/>
      <c r="F687" s="169"/>
      <c r="G687" s="169"/>
      <c r="H687" s="169"/>
      <c r="I687" s="169"/>
      <c r="J687" s="169"/>
      <c r="K687" s="169"/>
      <c r="L687" s="169"/>
      <c r="M687" s="169"/>
      <c r="N687" s="169"/>
      <c r="O687" s="169"/>
      <c r="P687" s="169"/>
      <c r="Q687" s="169"/>
      <c r="R687" s="169"/>
      <c r="S687" s="169"/>
      <c r="T687" s="169"/>
      <c r="U687" s="169"/>
      <c r="V687" s="169"/>
      <c r="W687" s="169"/>
      <c r="X687" s="169"/>
      <c r="Y687" s="169"/>
      <c r="Z687" s="169"/>
      <c r="AA687" s="169"/>
      <c r="AB687" s="169"/>
      <c r="AC687" s="169"/>
      <c r="AD687" s="169"/>
      <c r="AE687" s="169"/>
      <c r="AF687" s="169"/>
      <c r="AG687" s="169"/>
      <c r="AH687" s="169"/>
      <c r="AI687" s="169"/>
      <c r="AJ687" s="169"/>
      <c r="AK687" s="169"/>
      <c r="AL687" s="169"/>
      <c r="AM687" s="169"/>
      <c r="AN687" s="169"/>
      <c r="AO687" s="169"/>
      <c r="AP687" s="169"/>
      <c r="AQ687" s="169"/>
      <c r="AR687" s="169"/>
      <c r="AS687" s="169"/>
      <c r="AT687" s="169"/>
      <c r="AU687" s="169"/>
      <c r="AV687" s="169"/>
      <c r="AW687" s="169"/>
      <c r="AX687" s="169"/>
      <c r="AY687" s="169"/>
      <c r="AZ687" s="169"/>
      <c r="BA687" s="169"/>
      <c r="BB687" s="169"/>
      <c r="BC687" s="169"/>
    </row>
    <row r="688" spans="1:55" ht="14.25" customHeight="1">
      <c r="A688" s="169"/>
      <c r="B688" s="169"/>
      <c r="C688" s="169"/>
      <c r="D688" s="169"/>
      <c r="E688" s="169"/>
      <c r="F688" s="169"/>
      <c r="G688" s="169"/>
      <c r="H688" s="169"/>
      <c r="I688" s="169"/>
      <c r="J688" s="169"/>
      <c r="K688" s="169"/>
      <c r="L688" s="169"/>
      <c r="M688" s="169"/>
      <c r="N688" s="169"/>
      <c r="O688" s="169"/>
      <c r="P688" s="169"/>
      <c r="Q688" s="169"/>
      <c r="R688" s="169"/>
      <c r="S688" s="169"/>
      <c r="T688" s="169"/>
      <c r="U688" s="169"/>
      <c r="V688" s="169"/>
      <c r="W688" s="169"/>
      <c r="X688" s="169"/>
      <c r="Y688" s="169"/>
      <c r="Z688" s="169"/>
      <c r="AA688" s="169"/>
      <c r="AB688" s="169"/>
      <c r="AC688" s="169"/>
      <c r="AD688" s="169"/>
      <c r="AE688" s="169"/>
      <c r="AF688" s="169"/>
      <c r="AG688" s="169"/>
      <c r="AH688" s="169"/>
      <c r="AI688" s="169"/>
      <c r="AJ688" s="169"/>
      <c r="AK688" s="169"/>
      <c r="AL688" s="169"/>
      <c r="AM688" s="169"/>
      <c r="AN688" s="169"/>
      <c r="AO688" s="169"/>
      <c r="AP688" s="169"/>
      <c r="AQ688" s="169"/>
      <c r="AR688" s="169"/>
      <c r="AS688" s="169"/>
      <c r="AT688" s="169"/>
      <c r="AU688" s="169"/>
      <c r="AV688" s="169"/>
      <c r="AW688" s="169"/>
      <c r="AX688" s="169"/>
      <c r="AY688" s="169"/>
      <c r="AZ688" s="169"/>
      <c r="BA688" s="169"/>
      <c r="BB688" s="169"/>
      <c r="BC688" s="169"/>
    </row>
    <row r="689" spans="1:55" ht="14.25" customHeight="1">
      <c r="A689" s="169"/>
      <c r="B689" s="169"/>
      <c r="C689" s="169"/>
      <c r="D689" s="169"/>
      <c r="E689" s="169"/>
      <c r="F689" s="169"/>
      <c r="G689" s="169"/>
      <c r="H689" s="169"/>
      <c r="I689" s="169"/>
      <c r="J689" s="169"/>
      <c r="K689" s="169"/>
      <c r="L689" s="169"/>
      <c r="M689" s="169"/>
      <c r="N689" s="169"/>
      <c r="O689" s="169"/>
      <c r="P689" s="169"/>
      <c r="Q689" s="169"/>
      <c r="R689" s="169"/>
      <c r="S689" s="169"/>
      <c r="T689" s="169"/>
      <c r="U689" s="169"/>
      <c r="V689" s="169"/>
      <c r="W689" s="169"/>
      <c r="X689" s="169"/>
      <c r="Y689" s="169"/>
      <c r="Z689" s="169"/>
      <c r="AA689" s="169"/>
      <c r="AB689" s="169"/>
      <c r="AC689" s="169"/>
      <c r="AD689" s="169"/>
      <c r="AE689" s="169"/>
      <c r="AF689" s="169"/>
      <c r="AG689" s="169"/>
      <c r="AH689" s="169"/>
      <c r="AI689" s="169"/>
      <c r="AJ689" s="169"/>
      <c r="AK689" s="169"/>
      <c r="AL689" s="169"/>
      <c r="AM689" s="169"/>
      <c r="AN689" s="169"/>
      <c r="AO689" s="169"/>
      <c r="AP689" s="169"/>
      <c r="AQ689" s="169"/>
      <c r="AR689" s="169"/>
      <c r="AS689" s="169"/>
      <c r="AT689" s="169"/>
      <c r="AU689" s="169"/>
      <c r="AV689" s="169"/>
      <c r="AW689" s="169"/>
      <c r="AX689" s="169"/>
      <c r="AY689" s="169"/>
      <c r="AZ689" s="169"/>
      <c r="BA689" s="169"/>
      <c r="BB689" s="169"/>
      <c r="BC689" s="169"/>
    </row>
    <row r="690" spans="1:55" ht="14.25" customHeight="1">
      <c r="A690" s="169"/>
      <c r="B690" s="169"/>
      <c r="C690" s="169"/>
      <c r="D690" s="169"/>
      <c r="E690" s="169"/>
      <c r="F690" s="169"/>
      <c r="G690" s="169"/>
      <c r="H690" s="169"/>
      <c r="I690" s="169"/>
      <c r="J690" s="169"/>
      <c r="K690" s="169"/>
      <c r="L690" s="169"/>
      <c r="M690" s="169"/>
      <c r="N690" s="169"/>
      <c r="O690" s="169"/>
      <c r="P690" s="169"/>
      <c r="Q690" s="169"/>
      <c r="R690" s="169"/>
      <c r="S690" s="169"/>
      <c r="T690" s="169"/>
      <c r="U690" s="169"/>
      <c r="V690" s="169"/>
      <c r="W690" s="169"/>
      <c r="X690" s="169"/>
      <c r="Y690" s="169"/>
      <c r="Z690" s="169"/>
      <c r="AA690" s="169"/>
      <c r="AB690" s="169"/>
      <c r="AC690" s="169"/>
      <c r="AD690" s="169"/>
      <c r="AE690" s="169"/>
      <c r="AF690" s="169"/>
      <c r="AG690" s="169"/>
      <c r="AH690" s="169"/>
      <c r="AI690" s="169"/>
      <c r="AJ690" s="169"/>
      <c r="AK690" s="169"/>
      <c r="AL690" s="169"/>
      <c r="AM690" s="169"/>
      <c r="AN690" s="169"/>
      <c r="AO690" s="169"/>
      <c r="AP690" s="169"/>
      <c r="AQ690" s="169"/>
      <c r="AR690" s="169"/>
      <c r="AS690" s="169"/>
      <c r="AT690" s="169"/>
      <c r="AU690" s="169"/>
      <c r="AV690" s="169"/>
      <c r="AW690" s="169"/>
      <c r="AX690" s="169"/>
      <c r="AY690" s="169"/>
      <c r="AZ690" s="169"/>
      <c r="BA690" s="169"/>
      <c r="BB690" s="169"/>
      <c r="BC690" s="169"/>
    </row>
    <row r="691" spans="1:55" ht="14.25" customHeight="1">
      <c r="A691" s="169"/>
      <c r="B691" s="169"/>
      <c r="C691" s="169"/>
      <c r="D691" s="169"/>
      <c r="E691" s="169"/>
      <c r="F691" s="169"/>
      <c r="G691" s="169"/>
      <c r="H691" s="169"/>
      <c r="I691" s="169"/>
      <c r="J691" s="169"/>
      <c r="K691" s="169"/>
      <c r="L691" s="169"/>
      <c r="M691" s="169"/>
      <c r="N691" s="169"/>
      <c r="O691" s="169"/>
      <c r="P691" s="169"/>
      <c r="Q691" s="169"/>
      <c r="R691" s="169"/>
      <c r="S691" s="169"/>
      <c r="T691" s="169"/>
      <c r="U691" s="169"/>
      <c r="V691" s="169"/>
      <c r="W691" s="169"/>
      <c r="X691" s="169"/>
      <c r="Y691" s="169"/>
      <c r="Z691" s="169"/>
      <c r="AA691" s="169"/>
      <c r="AB691" s="169"/>
      <c r="AC691" s="169"/>
      <c r="AD691" s="169"/>
      <c r="AE691" s="169"/>
      <c r="AF691" s="169"/>
      <c r="AG691" s="169"/>
      <c r="AH691" s="169"/>
      <c r="AI691" s="169"/>
      <c r="AJ691" s="169"/>
      <c r="AK691" s="169"/>
      <c r="AL691" s="169"/>
      <c r="AM691" s="169"/>
      <c r="AN691" s="169"/>
      <c r="AO691" s="169"/>
      <c r="AP691" s="169"/>
      <c r="AQ691" s="169"/>
      <c r="AR691" s="169"/>
      <c r="AS691" s="169"/>
      <c r="AT691" s="169"/>
      <c r="AU691" s="169"/>
      <c r="AV691" s="169"/>
      <c r="AW691" s="169"/>
      <c r="AX691" s="169"/>
      <c r="AY691" s="169"/>
      <c r="AZ691" s="169"/>
      <c r="BA691" s="169"/>
      <c r="BB691" s="169"/>
      <c r="BC691" s="169"/>
    </row>
    <row r="692" spans="1:55" ht="14.25" customHeight="1">
      <c r="A692" s="169"/>
      <c r="B692" s="169"/>
      <c r="C692" s="169"/>
      <c r="D692" s="169"/>
      <c r="E692" s="169"/>
      <c r="F692" s="169"/>
      <c r="G692" s="169"/>
      <c r="H692" s="169"/>
      <c r="I692" s="169"/>
      <c r="J692" s="169"/>
      <c r="K692" s="169"/>
      <c r="L692" s="169"/>
      <c r="M692" s="169"/>
      <c r="N692" s="169"/>
      <c r="O692" s="169"/>
      <c r="P692" s="169"/>
      <c r="Q692" s="169"/>
      <c r="R692" s="169"/>
      <c r="S692" s="169"/>
      <c r="T692" s="169"/>
      <c r="U692" s="169"/>
      <c r="V692" s="169"/>
      <c r="W692" s="169"/>
      <c r="X692" s="169"/>
      <c r="Y692" s="169"/>
      <c r="Z692" s="169"/>
      <c r="AA692" s="169"/>
      <c r="AB692" s="169"/>
      <c r="AC692" s="169"/>
      <c r="AD692" s="169"/>
      <c r="AE692" s="169"/>
      <c r="AF692" s="169"/>
      <c r="AG692" s="169"/>
      <c r="AH692" s="169"/>
      <c r="AI692" s="169"/>
      <c r="AJ692" s="169"/>
      <c r="AK692" s="169"/>
      <c r="AL692" s="169"/>
      <c r="AM692" s="169"/>
      <c r="AN692" s="169"/>
      <c r="AO692" s="169"/>
      <c r="AP692" s="169"/>
      <c r="AQ692" s="169"/>
      <c r="AR692" s="169"/>
      <c r="AS692" s="169"/>
      <c r="AT692" s="169"/>
      <c r="AU692" s="169"/>
      <c r="AV692" s="169"/>
      <c r="AW692" s="169"/>
      <c r="AX692" s="169"/>
      <c r="AY692" s="169"/>
      <c r="AZ692" s="169"/>
      <c r="BA692" s="169"/>
      <c r="BB692" s="169"/>
      <c r="BC692" s="169"/>
    </row>
    <row r="693" spans="1:55" ht="14.25" customHeight="1">
      <c r="A693" s="169"/>
      <c r="B693" s="169"/>
      <c r="C693" s="169"/>
      <c r="D693" s="169"/>
      <c r="E693" s="169"/>
      <c r="F693" s="169"/>
      <c r="G693" s="169"/>
      <c r="H693" s="169"/>
      <c r="I693" s="169"/>
      <c r="J693" s="169"/>
      <c r="K693" s="169"/>
      <c r="L693" s="169"/>
      <c r="M693" s="169"/>
      <c r="N693" s="169"/>
      <c r="O693" s="169"/>
      <c r="P693" s="169"/>
      <c r="Q693" s="169"/>
      <c r="R693" s="169"/>
      <c r="S693" s="169"/>
      <c r="T693" s="169"/>
      <c r="U693" s="169"/>
      <c r="V693" s="169"/>
      <c r="W693" s="169"/>
      <c r="X693" s="169"/>
      <c r="Y693" s="169"/>
      <c r="Z693" s="169"/>
      <c r="AA693" s="169"/>
      <c r="AB693" s="169"/>
      <c r="AC693" s="169"/>
      <c r="AD693" s="169"/>
      <c r="AE693" s="169"/>
      <c r="AF693" s="169"/>
      <c r="AG693" s="169"/>
      <c r="AH693" s="169"/>
      <c r="AI693" s="169"/>
      <c r="AJ693" s="169"/>
      <c r="AK693" s="169"/>
      <c r="AL693" s="169"/>
      <c r="AM693" s="169"/>
      <c r="AN693" s="169"/>
      <c r="AO693" s="169"/>
      <c r="AP693" s="169"/>
      <c r="AQ693" s="169"/>
      <c r="AR693" s="169"/>
      <c r="AS693" s="169"/>
      <c r="AT693" s="169"/>
      <c r="AU693" s="169"/>
      <c r="AV693" s="169"/>
      <c r="AW693" s="169"/>
      <c r="AX693" s="169"/>
      <c r="AY693" s="169"/>
      <c r="AZ693" s="169"/>
      <c r="BA693" s="169"/>
      <c r="BB693" s="169"/>
      <c r="BC693" s="169"/>
    </row>
    <row r="694" spans="1:55" ht="14.25" customHeight="1">
      <c r="A694" s="169"/>
      <c r="B694" s="169"/>
      <c r="C694" s="169"/>
      <c r="D694" s="169"/>
      <c r="E694" s="169"/>
      <c r="F694" s="169"/>
      <c r="G694" s="169"/>
      <c r="H694" s="169"/>
      <c r="I694" s="169"/>
      <c r="J694" s="169"/>
      <c r="K694" s="169"/>
      <c r="L694" s="169"/>
      <c r="M694" s="169"/>
      <c r="N694" s="169"/>
      <c r="O694" s="169"/>
      <c r="P694" s="169"/>
      <c r="Q694" s="169"/>
      <c r="R694" s="169"/>
      <c r="S694" s="169"/>
      <c r="T694" s="169"/>
      <c r="U694" s="169"/>
      <c r="V694" s="169"/>
      <c r="W694" s="169"/>
      <c r="X694" s="169"/>
      <c r="Y694" s="169"/>
      <c r="Z694" s="169"/>
      <c r="AA694" s="169"/>
      <c r="AB694" s="169"/>
      <c r="AC694" s="169"/>
      <c r="AD694" s="169"/>
      <c r="AE694" s="169"/>
      <c r="AF694" s="169"/>
      <c r="AG694" s="169"/>
      <c r="AH694" s="169"/>
      <c r="AI694" s="169"/>
      <c r="AJ694" s="169"/>
      <c r="AK694" s="169"/>
      <c r="AL694" s="169"/>
      <c r="AM694" s="169"/>
      <c r="AN694" s="169"/>
      <c r="AO694" s="169"/>
      <c r="AP694" s="169"/>
      <c r="AQ694" s="169"/>
      <c r="AR694" s="169"/>
      <c r="AS694" s="169"/>
      <c r="AT694" s="169"/>
      <c r="AU694" s="169"/>
      <c r="AV694" s="169"/>
      <c r="AW694" s="169"/>
      <c r="AX694" s="169"/>
      <c r="AY694" s="169"/>
      <c r="AZ694" s="169"/>
      <c r="BA694" s="169"/>
      <c r="BB694" s="169"/>
      <c r="BC694" s="169"/>
    </row>
    <row r="695" spans="1:55" ht="14.25" customHeight="1">
      <c r="A695" s="169"/>
      <c r="B695" s="169"/>
      <c r="C695" s="169"/>
      <c r="D695" s="169"/>
      <c r="E695" s="169"/>
      <c r="F695" s="169"/>
      <c r="G695" s="169"/>
      <c r="H695" s="169"/>
      <c r="I695" s="169"/>
      <c r="J695" s="169"/>
      <c r="K695" s="169"/>
      <c r="L695" s="169"/>
      <c r="M695" s="169"/>
      <c r="N695" s="169"/>
      <c r="O695" s="169"/>
      <c r="P695" s="169"/>
      <c r="Q695" s="169"/>
      <c r="R695" s="169"/>
      <c r="S695" s="169"/>
      <c r="T695" s="169"/>
      <c r="U695" s="169"/>
      <c r="V695" s="169"/>
      <c r="W695" s="169"/>
      <c r="X695" s="169"/>
      <c r="Y695" s="169"/>
      <c r="Z695" s="169"/>
      <c r="AA695" s="169"/>
      <c r="AB695" s="169"/>
      <c r="AC695" s="169"/>
      <c r="AD695" s="169"/>
      <c r="AE695" s="169"/>
      <c r="AF695" s="169"/>
      <c r="AG695" s="169"/>
      <c r="AH695" s="169"/>
      <c r="AI695" s="169"/>
      <c r="AJ695" s="169"/>
      <c r="AK695" s="169"/>
      <c r="AL695" s="169"/>
      <c r="AM695" s="169"/>
      <c r="AN695" s="169"/>
      <c r="AO695" s="169"/>
      <c r="AP695" s="169"/>
      <c r="AQ695" s="169"/>
      <c r="AR695" s="169"/>
      <c r="AS695" s="169"/>
      <c r="AT695" s="169"/>
      <c r="AU695" s="169"/>
      <c r="AV695" s="169"/>
      <c r="AW695" s="169"/>
      <c r="AX695" s="169"/>
      <c r="AY695" s="169"/>
      <c r="AZ695" s="169"/>
      <c r="BA695" s="169"/>
      <c r="BB695" s="169"/>
      <c r="BC695" s="169"/>
    </row>
    <row r="696" spans="1:55" ht="14.25" customHeight="1">
      <c r="A696" s="169"/>
      <c r="B696" s="169"/>
      <c r="C696" s="169"/>
      <c r="D696" s="169"/>
      <c r="E696" s="169"/>
      <c r="F696" s="169"/>
      <c r="G696" s="169"/>
      <c r="H696" s="169"/>
      <c r="I696" s="169"/>
      <c r="J696" s="169"/>
      <c r="K696" s="169"/>
      <c r="L696" s="169"/>
      <c r="M696" s="169"/>
      <c r="N696" s="169"/>
      <c r="O696" s="169"/>
      <c r="P696" s="169"/>
      <c r="Q696" s="169"/>
      <c r="R696" s="169"/>
      <c r="S696" s="169"/>
      <c r="T696" s="169"/>
      <c r="U696" s="169"/>
      <c r="V696" s="169"/>
      <c r="W696" s="169"/>
      <c r="X696" s="169"/>
      <c r="Y696" s="169"/>
      <c r="Z696" s="169"/>
      <c r="AA696" s="169"/>
      <c r="AB696" s="169"/>
      <c r="AC696" s="169"/>
      <c r="AD696" s="169"/>
      <c r="AE696" s="169"/>
      <c r="AF696" s="169"/>
      <c r="AG696" s="169"/>
      <c r="AH696" s="169"/>
      <c r="AI696" s="169"/>
      <c r="AJ696" s="169"/>
      <c r="AK696" s="169"/>
      <c r="AL696" s="169"/>
      <c r="AM696" s="169"/>
      <c r="AN696" s="169"/>
      <c r="AO696" s="169"/>
      <c r="AP696" s="169"/>
      <c r="AQ696" s="169"/>
      <c r="AR696" s="169"/>
      <c r="AS696" s="169"/>
      <c r="AT696" s="169"/>
      <c r="AU696" s="169"/>
      <c r="AV696" s="169"/>
      <c r="AW696" s="169"/>
      <c r="AX696" s="169"/>
      <c r="AY696" s="169"/>
      <c r="AZ696" s="169"/>
      <c r="BA696" s="169"/>
      <c r="BB696" s="169"/>
      <c r="BC696" s="169"/>
    </row>
    <row r="697" spans="1:55" ht="14.25" customHeight="1">
      <c r="A697" s="169"/>
      <c r="B697" s="169"/>
      <c r="C697" s="169"/>
      <c r="D697" s="169"/>
      <c r="E697" s="169"/>
      <c r="F697" s="169"/>
      <c r="G697" s="169"/>
      <c r="H697" s="169"/>
      <c r="I697" s="169"/>
      <c r="J697" s="169"/>
      <c r="K697" s="169"/>
      <c r="L697" s="169"/>
      <c r="M697" s="169"/>
      <c r="N697" s="169"/>
      <c r="O697" s="169"/>
      <c r="P697" s="169"/>
      <c r="Q697" s="169"/>
      <c r="R697" s="169"/>
      <c r="S697" s="169"/>
      <c r="T697" s="169"/>
      <c r="U697" s="169"/>
      <c r="V697" s="169"/>
      <c r="W697" s="169"/>
      <c r="X697" s="169"/>
      <c r="Y697" s="169"/>
      <c r="Z697" s="169"/>
      <c r="AA697" s="169"/>
      <c r="AB697" s="169"/>
      <c r="AC697" s="169"/>
      <c r="AD697" s="169"/>
      <c r="AE697" s="169"/>
      <c r="AF697" s="169"/>
      <c r="AG697" s="169"/>
      <c r="AH697" s="169"/>
      <c r="AI697" s="169"/>
      <c r="AJ697" s="169"/>
      <c r="AK697" s="169"/>
      <c r="AL697" s="169"/>
      <c r="AM697" s="169"/>
      <c r="AN697" s="169"/>
      <c r="AO697" s="169"/>
      <c r="AP697" s="169"/>
      <c r="AQ697" s="169"/>
      <c r="AR697" s="169"/>
      <c r="AS697" s="169"/>
      <c r="AT697" s="169"/>
      <c r="AU697" s="169"/>
      <c r="AV697" s="169"/>
      <c r="AW697" s="169"/>
      <c r="AX697" s="169"/>
      <c r="AY697" s="169"/>
      <c r="AZ697" s="169"/>
      <c r="BA697" s="169"/>
      <c r="BB697" s="169"/>
      <c r="BC697" s="169"/>
    </row>
    <row r="698" spans="1:55" ht="14.25" customHeight="1">
      <c r="A698" s="169"/>
      <c r="B698" s="169"/>
      <c r="C698" s="169"/>
      <c r="D698" s="169"/>
      <c r="E698" s="169"/>
      <c r="F698" s="169"/>
      <c r="G698" s="169"/>
      <c r="H698" s="169"/>
      <c r="I698" s="169"/>
      <c r="J698" s="169"/>
      <c r="K698" s="169"/>
      <c r="L698" s="169"/>
      <c r="M698" s="169"/>
      <c r="N698" s="169"/>
      <c r="O698" s="169"/>
      <c r="P698" s="169"/>
      <c r="Q698" s="169"/>
      <c r="R698" s="169"/>
      <c r="S698" s="169"/>
      <c r="T698" s="169"/>
      <c r="U698" s="169"/>
      <c r="V698" s="169"/>
      <c r="W698" s="169"/>
      <c r="X698" s="169"/>
      <c r="Y698" s="169"/>
      <c r="Z698" s="169"/>
      <c r="AA698" s="169"/>
      <c r="AB698" s="169"/>
      <c r="AC698" s="169"/>
      <c r="AD698" s="169"/>
      <c r="AE698" s="169"/>
      <c r="AF698" s="169"/>
      <c r="AG698" s="169"/>
      <c r="AH698" s="169"/>
      <c r="AI698" s="169"/>
      <c r="AJ698" s="169"/>
      <c r="AK698" s="169"/>
      <c r="AL698" s="169"/>
      <c r="AM698" s="169"/>
      <c r="AN698" s="169"/>
      <c r="AO698" s="169"/>
      <c r="AP698" s="169"/>
      <c r="AQ698" s="169"/>
      <c r="AR698" s="169"/>
      <c r="AS698" s="169"/>
      <c r="AT698" s="169"/>
      <c r="AU698" s="169"/>
      <c r="AV698" s="169"/>
      <c r="AW698" s="169"/>
      <c r="AX698" s="169"/>
      <c r="AY698" s="169"/>
      <c r="AZ698" s="169"/>
      <c r="BA698" s="169"/>
      <c r="BB698" s="169"/>
      <c r="BC698" s="169"/>
    </row>
    <row r="699" spans="1:55" ht="14.25" customHeight="1">
      <c r="A699" s="169"/>
      <c r="B699" s="169"/>
      <c r="C699" s="169"/>
      <c r="D699" s="169"/>
      <c r="E699" s="169"/>
      <c r="F699" s="169"/>
      <c r="G699" s="169"/>
      <c r="H699" s="169"/>
      <c r="I699" s="169"/>
      <c r="J699" s="169"/>
      <c r="K699" s="169"/>
      <c r="L699" s="169"/>
      <c r="M699" s="169"/>
      <c r="N699" s="169"/>
      <c r="O699" s="169"/>
      <c r="P699" s="169"/>
      <c r="Q699" s="169"/>
      <c r="R699" s="169"/>
      <c r="S699" s="169"/>
      <c r="T699" s="169"/>
      <c r="U699" s="169"/>
      <c r="V699" s="169"/>
      <c r="W699" s="169"/>
      <c r="X699" s="169"/>
      <c r="Y699" s="169"/>
      <c r="Z699" s="169"/>
      <c r="AA699" s="169"/>
      <c r="AB699" s="169"/>
      <c r="AC699" s="169"/>
      <c r="AD699" s="169"/>
      <c r="AE699" s="169"/>
      <c r="AF699" s="169"/>
      <c r="AG699" s="169"/>
      <c r="AH699" s="169"/>
      <c r="AI699" s="169"/>
      <c r="AJ699" s="169"/>
      <c r="AK699" s="169"/>
      <c r="AL699" s="169"/>
      <c r="AM699" s="169"/>
      <c r="AN699" s="169"/>
      <c r="AO699" s="169"/>
      <c r="AP699" s="169"/>
      <c r="AQ699" s="169"/>
      <c r="AR699" s="169"/>
      <c r="AS699" s="169"/>
      <c r="AT699" s="169"/>
      <c r="AU699" s="169"/>
      <c r="AV699" s="169"/>
      <c r="AW699" s="169"/>
      <c r="AX699" s="169"/>
      <c r="AY699" s="169"/>
      <c r="AZ699" s="169"/>
      <c r="BA699" s="169"/>
      <c r="BB699" s="169"/>
      <c r="BC699" s="169"/>
    </row>
    <row r="700" spans="1:55" ht="14.25" customHeight="1">
      <c r="A700" s="169"/>
      <c r="B700" s="169"/>
      <c r="C700" s="169"/>
      <c r="D700" s="169"/>
      <c r="E700" s="169"/>
      <c r="F700" s="169"/>
      <c r="G700" s="169"/>
      <c r="H700" s="169"/>
      <c r="I700" s="169"/>
      <c r="J700" s="169"/>
      <c r="K700" s="169"/>
      <c r="L700" s="169"/>
      <c r="M700" s="169"/>
      <c r="N700" s="169"/>
      <c r="O700" s="169"/>
      <c r="P700" s="169"/>
      <c r="Q700" s="169"/>
      <c r="R700" s="169"/>
      <c r="S700" s="169"/>
      <c r="T700" s="169"/>
      <c r="U700" s="169"/>
      <c r="V700" s="169"/>
      <c r="W700" s="169"/>
      <c r="X700" s="169"/>
      <c r="Y700" s="169"/>
      <c r="Z700" s="169"/>
      <c r="AA700" s="169"/>
      <c r="AB700" s="169"/>
      <c r="AC700" s="169"/>
      <c r="AD700" s="169"/>
      <c r="AE700" s="169"/>
      <c r="AF700" s="169"/>
      <c r="AG700" s="169"/>
      <c r="AH700" s="169"/>
      <c r="AI700" s="169"/>
      <c r="AJ700" s="169"/>
      <c r="AK700" s="169"/>
      <c r="AL700" s="169"/>
      <c r="AM700" s="169"/>
      <c r="AN700" s="169"/>
      <c r="AO700" s="169"/>
      <c r="AP700" s="169"/>
      <c r="AQ700" s="169"/>
      <c r="AR700" s="169"/>
      <c r="AS700" s="169"/>
      <c r="AT700" s="169"/>
      <c r="AU700" s="169"/>
      <c r="AV700" s="169"/>
      <c r="AW700" s="169"/>
      <c r="AX700" s="169"/>
      <c r="AY700" s="169"/>
      <c r="AZ700" s="169"/>
      <c r="BA700" s="169"/>
      <c r="BB700" s="169"/>
      <c r="BC700" s="169"/>
    </row>
    <row r="701" spans="1:55" ht="14.25" customHeight="1">
      <c r="A701" s="169"/>
      <c r="B701" s="169"/>
      <c r="C701" s="169"/>
      <c r="D701" s="169"/>
      <c r="E701" s="169"/>
      <c r="F701" s="169"/>
      <c r="G701" s="169"/>
      <c r="H701" s="169"/>
      <c r="I701" s="169"/>
      <c r="J701" s="169"/>
      <c r="K701" s="169"/>
      <c r="L701" s="169"/>
      <c r="M701" s="169"/>
      <c r="N701" s="169"/>
      <c r="O701" s="169"/>
      <c r="P701" s="169"/>
      <c r="Q701" s="169"/>
      <c r="R701" s="169"/>
      <c r="S701" s="169"/>
      <c r="T701" s="169"/>
      <c r="U701" s="169"/>
      <c r="V701" s="169"/>
      <c r="W701" s="169"/>
      <c r="X701" s="169"/>
      <c r="Y701" s="169"/>
      <c r="Z701" s="169"/>
      <c r="AA701" s="169"/>
      <c r="AB701" s="169"/>
      <c r="AC701" s="169"/>
      <c r="AD701" s="169"/>
      <c r="AE701" s="169"/>
      <c r="AF701" s="169"/>
      <c r="AG701" s="169"/>
      <c r="AH701" s="169"/>
      <c r="AI701" s="169"/>
      <c r="AJ701" s="169"/>
      <c r="AK701" s="169"/>
      <c r="AL701" s="169"/>
      <c r="AM701" s="169"/>
      <c r="AN701" s="169"/>
      <c r="AO701" s="169"/>
      <c r="AP701" s="169"/>
      <c r="AQ701" s="169"/>
      <c r="AR701" s="169"/>
      <c r="AS701" s="169"/>
      <c r="AT701" s="169"/>
      <c r="AU701" s="169"/>
      <c r="AV701" s="169"/>
      <c r="AW701" s="169"/>
      <c r="AX701" s="169"/>
      <c r="AY701" s="169"/>
      <c r="AZ701" s="169"/>
      <c r="BA701" s="169"/>
      <c r="BB701" s="169"/>
      <c r="BC701" s="169"/>
    </row>
    <row r="702" spans="1:55" ht="14.25" customHeight="1">
      <c r="A702" s="169"/>
      <c r="B702" s="169"/>
      <c r="C702" s="169"/>
      <c r="D702" s="169"/>
      <c r="E702" s="169"/>
      <c r="F702" s="169"/>
      <c r="G702" s="169"/>
      <c r="H702" s="169"/>
      <c r="I702" s="169"/>
      <c r="J702" s="169"/>
      <c r="K702" s="169"/>
      <c r="L702" s="169"/>
      <c r="M702" s="169"/>
      <c r="N702" s="169"/>
      <c r="O702" s="169"/>
      <c r="P702" s="169"/>
      <c r="Q702" s="169"/>
      <c r="R702" s="169"/>
      <c r="S702" s="169"/>
      <c r="T702" s="169"/>
      <c r="U702" s="169"/>
      <c r="V702" s="169"/>
      <c r="W702" s="169"/>
      <c r="X702" s="169"/>
      <c r="Y702" s="169"/>
      <c r="Z702" s="169"/>
      <c r="AA702" s="169"/>
      <c r="AB702" s="169"/>
      <c r="AC702" s="169"/>
      <c r="AD702" s="169"/>
      <c r="AE702" s="169"/>
      <c r="AF702" s="169"/>
      <c r="AG702" s="169"/>
      <c r="AH702" s="169"/>
      <c r="AI702" s="169"/>
      <c r="AJ702" s="169"/>
      <c r="AK702" s="169"/>
      <c r="AL702" s="169"/>
      <c r="AM702" s="169"/>
      <c r="AN702" s="169"/>
      <c r="AO702" s="169"/>
      <c r="AP702" s="169"/>
      <c r="AQ702" s="169"/>
      <c r="AR702" s="169"/>
      <c r="AS702" s="169"/>
      <c r="AT702" s="169"/>
      <c r="AU702" s="169"/>
      <c r="AV702" s="169"/>
      <c r="AW702" s="169"/>
      <c r="AX702" s="169"/>
      <c r="AY702" s="169"/>
      <c r="AZ702" s="169"/>
      <c r="BA702" s="169"/>
      <c r="BB702" s="169"/>
      <c r="BC702" s="169"/>
    </row>
    <row r="703" spans="1:55" ht="14.25" customHeight="1">
      <c r="A703" s="169"/>
      <c r="B703" s="169"/>
      <c r="C703" s="169"/>
      <c r="D703" s="169"/>
      <c r="E703" s="169"/>
      <c r="F703" s="169"/>
      <c r="G703" s="169"/>
      <c r="H703" s="169"/>
      <c r="I703" s="169"/>
      <c r="J703" s="169"/>
      <c r="K703" s="169"/>
      <c r="L703" s="169"/>
      <c r="M703" s="169"/>
      <c r="N703" s="169"/>
      <c r="O703" s="169"/>
      <c r="P703" s="169"/>
      <c r="Q703" s="169"/>
      <c r="R703" s="169"/>
      <c r="S703" s="169"/>
      <c r="T703" s="169"/>
      <c r="U703" s="169"/>
      <c r="V703" s="169"/>
      <c r="W703" s="169"/>
      <c r="X703" s="169"/>
      <c r="Y703" s="169"/>
      <c r="Z703" s="169"/>
      <c r="AA703" s="169"/>
      <c r="AB703" s="169"/>
      <c r="AC703" s="169"/>
      <c r="AD703" s="169"/>
      <c r="AE703" s="169"/>
      <c r="AF703" s="169"/>
      <c r="AG703" s="169"/>
      <c r="AH703" s="169"/>
      <c r="AI703" s="169"/>
      <c r="AJ703" s="169"/>
      <c r="AK703" s="169"/>
      <c r="AL703" s="169"/>
      <c r="AM703" s="169"/>
      <c r="AN703" s="169"/>
      <c r="AO703" s="169"/>
      <c r="AP703" s="169"/>
      <c r="AQ703" s="169"/>
      <c r="AR703" s="169"/>
      <c r="AS703" s="169"/>
      <c r="AT703" s="169"/>
      <c r="AU703" s="169"/>
      <c r="AV703" s="169"/>
      <c r="AW703" s="169"/>
      <c r="AX703" s="169"/>
      <c r="AY703" s="169"/>
      <c r="AZ703" s="169"/>
      <c r="BA703" s="169"/>
      <c r="BB703" s="169"/>
      <c r="BC703" s="169"/>
    </row>
    <row r="704" spans="1:55" ht="14.25" customHeight="1">
      <c r="A704" s="169"/>
      <c r="B704" s="169"/>
      <c r="C704" s="169"/>
      <c r="D704" s="169"/>
      <c r="E704" s="169"/>
      <c r="F704" s="169"/>
      <c r="G704" s="169"/>
      <c r="H704" s="169"/>
      <c r="I704" s="169"/>
      <c r="J704" s="169"/>
      <c r="K704" s="169"/>
      <c r="L704" s="169"/>
      <c r="M704" s="169"/>
      <c r="N704" s="169"/>
      <c r="O704" s="169"/>
      <c r="P704" s="169"/>
      <c r="Q704" s="169"/>
      <c r="R704" s="169"/>
      <c r="S704" s="169"/>
      <c r="T704" s="169"/>
      <c r="U704" s="169"/>
      <c r="V704" s="169"/>
      <c r="W704" s="169"/>
      <c r="X704" s="169"/>
      <c r="Y704" s="169"/>
      <c r="Z704" s="169"/>
      <c r="AA704" s="169"/>
      <c r="AB704" s="169"/>
      <c r="AC704" s="169"/>
      <c r="AD704" s="169"/>
      <c r="AE704" s="169"/>
      <c r="AF704" s="169"/>
      <c r="AG704" s="169"/>
      <c r="AH704" s="169"/>
      <c r="AI704" s="169"/>
      <c r="AJ704" s="169"/>
      <c r="AK704" s="169"/>
      <c r="AL704" s="169"/>
      <c r="AM704" s="169"/>
      <c r="AN704" s="169"/>
      <c r="AO704" s="169"/>
      <c r="AP704" s="169"/>
      <c r="AQ704" s="169"/>
      <c r="AR704" s="169"/>
      <c r="AS704" s="169"/>
      <c r="AT704" s="169"/>
      <c r="AU704" s="169"/>
      <c r="AV704" s="169"/>
      <c r="AW704" s="169"/>
      <c r="AX704" s="169"/>
      <c r="AY704" s="169"/>
      <c r="AZ704" s="169"/>
      <c r="BA704" s="169"/>
      <c r="BB704" s="169"/>
      <c r="BC704" s="169"/>
    </row>
    <row r="705" spans="1:55" ht="14.25" customHeight="1">
      <c r="A705" s="169"/>
      <c r="B705" s="169"/>
      <c r="C705" s="169"/>
      <c r="D705" s="169"/>
      <c r="E705" s="169"/>
      <c r="F705" s="169"/>
      <c r="G705" s="169"/>
      <c r="H705" s="169"/>
      <c r="I705" s="169"/>
      <c r="J705" s="169"/>
      <c r="K705" s="169"/>
      <c r="L705" s="169"/>
      <c r="M705" s="169"/>
      <c r="N705" s="169"/>
      <c r="O705" s="169"/>
      <c r="P705" s="169"/>
      <c r="Q705" s="169"/>
      <c r="R705" s="169"/>
      <c r="S705" s="169"/>
      <c r="T705" s="169"/>
      <c r="U705" s="169"/>
      <c r="V705" s="169"/>
      <c r="W705" s="169"/>
      <c r="X705" s="169"/>
      <c r="Y705" s="169"/>
      <c r="Z705" s="169"/>
      <c r="AA705" s="169"/>
      <c r="AB705" s="169"/>
      <c r="AC705" s="169"/>
      <c r="AD705" s="169"/>
      <c r="AE705" s="169"/>
      <c r="AF705" s="169"/>
      <c r="AG705" s="169"/>
      <c r="AH705" s="169"/>
      <c r="AI705" s="169"/>
      <c r="AJ705" s="169"/>
      <c r="AK705" s="169"/>
      <c r="AL705" s="169"/>
      <c r="AM705" s="169"/>
      <c r="AN705" s="169"/>
      <c r="AO705" s="169"/>
      <c r="AP705" s="169"/>
      <c r="AQ705" s="169"/>
      <c r="AR705" s="169"/>
      <c r="AS705" s="169"/>
      <c r="AT705" s="169"/>
      <c r="AU705" s="169"/>
      <c r="AV705" s="169"/>
      <c r="AW705" s="169"/>
      <c r="AX705" s="169"/>
      <c r="AY705" s="169"/>
      <c r="AZ705" s="169"/>
      <c r="BA705" s="169"/>
      <c r="BB705" s="169"/>
      <c r="BC705" s="169"/>
    </row>
    <row r="706" spans="1:55" ht="14.25" customHeight="1">
      <c r="A706" s="169"/>
      <c r="B706" s="169"/>
      <c r="C706" s="169"/>
      <c r="D706" s="169"/>
      <c r="E706" s="169"/>
      <c r="F706" s="169"/>
      <c r="G706" s="169"/>
      <c r="H706" s="169"/>
      <c r="I706" s="169"/>
      <c r="J706" s="169"/>
      <c r="K706" s="169"/>
      <c r="L706" s="169"/>
      <c r="M706" s="169"/>
      <c r="N706" s="169"/>
      <c r="O706" s="169"/>
      <c r="P706" s="169"/>
      <c r="Q706" s="169"/>
      <c r="R706" s="169"/>
      <c r="S706" s="169"/>
      <c r="T706" s="169"/>
      <c r="U706" s="169"/>
      <c r="V706" s="169"/>
      <c r="W706" s="169"/>
      <c r="X706" s="169"/>
      <c r="Y706" s="169"/>
      <c r="Z706" s="169"/>
      <c r="AA706" s="169"/>
      <c r="AB706" s="169"/>
      <c r="AC706" s="169"/>
      <c r="AD706" s="169"/>
      <c r="AE706" s="169"/>
      <c r="AF706" s="169"/>
      <c r="AG706" s="169"/>
      <c r="AH706" s="169"/>
      <c r="AI706" s="169"/>
      <c r="AJ706" s="169"/>
      <c r="AK706" s="169"/>
      <c r="AL706" s="169"/>
      <c r="AM706" s="169"/>
      <c r="AN706" s="169"/>
      <c r="AO706" s="169"/>
      <c r="AP706" s="169"/>
      <c r="AQ706" s="169"/>
      <c r="AR706" s="169"/>
      <c r="AS706" s="169"/>
      <c r="AT706" s="169"/>
      <c r="AU706" s="169"/>
      <c r="AV706" s="169"/>
      <c r="AW706" s="169"/>
      <c r="AX706" s="169"/>
      <c r="AY706" s="169"/>
      <c r="AZ706" s="169"/>
      <c r="BA706" s="169"/>
      <c r="BB706" s="169"/>
      <c r="BC706" s="169"/>
    </row>
    <row r="707" spans="1:55" ht="14.25" customHeight="1">
      <c r="A707" s="169"/>
      <c r="B707" s="169"/>
      <c r="C707" s="169"/>
      <c r="D707" s="169"/>
      <c r="E707" s="169"/>
      <c r="F707" s="169"/>
      <c r="G707" s="169"/>
      <c r="H707" s="169"/>
      <c r="I707" s="169"/>
      <c r="J707" s="169"/>
      <c r="K707" s="169"/>
      <c r="L707" s="169"/>
      <c r="M707" s="169"/>
      <c r="N707" s="169"/>
      <c r="O707" s="169"/>
      <c r="P707" s="169"/>
      <c r="Q707" s="169"/>
      <c r="R707" s="169"/>
      <c r="S707" s="169"/>
      <c r="T707" s="169"/>
      <c r="U707" s="169"/>
      <c r="V707" s="169"/>
      <c r="W707" s="169"/>
      <c r="X707" s="169"/>
      <c r="Y707" s="169"/>
      <c r="Z707" s="169"/>
      <c r="AA707" s="169"/>
      <c r="AB707" s="169"/>
      <c r="AC707" s="169"/>
      <c r="AD707" s="169"/>
      <c r="AE707" s="169"/>
      <c r="AF707" s="169"/>
      <c r="AG707" s="169"/>
      <c r="AH707" s="169"/>
      <c r="AI707" s="169"/>
      <c r="AJ707" s="169"/>
      <c r="AK707" s="169"/>
      <c r="AL707" s="169"/>
      <c r="AM707" s="169"/>
      <c r="AN707" s="169"/>
      <c r="AO707" s="169"/>
      <c r="AP707" s="169"/>
      <c r="AQ707" s="169"/>
      <c r="AR707" s="169"/>
      <c r="AS707" s="169"/>
      <c r="AT707" s="169"/>
      <c r="AU707" s="169"/>
      <c r="AV707" s="169"/>
      <c r="AW707" s="169"/>
      <c r="AX707" s="169"/>
      <c r="AY707" s="169"/>
      <c r="AZ707" s="169"/>
      <c r="BA707" s="169"/>
      <c r="BB707" s="169"/>
      <c r="BC707" s="169"/>
    </row>
    <row r="708" spans="1:55" ht="14.25" customHeight="1">
      <c r="A708" s="169"/>
      <c r="B708" s="169"/>
      <c r="C708" s="169"/>
      <c r="D708" s="169"/>
      <c r="E708" s="169"/>
      <c r="F708" s="169"/>
      <c r="G708" s="169"/>
      <c r="H708" s="169"/>
      <c r="I708" s="169"/>
      <c r="J708" s="169"/>
      <c r="K708" s="169"/>
      <c r="L708" s="169"/>
      <c r="M708" s="169"/>
      <c r="N708" s="169"/>
      <c r="O708" s="169"/>
      <c r="P708" s="169"/>
      <c r="Q708" s="169"/>
      <c r="R708" s="169"/>
      <c r="S708" s="169"/>
      <c r="T708" s="169"/>
      <c r="U708" s="169"/>
      <c r="V708" s="169"/>
      <c r="W708" s="169"/>
      <c r="X708" s="169"/>
      <c r="Y708" s="169"/>
      <c r="Z708" s="169"/>
      <c r="AA708" s="169"/>
      <c r="AB708" s="169"/>
      <c r="AC708" s="169"/>
      <c r="AD708" s="169"/>
      <c r="AE708" s="169"/>
      <c r="AF708" s="169"/>
      <c r="AG708" s="169"/>
      <c r="AH708" s="169"/>
      <c r="AI708" s="169"/>
      <c r="AJ708" s="169"/>
      <c r="AK708" s="169"/>
      <c r="AL708" s="169"/>
      <c r="AM708" s="169"/>
      <c r="AN708" s="169"/>
      <c r="AO708" s="169"/>
      <c r="AP708" s="169"/>
      <c r="AQ708" s="169"/>
      <c r="AR708" s="169"/>
      <c r="AS708" s="169"/>
      <c r="AT708" s="169"/>
      <c r="AU708" s="169"/>
      <c r="AV708" s="169"/>
      <c r="AW708" s="169"/>
      <c r="AX708" s="169"/>
      <c r="AY708" s="169"/>
      <c r="AZ708" s="169"/>
      <c r="BA708" s="169"/>
      <c r="BB708" s="169"/>
      <c r="BC708" s="169"/>
    </row>
    <row r="709" spans="1:55" ht="14.25" customHeight="1">
      <c r="A709" s="169"/>
      <c r="B709" s="169"/>
      <c r="C709" s="169"/>
      <c r="D709" s="169"/>
      <c r="E709" s="169"/>
      <c r="F709" s="169"/>
      <c r="G709" s="169"/>
      <c r="H709" s="169"/>
      <c r="I709" s="169"/>
      <c r="J709" s="169"/>
      <c r="K709" s="169"/>
      <c r="L709" s="169"/>
      <c r="M709" s="169"/>
      <c r="N709" s="169"/>
      <c r="O709" s="169"/>
      <c r="P709" s="169"/>
      <c r="Q709" s="169"/>
      <c r="R709" s="169"/>
      <c r="S709" s="169"/>
      <c r="T709" s="169"/>
      <c r="U709" s="169"/>
      <c r="V709" s="169"/>
      <c r="W709" s="169"/>
      <c r="X709" s="169"/>
      <c r="Y709" s="169"/>
      <c r="Z709" s="169"/>
      <c r="AA709" s="169"/>
      <c r="AB709" s="169"/>
      <c r="AC709" s="169"/>
      <c r="AD709" s="169"/>
      <c r="AE709" s="169"/>
      <c r="AF709" s="169"/>
      <c r="AG709" s="169"/>
      <c r="AH709" s="169"/>
      <c r="AI709" s="169"/>
      <c r="AJ709" s="169"/>
      <c r="AK709" s="169"/>
      <c r="AL709" s="169"/>
      <c r="AM709" s="169"/>
      <c r="AN709" s="169"/>
      <c r="AO709" s="169"/>
      <c r="AP709" s="169"/>
      <c r="AQ709" s="169"/>
      <c r="AR709" s="169"/>
      <c r="AS709" s="169"/>
      <c r="AT709" s="169"/>
      <c r="AU709" s="169"/>
      <c r="AV709" s="169"/>
      <c r="AW709" s="169"/>
      <c r="AX709" s="169"/>
      <c r="AY709" s="169"/>
      <c r="AZ709" s="169"/>
      <c r="BA709" s="169"/>
      <c r="BB709" s="169"/>
      <c r="BC709" s="169"/>
    </row>
    <row r="710" spans="1:55" ht="14.25" customHeight="1">
      <c r="A710" s="169"/>
      <c r="B710" s="169"/>
      <c r="C710" s="169"/>
      <c r="D710" s="169"/>
      <c r="E710" s="169"/>
      <c r="F710" s="169"/>
      <c r="G710" s="169"/>
      <c r="H710" s="169"/>
      <c r="I710" s="169"/>
      <c r="J710" s="169"/>
      <c r="K710" s="169"/>
      <c r="L710" s="169"/>
      <c r="M710" s="169"/>
      <c r="N710" s="169"/>
      <c r="O710" s="169"/>
      <c r="P710" s="169"/>
      <c r="Q710" s="169"/>
      <c r="R710" s="169"/>
      <c r="S710" s="169"/>
      <c r="T710" s="169"/>
      <c r="U710" s="169"/>
      <c r="V710" s="169"/>
      <c r="W710" s="169"/>
      <c r="X710" s="169"/>
      <c r="Y710" s="169"/>
      <c r="Z710" s="169"/>
      <c r="AA710" s="169"/>
      <c r="AB710" s="169"/>
      <c r="AC710" s="169"/>
      <c r="AD710" s="169"/>
      <c r="AE710" s="169"/>
      <c r="AF710" s="169"/>
      <c r="AG710" s="169"/>
      <c r="AH710" s="169"/>
      <c r="AI710" s="169"/>
      <c r="AJ710" s="169"/>
      <c r="AK710" s="169"/>
      <c r="AL710" s="169"/>
      <c r="AM710" s="169"/>
      <c r="AN710" s="169"/>
      <c r="AO710" s="169"/>
      <c r="AP710" s="169"/>
      <c r="AQ710" s="169"/>
      <c r="AR710" s="169"/>
      <c r="AS710" s="169"/>
      <c r="AT710" s="169"/>
      <c r="AU710" s="169"/>
      <c r="AV710" s="169"/>
      <c r="AW710" s="169"/>
      <c r="AX710" s="169"/>
      <c r="AY710" s="169"/>
      <c r="AZ710" s="169"/>
      <c r="BA710" s="169"/>
      <c r="BB710" s="169"/>
      <c r="BC710" s="169"/>
    </row>
    <row r="711" spans="1:55" ht="14.25" customHeight="1">
      <c r="A711" s="169"/>
      <c r="B711" s="169"/>
      <c r="C711" s="169"/>
      <c r="D711" s="169"/>
      <c r="E711" s="169"/>
      <c r="F711" s="169"/>
      <c r="G711" s="169"/>
      <c r="H711" s="169"/>
      <c r="I711" s="169"/>
      <c r="J711" s="169"/>
      <c r="K711" s="169"/>
      <c r="L711" s="169"/>
      <c r="M711" s="169"/>
      <c r="N711" s="169"/>
      <c r="O711" s="169"/>
      <c r="P711" s="169"/>
      <c r="Q711" s="169"/>
      <c r="R711" s="169"/>
      <c r="S711" s="169"/>
      <c r="T711" s="169"/>
      <c r="U711" s="169"/>
      <c r="V711" s="169"/>
      <c r="W711" s="169"/>
      <c r="X711" s="169"/>
      <c r="Y711" s="169"/>
      <c r="Z711" s="169"/>
      <c r="AA711" s="169"/>
      <c r="AB711" s="169"/>
      <c r="AC711" s="169"/>
      <c r="AD711" s="169"/>
      <c r="AE711" s="169"/>
      <c r="AF711" s="169"/>
      <c r="AG711" s="169"/>
      <c r="AH711" s="169"/>
      <c r="AI711" s="169"/>
      <c r="AJ711" s="169"/>
      <c r="AK711" s="169"/>
      <c r="AL711" s="169"/>
      <c r="AM711" s="169"/>
      <c r="AN711" s="169"/>
      <c r="AO711" s="169"/>
      <c r="AP711" s="169"/>
      <c r="AQ711" s="169"/>
      <c r="AR711" s="169"/>
      <c r="AS711" s="169"/>
      <c r="AT711" s="169"/>
      <c r="AU711" s="169"/>
      <c r="AV711" s="169"/>
      <c r="AW711" s="169"/>
      <c r="AX711" s="169"/>
      <c r="AY711" s="169"/>
      <c r="AZ711" s="169"/>
      <c r="BA711" s="169"/>
      <c r="BB711" s="169"/>
      <c r="BC711" s="169"/>
    </row>
    <row r="712" spans="1:55" ht="14.25" customHeight="1">
      <c r="A712" s="169"/>
      <c r="B712" s="169"/>
      <c r="C712" s="169"/>
      <c r="D712" s="169"/>
      <c r="E712" s="169"/>
      <c r="F712" s="169"/>
      <c r="G712" s="169"/>
      <c r="H712" s="169"/>
      <c r="I712" s="169"/>
      <c r="J712" s="169"/>
      <c r="K712" s="169"/>
      <c r="L712" s="169"/>
      <c r="M712" s="169"/>
      <c r="N712" s="169"/>
      <c r="O712" s="169"/>
      <c r="P712" s="169"/>
      <c r="Q712" s="169"/>
      <c r="R712" s="169"/>
      <c r="S712" s="169"/>
      <c r="T712" s="169"/>
      <c r="U712" s="169"/>
      <c r="V712" s="169"/>
      <c r="W712" s="169"/>
      <c r="X712" s="169"/>
      <c r="Y712" s="169"/>
      <c r="Z712" s="169"/>
      <c r="AA712" s="169"/>
      <c r="AB712" s="169"/>
      <c r="AC712" s="169"/>
      <c r="AD712" s="169"/>
      <c r="AE712" s="169"/>
      <c r="AF712" s="169"/>
      <c r="AG712" s="169"/>
      <c r="AH712" s="169"/>
      <c r="AI712" s="169"/>
      <c r="AJ712" s="169"/>
      <c r="AK712" s="169"/>
      <c r="AL712" s="169"/>
      <c r="AM712" s="169"/>
      <c r="AN712" s="169"/>
      <c r="AO712" s="169"/>
      <c r="AP712" s="169"/>
      <c r="AQ712" s="169"/>
      <c r="AR712" s="169"/>
      <c r="AS712" s="169"/>
      <c r="AT712" s="169"/>
      <c r="AU712" s="169"/>
      <c r="AV712" s="169"/>
      <c r="AW712" s="169"/>
      <c r="AX712" s="169"/>
      <c r="AY712" s="169"/>
      <c r="AZ712" s="169"/>
      <c r="BA712" s="169"/>
      <c r="BB712" s="169"/>
      <c r="BC712" s="169"/>
    </row>
    <row r="713" spans="1:55" ht="14.25" customHeight="1">
      <c r="A713" s="169"/>
      <c r="B713" s="169"/>
      <c r="C713" s="169"/>
      <c r="D713" s="169"/>
      <c r="E713" s="169"/>
      <c r="F713" s="169"/>
      <c r="G713" s="169"/>
      <c r="H713" s="169"/>
      <c r="I713" s="169"/>
      <c r="J713" s="169"/>
      <c r="K713" s="169"/>
      <c r="L713" s="169"/>
      <c r="M713" s="169"/>
      <c r="N713" s="169"/>
      <c r="O713" s="169"/>
      <c r="P713" s="169"/>
      <c r="Q713" s="169"/>
      <c r="R713" s="169"/>
      <c r="S713" s="169"/>
      <c r="T713" s="169"/>
      <c r="U713" s="169"/>
      <c r="V713" s="169"/>
      <c r="W713" s="169"/>
      <c r="X713" s="169"/>
      <c r="Y713" s="169"/>
      <c r="Z713" s="169"/>
      <c r="AA713" s="169"/>
      <c r="AB713" s="169"/>
      <c r="AC713" s="169"/>
      <c r="AD713" s="169"/>
      <c r="AE713" s="169"/>
      <c r="AF713" s="169"/>
      <c r="AG713" s="169"/>
      <c r="AH713" s="169"/>
      <c r="AI713" s="169"/>
      <c r="AJ713" s="169"/>
      <c r="AK713" s="169"/>
      <c r="AL713" s="169"/>
      <c r="AM713" s="169"/>
      <c r="AN713" s="169"/>
      <c r="AO713" s="169"/>
      <c r="AP713" s="169"/>
      <c r="AQ713" s="169"/>
      <c r="AR713" s="169"/>
      <c r="AS713" s="169"/>
      <c r="AT713" s="169"/>
      <c r="AU713" s="169"/>
      <c r="AV713" s="169"/>
      <c r="AW713" s="169"/>
      <c r="AX713" s="169"/>
      <c r="AY713" s="169"/>
      <c r="AZ713" s="169"/>
      <c r="BA713" s="169"/>
      <c r="BB713" s="169"/>
      <c r="BC713" s="169"/>
    </row>
    <row r="714" spans="1:55" ht="14.25" customHeight="1">
      <c r="A714" s="169"/>
      <c r="B714" s="169"/>
      <c r="C714" s="169"/>
      <c r="D714" s="169"/>
      <c r="E714" s="169"/>
      <c r="F714" s="169"/>
      <c r="G714" s="169"/>
      <c r="H714" s="169"/>
      <c r="I714" s="169"/>
      <c r="J714" s="169"/>
      <c r="K714" s="169"/>
      <c r="L714" s="169"/>
      <c r="M714" s="169"/>
      <c r="N714" s="169"/>
      <c r="O714" s="169"/>
      <c r="P714" s="169"/>
      <c r="Q714" s="169"/>
      <c r="R714" s="169"/>
      <c r="S714" s="169"/>
      <c r="T714" s="169"/>
      <c r="U714" s="169"/>
      <c r="V714" s="169"/>
      <c r="W714" s="169"/>
      <c r="X714" s="169"/>
      <c r="Y714" s="169"/>
      <c r="Z714" s="169"/>
      <c r="AA714" s="169"/>
      <c r="AB714" s="169"/>
      <c r="AC714" s="169"/>
      <c r="AD714" s="169"/>
      <c r="AE714" s="169"/>
      <c r="AF714" s="169"/>
      <c r="AG714" s="169"/>
      <c r="AH714" s="169"/>
      <c r="AI714" s="169"/>
      <c r="AJ714" s="169"/>
      <c r="AK714" s="169"/>
      <c r="AL714" s="169"/>
      <c r="AM714" s="169"/>
      <c r="AN714" s="169"/>
      <c r="AO714" s="169"/>
      <c r="AP714" s="169"/>
      <c r="AQ714" s="169"/>
      <c r="AR714" s="169"/>
      <c r="AS714" s="169"/>
      <c r="AT714" s="169"/>
      <c r="AU714" s="169"/>
      <c r="AV714" s="169"/>
      <c r="AW714" s="169"/>
      <c r="AX714" s="169"/>
      <c r="AY714" s="169"/>
      <c r="AZ714" s="169"/>
      <c r="BA714" s="169"/>
      <c r="BB714" s="169"/>
      <c r="BC714" s="169"/>
    </row>
    <row r="715" spans="1:55" ht="14.25" customHeight="1">
      <c r="A715" s="169"/>
      <c r="B715" s="169"/>
      <c r="C715" s="169"/>
      <c r="D715" s="169"/>
      <c r="E715" s="169"/>
      <c r="F715" s="169"/>
      <c r="G715" s="169"/>
      <c r="H715" s="169"/>
      <c r="I715" s="169"/>
      <c r="J715" s="169"/>
      <c r="K715" s="169"/>
      <c r="L715" s="169"/>
      <c r="M715" s="169"/>
      <c r="N715" s="169"/>
      <c r="O715" s="169"/>
      <c r="P715" s="169"/>
      <c r="Q715" s="169"/>
      <c r="R715" s="169"/>
      <c r="S715" s="169"/>
      <c r="T715" s="169"/>
      <c r="U715" s="169"/>
      <c r="V715" s="169"/>
      <c r="W715" s="169"/>
      <c r="X715" s="169"/>
      <c r="Y715" s="169"/>
      <c r="Z715" s="169"/>
      <c r="AA715" s="169"/>
      <c r="AB715" s="169"/>
      <c r="AC715" s="169"/>
      <c r="AD715" s="169"/>
      <c r="AE715" s="169"/>
      <c r="AF715" s="169"/>
      <c r="AG715" s="169"/>
      <c r="AH715" s="169"/>
      <c r="AI715" s="169"/>
      <c r="AJ715" s="169"/>
      <c r="AK715" s="169"/>
      <c r="AL715" s="169"/>
      <c r="AM715" s="169"/>
      <c r="AN715" s="169"/>
      <c r="AO715" s="169"/>
      <c r="AP715" s="169"/>
      <c r="AQ715" s="169"/>
      <c r="AR715" s="169"/>
      <c r="AS715" s="169"/>
      <c r="AT715" s="169"/>
      <c r="AU715" s="169"/>
      <c r="AV715" s="169"/>
      <c r="AW715" s="169"/>
      <c r="AX715" s="169"/>
      <c r="AY715" s="169"/>
      <c r="AZ715" s="169"/>
      <c r="BA715" s="169"/>
      <c r="BB715" s="169"/>
      <c r="BC715" s="169"/>
    </row>
    <row r="716" spans="1:55" ht="14.25" customHeight="1">
      <c r="A716" s="169"/>
      <c r="B716" s="169"/>
      <c r="C716" s="169"/>
      <c r="D716" s="169"/>
      <c r="E716" s="169"/>
      <c r="F716" s="169"/>
      <c r="G716" s="169"/>
      <c r="H716" s="169"/>
      <c r="I716" s="169"/>
      <c r="J716" s="169"/>
      <c r="K716" s="169"/>
      <c r="L716" s="169"/>
      <c r="M716" s="169"/>
      <c r="N716" s="169"/>
      <c r="O716" s="169"/>
      <c r="P716" s="169"/>
      <c r="Q716" s="169"/>
      <c r="R716" s="169"/>
      <c r="S716" s="169"/>
      <c r="T716" s="169"/>
      <c r="U716" s="169"/>
      <c r="V716" s="169"/>
      <c r="W716" s="169"/>
      <c r="X716" s="169"/>
      <c r="Y716" s="169"/>
      <c r="Z716" s="169"/>
      <c r="AA716" s="169"/>
      <c r="AB716" s="169"/>
      <c r="AC716" s="169"/>
      <c r="AD716" s="169"/>
      <c r="AE716" s="169"/>
      <c r="AF716" s="169"/>
      <c r="AG716" s="169"/>
      <c r="AH716" s="169"/>
      <c r="AI716" s="169"/>
      <c r="AJ716" s="169"/>
      <c r="AK716" s="169"/>
      <c r="AL716" s="169"/>
      <c r="AM716" s="169"/>
      <c r="AN716" s="169"/>
      <c r="AO716" s="169"/>
      <c r="AP716" s="169"/>
      <c r="AQ716" s="169"/>
      <c r="AR716" s="169"/>
      <c r="AS716" s="169"/>
      <c r="AT716" s="169"/>
      <c r="AU716" s="169"/>
      <c r="AV716" s="169"/>
      <c r="AW716" s="169"/>
      <c r="AX716" s="169"/>
      <c r="AY716" s="169"/>
      <c r="AZ716" s="169"/>
      <c r="BA716" s="169"/>
      <c r="BB716" s="169"/>
      <c r="BC716" s="169"/>
    </row>
    <row r="717" spans="1:55" ht="14.25" customHeight="1">
      <c r="A717" s="169"/>
      <c r="B717" s="169"/>
      <c r="C717" s="169"/>
      <c r="D717" s="169"/>
      <c r="E717" s="169"/>
      <c r="F717" s="169"/>
      <c r="G717" s="169"/>
      <c r="H717" s="169"/>
      <c r="I717" s="169"/>
      <c r="J717" s="169"/>
      <c r="K717" s="169"/>
      <c r="L717" s="169"/>
      <c r="M717" s="169"/>
      <c r="N717" s="169"/>
      <c r="O717" s="169"/>
      <c r="P717" s="169"/>
      <c r="Q717" s="169"/>
      <c r="R717" s="169"/>
      <c r="S717" s="169"/>
      <c r="T717" s="169"/>
      <c r="U717" s="169"/>
      <c r="V717" s="169"/>
      <c r="W717" s="169"/>
      <c r="X717" s="169"/>
      <c r="Y717" s="169"/>
      <c r="Z717" s="169"/>
      <c r="AA717" s="169"/>
      <c r="AB717" s="169"/>
      <c r="AC717" s="169"/>
      <c r="AD717" s="169"/>
      <c r="AE717" s="169"/>
      <c r="AF717" s="169"/>
      <c r="AG717" s="169"/>
      <c r="AH717" s="169"/>
      <c r="AI717" s="169"/>
      <c r="AJ717" s="169"/>
      <c r="AK717" s="169"/>
      <c r="AL717" s="169"/>
      <c r="AM717" s="169"/>
      <c r="AN717" s="169"/>
      <c r="AO717" s="169"/>
      <c r="AP717" s="169"/>
      <c r="AQ717" s="169"/>
      <c r="AR717" s="169"/>
      <c r="AS717" s="169"/>
      <c r="AT717" s="169"/>
      <c r="AU717" s="169"/>
      <c r="AV717" s="169"/>
      <c r="AW717" s="169"/>
      <c r="AX717" s="169"/>
      <c r="AY717" s="169"/>
      <c r="AZ717" s="169"/>
      <c r="BA717" s="169"/>
      <c r="BB717" s="169"/>
      <c r="BC717" s="169"/>
    </row>
    <row r="718" spans="1:55" ht="14.25" customHeight="1">
      <c r="A718" s="169"/>
      <c r="B718" s="169"/>
      <c r="C718" s="169"/>
      <c r="D718" s="169"/>
      <c r="E718" s="169"/>
      <c r="F718" s="169"/>
      <c r="G718" s="169"/>
      <c r="H718" s="169"/>
      <c r="I718" s="169"/>
      <c r="J718" s="169"/>
      <c r="K718" s="169"/>
      <c r="L718" s="169"/>
      <c r="M718" s="169"/>
      <c r="N718" s="169"/>
      <c r="O718" s="169"/>
      <c r="P718" s="169"/>
      <c r="Q718" s="169"/>
      <c r="R718" s="169"/>
      <c r="S718" s="169"/>
      <c r="T718" s="169"/>
      <c r="U718" s="169"/>
      <c r="V718" s="169"/>
      <c r="W718" s="169"/>
      <c r="X718" s="169"/>
      <c r="Y718" s="169"/>
      <c r="Z718" s="169"/>
      <c r="AA718" s="169"/>
      <c r="AB718" s="169"/>
      <c r="AC718" s="169"/>
      <c r="AD718" s="169"/>
      <c r="AE718" s="169"/>
      <c r="AF718" s="169"/>
      <c r="AG718" s="169"/>
      <c r="AH718" s="169"/>
      <c r="AI718" s="169"/>
      <c r="AJ718" s="169"/>
      <c r="AK718" s="169"/>
      <c r="AL718" s="169"/>
      <c r="AM718" s="169"/>
      <c r="AN718" s="169"/>
      <c r="AO718" s="169"/>
      <c r="AP718" s="169"/>
      <c r="AQ718" s="169"/>
      <c r="AR718" s="169"/>
      <c r="AS718" s="169"/>
      <c r="AT718" s="169"/>
      <c r="AU718" s="169"/>
      <c r="AV718" s="169"/>
      <c r="AW718" s="169"/>
      <c r="AX718" s="169"/>
      <c r="AY718" s="169"/>
      <c r="AZ718" s="169"/>
      <c r="BA718" s="169"/>
      <c r="BB718" s="169"/>
      <c r="BC718" s="169"/>
    </row>
    <row r="719" spans="1:55" ht="14.25" customHeight="1">
      <c r="A719" s="169"/>
      <c r="B719" s="169"/>
      <c r="C719" s="169"/>
      <c r="D719" s="169"/>
      <c r="E719" s="169"/>
      <c r="F719" s="169"/>
      <c r="G719" s="169"/>
      <c r="H719" s="169"/>
      <c r="I719" s="169"/>
      <c r="J719" s="169"/>
      <c r="K719" s="169"/>
      <c r="L719" s="169"/>
      <c r="M719" s="169"/>
      <c r="N719" s="169"/>
      <c r="O719" s="169"/>
      <c r="P719" s="169"/>
      <c r="Q719" s="169"/>
      <c r="R719" s="169"/>
      <c r="S719" s="169"/>
      <c r="T719" s="169"/>
      <c r="U719" s="169"/>
      <c r="V719" s="169"/>
      <c r="W719" s="169"/>
      <c r="X719" s="169"/>
      <c r="Y719" s="169"/>
      <c r="Z719" s="169"/>
      <c r="AA719" s="169"/>
      <c r="AB719" s="169"/>
      <c r="AC719" s="169"/>
      <c r="AD719" s="169"/>
      <c r="AE719" s="169"/>
      <c r="AF719" s="169"/>
      <c r="AG719" s="169"/>
      <c r="AH719" s="169"/>
      <c r="AI719" s="169"/>
      <c r="AJ719" s="169"/>
      <c r="AK719" s="169"/>
      <c r="AL719" s="169"/>
      <c r="AM719" s="169"/>
      <c r="AN719" s="169"/>
      <c r="AO719" s="169"/>
      <c r="AP719" s="169"/>
      <c r="AQ719" s="169"/>
      <c r="AR719" s="169"/>
      <c r="AS719" s="169"/>
      <c r="AT719" s="169"/>
      <c r="AU719" s="169"/>
      <c r="AV719" s="169"/>
      <c r="AW719" s="169"/>
      <c r="AX719" s="169"/>
      <c r="AY719" s="169"/>
      <c r="AZ719" s="169"/>
      <c r="BA719" s="169"/>
      <c r="BB719" s="169"/>
      <c r="BC719" s="169"/>
    </row>
    <row r="720" spans="1:55" ht="14.25" customHeight="1">
      <c r="A720" s="169"/>
      <c r="B720" s="169"/>
      <c r="C720" s="169"/>
      <c r="D720" s="169"/>
      <c r="E720" s="169"/>
      <c r="F720" s="169"/>
      <c r="G720" s="169"/>
      <c r="H720" s="169"/>
      <c r="I720" s="169"/>
      <c r="J720" s="169"/>
      <c r="K720" s="169"/>
      <c r="L720" s="169"/>
      <c r="M720" s="169"/>
      <c r="N720" s="169"/>
      <c r="O720" s="169"/>
      <c r="P720" s="169"/>
      <c r="Q720" s="169"/>
      <c r="R720" s="169"/>
      <c r="S720" s="169"/>
      <c r="T720" s="169"/>
      <c r="U720" s="169"/>
      <c r="V720" s="169"/>
      <c r="W720" s="169"/>
      <c r="X720" s="169"/>
      <c r="Y720" s="169"/>
      <c r="Z720" s="169"/>
      <c r="AA720" s="169"/>
      <c r="AB720" s="169"/>
      <c r="AC720" s="169"/>
      <c r="AD720" s="169"/>
      <c r="AE720" s="169"/>
      <c r="AF720" s="169"/>
      <c r="AG720" s="169"/>
      <c r="AH720" s="169"/>
      <c r="AI720" s="169"/>
      <c r="AJ720" s="169"/>
      <c r="AK720" s="169"/>
      <c r="AL720" s="169"/>
      <c r="AM720" s="169"/>
      <c r="AN720" s="169"/>
      <c r="AO720" s="169"/>
      <c r="AP720" s="169"/>
      <c r="AQ720" s="169"/>
      <c r="AR720" s="169"/>
      <c r="AS720" s="169"/>
      <c r="AT720" s="169"/>
      <c r="AU720" s="169"/>
      <c r="AV720" s="169"/>
      <c r="AW720" s="169"/>
      <c r="AX720" s="169"/>
      <c r="AY720" s="169"/>
      <c r="AZ720" s="169"/>
      <c r="BA720" s="169"/>
      <c r="BB720" s="169"/>
      <c r="BC720" s="169"/>
    </row>
    <row r="721" spans="1:55" ht="14.25" customHeight="1">
      <c r="A721" s="169"/>
      <c r="B721" s="169"/>
      <c r="C721" s="169"/>
      <c r="D721" s="169"/>
      <c r="E721" s="169"/>
      <c r="F721" s="169"/>
      <c r="G721" s="169"/>
      <c r="H721" s="169"/>
      <c r="I721" s="169"/>
      <c r="J721" s="169"/>
      <c r="K721" s="169"/>
      <c r="L721" s="169"/>
      <c r="M721" s="169"/>
      <c r="N721" s="169"/>
      <c r="O721" s="169"/>
      <c r="P721" s="169"/>
      <c r="Q721" s="169"/>
      <c r="R721" s="169"/>
      <c r="S721" s="169"/>
      <c r="T721" s="169"/>
      <c r="U721" s="169"/>
      <c r="V721" s="169"/>
      <c r="W721" s="169"/>
      <c r="X721" s="169"/>
      <c r="Y721" s="169"/>
      <c r="Z721" s="169"/>
      <c r="AA721" s="169"/>
      <c r="AB721" s="169"/>
      <c r="AC721" s="169"/>
      <c r="AD721" s="169"/>
      <c r="AE721" s="169"/>
      <c r="AF721" s="169"/>
      <c r="AG721" s="169"/>
      <c r="AH721" s="169"/>
      <c r="AI721" s="169"/>
      <c r="AJ721" s="169"/>
      <c r="AK721" s="169"/>
      <c r="AL721" s="169"/>
      <c r="AM721" s="169"/>
      <c r="AN721" s="169"/>
      <c r="AO721" s="169"/>
      <c r="AP721" s="169"/>
      <c r="AQ721" s="169"/>
      <c r="AR721" s="169"/>
      <c r="AS721" s="169"/>
      <c r="AT721" s="169"/>
      <c r="AU721" s="169"/>
      <c r="AV721" s="169"/>
      <c r="AW721" s="169"/>
      <c r="AX721" s="169"/>
      <c r="AY721" s="169"/>
      <c r="AZ721" s="169"/>
      <c r="BA721" s="169"/>
      <c r="BB721" s="169"/>
      <c r="BC721" s="169"/>
    </row>
    <row r="722" spans="1:55" ht="14.25" customHeight="1">
      <c r="A722" s="169"/>
      <c r="B722" s="169"/>
      <c r="C722" s="169"/>
      <c r="D722" s="169"/>
      <c r="E722" s="169"/>
      <c r="F722" s="169"/>
      <c r="G722" s="169"/>
      <c r="H722" s="169"/>
      <c r="I722" s="169"/>
      <c r="J722" s="169"/>
      <c r="K722" s="169"/>
      <c r="L722" s="169"/>
      <c r="M722" s="169"/>
      <c r="N722" s="169"/>
      <c r="O722" s="169"/>
      <c r="P722" s="169"/>
      <c r="Q722" s="169"/>
      <c r="R722" s="169"/>
      <c r="S722" s="169"/>
      <c r="T722" s="169"/>
      <c r="U722" s="169"/>
      <c r="V722" s="169"/>
      <c r="W722" s="169"/>
      <c r="X722" s="169"/>
      <c r="Y722" s="169"/>
      <c r="Z722" s="169"/>
      <c r="AA722" s="169"/>
      <c r="AB722" s="169"/>
      <c r="AC722" s="169"/>
      <c r="AD722" s="169"/>
      <c r="AE722" s="169"/>
      <c r="AF722" s="169"/>
      <c r="AG722" s="169"/>
      <c r="AH722" s="169"/>
      <c r="AI722" s="169"/>
      <c r="AJ722" s="169"/>
      <c r="AK722" s="169"/>
      <c r="AL722" s="169"/>
      <c r="AM722" s="169"/>
      <c r="AN722" s="169"/>
      <c r="AO722" s="169"/>
      <c r="AP722" s="169"/>
      <c r="AQ722" s="169"/>
      <c r="AR722" s="169"/>
      <c r="AS722" s="169"/>
      <c r="AT722" s="169"/>
      <c r="AU722" s="169"/>
      <c r="AV722" s="169"/>
      <c r="AW722" s="169"/>
      <c r="AX722" s="169"/>
      <c r="AY722" s="169"/>
      <c r="AZ722" s="169"/>
      <c r="BA722" s="169"/>
      <c r="BB722" s="169"/>
      <c r="BC722" s="169"/>
    </row>
    <row r="723" spans="1:55" ht="14.25" customHeight="1">
      <c r="A723" s="169"/>
      <c r="B723" s="169"/>
      <c r="C723" s="169"/>
      <c r="D723" s="169"/>
      <c r="E723" s="169"/>
      <c r="F723" s="169"/>
      <c r="G723" s="169"/>
      <c r="H723" s="169"/>
      <c r="I723" s="169"/>
      <c r="J723" s="169"/>
      <c r="K723" s="169"/>
      <c r="L723" s="169"/>
      <c r="M723" s="169"/>
      <c r="N723" s="169"/>
      <c r="O723" s="169"/>
      <c r="P723" s="169"/>
      <c r="Q723" s="169"/>
      <c r="R723" s="169"/>
      <c r="S723" s="169"/>
      <c r="T723" s="169"/>
      <c r="U723" s="169"/>
      <c r="V723" s="169"/>
      <c r="W723" s="169"/>
      <c r="X723" s="169"/>
      <c r="Y723" s="169"/>
      <c r="Z723" s="169"/>
      <c r="AA723" s="169"/>
      <c r="AB723" s="169"/>
      <c r="AC723" s="169"/>
      <c r="AD723" s="169"/>
      <c r="AE723" s="169"/>
      <c r="AF723" s="169"/>
      <c r="AG723" s="169"/>
      <c r="AH723" s="169"/>
      <c r="AI723" s="169"/>
      <c r="AJ723" s="169"/>
      <c r="AK723" s="169"/>
      <c r="AL723" s="169"/>
      <c r="AM723" s="169"/>
      <c r="AN723" s="169"/>
      <c r="AO723" s="169"/>
      <c r="AP723" s="169"/>
      <c r="AQ723" s="169"/>
      <c r="AR723" s="169"/>
      <c r="AS723" s="169"/>
      <c r="AT723" s="169"/>
      <c r="AU723" s="169"/>
      <c r="AV723" s="169"/>
      <c r="AW723" s="169"/>
      <c r="AX723" s="169"/>
      <c r="AY723" s="169"/>
      <c r="AZ723" s="169"/>
      <c r="BA723" s="169"/>
      <c r="BB723" s="169"/>
      <c r="BC723" s="169"/>
    </row>
    <row r="724" spans="1:55" ht="14.25" customHeight="1">
      <c r="A724" s="169"/>
      <c r="B724" s="169"/>
      <c r="C724" s="169"/>
      <c r="D724" s="169"/>
      <c r="E724" s="169"/>
      <c r="F724" s="169"/>
      <c r="G724" s="169"/>
      <c r="H724" s="169"/>
      <c r="I724" s="169"/>
      <c r="J724" s="169"/>
      <c r="K724" s="169"/>
      <c r="L724" s="169"/>
      <c r="M724" s="169"/>
      <c r="N724" s="169"/>
      <c r="O724" s="169"/>
      <c r="P724" s="169"/>
      <c r="Q724" s="169"/>
      <c r="R724" s="169"/>
      <c r="S724" s="169"/>
      <c r="T724" s="169"/>
      <c r="U724" s="169"/>
      <c r="V724" s="169"/>
      <c r="W724" s="169"/>
      <c r="X724" s="169"/>
      <c r="Y724" s="169"/>
      <c r="Z724" s="169"/>
      <c r="AA724" s="169"/>
      <c r="AB724" s="169"/>
      <c r="AC724" s="169"/>
      <c r="AD724" s="169"/>
      <c r="AE724" s="169"/>
      <c r="AF724" s="169"/>
      <c r="AG724" s="169"/>
      <c r="AH724" s="169"/>
      <c r="AI724" s="169"/>
      <c r="AJ724" s="169"/>
      <c r="AK724" s="169"/>
      <c r="AL724" s="169"/>
      <c r="AM724" s="169"/>
      <c r="AN724" s="169"/>
      <c r="AO724" s="169"/>
      <c r="AP724" s="169"/>
      <c r="AQ724" s="169"/>
      <c r="AR724" s="169"/>
      <c r="AS724" s="169"/>
      <c r="AT724" s="169"/>
      <c r="AU724" s="169"/>
      <c r="AV724" s="169"/>
      <c r="AW724" s="169"/>
      <c r="AX724" s="169"/>
      <c r="AY724" s="169"/>
      <c r="AZ724" s="169"/>
      <c r="BA724" s="169"/>
      <c r="BB724" s="169"/>
      <c r="BC724" s="169"/>
    </row>
    <row r="725" spans="1:55" ht="14.25" customHeight="1">
      <c r="A725" s="169"/>
      <c r="B725" s="169"/>
      <c r="C725" s="169"/>
      <c r="D725" s="169"/>
      <c r="E725" s="169"/>
      <c r="F725" s="169"/>
      <c r="G725" s="169"/>
      <c r="H725" s="169"/>
      <c r="I725" s="169"/>
      <c r="J725" s="169"/>
      <c r="K725" s="169"/>
      <c r="L725" s="169"/>
      <c r="M725" s="169"/>
      <c r="N725" s="169"/>
      <c r="O725" s="169"/>
      <c r="P725" s="169"/>
      <c r="Q725" s="169"/>
      <c r="R725" s="169"/>
      <c r="S725" s="169"/>
      <c r="T725" s="169"/>
      <c r="U725" s="169"/>
      <c r="V725" s="169"/>
      <c r="W725" s="169"/>
      <c r="X725" s="169"/>
      <c r="Y725" s="169"/>
      <c r="Z725" s="169"/>
      <c r="AA725" s="169"/>
      <c r="AB725" s="169"/>
      <c r="AC725" s="169"/>
      <c r="AD725" s="169"/>
      <c r="AE725" s="169"/>
      <c r="AF725" s="169"/>
      <c r="AG725" s="169"/>
      <c r="AH725" s="169"/>
      <c r="AI725" s="169"/>
      <c r="AJ725" s="169"/>
      <c r="AK725" s="169"/>
      <c r="AL725" s="169"/>
      <c r="AM725" s="169"/>
      <c r="AN725" s="169"/>
      <c r="AO725" s="169"/>
      <c r="AP725" s="169"/>
      <c r="AQ725" s="169"/>
      <c r="AR725" s="169"/>
      <c r="AS725" s="169"/>
      <c r="AT725" s="169"/>
      <c r="AU725" s="169"/>
      <c r="AV725" s="169"/>
      <c r="AW725" s="169"/>
      <c r="AX725" s="169"/>
      <c r="AY725" s="169"/>
      <c r="AZ725" s="169"/>
      <c r="BA725" s="169"/>
      <c r="BB725" s="169"/>
      <c r="BC725" s="169"/>
    </row>
    <row r="726" spans="1:55" ht="14.25" customHeight="1">
      <c r="A726" s="169"/>
      <c r="B726" s="169"/>
      <c r="C726" s="169"/>
      <c r="D726" s="169"/>
      <c r="E726" s="169"/>
      <c r="F726" s="169"/>
      <c r="G726" s="169"/>
      <c r="H726" s="169"/>
      <c r="I726" s="169"/>
      <c r="J726" s="169"/>
      <c r="K726" s="169"/>
      <c r="L726" s="169"/>
      <c r="M726" s="169"/>
      <c r="N726" s="169"/>
      <c r="O726" s="169"/>
      <c r="P726" s="169"/>
      <c r="Q726" s="169"/>
      <c r="R726" s="169"/>
      <c r="S726" s="169"/>
      <c r="T726" s="169"/>
      <c r="U726" s="169"/>
      <c r="V726" s="169"/>
      <c r="W726" s="169"/>
      <c r="X726" s="169"/>
      <c r="Y726" s="169"/>
      <c r="Z726" s="169"/>
      <c r="AA726" s="169"/>
      <c r="AB726" s="169"/>
      <c r="AC726" s="169"/>
      <c r="AD726" s="169"/>
      <c r="AE726" s="169"/>
      <c r="AF726" s="169"/>
      <c r="AG726" s="169"/>
      <c r="AH726" s="169"/>
      <c r="AI726" s="169"/>
      <c r="AJ726" s="169"/>
      <c r="AK726" s="169"/>
      <c r="AL726" s="169"/>
      <c r="AM726" s="169"/>
      <c r="AN726" s="169"/>
      <c r="AO726" s="169"/>
      <c r="AP726" s="169"/>
      <c r="AQ726" s="169"/>
      <c r="AR726" s="169"/>
      <c r="AS726" s="169"/>
      <c r="AT726" s="169"/>
      <c r="AU726" s="169"/>
      <c r="AV726" s="169"/>
      <c r="AW726" s="169"/>
      <c r="AX726" s="169"/>
      <c r="AY726" s="169"/>
      <c r="AZ726" s="169"/>
      <c r="BA726" s="169"/>
      <c r="BB726" s="169"/>
      <c r="BC726" s="169"/>
    </row>
    <row r="727" spans="1:55" ht="14.25" customHeight="1">
      <c r="A727" s="169"/>
      <c r="B727" s="169"/>
      <c r="C727" s="169"/>
      <c r="D727" s="169"/>
      <c r="E727" s="169"/>
      <c r="F727" s="169"/>
      <c r="G727" s="169"/>
      <c r="H727" s="169"/>
      <c r="I727" s="169"/>
      <c r="J727" s="169"/>
      <c r="K727" s="169"/>
      <c r="L727" s="169"/>
      <c r="M727" s="169"/>
      <c r="N727" s="169"/>
      <c r="O727" s="169"/>
      <c r="P727" s="169"/>
      <c r="Q727" s="169"/>
      <c r="R727" s="169"/>
      <c r="S727" s="169"/>
      <c r="T727" s="169"/>
      <c r="U727" s="169"/>
      <c r="V727" s="169"/>
      <c r="W727" s="169"/>
      <c r="X727" s="169"/>
      <c r="Y727" s="169"/>
      <c r="Z727" s="169"/>
      <c r="AA727" s="169"/>
      <c r="AB727" s="169"/>
      <c r="AC727" s="169"/>
      <c r="AD727" s="169"/>
      <c r="AE727" s="169"/>
      <c r="AF727" s="169"/>
      <c r="AG727" s="169"/>
      <c r="AH727" s="169"/>
      <c r="AI727" s="169"/>
      <c r="AJ727" s="169"/>
      <c r="AK727" s="169"/>
      <c r="AL727" s="169"/>
      <c r="AM727" s="169"/>
      <c r="AN727" s="169"/>
      <c r="AO727" s="169"/>
      <c r="AP727" s="169"/>
      <c r="AQ727" s="169"/>
      <c r="AR727" s="169"/>
      <c r="AS727" s="169"/>
      <c r="AT727" s="169"/>
      <c r="AU727" s="169"/>
      <c r="AV727" s="169"/>
      <c r="AW727" s="169"/>
      <c r="AX727" s="169"/>
      <c r="AY727" s="169"/>
      <c r="AZ727" s="169"/>
      <c r="BA727" s="169"/>
      <c r="BB727" s="169"/>
      <c r="BC727" s="169"/>
    </row>
    <row r="728" spans="1:55" ht="14.25" customHeight="1">
      <c r="A728" s="169"/>
      <c r="B728" s="169"/>
      <c r="C728" s="169"/>
      <c r="D728" s="169"/>
      <c r="E728" s="169"/>
      <c r="F728" s="169"/>
      <c r="G728" s="169"/>
      <c r="H728" s="169"/>
      <c r="I728" s="169"/>
      <c r="J728" s="169"/>
      <c r="K728" s="169"/>
      <c r="L728" s="169"/>
      <c r="M728" s="169"/>
      <c r="N728" s="169"/>
      <c r="O728" s="169"/>
      <c r="P728" s="169"/>
      <c r="Q728" s="169"/>
      <c r="R728" s="169"/>
      <c r="S728" s="169"/>
      <c r="T728" s="169"/>
      <c r="U728" s="169"/>
      <c r="V728" s="169"/>
      <c r="W728" s="169"/>
      <c r="X728" s="169"/>
      <c r="Y728" s="169"/>
      <c r="Z728" s="169"/>
      <c r="AA728" s="169"/>
      <c r="AB728" s="169"/>
      <c r="AC728" s="169"/>
      <c r="AD728" s="169"/>
      <c r="AE728" s="169"/>
      <c r="AF728" s="169"/>
      <c r="AG728" s="169"/>
      <c r="AH728" s="169"/>
      <c r="AI728" s="169"/>
      <c r="AJ728" s="169"/>
      <c r="AK728" s="169"/>
      <c r="AL728" s="169"/>
      <c r="AM728" s="169"/>
      <c r="AN728" s="169"/>
      <c r="AO728" s="169"/>
      <c r="AP728" s="169"/>
      <c r="AQ728" s="169"/>
      <c r="AR728" s="169"/>
      <c r="AS728" s="169"/>
      <c r="AT728" s="169"/>
      <c r="AU728" s="169"/>
      <c r="AV728" s="169"/>
      <c r="AW728" s="169"/>
      <c r="AX728" s="169"/>
      <c r="AY728" s="169"/>
      <c r="AZ728" s="169"/>
      <c r="BA728" s="169"/>
      <c r="BB728" s="169"/>
      <c r="BC728" s="169"/>
    </row>
    <row r="729" spans="1:55" ht="14.25" customHeight="1">
      <c r="A729" s="169"/>
      <c r="B729" s="169"/>
      <c r="C729" s="169"/>
      <c r="D729" s="169"/>
      <c r="E729" s="169"/>
      <c r="F729" s="169"/>
      <c r="G729" s="169"/>
      <c r="H729" s="169"/>
      <c r="I729" s="169"/>
      <c r="J729" s="169"/>
      <c r="K729" s="169"/>
      <c r="L729" s="169"/>
      <c r="M729" s="169"/>
      <c r="N729" s="169"/>
      <c r="O729" s="169"/>
      <c r="P729" s="169"/>
      <c r="Q729" s="169"/>
      <c r="R729" s="169"/>
      <c r="S729" s="169"/>
      <c r="T729" s="169"/>
      <c r="U729" s="169"/>
      <c r="V729" s="169"/>
      <c r="W729" s="169"/>
      <c r="X729" s="169"/>
      <c r="Y729" s="169"/>
      <c r="Z729" s="169"/>
      <c r="AA729" s="169"/>
      <c r="AB729" s="169"/>
      <c r="AC729" s="169"/>
      <c r="AD729" s="169"/>
      <c r="AE729" s="169"/>
      <c r="AF729" s="169"/>
      <c r="AG729" s="169"/>
      <c r="AH729" s="169"/>
      <c r="AI729" s="169"/>
      <c r="AJ729" s="169"/>
      <c r="AK729" s="169"/>
      <c r="AL729" s="169"/>
      <c r="AM729" s="169"/>
      <c r="AN729" s="169"/>
      <c r="AO729" s="169"/>
      <c r="AP729" s="169"/>
      <c r="AQ729" s="169"/>
      <c r="AR729" s="169"/>
      <c r="AS729" s="169"/>
      <c r="AT729" s="169"/>
      <c r="AU729" s="169"/>
      <c r="AV729" s="169"/>
      <c r="AW729" s="169"/>
      <c r="AX729" s="169"/>
      <c r="AY729" s="169"/>
      <c r="AZ729" s="169"/>
      <c r="BA729" s="169"/>
      <c r="BB729" s="169"/>
      <c r="BC729" s="169"/>
    </row>
    <row r="730" spans="1:55" ht="14.25" customHeight="1">
      <c r="A730" s="169"/>
      <c r="B730" s="169"/>
      <c r="C730" s="169"/>
      <c r="D730" s="169"/>
      <c r="E730" s="169"/>
      <c r="F730" s="169"/>
      <c r="G730" s="169"/>
      <c r="H730" s="169"/>
      <c r="I730" s="169"/>
      <c r="J730" s="169"/>
      <c r="K730" s="169"/>
      <c r="L730" s="169"/>
      <c r="M730" s="169"/>
      <c r="N730" s="169"/>
      <c r="O730" s="169"/>
      <c r="P730" s="169"/>
      <c r="Q730" s="169"/>
      <c r="R730" s="169"/>
      <c r="S730" s="169"/>
      <c r="T730" s="169"/>
      <c r="U730" s="169"/>
      <c r="V730" s="169"/>
      <c r="W730" s="169"/>
      <c r="X730" s="169"/>
      <c r="Y730" s="169"/>
      <c r="Z730" s="169"/>
      <c r="AA730" s="169"/>
      <c r="AB730" s="169"/>
      <c r="AC730" s="169"/>
      <c r="AD730" s="169"/>
      <c r="AE730" s="169"/>
      <c r="AF730" s="169"/>
      <c r="AG730" s="169"/>
      <c r="AH730" s="169"/>
      <c r="AI730" s="169"/>
      <c r="AJ730" s="169"/>
      <c r="AK730" s="169"/>
      <c r="AL730" s="169"/>
      <c r="AM730" s="169"/>
      <c r="AN730" s="169"/>
      <c r="AO730" s="169"/>
      <c r="AP730" s="169"/>
      <c r="AQ730" s="169"/>
      <c r="AR730" s="169"/>
      <c r="AS730" s="169"/>
      <c r="AT730" s="169"/>
      <c r="AU730" s="169"/>
      <c r="AV730" s="169"/>
      <c r="AW730" s="169"/>
      <c r="AX730" s="169"/>
      <c r="AY730" s="169"/>
      <c r="AZ730" s="169"/>
      <c r="BA730" s="169"/>
      <c r="BB730" s="169"/>
      <c r="BC730" s="169"/>
    </row>
    <row r="731" spans="1:55" ht="14.25" customHeight="1">
      <c r="A731" s="169"/>
      <c r="B731" s="169"/>
      <c r="C731" s="169"/>
      <c r="D731" s="169"/>
      <c r="E731" s="169"/>
      <c r="F731" s="169"/>
      <c r="G731" s="169"/>
      <c r="H731" s="169"/>
      <c r="I731" s="169"/>
      <c r="J731" s="169"/>
      <c r="K731" s="169"/>
      <c r="L731" s="169"/>
      <c r="M731" s="169"/>
      <c r="N731" s="169"/>
      <c r="O731" s="169"/>
      <c r="P731" s="169"/>
      <c r="Q731" s="169"/>
      <c r="R731" s="169"/>
      <c r="S731" s="169"/>
      <c r="T731" s="169"/>
      <c r="U731" s="169"/>
      <c r="V731" s="169"/>
      <c r="W731" s="169"/>
      <c r="X731" s="169"/>
      <c r="Y731" s="169"/>
      <c r="Z731" s="169"/>
      <c r="AA731" s="169"/>
      <c r="AB731" s="169"/>
      <c r="AC731" s="169"/>
      <c r="AD731" s="169"/>
      <c r="AE731" s="169"/>
      <c r="AF731" s="169"/>
      <c r="AG731" s="169"/>
      <c r="AH731" s="169"/>
      <c r="AI731" s="169"/>
      <c r="AJ731" s="169"/>
      <c r="AK731" s="169"/>
      <c r="AL731" s="169"/>
      <c r="AM731" s="169"/>
      <c r="AN731" s="169"/>
      <c r="AO731" s="169"/>
      <c r="AP731" s="169"/>
      <c r="AQ731" s="169"/>
      <c r="AR731" s="169"/>
      <c r="AS731" s="169"/>
      <c r="AT731" s="169"/>
      <c r="AU731" s="169"/>
      <c r="AV731" s="169"/>
      <c r="AW731" s="169"/>
      <c r="AX731" s="169"/>
      <c r="AY731" s="169"/>
      <c r="AZ731" s="169"/>
      <c r="BA731" s="169"/>
      <c r="BB731" s="169"/>
      <c r="BC731" s="169"/>
    </row>
    <row r="732" spans="1:55" ht="14.25" customHeight="1">
      <c r="A732" s="169"/>
      <c r="B732" s="169"/>
      <c r="C732" s="169"/>
      <c r="D732" s="169"/>
      <c r="E732" s="169"/>
      <c r="F732" s="169"/>
      <c r="G732" s="169"/>
      <c r="H732" s="169"/>
      <c r="I732" s="169"/>
      <c r="J732" s="169"/>
      <c r="K732" s="169"/>
      <c r="L732" s="169"/>
      <c r="M732" s="169"/>
      <c r="N732" s="169"/>
      <c r="O732" s="169"/>
      <c r="P732" s="169"/>
      <c r="Q732" s="169"/>
      <c r="R732" s="169"/>
      <c r="S732" s="169"/>
      <c r="T732" s="169"/>
      <c r="U732" s="169"/>
      <c r="V732" s="169"/>
      <c r="W732" s="169"/>
      <c r="X732" s="169"/>
      <c r="Y732" s="169"/>
      <c r="Z732" s="169"/>
      <c r="AA732" s="169"/>
      <c r="AB732" s="169"/>
      <c r="AC732" s="169"/>
      <c r="AD732" s="169"/>
      <c r="AE732" s="169"/>
      <c r="AF732" s="169"/>
      <c r="AG732" s="169"/>
      <c r="AH732" s="169"/>
      <c r="AI732" s="169"/>
      <c r="AJ732" s="169"/>
      <c r="AK732" s="169"/>
      <c r="AL732" s="169"/>
      <c r="AM732" s="169"/>
      <c r="AN732" s="169"/>
      <c r="AO732" s="169"/>
      <c r="AP732" s="169"/>
      <c r="AQ732" s="169"/>
      <c r="AR732" s="169"/>
      <c r="AS732" s="169"/>
      <c r="AT732" s="169"/>
      <c r="AU732" s="169"/>
      <c r="AV732" s="169"/>
      <c r="AW732" s="169"/>
      <c r="AX732" s="169"/>
      <c r="AY732" s="169"/>
      <c r="AZ732" s="169"/>
      <c r="BA732" s="169"/>
      <c r="BB732" s="169"/>
      <c r="BC732" s="169"/>
    </row>
    <row r="733" spans="1:55" ht="14.25" customHeight="1">
      <c r="A733" s="169"/>
      <c r="B733" s="169"/>
      <c r="C733" s="169"/>
      <c r="D733" s="169"/>
      <c r="E733" s="169"/>
      <c r="F733" s="169"/>
      <c r="G733" s="169"/>
      <c r="H733" s="169"/>
      <c r="I733" s="169"/>
      <c r="J733" s="169"/>
      <c r="K733" s="169"/>
      <c r="L733" s="169"/>
      <c r="M733" s="169"/>
      <c r="N733" s="169"/>
      <c r="O733" s="169"/>
      <c r="P733" s="169"/>
      <c r="Q733" s="169"/>
      <c r="R733" s="169"/>
      <c r="S733" s="169"/>
      <c r="T733" s="169"/>
      <c r="U733" s="169"/>
      <c r="V733" s="169"/>
      <c r="W733" s="169"/>
      <c r="X733" s="169"/>
      <c r="Y733" s="169"/>
      <c r="Z733" s="169"/>
      <c r="AA733" s="169"/>
      <c r="AB733" s="169"/>
      <c r="AC733" s="169"/>
      <c r="AD733" s="169"/>
      <c r="AE733" s="169"/>
      <c r="AF733" s="169"/>
      <c r="AG733" s="169"/>
      <c r="AH733" s="169"/>
      <c r="AI733" s="169"/>
      <c r="AJ733" s="169"/>
      <c r="AK733" s="169"/>
      <c r="AL733" s="169"/>
      <c r="AM733" s="169"/>
      <c r="AN733" s="169"/>
      <c r="AO733" s="169"/>
      <c r="AP733" s="169"/>
      <c r="AQ733" s="169"/>
      <c r="AR733" s="169"/>
      <c r="AS733" s="169"/>
      <c r="AT733" s="169"/>
      <c r="AU733" s="169"/>
      <c r="AV733" s="169"/>
      <c r="AW733" s="169"/>
      <c r="AX733" s="169"/>
      <c r="AY733" s="169"/>
      <c r="AZ733" s="169"/>
      <c r="BA733" s="169"/>
      <c r="BB733" s="169"/>
      <c r="BC733" s="169"/>
    </row>
    <row r="734" spans="1:55" ht="14.25" customHeight="1">
      <c r="A734" s="169"/>
      <c r="B734" s="169"/>
      <c r="C734" s="169"/>
      <c r="D734" s="169"/>
      <c r="E734" s="169"/>
      <c r="F734" s="169"/>
      <c r="G734" s="169"/>
      <c r="H734" s="169"/>
      <c r="I734" s="169"/>
      <c r="J734" s="169"/>
      <c r="K734" s="169"/>
      <c r="L734" s="169"/>
      <c r="M734" s="169"/>
      <c r="N734" s="169"/>
      <c r="O734" s="169"/>
      <c r="P734" s="169"/>
      <c r="Q734" s="169"/>
      <c r="R734" s="169"/>
      <c r="S734" s="169"/>
      <c r="T734" s="169"/>
      <c r="U734" s="169"/>
      <c r="V734" s="169"/>
      <c r="W734" s="169"/>
      <c r="X734" s="169"/>
      <c r="Y734" s="169"/>
      <c r="Z734" s="169"/>
      <c r="AA734" s="169"/>
      <c r="AB734" s="169"/>
      <c r="AC734" s="169"/>
      <c r="AD734" s="169"/>
      <c r="AE734" s="169"/>
      <c r="AF734" s="169"/>
      <c r="AG734" s="169"/>
      <c r="AH734" s="169"/>
      <c r="AI734" s="169"/>
      <c r="AJ734" s="169"/>
      <c r="AK734" s="169"/>
      <c r="AL734" s="169"/>
      <c r="AM734" s="169"/>
      <c r="AN734" s="169"/>
      <c r="AO734" s="169"/>
      <c r="AP734" s="169"/>
      <c r="AQ734" s="169"/>
      <c r="AR734" s="169"/>
      <c r="AS734" s="169"/>
      <c r="AT734" s="169"/>
      <c r="AU734" s="169"/>
      <c r="AV734" s="169"/>
      <c r="AW734" s="169"/>
      <c r="AX734" s="169"/>
      <c r="AY734" s="169"/>
      <c r="AZ734" s="169"/>
      <c r="BA734" s="169"/>
      <c r="BB734" s="169"/>
      <c r="BC734" s="169"/>
    </row>
    <row r="735" spans="1:55" ht="14.25" customHeight="1">
      <c r="A735" s="169"/>
      <c r="B735" s="169"/>
      <c r="C735" s="169"/>
      <c r="D735" s="169"/>
      <c r="E735" s="169"/>
      <c r="F735" s="169"/>
      <c r="G735" s="169"/>
      <c r="H735" s="169"/>
      <c r="I735" s="169"/>
      <c r="J735" s="169"/>
      <c r="K735" s="169"/>
      <c r="L735" s="169"/>
      <c r="M735" s="169"/>
      <c r="N735" s="169"/>
      <c r="O735" s="169"/>
      <c r="P735" s="169"/>
      <c r="Q735" s="169"/>
      <c r="R735" s="169"/>
      <c r="S735" s="169"/>
      <c r="T735" s="169"/>
      <c r="U735" s="169"/>
      <c r="V735" s="169"/>
      <c r="W735" s="169"/>
      <c r="X735" s="169"/>
      <c r="Y735" s="169"/>
      <c r="Z735" s="169"/>
      <c r="AA735" s="169"/>
      <c r="AB735" s="169"/>
      <c r="AC735" s="169"/>
      <c r="AD735" s="169"/>
      <c r="AE735" s="169"/>
      <c r="AF735" s="169"/>
      <c r="AG735" s="169"/>
      <c r="AH735" s="169"/>
      <c r="AI735" s="169"/>
      <c r="AJ735" s="169"/>
      <c r="AK735" s="169"/>
      <c r="AL735" s="169"/>
      <c r="AM735" s="169"/>
      <c r="AN735" s="169"/>
      <c r="AO735" s="169"/>
      <c r="AP735" s="169"/>
      <c r="AQ735" s="169"/>
      <c r="AR735" s="169"/>
      <c r="AS735" s="169"/>
      <c r="AT735" s="169"/>
      <c r="AU735" s="169"/>
      <c r="AV735" s="169"/>
      <c r="AW735" s="169"/>
      <c r="AX735" s="169"/>
      <c r="AY735" s="169"/>
      <c r="AZ735" s="169"/>
      <c r="BA735" s="169"/>
      <c r="BB735" s="169"/>
      <c r="BC735" s="169"/>
    </row>
    <row r="736" spans="1:55" ht="14.25" customHeight="1">
      <c r="A736" s="169"/>
      <c r="B736" s="169"/>
      <c r="C736" s="169"/>
      <c r="D736" s="169"/>
      <c r="E736" s="169"/>
      <c r="F736" s="169"/>
      <c r="G736" s="169"/>
      <c r="H736" s="169"/>
      <c r="I736" s="169"/>
      <c r="J736" s="169"/>
      <c r="K736" s="169"/>
      <c r="L736" s="169"/>
      <c r="M736" s="169"/>
      <c r="N736" s="169"/>
      <c r="O736" s="169"/>
      <c r="P736" s="169"/>
      <c r="Q736" s="169"/>
      <c r="R736" s="169"/>
      <c r="S736" s="169"/>
      <c r="T736" s="169"/>
      <c r="U736" s="169"/>
      <c r="V736" s="169"/>
      <c r="W736" s="169"/>
      <c r="X736" s="169"/>
      <c r="Y736" s="169"/>
      <c r="Z736" s="169"/>
      <c r="AA736" s="169"/>
      <c r="AB736" s="169"/>
      <c r="AC736" s="169"/>
      <c r="AD736" s="169"/>
      <c r="AE736" s="169"/>
      <c r="AF736" s="169"/>
      <c r="AG736" s="169"/>
      <c r="AH736" s="169"/>
      <c r="AI736" s="169"/>
      <c r="AJ736" s="169"/>
      <c r="AK736" s="169"/>
      <c r="AL736" s="169"/>
      <c r="AM736" s="169"/>
      <c r="AN736" s="169"/>
      <c r="AO736" s="169"/>
      <c r="AP736" s="169"/>
      <c r="AQ736" s="169"/>
      <c r="AR736" s="169"/>
      <c r="AS736" s="169"/>
      <c r="AT736" s="169"/>
      <c r="AU736" s="169"/>
      <c r="AV736" s="169"/>
      <c r="AW736" s="169"/>
      <c r="AX736" s="169"/>
      <c r="AY736" s="169"/>
      <c r="AZ736" s="169"/>
      <c r="BA736" s="169"/>
      <c r="BB736" s="169"/>
      <c r="BC736" s="169"/>
    </row>
    <row r="737" spans="1:55" ht="14.25" customHeight="1">
      <c r="A737" s="169"/>
      <c r="B737" s="169"/>
      <c r="C737" s="169"/>
      <c r="D737" s="169"/>
      <c r="E737" s="169"/>
      <c r="F737" s="169"/>
      <c r="G737" s="169"/>
      <c r="H737" s="169"/>
      <c r="I737" s="169"/>
      <c r="J737" s="169"/>
      <c r="K737" s="169"/>
      <c r="L737" s="169"/>
      <c r="M737" s="169"/>
      <c r="N737" s="169"/>
      <c r="O737" s="169"/>
      <c r="P737" s="169"/>
      <c r="Q737" s="169"/>
      <c r="R737" s="169"/>
      <c r="S737" s="169"/>
      <c r="T737" s="169"/>
      <c r="U737" s="169"/>
      <c r="V737" s="169"/>
      <c r="W737" s="169"/>
      <c r="X737" s="169"/>
      <c r="Y737" s="169"/>
      <c r="Z737" s="169"/>
      <c r="AA737" s="169"/>
      <c r="AB737" s="169"/>
      <c r="AC737" s="169"/>
      <c r="AD737" s="169"/>
      <c r="AE737" s="169"/>
      <c r="AF737" s="169"/>
      <c r="AG737" s="169"/>
      <c r="AH737" s="169"/>
      <c r="AI737" s="169"/>
      <c r="AJ737" s="169"/>
      <c r="AK737" s="169"/>
      <c r="AL737" s="169"/>
      <c r="AM737" s="169"/>
      <c r="AN737" s="169"/>
      <c r="AO737" s="169"/>
      <c r="AP737" s="169"/>
      <c r="AQ737" s="169"/>
      <c r="AR737" s="169"/>
      <c r="AS737" s="169"/>
      <c r="AT737" s="169"/>
      <c r="AU737" s="169"/>
      <c r="AV737" s="169"/>
      <c r="AW737" s="169"/>
      <c r="AX737" s="169"/>
      <c r="AY737" s="169"/>
      <c r="AZ737" s="169"/>
      <c r="BA737" s="169"/>
      <c r="BB737" s="169"/>
      <c r="BC737" s="169"/>
    </row>
    <row r="738" spans="1:55" ht="14.25" customHeight="1">
      <c r="A738" s="169"/>
      <c r="B738" s="169"/>
      <c r="C738" s="169"/>
      <c r="D738" s="169"/>
      <c r="E738" s="169"/>
      <c r="F738" s="169"/>
      <c r="G738" s="169"/>
      <c r="H738" s="169"/>
      <c r="I738" s="169"/>
      <c r="J738" s="169"/>
      <c r="K738" s="169"/>
      <c r="L738" s="169"/>
      <c r="M738" s="169"/>
      <c r="N738" s="169"/>
      <c r="O738" s="169"/>
      <c r="P738" s="169"/>
      <c r="Q738" s="169"/>
      <c r="R738" s="169"/>
      <c r="S738" s="169"/>
      <c r="T738" s="169"/>
      <c r="U738" s="169"/>
      <c r="V738" s="169"/>
      <c r="W738" s="169"/>
      <c r="X738" s="169"/>
      <c r="Y738" s="169"/>
      <c r="Z738" s="169"/>
      <c r="AA738" s="169"/>
      <c r="AB738" s="169"/>
      <c r="AC738" s="169"/>
      <c r="AD738" s="169"/>
      <c r="AE738" s="169"/>
      <c r="AF738" s="169"/>
      <c r="AG738" s="169"/>
      <c r="AH738" s="169"/>
      <c r="AI738" s="169"/>
      <c r="AJ738" s="169"/>
      <c r="AK738" s="169"/>
      <c r="AL738" s="169"/>
      <c r="AM738" s="169"/>
      <c r="AN738" s="169"/>
      <c r="AO738" s="169"/>
      <c r="AP738" s="169"/>
      <c r="AQ738" s="169"/>
      <c r="AR738" s="169"/>
      <c r="AS738" s="169"/>
      <c r="AT738" s="169"/>
      <c r="AU738" s="169"/>
      <c r="AV738" s="169"/>
      <c r="AW738" s="169"/>
      <c r="AX738" s="169"/>
      <c r="AY738" s="169"/>
      <c r="AZ738" s="169"/>
      <c r="BA738" s="169"/>
      <c r="BB738" s="169"/>
      <c r="BC738" s="169"/>
    </row>
    <row r="739" spans="1:55" ht="14.25" customHeight="1">
      <c r="A739" s="169"/>
      <c r="B739" s="169"/>
      <c r="C739" s="169"/>
      <c r="D739" s="169"/>
      <c r="E739" s="169"/>
      <c r="F739" s="169"/>
      <c r="G739" s="169"/>
      <c r="H739" s="169"/>
      <c r="I739" s="169"/>
      <c r="J739" s="169"/>
      <c r="K739" s="169"/>
      <c r="L739" s="169"/>
      <c r="M739" s="169"/>
      <c r="N739" s="169"/>
      <c r="O739" s="169"/>
      <c r="P739" s="169"/>
      <c r="Q739" s="169"/>
      <c r="R739" s="169"/>
      <c r="S739" s="169"/>
      <c r="T739" s="169"/>
      <c r="U739" s="169"/>
      <c r="V739" s="169"/>
      <c r="W739" s="169"/>
      <c r="X739" s="169"/>
      <c r="Y739" s="169"/>
      <c r="Z739" s="169"/>
      <c r="AA739" s="169"/>
      <c r="AB739" s="169"/>
      <c r="AC739" s="169"/>
      <c r="AD739" s="169"/>
      <c r="AE739" s="169"/>
      <c r="AF739" s="169"/>
      <c r="AG739" s="169"/>
      <c r="AH739" s="169"/>
      <c r="AI739" s="169"/>
      <c r="AJ739" s="169"/>
      <c r="AK739" s="169"/>
      <c r="AL739" s="169"/>
      <c r="AM739" s="169"/>
      <c r="AN739" s="169"/>
      <c r="AO739" s="169"/>
      <c r="AP739" s="169"/>
      <c r="AQ739" s="169"/>
      <c r="AR739" s="169"/>
      <c r="AS739" s="169"/>
      <c r="AT739" s="169"/>
      <c r="AU739" s="169"/>
      <c r="AV739" s="169"/>
      <c r="AW739" s="169"/>
      <c r="AX739" s="169"/>
      <c r="AY739" s="169"/>
      <c r="AZ739" s="169"/>
      <c r="BA739" s="169"/>
      <c r="BB739" s="169"/>
      <c r="BC739" s="169"/>
    </row>
    <row r="740" spans="1:55" ht="14.25" customHeight="1">
      <c r="A740" s="169"/>
      <c r="B740" s="169"/>
      <c r="C740" s="169"/>
      <c r="D740" s="169"/>
      <c r="E740" s="169"/>
      <c r="F740" s="169"/>
      <c r="G740" s="169"/>
      <c r="H740" s="169"/>
      <c r="I740" s="169"/>
      <c r="J740" s="169"/>
      <c r="K740" s="169"/>
      <c r="L740" s="169"/>
      <c r="M740" s="169"/>
      <c r="N740" s="169"/>
      <c r="O740" s="169"/>
      <c r="P740" s="169"/>
      <c r="Q740" s="169"/>
      <c r="R740" s="169"/>
      <c r="S740" s="169"/>
      <c r="T740" s="169"/>
      <c r="U740" s="169"/>
      <c r="V740" s="169"/>
      <c r="W740" s="169"/>
      <c r="X740" s="169"/>
      <c r="Y740" s="169"/>
      <c r="Z740" s="169"/>
      <c r="AA740" s="169"/>
      <c r="AB740" s="169"/>
      <c r="AC740" s="169"/>
      <c r="AD740" s="169"/>
      <c r="AE740" s="169"/>
      <c r="AF740" s="169"/>
      <c r="AG740" s="169"/>
      <c r="AH740" s="169"/>
      <c r="AI740" s="169"/>
      <c r="AJ740" s="169"/>
      <c r="AK740" s="169"/>
      <c r="AL740" s="169"/>
      <c r="AM740" s="169"/>
      <c r="AN740" s="169"/>
      <c r="AO740" s="169"/>
      <c r="AP740" s="169"/>
      <c r="AQ740" s="169"/>
      <c r="AR740" s="169"/>
      <c r="AS740" s="169"/>
      <c r="AT740" s="169"/>
      <c r="AU740" s="169"/>
      <c r="AV740" s="169"/>
      <c r="AW740" s="169"/>
      <c r="AX740" s="169"/>
      <c r="AY740" s="169"/>
      <c r="AZ740" s="169"/>
      <c r="BA740" s="169"/>
      <c r="BB740" s="169"/>
      <c r="BC740" s="169"/>
    </row>
    <row r="741" spans="1:55" ht="14.25" customHeight="1">
      <c r="A741" s="169"/>
      <c r="B741" s="169"/>
      <c r="C741" s="169"/>
      <c r="D741" s="169"/>
      <c r="E741" s="169"/>
      <c r="F741" s="169"/>
      <c r="G741" s="169"/>
      <c r="H741" s="169"/>
      <c r="I741" s="169"/>
      <c r="J741" s="169"/>
      <c r="K741" s="169"/>
      <c r="L741" s="169"/>
      <c r="M741" s="169"/>
      <c r="N741" s="169"/>
      <c r="O741" s="169"/>
      <c r="P741" s="169"/>
      <c r="Q741" s="169"/>
      <c r="R741" s="169"/>
      <c r="S741" s="169"/>
      <c r="T741" s="169"/>
      <c r="U741" s="169"/>
      <c r="V741" s="169"/>
      <c r="W741" s="169"/>
      <c r="X741" s="169"/>
      <c r="Y741" s="169"/>
      <c r="Z741" s="169"/>
      <c r="AA741" s="169"/>
      <c r="AB741" s="169"/>
      <c r="AC741" s="169"/>
      <c r="AD741" s="169"/>
      <c r="AE741" s="169"/>
      <c r="AF741" s="169"/>
      <c r="AG741" s="169"/>
      <c r="AH741" s="169"/>
      <c r="AI741" s="169"/>
      <c r="AJ741" s="169"/>
      <c r="AK741" s="169"/>
      <c r="AL741" s="169"/>
      <c r="AM741" s="169"/>
      <c r="AN741" s="169"/>
      <c r="AO741" s="169"/>
      <c r="AP741" s="169"/>
      <c r="AQ741" s="169"/>
      <c r="AR741" s="169"/>
      <c r="AS741" s="169"/>
      <c r="AT741" s="169"/>
      <c r="AU741" s="169"/>
      <c r="AV741" s="169"/>
      <c r="AW741" s="169"/>
      <c r="AX741" s="169"/>
      <c r="AY741" s="169"/>
      <c r="AZ741" s="169"/>
      <c r="BA741" s="169"/>
      <c r="BB741" s="169"/>
      <c r="BC741" s="169"/>
    </row>
    <row r="742" spans="1:55" ht="14.25" customHeight="1">
      <c r="A742" s="169"/>
      <c r="B742" s="169"/>
      <c r="C742" s="169"/>
      <c r="D742" s="169"/>
      <c r="E742" s="169"/>
      <c r="F742" s="169"/>
      <c r="G742" s="169"/>
      <c r="H742" s="169"/>
      <c r="I742" s="169"/>
      <c r="J742" s="169"/>
      <c r="K742" s="169"/>
      <c r="L742" s="169"/>
      <c r="M742" s="169"/>
      <c r="N742" s="169"/>
      <c r="O742" s="169"/>
      <c r="P742" s="169"/>
      <c r="Q742" s="169"/>
      <c r="R742" s="169"/>
      <c r="S742" s="169"/>
      <c r="T742" s="169"/>
      <c r="U742" s="169"/>
      <c r="V742" s="169"/>
      <c r="W742" s="169"/>
      <c r="X742" s="169"/>
      <c r="Y742" s="169"/>
      <c r="Z742" s="169"/>
      <c r="AA742" s="169"/>
      <c r="AB742" s="169"/>
      <c r="AC742" s="169"/>
      <c r="AD742" s="169"/>
      <c r="AE742" s="169"/>
      <c r="AF742" s="169"/>
      <c r="AG742" s="169"/>
      <c r="AH742" s="169"/>
      <c r="AI742" s="169"/>
      <c r="AJ742" s="169"/>
      <c r="AK742" s="169"/>
      <c r="AL742" s="169"/>
      <c r="AM742" s="169"/>
      <c r="AN742" s="169"/>
      <c r="AO742" s="169"/>
      <c r="AP742" s="169"/>
      <c r="AQ742" s="169"/>
      <c r="AR742" s="169"/>
      <c r="AS742" s="169"/>
      <c r="AT742" s="169"/>
      <c r="AU742" s="169"/>
      <c r="AV742" s="169"/>
      <c r="AW742" s="169"/>
      <c r="AX742" s="169"/>
      <c r="AY742" s="169"/>
      <c r="AZ742" s="169"/>
      <c r="BA742" s="169"/>
      <c r="BB742" s="169"/>
      <c r="BC742" s="169"/>
    </row>
    <row r="743" spans="1:55" ht="14.25" customHeight="1">
      <c r="A743" s="169"/>
      <c r="B743" s="169"/>
      <c r="C743" s="169"/>
      <c r="D743" s="169"/>
      <c r="E743" s="169"/>
      <c r="F743" s="169"/>
      <c r="G743" s="169"/>
      <c r="H743" s="169"/>
      <c r="I743" s="169"/>
      <c r="J743" s="169"/>
      <c r="K743" s="169"/>
      <c r="L743" s="169"/>
      <c r="M743" s="169"/>
      <c r="N743" s="169"/>
      <c r="O743" s="169"/>
      <c r="P743" s="169"/>
      <c r="Q743" s="169"/>
      <c r="R743" s="169"/>
      <c r="S743" s="169"/>
      <c r="T743" s="169"/>
      <c r="U743" s="169"/>
      <c r="V743" s="169"/>
      <c r="W743" s="169"/>
      <c r="X743" s="169"/>
      <c r="Y743" s="169"/>
      <c r="Z743" s="169"/>
      <c r="AA743" s="169"/>
      <c r="AB743" s="169"/>
      <c r="AC743" s="169"/>
      <c r="AD743" s="169"/>
      <c r="AE743" s="169"/>
      <c r="AF743" s="169"/>
      <c r="AG743" s="169"/>
      <c r="AH743" s="169"/>
      <c r="AI743" s="169"/>
      <c r="AJ743" s="169"/>
      <c r="AK743" s="169"/>
      <c r="AL743" s="169"/>
      <c r="AM743" s="169"/>
      <c r="AN743" s="169"/>
      <c r="AO743" s="169"/>
      <c r="AP743" s="169"/>
      <c r="AQ743" s="169"/>
      <c r="AR743" s="169"/>
      <c r="AS743" s="169"/>
      <c r="AT743" s="169"/>
      <c r="AU743" s="169"/>
      <c r="AV743" s="169"/>
      <c r="AW743" s="169"/>
      <c r="AX743" s="169"/>
      <c r="AY743" s="169"/>
      <c r="AZ743" s="169"/>
      <c r="BA743" s="169"/>
      <c r="BB743" s="169"/>
      <c r="BC743" s="169"/>
    </row>
    <row r="744" spans="1:55" ht="14.25" customHeight="1">
      <c r="A744" s="169"/>
      <c r="B744" s="169"/>
      <c r="C744" s="169"/>
      <c r="D744" s="169"/>
      <c r="E744" s="169"/>
      <c r="F744" s="169"/>
      <c r="G744" s="169"/>
      <c r="H744" s="169"/>
      <c r="I744" s="169"/>
      <c r="J744" s="169"/>
      <c r="K744" s="169"/>
      <c r="L744" s="169"/>
      <c r="M744" s="169"/>
      <c r="N744" s="169"/>
      <c r="O744" s="169"/>
      <c r="P744" s="169"/>
      <c r="Q744" s="169"/>
      <c r="R744" s="169"/>
      <c r="S744" s="169"/>
      <c r="T744" s="169"/>
      <c r="U744" s="169"/>
      <c r="V744" s="169"/>
      <c r="W744" s="169"/>
      <c r="X744" s="169"/>
      <c r="Y744" s="169"/>
      <c r="Z744" s="169"/>
      <c r="AA744" s="169"/>
      <c r="AB744" s="169"/>
      <c r="AC744" s="169"/>
      <c r="AD744" s="169"/>
      <c r="AE744" s="169"/>
      <c r="AF744" s="169"/>
      <c r="AG744" s="169"/>
      <c r="AH744" s="169"/>
      <c r="AI744" s="169"/>
      <c r="AJ744" s="169"/>
      <c r="AK744" s="169"/>
      <c r="AL744" s="169"/>
      <c r="AM744" s="169"/>
      <c r="AN744" s="169"/>
      <c r="AO744" s="169"/>
      <c r="AP744" s="169"/>
      <c r="AQ744" s="169"/>
      <c r="AR744" s="169"/>
      <c r="AS744" s="169"/>
      <c r="AT744" s="169"/>
      <c r="AU744" s="169"/>
      <c r="AV744" s="169"/>
      <c r="AW744" s="169"/>
      <c r="AX744" s="169"/>
      <c r="AY744" s="169"/>
      <c r="AZ744" s="169"/>
      <c r="BA744" s="169"/>
      <c r="BB744" s="169"/>
      <c r="BC744" s="169"/>
    </row>
    <row r="745" spans="1:55" ht="14.25" customHeight="1">
      <c r="A745" s="169"/>
      <c r="B745" s="169"/>
      <c r="C745" s="169"/>
      <c r="D745" s="169"/>
      <c r="E745" s="169"/>
      <c r="F745" s="169"/>
      <c r="G745" s="169"/>
      <c r="H745" s="169"/>
      <c r="I745" s="169"/>
      <c r="J745" s="169"/>
      <c r="K745" s="169"/>
      <c r="L745" s="169"/>
      <c r="M745" s="169"/>
      <c r="N745" s="169"/>
      <c r="O745" s="169"/>
      <c r="P745" s="169"/>
      <c r="Q745" s="169"/>
      <c r="R745" s="169"/>
      <c r="S745" s="169"/>
      <c r="T745" s="169"/>
      <c r="U745" s="169"/>
      <c r="V745" s="169"/>
      <c r="W745" s="169"/>
      <c r="X745" s="169"/>
      <c r="Y745" s="169"/>
      <c r="Z745" s="169"/>
      <c r="AA745" s="169"/>
      <c r="AB745" s="169"/>
      <c r="AC745" s="169"/>
      <c r="AD745" s="169"/>
      <c r="AE745" s="169"/>
      <c r="AF745" s="169"/>
      <c r="AG745" s="169"/>
      <c r="AH745" s="169"/>
      <c r="AI745" s="169"/>
      <c r="AJ745" s="169"/>
      <c r="AK745" s="169"/>
      <c r="AL745" s="169"/>
      <c r="AM745" s="169"/>
      <c r="AN745" s="169"/>
      <c r="AO745" s="169"/>
      <c r="AP745" s="169"/>
      <c r="AQ745" s="169"/>
      <c r="AR745" s="169"/>
      <c r="AS745" s="169"/>
      <c r="AT745" s="169"/>
      <c r="AU745" s="169"/>
      <c r="AV745" s="169"/>
      <c r="AW745" s="169"/>
      <c r="AX745" s="169"/>
      <c r="AY745" s="169"/>
      <c r="AZ745" s="169"/>
      <c r="BA745" s="169"/>
      <c r="BB745" s="169"/>
      <c r="BC745" s="169"/>
    </row>
    <row r="746" spans="1:55" ht="14.25" customHeight="1">
      <c r="A746" s="169"/>
      <c r="B746" s="169"/>
      <c r="C746" s="169"/>
      <c r="D746" s="169"/>
      <c r="E746" s="169"/>
      <c r="F746" s="169"/>
      <c r="G746" s="169"/>
      <c r="H746" s="169"/>
      <c r="I746" s="169"/>
      <c r="J746" s="169"/>
      <c r="K746" s="169"/>
      <c r="L746" s="169"/>
      <c r="M746" s="169"/>
      <c r="N746" s="169"/>
      <c r="O746" s="169"/>
      <c r="P746" s="169"/>
      <c r="Q746" s="169"/>
      <c r="R746" s="169"/>
      <c r="S746" s="169"/>
      <c r="T746" s="169"/>
      <c r="U746" s="169"/>
      <c r="V746" s="169"/>
      <c r="W746" s="169"/>
      <c r="X746" s="169"/>
      <c r="Y746" s="169"/>
      <c r="Z746" s="169"/>
      <c r="AA746" s="169"/>
      <c r="AB746" s="169"/>
      <c r="AC746" s="169"/>
      <c r="AD746" s="169"/>
      <c r="AE746" s="169"/>
      <c r="AF746" s="169"/>
      <c r="AG746" s="169"/>
      <c r="AH746" s="169"/>
      <c r="AI746" s="169"/>
      <c r="AJ746" s="169"/>
      <c r="AK746" s="169"/>
      <c r="AL746" s="169"/>
      <c r="AM746" s="169"/>
      <c r="AN746" s="169"/>
      <c r="AO746" s="169"/>
      <c r="AP746" s="169"/>
      <c r="AQ746" s="169"/>
      <c r="AR746" s="169"/>
      <c r="AS746" s="169"/>
      <c r="AT746" s="169"/>
      <c r="AU746" s="169"/>
      <c r="AV746" s="169"/>
      <c r="AW746" s="169"/>
      <c r="AX746" s="169"/>
      <c r="AY746" s="169"/>
      <c r="AZ746" s="169"/>
      <c r="BA746" s="169"/>
      <c r="BB746" s="169"/>
      <c r="BC746" s="169"/>
    </row>
    <row r="747" spans="1:55" ht="14.25" customHeight="1">
      <c r="A747" s="169"/>
      <c r="B747" s="169"/>
      <c r="C747" s="169"/>
      <c r="D747" s="169"/>
      <c r="E747" s="169"/>
      <c r="F747" s="169"/>
      <c r="G747" s="169"/>
      <c r="H747" s="169"/>
      <c r="I747" s="169"/>
      <c r="J747" s="169"/>
      <c r="K747" s="169"/>
      <c r="L747" s="169"/>
      <c r="M747" s="169"/>
      <c r="N747" s="169"/>
      <c r="O747" s="169"/>
      <c r="P747" s="169"/>
      <c r="Q747" s="169"/>
      <c r="R747" s="169"/>
      <c r="S747" s="169"/>
      <c r="T747" s="169"/>
      <c r="U747" s="169"/>
      <c r="V747" s="169"/>
      <c r="W747" s="169"/>
      <c r="X747" s="169"/>
      <c r="Y747" s="169"/>
      <c r="Z747" s="169"/>
      <c r="AA747" s="169"/>
      <c r="AB747" s="169"/>
      <c r="AC747" s="169"/>
      <c r="AD747" s="169"/>
      <c r="AE747" s="169"/>
      <c r="AF747" s="169"/>
      <c r="AG747" s="169"/>
      <c r="AH747" s="169"/>
      <c r="AI747" s="169"/>
      <c r="AJ747" s="169"/>
      <c r="AK747" s="169"/>
      <c r="AL747" s="169"/>
      <c r="AM747" s="169"/>
      <c r="AN747" s="169"/>
      <c r="AO747" s="169"/>
      <c r="AP747" s="169"/>
      <c r="AQ747" s="169"/>
      <c r="AR747" s="169"/>
      <c r="AS747" s="169"/>
      <c r="AT747" s="169"/>
      <c r="AU747" s="169"/>
      <c r="AV747" s="169"/>
      <c r="AW747" s="169"/>
      <c r="AX747" s="169"/>
      <c r="AY747" s="169"/>
      <c r="AZ747" s="169"/>
      <c r="BA747" s="169"/>
      <c r="BB747" s="169"/>
      <c r="BC747" s="169"/>
    </row>
    <row r="748" spans="1:55" ht="14.25" customHeight="1">
      <c r="A748" s="169"/>
      <c r="B748" s="169"/>
      <c r="C748" s="169"/>
      <c r="D748" s="169"/>
      <c r="E748" s="169"/>
      <c r="F748" s="169"/>
      <c r="G748" s="169"/>
      <c r="H748" s="169"/>
      <c r="I748" s="169"/>
      <c r="J748" s="169"/>
      <c r="K748" s="169"/>
      <c r="L748" s="169"/>
      <c r="M748" s="169"/>
      <c r="N748" s="169"/>
      <c r="O748" s="169"/>
      <c r="P748" s="169"/>
      <c r="Q748" s="169"/>
      <c r="R748" s="169"/>
      <c r="S748" s="169"/>
      <c r="T748" s="169"/>
      <c r="U748" s="169"/>
      <c r="V748" s="169"/>
      <c r="W748" s="169"/>
      <c r="X748" s="169"/>
      <c r="Y748" s="169"/>
      <c r="Z748" s="169"/>
      <c r="AA748" s="169"/>
      <c r="AB748" s="169"/>
      <c r="AC748" s="169"/>
      <c r="AD748" s="169"/>
      <c r="AE748" s="169"/>
      <c r="AF748" s="169"/>
      <c r="AG748" s="169"/>
      <c r="AH748" s="169"/>
      <c r="AI748" s="169"/>
      <c r="AJ748" s="169"/>
      <c r="AK748" s="169"/>
      <c r="AL748" s="169"/>
      <c r="AM748" s="169"/>
      <c r="AN748" s="169"/>
      <c r="AO748" s="169"/>
      <c r="AP748" s="169"/>
      <c r="AQ748" s="169"/>
      <c r="AR748" s="169"/>
      <c r="AS748" s="169"/>
      <c r="AT748" s="169"/>
      <c r="AU748" s="169"/>
      <c r="AV748" s="169"/>
      <c r="AW748" s="169"/>
      <c r="AX748" s="169"/>
      <c r="AY748" s="169"/>
      <c r="AZ748" s="169"/>
      <c r="BA748" s="169"/>
      <c r="BB748" s="169"/>
      <c r="BC748" s="169"/>
    </row>
    <row r="749" spans="1:55" ht="14.25" customHeight="1">
      <c r="A749" s="169"/>
      <c r="B749" s="169"/>
      <c r="C749" s="169"/>
      <c r="D749" s="169"/>
      <c r="E749" s="169"/>
      <c r="F749" s="169"/>
      <c r="G749" s="169"/>
      <c r="H749" s="169"/>
      <c r="I749" s="169"/>
      <c r="J749" s="169"/>
      <c r="K749" s="169"/>
      <c r="L749" s="169"/>
      <c r="M749" s="169"/>
      <c r="N749" s="169"/>
      <c r="O749" s="169"/>
      <c r="P749" s="169"/>
      <c r="Q749" s="169"/>
      <c r="R749" s="169"/>
      <c r="S749" s="169"/>
      <c r="T749" s="169"/>
      <c r="U749" s="169"/>
      <c r="V749" s="169"/>
      <c r="W749" s="169"/>
      <c r="X749" s="169"/>
      <c r="Y749" s="169"/>
      <c r="Z749" s="169"/>
      <c r="AA749" s="169"/>
      <c r="AB749" s="169"/>
      <c r="AC749" s="169"/>
      <c r="AD749" s="169"/>
      <c r="AE749" s="169"/>
      <c r="AF749" s="169"/>
      <c r="AG749" s="169"/>
      <c r="AH749" s="169"/>
      <c r="AI749" s="169"/>
      <c r="AJ749" s="169"/>
      <c r="AK749" s="169"/>
      <c r="AL749" s="169"/>
      <c r="AM749" s="169"/>
      <c r="AN749" s="169"/>
      <c r="AO749" s="169"/>
      <c r="AP749" s="169"/>
      <c r="AQ749" s="169"/>
      <c r="AR749" s="169"/>
      <c r="AS749" s="169"/>
      <c r="AT749" s="169"/>
      <c r="AU749" s="169"/>
      <c r="AV749" s="169"/>
      <c r="AW749" s="169"/>
      <c r="AX749" s="169"/>
      <c r="AY749" s="169"/>
      <c r="AZ749" s="169"/>
      <c r="BA749" s="169"/>
      <c r="BB749" s="169"/>
      <c r="BC749" s="169"/>
    </row>
    <row r="750" spans="1:55" ht="14.25" customHeight="1">
      <c r="A750" s="169"/>
      <c r="B750" s="169"/>
      <c r="C750" s="169"/>
      <c r="D750" s="169"/>
      <c r="E750" s="169"/>
      <c r="F750" s="169"/>
      <c r="G750" s="169"/>
      <c r="H750" s="169"/>
      <c r="I750" s="169"/>
      <c r="J750" s="169"/>
      <c r="K750" s="169"/>
      <c r="L750" s="169"/>
      <c r="M750" s="169"/>
      <c r="N750" s="169"/>
      <c r="O750" s="169"/>
      <c r="P750" s="169"/>
      <c r="Q750" s="169"/>
      <c r="R750" s="169"/>
      <c r="S750" s="169"/>
      <c r="T750" s="169"/>
      <c r="U750" s="169"/>
      <c r="V750" s="169"/>
      <c r="W750" s="169"/>
      <c r="X750" s="169"/>
      <c r="Y750" s="169"/>
      <c r="Z750" s="169"/>
      <c r="AA750" s="169"/>
      <c r="AB750" s="169"/>
      <c r="AC750" s="169"/>
      <c r="AD750" s="169"/>
      <c r="AE750" s="169"/>
      <c r="AF750" s="169"/>
      <c r="AG750" s="169"/>
      <c r="AH750" s="169"/>
      <c r="AI750" s="169"/>
      <c r="AJ750" s="169"/>
      <c r="AK750" s="169"/>
      <c r="AL750" s="169"/>
      <c r="AM750" s="169"/>
      <c r="AN750" s="169"/>
      <c r="AO750" s="169"/>
      <c r="AP750" s="169"/>
      <c r="AQ750" s="169"/>
      <c r="AR750" s="169"/>
      <c r="AS750" s="169"/>
      <c r="AT750" s="169"/>
      <c r="AU750" s="169"/>
      <c r="AV750" s="169"/>
      <c r="AW750" s="169"/>
      <c r="AX750" s="169"/>
      <c r="AY750" s="169"/>
      <c r="AZ750" s="169"/>
      <c r="BA750" s="169"/>
      <c r="BB750" s="169"/>
      <c r="BC750" s="169"/>
    </row>
    <row r="751" spans="1:55" ht="14.25" customHeight="1">
      <c r="A751" s="169"/>
      <c r="B751" s="169"/>
      <c r="C751" s="169"/>
      <c r="D751" s="169"/>
      <c r="E751" s="169"/>
      <c r="F751" s="169"/>
      <c r="G751" s="169"/>
      <c r="H751" s="169"/>
      <c r="I751" s="169"/>
      <c r="J751" s="169"/>
      <c r="K751" s="169"/>
      <c r="L751" s="169"/>
      <c r="M751" s="169"/>
      <c r="N751" s="169"/>
      <c r="O751" s="169"/>
      <c r="P751" s="169"/>
      <c r="Q751" s="169"/>
      <c r="R751" s="169"/>
      <c r="S751" s="169"/>
      <c r="T751" s="169"/>
      <c r="U751" s="169"/>
      <c r="V751" s="169"/>
      <c r="W751" s="169"/>
      <c r="X751" s="169"/>
      <c r="Y751" s="169"/>
      <c r="Z751" s="169"/>
      <c r="AA751" s="169"/>
      <c r="AB751" s="169"/>
      <c r="AC751" s="169"/>
      <c r="AD751" s="169"/>
      <c r="AE751" s="169"/>
      <c r="AF751" s="169"/>
      <c r="AG751" s="169"/>
      <c r="AH751" s="169"/>
      <c r="AI751" s="169"/>
      <c r="AJ751" s="169"/>
      <c r="AK751" s="169"/>
      <c r="AL751" s="169"/>
      <c r="AM751" s="169"/>
      <c r="AN751" s="169"/>
      <c r="AO751" s="169"/>
      <c r="AP751" s="169"/>
      <c r="AQ751" s="169"/>
      <c r="AR751" s="169"/>
      <c r="AS751" s="169"/>
      <c r="AT751" s="169"/>
      <c r="AU751" s="169"/>
      <c r="AV751" s="169"/>
      <c r="AW751" s="169"/>
      <c r="AX751" s="169"/>
      <c r="AY751" s="169"/>
      <c r="AZ751" s="169"/>
      <c r="BA751" s="169"/>
      <c r="BB751" s="169"/>
      <c r="BC751" s="169"/>
    </row>
    <row r="752" spans="1:55" ht="14.25" customHeight="1">
      <c r="A752" s="169"/>
      <c r="B752" s="169"/>
      <c r="C752" s="169"/>
      <c r="D752" s="169"/>
      <c r="E752" s="169"/>
      <c r="F752" s="169"/>
      <c r="G752" s="169"/>
      <c r="H752" s="169"/>
      <c r="I752" s="169"/>
      <c r="J752" s="169"/>
      <c r="K752" s="169"/>
      <c r="L752" s="169"/>
      <c r="M752" s="169"/>
      <c r="N752" s="169"/>
      <c r="O752" s="169"/>
      <c r="P752" s="169"/>
      <c r="Q752" s="169"/>
      <c r="R752" s="169"/>
      <c r="S752" s="169"/>
      <c r="T752" s="169"/>
      <c r="U752" s="169"/>
      <c r="V752" s="169"/>
      <c r="W752" s="169"/>
      <c r="X752" s="169"/>
      <c r="Y752" s="169"/>
      <c r="Z752" s="169"/>
      <c r="AA752" s="169"/>
      <c r="AB752" s="169"/>
      <c r="AC752" s="169"/>
      <c r="AD752" s="169"/>
      <c r="AE752" s="169"/>
      <c r="AF752" s="169"/>
      <c r="AG752" s="169"/>
      <c r="AH752" s="169"/>
      <c r="AI752" s="169"/>
      <c r="AJ752" s="169"/>
      <c r="AK752" s="169"/>
      <c r="AL752" s="169"/>
      <c r="AM752" s="169"/>
      <c r="AN752" s="169"/>
      <c r="AO752" s="169"/>
      <c r="AP752" s="169"/>
      <c r="AQ752" s="169"/>
      <c r="AR752" s="169"/>
      <c r="AS752" s="169"/>
      <c r="AT752" s="169"/>
      <c r="AU752" s="169"/>
      <c r="AV752" s="169"/>
      <c r="AW752" s="169"/>
      <c r="AX752" s="169"/>
      <c r="AY752" s="169"/>
      <c r="AZ752" s="169"/>
      <c r="BA752" s="169"/>
      <c r="BB752" s="169"/>
      <c r="BC752" s="169"/>
    </row>
    <row r="753" spans="1:55" ht="14.25" customHeight="1">
      <c r="A753" s="169"/>
      <c r="B753" s="169"/>
      <c r="C753" s="169"/>
      <c r="D753" s="169"/>
      <c r="E753" s="169"/>
      <c r="F753" s="169"/>
      <c r="G753" s="169"/>
      <c r="H753" s="169"/>
      <c r="I753" s="169"/>
      <c r="J753" s="169"/>
      <c r="K753" s="169"/>
      <c r="L753" s="169"/>
      <c r="M753" s="169"/>
      <c r="N753" s="169"/>
      <c r="O753" s="169"/>
      <c r="P753" s="169"/>
      <c r="Q753" s="169"/>
      <c r="R753" s="169"/>
      <c r="S753" s="169"/>
      <c r="T753" s="169"/>
      <c r="U753" s="169"/>
      <c r="V753" s="169"/>
      <c r="W753" s="169"/>
      <c r="X753" s="169"/>
      <c r="Y753" s="169"/>
      <c r="Z753" s="169"/>
      <c r="AA753" s="169"/>
      <c r="AB753" s="169"/>
      <c r="AC753" s="169"/>
      <c r="AD753" s="169"/>
      <c r="AE753" s="169"/>
      <c r="AF753" s="169"/>
      <c r="AG753" s="169"/>
      <c r="AH753" s="169"/>
      <c r="AI753" s="169"/>
      <c r="AJ753" s="169"/>
      <c r="AK753" s="169"/>
      <c r="AL753" s="169"/>
      <c r="AM753" s="169"/>
      <c r="AN753" s="169"/>
      <c r="AO753" s="169"/>
      <c r="AP753" s="169"/>
      <c r="AQ753" s="169"/>
      <c r="AR753" s="169"/>
      <c r="AS753" s="169"/>
      <c r="AT753" s="169"/>
      <c r="AU753" s="169"/>
      <c r="AV753" s="169"/>
      <c r="AW753" s="169"/>
      <c r="AX753" s="169"/>
      <c r="AY753" s="169"/>
      <c r="AZ753" s="169"/>
      <c r="BA753" s="169"/>
      <c r="BB753" s="169"/>
      <c r="BC753" s="169"/>
    </row>
    <row r="754" spans="1:55" ht="14.25" customHeight="1">
      <c r="A754" s="169"/>
      <c r="B754" s="169"/>
      <c r="C754" s="169"/>
      <c r="D754" s="169"/>
      <c r="E754" s="169"/>
      <c r="F754" s="169"/>
      <c r="G754" s="169"/>
      <c r="H754" s="169"/>
      <c r="I754" s="169"/>
      <c r="J754" s="169"/>
      <c r="K754" s="169"/>
      <c r="L754" s="169"/>
      <c r="M754" s="169"/>
      <c r="N754" s="169"/>
      <c r="O754" s="169"/>
      <c r="P754" s="169"/>
      <c r="Q754" s="169"/>
      <c r="R754" s="169"/>
      <c r="S754" s="169"/>
      <c r="T754" s="169"/>
      <c r="U754" s="169"/>
      <c r="V754" s="169"/>
      <c r="W754" s="169"/>
      <c r="X754" s="169"/>
      <c r="Y754" s="169"/>
      <c r="Z754" s="169"/>
      <c r="AA754" s="169"/>
      <c r="AB754" s="169"/>
      <c r="AC754" s="169"/>
      <c r="AD754" s="169"/>
      <c r="AE754" s="169"/>
      <c r="AF754" s="169"/>
      <c r="AG754" s="169"/>
      <c r="AH754" s="169"/>
      <c r="AI754" s="169"/>
      <c r="AJ754" s="169"/>
      <c r="AK754" s="169"/>
      <c r="AL754" s="169"/>
      <c r="AM754" s="169"/>
      <c r="AN754" s="169"/>
      <c r="AO754" s="169"/>
      <c r="AP754" s="169"/>
      <c r="AQ754" s="169"/>
      <c r="AR754" s="169"/>
      <c r="AS754" s="169"/>
      <c r="AT754" s="169"/>
      <c r="AU754" s="169"/>
      <c r="AV754" s="169"/>
      <c r="AW754" s="169"/>
      <c r="AX754" s="169"/>
      <c r="AY754" s="169"/>
      <c r="AZ754" s="169"/>
      <c r="BA754" s="169"/>
      <c r="BB754" s="169"/>
      <c r="BC754" s="169"/>
    </row>
    <row r="755" spans="1:55" ht="14.25" customHeight="1">
      <c r="A755" s="169"/>
      <c r="B755" s="169"/>
      <c r="C755" s="169"/>
      <c r="D755" s="169"/>
      <c r="E755" s="169"/>
      <c r="F755" s="169"/>
      <c r="G755" s="169"/>
      <c r="H755" s="169"/>
      <c r="I755" s="169"/>
      <c r="J755" s="169"/>
      <c r="K755" s="169"/>
      <c r="L755" s="169"/>
      <c r="M755" s="169"/>
      <c r="N755" s="169"/>
      <c r="O755" s="169"/>
      <c r="P755" s="169"/>
      <c r="Q755" s="169"/>
      <c r="R755" s="169"/>
      <c r="S755" s="169"/>
      <c r="T755" s="169"/>
      <c r="U755" s="169"/>
      <c r="V755" s="169"/>
      <c r="W755" s="169"/>
      <c r="X755" s="169"/>
      <c r="Y755" s="169"/>
      <c r="Z755" s="169"/>
      <c r="AA755" s="169"/>
      <c r="AB755" s="169"/>
      <c r="AC755" s="169"/>
      <c r="AD755" s="169"/>
      <c r="AE755" s="169"/>
      <c r="AF755" s="169"/>
      <c r="AG755" s="169"/>
      <c r="AH755" s="169"/>
      <c r="AI755" s="169"/>
      <c r="AJ755" s="169"/>
      <c r="AK755" s="169"/>
      <c r="AL755" s="169"/>
      <c r="AM755" s="169"/>
      <c r="AN755" s="169"/>
      <c r="AO755" s="169"/>
      <c r="AP755" s="169"/>
      <c r="AQ755" s="169"/>
      <c r="AR755" s="169"/>
      <c r="AS755" s="169"/>
      <c r="AT755" s="169"/>
      <c r="AU755" s="169"/>
      <c r="AV755" s="169"/>
      <c r="AW755" s="169"/>
      <c r="AX755" s="169"/>
      <c r="AY755" s="169"/>
      <c r="AZ755" s="169"/>
      <c r="BA755" s="169"/>
      <c r="BB755" s="169"/>
      <c r="BC755" s="169"/>
    </row>
    <row r="756" spans="1:55" ht="14.25" customHeight="1">
      <c r="A756" s="169"/>
      <c r="B756" s="169"/>
      <c r="C756" s="169"/>
      <c r="D756" s="169"/>
      <c r="E756" s="169"/>
      <c r="F756" s="169"/>
      <c r="G756" s="169"/>
      <c r="H756" s="169"/>
      <c r="I756" s="169"/>
      <c r="J756" s="169"/>
      <c r="K756" s="169"/>
      <c r="L756" s="169"/>
      <c r="M756" s="169"/>
      <c r="N756" s="169"/>
      <c r="O756" s="169"/>
      <c r="P756" s="169"/>
      <c r="Q756" s="169"/>
      <c r="R756" s="169"/>
      <c r="S756" s="169"/>
      <c r="T756" s="169"/>
      <c r="U756" s="169"/>
      <c r="V756" s="169"/>
      <c r="W756" s="169"/>
      <c r="X756" s="169"/>
      <c r="Y756" s="169"/>
      <c r="Z756" s="169"/>
      <c r="AA756" s="169"/>
      <c r="AB756" s="169"/>
      <c r="AC756" s="169"/>
      <c r="AD756" s="169"/>
      <c r="AE756" s="169"/>
      <c r="AF756" s="169"/>
      <c r="AG756" s="169"/>
      <c r="AH756" s="169"/>
      <c r="AI756" s="169"/>
      <c r="AJ756" s="169"/>
      <c r="AK756" s="169"/>
      <c r="AL756" s="169"/>
      <c r="AM756" s="169"/>
      <c r="AN756" s="169"/>
      <c r="AO756" s="169"/>
      <c r="AP756" s="169"/>
      <c r="AQ756" s="169"/>
      <c r="AR756" s="169"/>
      <c r="AS756" s="169"/>
      <c r="AT756" s="169"/>
      <c r="AU756" s="169"/>
      <c r="AV756" s="169"/>
      <c r="AW756" s="169"/>
      <c r="AX756" s="169"/>
      <c r="AY756" s="169"/>
      <c r="AZ756" s="169"/>
      <c r="BA756" s="169"/>
      <c r="BB756" s="169"/>
      <c r="BC756" s="169"/>
    </row>
    <row r="757" spans="1:55" ht="14.25" customHeight="1">
      <c r="A757" s="169"/>
      <c r="B757" s="169"/>
      <c r="C757" s="169"/>
      <c r="D757" s="169"/>
      <c r="E757" s="169"/>
      <c r="F757" s="169"/>
      <c r="G757" s="169"/>
      <c r="H757" s="169"/>
      <c r="I757" s="169"/>
      <c r="J757" s="169"/>
      <c r="K757" s="169"/>
      <c r="L757" s="169"/>
      <c r="M757" s="169"/>
      <c r="N757" s="169"/>
      <c r="O757" s="169"/>
      <c r="P757" s="169"/>
      <c r="Q757" s="169"/>
      <c r="R757" s="169"/>
      <c r="S757" s="169"/>
      <c r="T757" s="169"/>
      <c r="U757" s="169"/>
      <c r="V757" s="169"/>
      <c r="W757" s="169"/>
      <c r="X757" s="169"/>
      <c r="Y757" s="169"/>
      <c r="Z757" s="169"/>
      <c r="AA757" s="169"/>
      <c r="AB757" s="169"/>
      <c r="AC757" s="169"/>
      <c r="AD757" s="169"/>
      <c r="AE757" s="169"/>
      <c r="AF757" s="169"/>
      <c r="AG757" s="169"/>
      <c r="AH757" s="169"/>
      <c r="AI757" s="169"/>
      <c r="AJ757" s="169"/>
      <c r="AK757" s="169"/>
      <c r="AL757" s="169"/>
      <c r="AM757" s="169"/>
      <c r="AN757" s="169"/>
      <c r="AO757" s="169"/>
      <c r="AP757" s="169"/>
      <c r="AQ757" s="169"/>
      <c r="AR757" s="169"/>
      <c r="AS757" s="169"/>
      <c r="AT757" s="169"/>
      <c r="AU757" s="169"/>
      <c r="AV757" s="169"/>
      <c r="AW757" s="169"/>
      <c r="AX757" s="169"/>
      <c r="AY757" s="169"/>
      <c r="AZ757" s="169"/>
      <c r="BA757" s="169"/>
      <c r="BB757" s="169"/>
      <c r="BC757" s="169"/>
    </row>
    <row r="758" spans="1:55" ht="14.25" customHeight="1">
      <c r="A758" s="169"/>
      <c r="B758" s="169"/>
      <c r="C758" s="169"/>
      <c r="D758" s="169"/>
      <c r="E758" s="169"/>
      <c r="F758" s="169"/>
      <c r="G758" s="169"/>
      <c r="H758" s="169"/>
      <c r="I758" s="169"/>
      <c r="J758" s="169"/>
      <c r="K758" s="169"/>
      <c r="L758" s="169"/>
      <c r="M758" s="169"/>
      <c r="N758" s="169"/>
      <c r="O758" s="169"/>
      <c r="P758" s="169"/>
      <c r="Q758" s="169"/>
      <c r="R758" s="169"/>
      <c r="S758" s="169"/>
      <c r="T758" s="169"/>
      <c r="U758" s="169"/>
      <c r="V758" s="169"/>
      <c r="W758" s="169"/>
      <c r="X758" s="169"/>
      <c r="Y758" s="169"/>
      <c r="Z758" s="169"/>
      <c r="AA758" s="169"/>
      <c r="AB758" s="169"/>
      <c r="AC758" s="169"/>
      <c r="AD758" s="169"/>
      <c r="AE758" s="169"/>
      <c r="AF758" s="169"/>
      <c r="AG758" s="169"/>
      <c r="AH758" s="169"/>
      <c r="AI758" s="169"/>
      <c r="AJ758" s="169"/>
      <c r="AK758" s="169"/>
      <c r="AL758" s="169"/>
      <c r="AM758" s="169"/>
      <c r="AN758" s="169"/>
      <c r="AO758" s="169"/>
      <c r="AP758" s="169"/>
      <c r="AQ758" s="169"/>
      <c r="AR758" s="169"/>
      <c r="AS758" s="169"/>
      <c r="AT758" s="169"/>
      <c r="AU758" s="169"/>
      <c r="AV758" s="169"/>
      <c r="AW758" s="169"/>
      <c r="AX758" s="169"/>
      <c r="AY758" s="169"/>
      <c r="AZ758" s="169"/>
      <c r="BA758" s="169"/>
      <c r="BB758" s="169"/>
      <c r="BC758" s="169"/>
    </row>
    <row r="759" spans="1:55" ht="14.25" customHeight="1">
      <c r="A759" s="169"/>
      <c r="B759" s="169"/>
      <c r="C759" s="169"/>
      <c r="D759" s="169"/>
      <c r="E759" s="169"/>
      <c r="F759" s="169"/>
      <c r="G759" s="169"/>
      <c r="H759" s="169"/>
      <c r="I759" s="169"/>
      <c r="J759" s="169"/>
      <c r="K759" s="169"/>
      <c r="L759" s="169"/>
      <c r="M759" s="169"/>
      <c r="N759" s="169"/>
      <c r="O759" s="169"/>
      <c r="P759" s="169"/>
      <c r="Q759" s="169"/>
      <c r="R759" s="169"/>
      <c r="S759" s="169"/>
      <c r="T759" s="169"/>
      <c r="U759" s="169"/>
      <c r="V759" s="169"/>
      <c r="W759" s="169"/>
      <c r="X759" s="169"/>
      <c r="Y759" s="169"/>
      <c r="Z759" s="169"/>
      <c r="AA759" s="169"/>
      <c r="AB759" s="169"/>
      <c r="AC759" s="169"/>
      <c r="AD759" s="169"/>
      <c r="AE759" s="169"/>
      <c r="AF759" s="169"/>
      <c r="AG759" s="169"/>
      <c r="AH759" s="169"/>
      <c r="AI759" s="169"/>
      <c r="AJ759" s="169"/>
      <c r="AK759" s="169"/>
      <c r="AL759" s="169"/>
      <c r="AM759" s="169"/>
      <c r="AN759" s="169"/>
      <c r="AO759" s="169"/>
      <c r="AP759" s="169"/>
      <c r="AQ759" s="169"/>
      <c r="AR759" s="169"/>
      <c r="AS759" s="169"/>
      <c r="AT759" s="169"/>
      <c r="AU759" s="169"/>
      <c r="AV759" s="169"/>
      <c r="AW759" s="169"/>
      <c r="AX759" s="169"/>
      <c r="AY759" s="169"/>
      <c r="AZ759" s="169"/>
      <c r="BA759" s="169"/>
      <c r="BB759" s="169"/>
      <c r="BC759" s="169"/>
    </row>
    <row r="760" spans="1:55" ht="14.25" customHeight="1">
      <c r="A760" s="169"/>
      <c r="B760" s="169"/>
      <c r="C760" s="169"/>
      <c r="D760" s="169"/>
      <c r="E760" s="169"/>
      <c r="F760" s="169"/>
      <c r="G760" s="169"/>
      <c r="H760" s="169"/>
      <c r="I760" s="169"/>
      <c r="J760" s="169"/>
      <c r="K760" s="169"/>
      <c r="L760" s="169"/>
      <c r="M760" s="169"/>
      <c r="N760" s="169"/>
      <c r="O760" s="169"/>
      <c r="P760" s="169"/>
      <c r="Q760" s="169"/>
      <c r="R760" s="169"/>
      <c r="S760" s="169"/>
      <c r="T760" s="169"/>
      <c r="U760" s="169"/>
      <c r="V760" s="169"/>
      <c r="W760" s="169"/>
      <c r="X760" s="169"/>
      <c r="Y760" s="169"/>
      <c r="Z760" s="169"/>
      <c r="AA760" s="169"/>
      <c r="AB760" s="169"/>
      <c r="AC760" s="169"/>
      <c r="AD760" s="169"/>
      <c r="AE760" s="169"/>
      <c r="AF760" s="169"/>
      <c r="AG760" s="169"/>
      <c r="AH760" s="169"/>
      <c r="AI760" s="169"/>
      <c r="AJ760" s="169"/>
      <c r="AK760" s="169"/>
      <c r="AL760" s="169"/>
      <c r="AM760" s="169"/>
      <c r="AN760" s="169"/>
      <c r="AO760" s="169"/>
      <c r="AP760" s="169"/>
      <c r="AQ760" s="169"/>
      <c r="AR760" s="169"/>
      <c r="AS760" s="169"/>
      <c r="AT760" s="169"/>
      <c r="AU760" s="169"/>
      <c r="AV760" s="169"/>
      <c r="AW760" s="169"/>
      <c r="AX760" s="169"/>
      <c r="AY760" s="169"/>
      <c r="AZ760" s="169"/>
      <c r="BA760" s="169"/>
      <c r="BB760" s="169"/>
      <c r="BC760" s="169"/>
    </row>
    <row r="761" spans="1:55" ht="14.25" customHeight="1">
      <c r="A761" s="169"/>
      <c r="B761" s="169"/>
      <c r="C761" s="169"/>
      <c r="D761" s="169"/>
      <c r="E761" s="169"/>
      <c r="F761" s="169"/>
      <c r="G761" s="169"/>
      <c r="H761" s="169"/>
      <c r="I761" s="169"/>
      <c r="J761" s="169"/>
      <c r="K761" s="169"/>
      <c r="L761" s="169"/>
      <c r="M761" s="169"/>
      <c r="N761" s="169"/>
      <c r="O761" s="169"/>
      <c r="P761" s="169"/>
      <c r="Q761" s="169"/>
      <c r="R761" s="169"/>
      <c r="S761" s="169"/>
      <c r="T761" s="169"/>
      <c r="U761" s="169"/>
      <c r="V761" s="169"/>
      <c r="W761" s="169"/>
      <c r="X761" s="169"/>
      <c r="Y761" s="169"/>
      <c r="Z761" s="169"/>
      <c r="AA761" s="169"/>
      <c r="AB761" s="169"/>
      <c r="AC761" s="169"/>
      <c r="AD761" s="169"/>
      <c r="AE761" s="169"/>
      <c r="AF761" s="169"/>
      <c r="AG761" s="169"/>
      <c r="AH761" s="169"/>
      <c r="AI761" s="169"/>
      <c r="AJ761" s="169"/>
      <c r="AK761" s="169"/>
      <c r="AL761" s="169"/>
      <c r="AM761" s="169"/>
      <c r="AN761" s="169"/>
      <c r="AO761" s="169"/>
      <c r="AP761" s="169"/>
      <c r="AQ761" s="169"/>
      <c r="AR761" s="169"/>
      <c r="AS761" s="169"/>
      <c r="AT761" s="169"/>
      <c r="AU761" s="169"/>
      <c r="AV761" s="169"/>
      <c r="AW761" s="169"/>
      <c r="AX761" s="169"/>
      <c r="AY761" s="169"/>
      <c r="AZ761" s="169"/>
      <c r="BA761" s="169"/>
      <c r="BB761" s="169"/>
      <c r="BC761" s="169"/>
    </row>
    <row r="762" spans="1:55" ht="14.25" customHeight="1">
      <c r="A762" s="169"/>
      <c r="B762" s="169"/>
      <c r="C762" s="169"/>
      <c r="D762" s="169"/>
      <c r="E762" s="169"/>
      <c r="F762" s="169"/>
      <c r="G762" s="169"/>
      <c r="H762" s="169"/>
      <c r="I762" s="169"/>
      <c r="J762" s="169"/>
      <c r="K762" s="169"/>
      <c r="L762" s="169"/>
      <c r="M762" s="169"/>
      <c r="N762" s="169"/>
      <c r="O762" s="169"/>
      <c r="P762" s="169"/>
      <c r="Q762" s="169"/>
      <c r="R762" s="169"/>
      <c r="S762" s="169"/>
      <c r="T762" s="169"/>
      <c r="U762" s="169"/>
      <c r="V762" s="169"/>
      <c r="W762" s="169"/>
      <c r="X762" s="169"/>
      <c r="Y762" s="169"/>
      <c r="Z762" s="169"/>
      <c r="AA762" s="169"/>
      <c r="AB762" s="169"/>
      <c r="AC762" s="169"/>
      <c r="AD762" s="169"/>
      <c r="AE762" s="169"/>
      <c r="AF762" s="169"/>
      <c r="AG762" s="169"/>
      <c r="AH762" s="169"/>
      <c r="AI762" s="169"/>
      <c r="AJ762" s="169"/>
      <c r="AK762" s="169"/>
      <c r="AL762" s="169"/>
      <c r="AM762" s="169"/>
      <c r="AN762" s="169"/>
      <c r="AO762" s="169"/>
      <c r="AP762" s="169"/>
      <c r="AQ762" s="169"/>
      <c r="AR762" s="169"/>
      <c r="AS762" s="169"/>
      <c r="AT762" s="169"/>
      <c r="AU762" s="169"/>
      <c r="AV762" s="169"/>
      <c r="AW762" s="169"/>
      <c r="AX762" s="169"/>
      <c r="AY762" s="169"/>
      <c r="AZ762" s="169"/>
      <c r="BA762" s="169"/>
      <c r="BB762" s="169"/>
      <c r="BC762" s="169"/>
    </row>
    <row r="763" spans="1:55" ht="14.25" customHeight="1">
      <c r="A763" s="169"/>
      <c r="B763" s="169"/>
      <c r="C763" s="169"/>
      <c r="D763" s="169"/>
      <c r="E763" s="169"/>
      <c r="F763" s="169"/>
      <c r="G763" s="169"/>
      <c r="H763" s="169"/>
      <c r="I763" s="169"/>
      <c r="J763" s="169"/>
      <c r="K763" s="169"/>
      <c r="L763" s="169"/>
      <c r="M763" s="169"/>
      <c r="N763" s="169"/>
      <c r="O763" s="169"/>
      <c r="P763" s="169"/>
      <c r="Q763" s="169"/>
      <c r="R763" s="169"/>
      <c r="S763" s="169"/>
      <c r="T763" s="169"/>
      <c r="U763" s="169"/>
      <c r="V763" s="169"/>
      <c r="W763" s="169"/>
      <c r="X763" s="169"/>
      <c r="Y763" s="169"/>
      <c r="Z763" s="169"/>
      <c r="AA763" s="169"/>
      <c r="AB763" s="169"/>
      <c r="AC763" s="169"/>
      <c r="AD763" s="169"/>
      <c r="AE763" s="169"/>
      <c r="AF763" s="169"/>
      <c r="AG763" s="169"/>
      <c r="AH763" s="169"/>
      <c r="AI763" s="169"/>
      <c r="AJ763" s="169"/>
      <c r="AK763" s="169"/>
      <c r="AL763" s="169"/>
      <c r="AM763" s="169"/>
      <c r="AN763" s="169"/>
      <c r="AO763" s="169"/>
      <c r="AP763" s="169"/>
      <c r="AQ763" s="169"/>
      <c r="AR763" s="169"/>
      <c r="AS763" s="169"/>
      <c r="AT763" s="169"/>
      <c r="AU763" s="169"/>
      <c r="AV763" s="169"/>
      <c r="AW763" s="169"/>
      <c r="AX763" s="169"/>
      <c r="AY763" s="169"/>
      <c r="AZ763" s="169"/>
      <c r="BA763" s="169"/>
      <c r="BB763" s="169"/>
      <c r="BC763" s="169"/>
    </row>
    <row r="764" spans="1:55" ht="14.25" customHeight="1">
      <c r="A764" s="169"/>
      <c r="B764" s="169"/>
      <c r="C764" s="169"/>
      <c r="D764" s="169"/>
      <c r="E764" s="169"/>
      <c r="F764" s="169"/>
      <c r="G764" s="169"/>
      <c r="H764" s="169"/>
      <c r="I764" s="169"/>
      <c r="J764" s="169"/>
      <c r="K764" s="169"/>
      <c r="L764" s="169"/>
      <c r="M764" s="169"/>
      <c r="N764" s="169"/>
      <c r="O764" s="169"/>
      <c r="P764" s="169"/>
      <c r="Q764" s="169"/>
      <c r="R764" s="169"/>
      <c r="S764" s="169"/>
      <c r="T764" s="169"/>
      <c r="U764" s="169"/>
      <c r="V764" s="169"/>
      <c r="W764" s="169"/>
      <c r="X764" s="169"/>
      <c r="Y764" s="169"/>
      <c r="Z764" s="169"/>
      <c r="AA764" s="169"/>
      <c r="AB764" s="169"/>
      <c r="AC764" s="169"/>
      <c r="AD764" s="169"/>
      <c r="AE764" s="169"/>
      <c r="AF764" s="169"/>
      <c r="AG764" s="169"/>
      <c r="AH764" s="169"/>
      <c r="AI764" s="169"/>
      <c r="AJ764" s="169"/>
      <c r="AK764" s="169"/>
      <c r="AL764" s="169"/>
      <c r="AM764" s="169"/>
      <c r="AN764" s="169"/>
      <c r="AO764" s="169"/>
      <c r="AP764" s="169"/>
      <c r="AQ764" s="169"/>
      <c r="AR764" s="169"/>
      <c r="AS764" s="169"/>
      <c r="AT764" s="169"/>
      <c r="AU764" s="169"/>
      <c r="AV764" s="169"/>
      <c r="AW764" s="169"/>
      <c r="AX764" s="169"/>
      <c r="AY764" s="169"/>
      <c r="AZ764" s="169"/>
      <c r="BA764" s="169"/>
      <c r="BB764" s="169"/>
      <c r="BC764" s="169"/>
    </row>
    <row r="765" spans="1:55" ht="14.25" customHeight="1">
      <c r="A765" s="169"/>
      <c r="B765" s="169"/>
      <c r="C765" s="169"/>
      <c r="D765" s="169"/>
      <c r="E765" s="169"/>
      <c r="F765" s="169"/>
      <c r="G765" s="169"/>
      <c r="H765" s="169"/>
      <c r="I765" s="169"/>
      <c r="J765" s="169"/>
      <c r="K765" s="169"/>
      <c r="L765" s="169"/>
      <c r="M765" s="169"/>
      <c r="N765" s="169"/>
      <c r="O765" s="169"/>
      <c r="P765" s="169"/>
      <c r="Q765" s="169"/>
      <c r="R765" s="169"/>
      <c r="S765" s="169"/>
      <c r="T765" s="169"/>
      <c r="U765" s="169"/>
      <c r="V765" s="169"/>
      <c r="W765" s="169"/>
      <c r="X765" s="169"/>
      <c r="Y765" s="169"/>
      <c r="Z765" s="169"/>
      <c r="AA765" s="169"/>
      <c r="AB765" s="169"/>
      <c r="AC765" s="169"/>
      <c r="AD765" s="169"/>
      <c r="AE765" s="169"/>
      <c r="AF765" s="169"/>
      <c r="AG765" s="169"/>
      <c r="AH765" s="169"/>
      <c r="AI765" s="169"/>
      <c r="AJ765" s="169"/>
      <c r="AK765" s="169"/>
      <c r="AL765" s="169"/>
      <c r="AM765" s="169"/>
      <c r="AN765" s="169"/>
      <c r="AO765" s="169"/>
      <c r="AP765" s="169"/>
      <c r="AQ765" s="169"/>
      <c r="AR765" s="169"/>
      <c r="AS765" s="169"/>
      <c r="AT765" s="169"/>
      <c r="AU765" s="169"/>
      <c r="AV765" s="169"/>
      <c r="AW765" s="169"/>
      <c r="AX765" s="169"/>
      <c r="AY765" s="169"/>
      <c r="AZ765" s="169"/>
      <c r="BA765" s="169"/>
      <c r="BB765" s="169"/>
      <c r="BC765" s="169"/>
    </row>
    <row r="766" spans="1:55" ht="14.25" customHeight="1">
      <c r="A766" s="169"/>
      <c r="B766" s="169"/>
      <c r="C766" s="169"/>
      <c r="D766" s="169"/>
      <c r="E766" s="169"/>
      <c r="F766" s="169"/>
      <c r="G766" s="169"/>
      <c r="H766" s="169"/>
      <c r="I766" s="169"/>
      <c r="J766" s="169"/>
      <c r="K766" s="169"/>
      <c r="L766" s="169"/>
      <c r="M766" s="169"/>
      <c r="N766" s="169"/>
      <c r="O766" s="169"/>
      <c r="P766" s="169"/>
      <c r="Q766" s="169"/>
      <c r="R766" s="169"/>
      <c r="S766" s="169"/>
      <c r="T766" s="169"/>
      <c r="U766" s="169"/>
      <c r="V766" s="169"/>
      <c r="W766" s="169"/>
      <c r="X766" s="169"/>
      <c r="Y766" s="169"/>
      <c r="Z766" s="169"/>
      <c r="AA766" s="169"/>
      <c r="AB766" s="169"/>
      <c r="AC766" s="169"/>
      <c r="AD766" s="169"/>
      <c r="AE766" s="169"/>
      <c r="AF766" s="169"/>
      <c r="AG766" s="169"/>
      <c r="AH766" s="169"/>
      <c r="AI766" s="169"/>
      <c r="AJ766" s="169"/>
      <c r="AK766" s="169"/>
      <c r="AL766" s="169"/>
      <c r="AM766" s="169"/>
      <c r="AN766" s="169"/>
      <c r="AO766" s="169"/>
      <c r="AP766" s="169"/>
      <c r="AQ766" s="169"/>
      <c r="AR766" s="169"/>
      <c r="AS766" s="169"/>
      <c r="AT766" s="169"/>
      <c r="AU766" s="169"/>
      <c r="AV766" s="169"/>
      <c r="AW766" s="169"/>
      <c r="AX766" s="169"/>
      <c r="AY766" s="169"/>
      <c r="AZ766" s="169"/>
      <c r="BA766" s="169"/>
      <c r="BB766" s="169"/>
      <c r="BC766" s="169"/>
    </row>
    <row r="767" spans="1:55" ht="14.25" customHeight="1">
      <c r="A767" s="169"/>
      <c r="B767" s="169"/>
      <c r="C767" s="169"/>
      <c r="D767" s="169"/>
      <c r="E767" s="169"/>
      <c r="F767" s="169"/>
      <c r="G767" s="169"/>
      <c r="H767" s="169"/>
      <c r="I767" s="169"/>
      <c r="J767" s="169"/>
      <c r="K767" s="169"/>
      <c r="L767" s="169"/>
      <c r="M767" s="169"/>
      <c r="N767" s="169"/>
      <c r="O767" s="169"/>
      <c r="P767" s="169"/>
      <c r="Q767" s="169"/>
      <c r="R767" s="169"/>
      <c r="S767" s="169"/>
      <c r="T767" s="169"/>
      <c r="U767" s="169"/>
      <c r="V767" s="169"/>
      <c r="W767" s="169"/>
      <c r="X767" s="169"/>
      <c r="Y767" s="169"/>
      <c r="Z767" s="169"/>
      <c r="AA767" s="169"/>
      <c r="AB767" s="169"/>
      <c r="AC767" s="169"/>
      <c r="AD767" s="169"/>
      <c r="AE767" s="169"/>
      <c r="AF767" s="169"/>
      <c r="AG767" s="169"/>
      <c r="AH767" s="169"/>
      <c r="AI767" s="169"/>
      <c r="AJ767" s="169"/>
      <c r="AK767" s="169"/>
      <c r="AL767" s="169"/>
      <c r="AM767" s="169"/>
      <c r="AN767" s="169"/>
      <c r="AO767" s="169"/>
      <c r="AP767" s="169"/>
      <c r="AQ767" s="169"/>
      <c r="AR767" s="169"/>
      <c r="AS767" s="169"/>
      <c r="AT767" s="169"/>
      <c r="AU767" s="169"/>
      <c r="AV767" s="169"/>
      <c r="AW767" s="169"/>
      <c r="AX767" s="169"/>
      <c r="AY767" s="169"/>
      <c r="AZ767" s="169"/>
      <c r="BA767" s="169"/>
      <c r="BB767" s="169"/>
      <c r="BC767" s="169"/>
    </row>
    <row r="768" spans="1:55" ht="14.25" customHeight="1">
      <c r="A768" s="169"/>
      <c r="B768" s="169"/>
      <c r="C768" s="169"/>
      <c r="D768" s="169"/>
      <c r="E768" s="169"/>
      <c r="F768" s="169"/>
      <c r="G768" s="169"/>
      <c r="H768" s="169"/>
      <c r="I768" s="169"/>
      <c r="J768" s="169"/>
      <c r="K768" s="169"/>
      <c r="L768" s="169"/>
      <c r="M768" s="169"/>
      <c r="N768" s="169"/>
      <c r="O768" s="169"/>
      <c r="P768" s="169"/>
      <c r="Q768" s="169"/>
      <c r="R768" s="169"/>
      <c r="S768" s="169"/>
      <c r="T768" s="169"/>
      <c r="U768" s="169"/>
      <c r="V768" s="169"/>
      <c r="W768" s="169"/>
      <c r="X768" s="169"/>
      <c r="Y768" s="169"/>
      <c r="Z768" s="169"/>
      <c r="AA768" s="169"/>
      <c r="AB768" s="169"/>
      <c r="AC768" s="169"/>
      <c r="AD768" s="169"/>
      <c r="AE768" s="169"/>
      <c r="AF768" s="169"/>
      <c r="AG768" s="169"/>
      <c r="AH768" s="169"/>
      <c r="AI768" s="169"/>
      <c r="AJ768" s="169"/>
      <c r="AK768" s="169"/>
      <c r="AL768" s="169"/>
      <c r="AM768" s="169"/>
      <c r="AN768" s="169"/>
      <c r="AO768" s="169"/>
      <c r="AP768" s="169"/>
      <c r="AQ768" s="169"/>
      <c r="AR768" s="169"/>
      <c r="AS768" s="169"/>
      <c r="AT768" s="169"/>
      <c r="AU768" s="169"/>
      <c r="AV768" s="169"/>
      <c r="AW768" s="169"/>
      <c r="AX768" s="169"/>
      <c r="AY768" s="169"/>
      <c r="AZ768" s="169"/>
      <c r="BA768" s="169"/>
      <c r="BB768" s="169"/>
      <c r="BC768" s="169"/>
    </row>
    <row r="769" spans="1:55" ht="14.25" customHeight="1">
      <c r="A769" s="169"/>
      <c r="B769" s="169"/>
      <c r="C769" s="169"/>
      <c r="D769" s="169"/>
      <c r="E769" s="169"/>
      <c r="F769" s="169"/>
      <c r="G769" s="169"/>
      <c r="H769" s="169"/>
      <c r="I769" s="169"/>
      <c r="J769" s="169"/>
      <c r="K769" s="169"/>
      <c r="L769" s="169"/>
      <c r="M769" s="169"/>
      <c r="N769" s="169"/>
      <c r="O769" s="169"/>
      <c r="P769" s="169"/>
      <c r="Q769" s="169"/>
      <c r="R769" s="169"/>
      <c r="S769" s="169"/>
      <c r="T769" s="169"/>
      <c r="U769" s="169"/>
      <c r="V769" s="169"/>
      <c r="W769" s="169"/>
      <c r="X769" s="169"/>
      <c r="Y769" s="169"/>
      <c r="Z769" s="169"/>
      <c r="AA769" s="169"/>
      <c r="AB769" s="169"/>
      <c r="AC769" s="169"/>
      <c r="AD769" s="169"/>
      <c r="AE769" s="169"/>
      <c r="AF769" s="169"/>
      <c r="AG769" s="169"/>
      <c r="AH769" s="169"/>
      <c r="AI769" s="169"/>
      <c r="AJ769" s="169"/>
      <c r="AK769" s="169"/>
      <c r="AL769" s="169"/>
      <c r="AM769" s="169"/>
      <c r="AN769" s="169"/>
      <c r="AO769" s="169"/>
      <c r="AP769" s="169"/>
      <c r="AQ769" s="169"/>
      <c r="AR769" s="169"/>
      <c r="AS769" s="169"/>
      <c r="AT769" s="169"/>
      <c r="AU769" s="169"/>
      <c r="AV769" s="169"/>
      <c r="AW769" s="169"/>
      <c r="AX769" s="169"/>
      <c r="AY769" s="169"/>
      <c r="AZ769" s="169"/>
      <c r="BA769" s="169"/>
      <c r="BB769" s="169"/>
      <c r="BC769" s="169"/>
    </row>
    <row r="770" spans="1:55" ht="14.25" customHeight="1">
      <c r="A770" s="169"/>
      <c r="B770" s="169"/>
      <c r="C770" s="169"/>
      <c r="D770" s="169"/>
      <c r="E770" s="169"/>
      <c r="F770" s="169"/>
      <c r="G770" s="169"/>
      <c r="H770" s="169"/>
      <c r="I770" s="169"/>
      <c r="J770" s="169"/>
      <c r="K770" s="169"/>
      <c r="L770" s="169"/>
      <c r="M770" s="169"/>
      <c r="N770" s="169"/>
      <c r="O770" s="169"/>
      <c r="P770" s="169"/>
      <c r="Q770" s="169"/>
      <c r="R770" s="169"/>
      <c r="S770" s="169"/>
      <c r="T770" s="169"/>
      <c r="U770" s="169"/>
      <c r="V770" s="169"/>
      <c r="W770" s="169"/>
      <c r="X770" s="169"/>
      <c r="Y770" s="169"/>
      <c r="Z770" s="169"/>
      <c r="AA770" s="169"/>
      <c r="AB770" s="169"/>
      <c r="AC770" s="169"/>
      <c r="AD770" s="169"/>
      <c r="AE770" s="169"/>
      <c r="AF770" s="169"/>
      <c r="AG770" s="169"/>
      <c r="AH770" s="169"/>
      <c r="AI770" s="169"/>
      <c r="AJ770" s="169"/>
      <c r="AK770" s="169"/>
      <c r="AL770" s="169"/>
      <c r="AM770" s="169"/>
      <c r="AN770" s="169"/>
      <c r="AO770" s="169"/>
      <c r="AP770" s="169"/>
      <c r="AQ770" s="169"/>
      <c r="AR770" s="169"/>
      <c r="AS770" s="169"/>
      <c r="AT770" s="169"/>
      <c r="AU770" s="169"/>
      <c r="AV770" s="169"/>
      <c r="AW770" s="169"/>
      <c r="AX770" s="169"/>
      <c r="AY770" s="169"/>
      <c r="AZ770" s="169"/>
      <c r="BA770" s="169"/>
      <c r="BB770" s="169"/>
      <c r="BC770" s="169"/>
    </row>
    <row r="771" spans="1:55" ht="14.25" customHeight="1">
      <c r="A771" s="169"/>
      <c r="B771" s="169"/>
      <c r="C771" s="169"/>
      <c r="D771" s="169"/>
      <c r="E771" s="169"/>
      <c r="F771" s="169"/>
      <c r="G771" s="169"/>
      <c r="H771" s="169"/>
      <c r="I771" s="169"/>
      <c r="J771" s="169"/>
      <c r="K771" s="169"/>
      <c r="L771" s="169"/>
      <c r="M771" s="169"/>
      <c r="N771" s="169"/>
      <c r="O771" s="169"/>
      <c r="P771" s="169"/>
      <c r="Q771" s="169"/>
      <c r="R771" s="169"/>
      <c r="S771" s="169"/>
      <c r="T771" s="169"/>
      <c r="U771" s="169"/>
      <c r="V771" s="169"/>
      <c r="W771" s="169"/>
      <c r="X771" s="169"/>
      <c r="Y771" s="169"/>
      <c r="Z771" s="169"/>
      <c r="AA771" s="169"/>
      <c r="AB771" s="169"/>
      <c r="AC771" s="169"/>
      <c r="AD771" s="169"/>
      <c r="AE771" s="169"/>
      <c r="AF771" s="169"/>
      <c r="AG771" s="169"/>
      <c r="AH771" s="169"/>
      <c r="AI771" s="169"/>
      <c r="AJ771" s="169"/>
      <c r="AK771" s="169"/>
      <c r="AL771" s="169"/>
      <c r="AM771" s="169"/>
      <c r="AN771" s="169"/>
      <c r="AO771" s="169"/>
      <c r="AP771" s="169"/>
      <c r="AQ771" s="169"/>
      <c r="AR771" s="169"/>
      <c r="AS771" s="169"/>
      <c r="AT771" s="169"/>
      <c r="AU771" s="169"/>
      <c r="AV771" s="169"/>
      <c r="AW771" s="169"/>
      <c r="AX771" s="169"/>
      <c r="AY771" s="169"/>
      <c r="AZ771" s="169"/>
      <c r="BA771" s="169"/>
      <c r="BB771" s="169"/>
      <c r="BC771" s="169"/>
    </row>
    <row r="772" spans="1:55" ht="14.25" customHeight="1">
      <c r="A772" s="169"/>
      <c r="B772" s="169"/>
      <c r="C772" s="169"/>
      <c r="D772" s="169"/>
      <c r="E772" s="169"/>
      <c r="F772" s="169"/>
      <c r="G772" s="169"/>
      <c r="H772" s="169"/>
      <c r="I772" s="169"/>
      <c r="J772" s="169"/>
      <c r="K772" s="169"/>
      <c r="L772" s="169"/>
      <c r="M772" s="169"/>
      <c r="N772" s="169"/>
      <c r="O772" s="169"/>
      <c r="P772" s="169"/>
      <c r="Q772" s="169"/>
      <c r="R772" s="169"/>
      <c r="S772" s="169"/>
      <c r="T772" s="169"/>
      <c r="U772" s="169"/>
      <c r="V772" s="169"/>
      <c r="W772" s="169"/>
      <c r="X772" s="169"/>
      <c r="Y772" s="169"/>
      <c r="Z772" s="169"/>
      <c r="AA772" s="169"/>
      <c r="AB772" s="169"/>
      <c r="AC772" s="169"/>
      <c r="AD772" s="169"/>
      <c r="AE772" s="169"/>
      <c r="AF772" s="169"/>
      <c r="AG772" s="169"/>
      <c r="AH772" s="169"/>
      <c r="AI772" s="169"/>
      <c r="AJ772" s="169"/>
      <c r="AK772" s="169"/>
      <c r="AL772" s="169"/>
      <c r="AM772" s="169"/>
      <c r="AN772" s="169"/>
      <c r="AO772" s="169"/>
      <c r="AP772" s="169"/>
      <c r="AQ772" s="169"/>
      <c r="AR772" s="169"/>
      <c r="AS772" s="169"/>
      <c r="AT772" s="169"/>
      <c r="AU772" s="169"/>
      <c r="AV772" s="169"/>
      <c r="AW772" s="169"/>
      <c r="AX772" s="169"/>
      <c r="AY772" s="169"/>
      <c r="AZ772" s="169"/>
      <c r="BA772" s="169"/>
      <c r="BB772" s="169"/>
      <c r="BC772" s="169"/>
    </row>
    <row r="773" spans="1:55" ht="14.25" customHeight="1">
      <c r="A773" s="169"/>
      <c r="B773" s="169"/>
      <c r="C773" s="169"/>
      <c r="D773" s="169"/>
      <c r="E773" s="169"/>
      <c r="F773" s="169"/>
      <c r="G773" s="169"/>
      <c r="H773" s="169"/>
      <c r="I773" s="169"/>
      <c r="J773" s="169"/>
      <c r="K773" s="169"/>
      <c r="L773" s="169"/>
      <c r="M773" s="169"/>
      <c r="N773" s="169"/>
      <c r="O773" s="169"/>
      <c r="P773" s="169"/>
      <c r="Q773" s="169"/>
      <c r="R773" s="169"/>
      <c r="S773" s="169"/>
      <c r="T773" s="169"/>
      <c r="U773" s="169"/>
      <c r="V773" s="169"/>
      <c r="W773" s="169"/>
      <c r="X773" s="169"/>
      <c r="Y773" s="169"/>
      <c r="Z773" s="169"/>
      <c r="AA773" s="169"/>
      <c r="AB773" s="169"/>
      <c r="AC773" s="169"/>
      <c r="AD773" s="169"/>
      <c r="AE773" s="169"/>
      <c r="AF773" s="169"/>
      <c r="AG773" s="169"/>
      <c r="AH773" s="169"/>
      <c r="AI773" s="169"/>
      <c r="AJ773" s="169"/>
      <c r="AK773" s="169"/>
      <c r="AL773" s="169"/>
      <c r="AM773" s="169"/>
      <c r="AN773" s="169"/>
      <c r="AO773" s="169"/>
      <c r="AP773" s="169"/>
      <c r="AQ773" s="169"/>
      <c r="AR773" s="169"/>
      <c r="AS773" s="169"/>
      <c r="AT773" s="169"/>
      <c r="AU773" s="169"/>
      <c r="AV773" s="169"/>
      <c r="AW773" s="169"/>
      <c r="AX773" s="169"/>
      <c r="AY773" s="169"/>
      <c r="AZ773" s="169"/>
      <c r="BA773" s="169"/>
      <c r="BB773" s="169"/>
      <c r="BC773" s="169"/>
    </row>
    <row r="774" spans="1:55" ht="14.25" customHeight="1">
      <c r="A774" s="169"/>
      <c r="B774" s="169"/>
      <c r="C774" s="169"/>
      <c r="D774" s="169"/>
      <c r="E774" s="169"/>
      <c r="F774" s="169"/>
      <c r="G774" s="169"/>
      <c r="H774" s="169"/>
      <c r="I774" s="169"/>
      <c r="J774" s="169"/>
      <c r="K774" s="169"/>
      <c r="L774" s="169"/>
      <c r="M774" s="169"/>
      <c r="N774" s="169"/>
      <c r="O774" s="169"/>
      <c r="P774" s="169"/>
      <c r="Q774" s="169"/>
      <c r="R774" s="169"/>
      <c r="S774" s="169"/>
      <c r="T774" s="169"/>
      <c r="U774" s="169"/>
      <c r="V774" s="169"/>
      <c r="W774" s="169"/>
      <c r="X774" s="169"/>
      <c r="Y774" s="169"/>
      <c r="Z774" s="169"/>
      <c r="AA774" s="169"/>
      <c r="AB774" s="169"/>
      <c r="AC774" s="169"/>
      <c r="AD774" s="169"/>
      <c r="AE774" s="169"/>
      <c r="AF774" s="169"/>
      <c r="AG774" s="169"/>
      <c r="AH774" s="169"/>
      <c r="AI774" s="169"/>
      <c r="AJ774" s="169"/>
      <c r="AK774" s="169"/>
      <c r="AL774" s="169"/>
      <c r="AM774" s="169"/>
      <c r="AN774" s="169"/>
      <c r="AO774" s="169"/>
      <c r="AP774" s="169"/>
      <c r="AQ774" s="169"/>
      <c r="AR774" s="169"/>
      <c r="AS774" s="169"/>
      <c r="AT774" s="169"/>
      <c r="AU774" s="169"/>
      <c r="AV774" s="169"/>
      <c r="AW774" s="169"/>
      <c r="AX774" s="169"/>
      <c r="AY774" s="169"/>
      <c r="AZ774" s="169"/>
      <c r="BA774" s="169"/>
      <c r="BB774" s="169"/>
      <c r="BC774" s="169"/>
    </row>
    <row r="775" spans="1:55" ht="14.25" customHeight="1">
      <c r="A775" s="169"/>
      <c r="B775" s="169"/>
      <c r="C775" s="169"/>
      <c r="D775" s="169"/>
      <c r="E775" s="169"/>
      <c r="F775" s="169"/>
      <c r="G775" s="169"/>
      <c r="H775" s="169"/>
      <c r="I775" s="169"/>
      <c r="J775" s="169"/>
      <c r="K775" s="169"/>
      <c r="L775" s="169"/>
      <c r="M775" s="169"/>
      <c r="N775" s="169"/>
      <c r="O775" s="169"/>
      <c r="P775" s="169"/>
      <c r="Q775" s="169"/>
      <c r="R775" s="169"/>
      <c r="S775" s="169"/>
      <c r="T775" s="169"/>
      <c r="U775" s="169"/>
      <c r="V775" s="169"/>
      <c r="W775" s="169"/>
      <c r="X775" s="169"/>
      <c r="Y775" s="169"/>
      <c r="Z775" s="169"/>
      <c r="AA775" s="169"/>
      <c r="AB775" s="169"/>
      <c r="AC775" s="169"/>
      <c r="AD775" s="169"/>
      <c r="AE775" s="169"/>
      <c r="AF775" s="169"/>
      <c r="AG775" s="169"/>
      <c r="AH775" s="169"/>
      <c r="AI775" s="169"/>
      <c r="AJ775" s="169"/>
      <c r="AK775" s="169"/>
      <c r="AL775" s="169"/>
      <c r="AM775" s="169"/>
      <c r="AN775" s="169"/>
      <c r="AO775" s="169"/>
      <c r="AP775" s="169"/>
      <c r="AQ775" s="169"/>
      <c r="AR775" s="169"/>
      <c r="AS775" s="169"/>
      <c r="AT775" s="169"/>
      <c r="AU775" s="169"/>
      <c r="AV775" s="169"/>
      <c r="AW775" s="169"/>
      <c r="AX775" s="169"/>
      <c r="AY775" s="169"/>
      <c r="AZ775" s="169"/>
      <c r="BA775" s="169"/>
      <c r="BB775" s="169"/>
      <c r="BC775" s="169"/>
    </row>
    <row r="776" spans="1:55" ht="14.25" customHeight="1">
      <c r="A776" s="169"/>
      <c r="B776" s="169"/>
      <c r="C776" s="169"/>
      <c r="D776" s="169"/>
      <c r="E776" s="169"/>
      <c r="F776" s="169"/>
      <c r="G776" s="169"/>
      <c r="H776" s="169"/>
      <c r="I776" s="169"/>
      <c r="J776" s="169"/>
      <c r="K776" s="169"/>
      <c r="L776" s="169"/>
      <c r="M776" s="169"/>
      <c r="N776" s="169"/>
      <c r="O776" s="169"/>
      <c r="P776" s="169"/>
      <c r="Q776" s="169"/>
      <c r="R776" s="169"/>
      <c r="S776" s="169"/>
      <c r="T776" s="169"/>
      <c r="U776" s="169"/>
      <c r="V776" s="169"/>
      <c r="W776" s="169"/>
      <c r="X776" s="169"/>
      <c r="Y776" s="169"/>
      <c r="Z776" s="169"/>
      <c r="AA776" s="169"/>
      <c r="AB776" s="169"/>
      <c r="AC776" s="169"/>
      <c r="AD776" s="169"/>
      <c r="AE776" s="169"/>
      <c r="AF776" s="169"/>
      <c r="AG776" s="169"/>
      <c r="AH776" s="169"/>
      <c r="AI776" s="169"/>
      <c r="AJ776" s="169"/>
      <c r="AK776" s="169"/>
      <c r="AL776" s="169"/>
      <c r="AM776" s="169"/>
      <c r="AN776" s="169"/>
      <c r="AO776" s="169"/>
      <c r="AP776" s="169"/>
      <c r="AQ776" s="169"/>
      <c r="AR776" s="169"/>
      <c r="AS776" s="169"/>
      <c r="AT776" s="169"/>
      <c r="AU776" s="169"/>
      <c r="AV776" s="169"/>
      <c r="AW776" s="169"/>
      <c r="AX776" s="169"/>
      <c r="AY776" s="169"/>
      <c r="AZ776" s="169"/>
      <c r="BA776" s="169"/>
      <c r="BB776" s="169"/>
      <c r="BC776" s="169"/>
    </row>
    <row r="777" spans="1:55" ht="14.25" customHeight="1">
      <c r="A777" s="169"/>
      <c r="B777" s="169"/>
      <c r="C777" s="169"/>
      <c r="D777" s="169"/>
      <c r="E777" s="169"/>
      <c r="F777" s="169"/>
      <c r="G777" s="169"/>
      <c r="H777" s="169"/>
      <c r="I777" s="169"/>
      <c r="J777" s="169"/>
      <c r="K777" s="169"/>
      <c r="L777" s="169"/>
      <c r="M777" s="169"/>
      <c r="N777" s="169"/>
      <c r="O777" s="169"/>
      <c r="P777" s="169"/>
      <c r="Q777" s="169"/>
      <c r="R777" s="169"/>
      <c r="S777" s="169"/>
      <c r="T777" s="169"/>
      <c r="U777" s="169"/>
      <c r="V777" s="169"/>
      <c r="W777" s="169"/>
      <c r="X777" s="169"/>
      <c r="Y777" s="169"/>
      <c r="Z777" s="169"/>
      <c r="AA777" s="169"/>
      <c r="AB777" s="169"/>
      <c r="AC777" s="169"/>
      <c r="AD777" s="169"/>
      <c r="AE777" s="169"/>
      <c r="AF777" s="169"/>
      <c r="AG777" s="169"/>
      <c r="AH777" s="169"/>
      <c r="AI777" s="169"/>
      <c r="AJ777" s="169"/>
      <c r="AK777" s="169"/>
      <c r="AL777" s="169"/>
      <c r="AM777" s="169"/>
      <c r="AN777" s="169"/>
      <c r="AO777" s="169"/>
      <c r="AP777" s="169"/>
      <c r="AQ777" s="169"/>
      <c r="AR777" s="169"/>
      <c r="AS777" s="169"/>
      <c r="AT777" s="169"/>
      <c r="AU777" s="169"/>
      <c r="AV777" s="169"/>
      <c r="AW777" s="169"/>
      <c r="AX777" s="169"/>
      <c r="AY777" s="169"/>
      <c r="AZ777" s="169"/>
      <c r="BA777" s="169"/>
      <c r="BB777" s="169"/>
      <c r="BC777" s="169"/>
    </row>
    <row r="778" spans="1:55" ht="14.25" customHeight="1">
      <c r="A778" s="169"/>
      <c r="B778" s="169"/>
      <c r="C778" s="169"/>
      <c r="D778" s="169"/>
      <c r="E778" s="169"/>
      <c r="F778" s="169"/>
      <c r="G778" s="169"/>
      <c r="H778" s="169"/>
      <c r="I778" s="169"/>
      <c r="J778" s="169"/>
      <c r="K778" s="169"/>
      <c r="L778" s="169"/>
      <c r="M778" s="169"/>
      <c r="N778" s="169"/>
      <c r="O778" s="169"/>
      <c r="P778" s="169"/>
      <c r="Q778" s="169"/>
      <c r="R778" s="169"/>
      <c r="S778" s="169"/>
      <c r="T778" s="169"/>
      <c r="U778" s="169"/>
      <c r="V778" s="169"/>
      <c r="W778" s="169"/>
      <c r="X778" s="169"/>
      <c r="Y778" s="169"/>
      <c r="Z778" s="169"/>
      <c r="AA778" s="169"/>
      <c r="AB778" s="169"/>
      <c r="AC778" s="169"/>
      <c r="AD778" s="169"/>
      <c r="AE778" s="169"/>
      <c r="AF778" s="169"/>
      <c r="AG778" s="169"/>
      <c r="AH778" s="169"/>
      <c r="AI778" s="169"/>
      <c r="AJ778" s="169"/>
      <c r="AK778" s="169"/>
      <c r="AL778" s="169"/>
      <c r="AM778" s="169"/>
      <c r="AN778" s="169"/>
      <c r="AO778" s="169"/>
      <c r="AP778" s="169"/>
      <c r="AQ778" s="169"/>
      <c r="AR778" s="169"/>
      <c r="AS778" s="169"/>
      <c r="AT778" s="169"/>
      <c r="AU778" s="169"/>
      <c r="AV778" s="169"/>
      <c r="AW778" s="169"/>
      <c r="AX778" s="169"/>
      <c r="AY778" s="169"/>
      <c r="AZ778" s="169"/>
      <c r="BA778" s="169"/>
      <c r="BB778" s="169"/>
      <c r="BC778" s="169"/>
    </row>
    <row r="779" spans="1:55" ht="14.25" customHeight="1">
      <c r="A779" s="169"/>
      <c r="B779" s="169"/>
      <c r="C779" s="169"/>
      <c r="D779" s="169"/>
      <c r="E779" s="169"/>
      <c r="F779" s="169"/>
      <c r="G779" s="169"/>
      <c r="H779" s="169"/>
      <c r="I779" s="169"/>
      <c r="J779" s="169"/>
      <c r="K779" s="169"/>
      <c r="L779" s="169"/>
      <c r="M779" s="169"/>
      <c r="N779" s="169"/>
      <c r="O779" s="169"/>
      <c r="P779" s="169"/>
      <c r="Q779" s="169"/>
      <c r="R779" s="169"/>
      <c r="S779" s="169"/>
      <c r="T779" s="169"/>
      <c r="U779" s="169"/>
      <c r="V779" s="169"/>
      <c r="W779" s="169"/>
      <c r="X779" s="169"/>
      <c r="Y779" s="169"/>
      <c r="Z779" s="169"/>
      <c r="AA779" s="169"/>
      <c r="AB779" s="169"/>
      <c r="AC779" s="169"/>
      <c r="AD779" s="169"/>
      <c r="AE779" s="169"/>
      <c r="AF779" s="169"/>
      <c r="AG779" s="169"/>
      <c r="AH779" s="169"/>
      <c r="AI779" s="169"/>
      <c r="AJ779" s="169"/>
      <c r="AK779" s="169"/>
      <c r="AL779" s="169"/>
      <c r="AM779" s="169"/>
      <c r="AN779" s="169"/>
      <c r="AO779" s="169"/>
      <c r="AP779" s="169"/>
      <c r="AQ779" s="169"/>
      <c r="AR779" s="169"/>
      <c r="AS779" s="169"/>
      <c r="AT779" s="169"/>
      <c r="AU779" s="169"/>
      <c r="AV779" s="169"/>
      <c r="AW779" s="169"/>
      <c r="AX779" s="169"/>
      <c r="AY779" s="169"/>
      <c r="AZ779" s="169"/>
      <c r="BA779" s="169"/>
      <c r="BB779" s="169"/>
      <c r="BC779" s="169"/>
    </row>
    <row r="780" spans="1:55" ht="14.25" customHeight="1">
      <c r="A780" s="169"/>
      <c r="B780" s="169"/>
      <c r="C780" s="169"/>
      <c r="D780" s="169"/>
      <c r="E780" s="169"/>
      <c r="F780" s="169"/>
      <c r="G780" s="169"/>
      <c r="H780" s="169"/>
      <c r="I780" s="169"/>
      <c r="J780" s="169"/>
      <c r="K780" s="169"/>
      <c r="L780" s="169"/>
      <c r="M780" s="169"/>
      <c r="N780" s="169"/>
      <c r="O780" s="169"/>
      <c r="P780" s="169"/>
      <c r="Q780" s="169"/>
      <c r="R780" s="169"/>
      <c r="S780" s="169"/>
      <c r="T780" s="169"/>
      <c r="U780" s="169"/>
      <c r="V780" s="169"/>
      <c r="W780" s="169"/>
      <c r="X780" s="169"/>
      <c r="Y780" s="169"/>
      <c r="Z780" s="169"/>
      <c r="AA780" s="169"/>
      <c r="AB780" s="169"/>
      <c r="AC780" s="169"/>
      <c r="AD780" s="169"/>
      <c r="AE780" s="169"/>
      <c r="AF780" s="169"/>
      <c r="AG780" s="169"/>
      <c r="AH780" s="169"/>
      <c r="AI780" s="169"/>
      <c r="AJ780" s="169"/>
      <c r="AK780" s="169"/>
      <c r="AL780" s="169"/>
      <c r="AM780" s="169"/>
      <c r="AN780" s="169"/>
      <c r="AO780" s="169"/>
      <c r="AP780" s="169"/>
      <c r="AQ780" s="169"/>
      <c r="AR780" s="169"/>
      <c r="AS780" s="169"/>
      <c r="AT780" s="169"/>
      <c r="AU780" s="169"/>
      <c r="AV780" s="169"/>
      <c r="AW780" s="169"/>
      <c r="AX780" s="169"/>
      <c r="AY780" s="169"/>
      <c r="AZ780" s="169"/>
      <c r="BA780" s="169"/>
      <c r="BB780" s="169"/>
      <c r="BC780" s="169"/>
    </row>
    <row r="781" spans="1:55" ht="14.25" customHeight="1">
      <c r="A781" s="169"/>
      <c r="B781" s="169"/>
      <c r="C781" s="169"/>
      <c r="D781" s="169"/>
      <c r="E781" s="169"/>
      <c r="F781" s="169"/>
      <c r="G781" s="169"/>
      <c r="H781" s="169"/>
      <c r="I781" s="169"/>
      <c r="J781" s="169"/>
      <c r="K781" s="169"/>
      <c r="L781" s="169"/>
      <c r="M781" s="169"/>
      <c r="N781" s="169"/>
      <c r="O781" s="169"/>
      <c r="P781" s="169"/>
      <c r="Q781" s="169"/>
      <c r="R781" s="169"/>
      <c r="S781" s="169"/>
      <c r="T781" s="169"/>
      <c r="U781" s="169"/>
      <c r="V781" s="169"/>
      <c r="W781" s="169"/>
      <c r="X781" s="169"/>
      <c r="Y781" s="169"/>
      <c r="Z781" s="169"/>
      <c r="AA781" s="169"/>
      <c r="AB781" s="169"/>
      <c r="AC781" s="169"/>
      <c r="AD781" s="169"/>
      <c r="AE781" s="169"/>
      <c r="AF781" s="169"/>
      <c r="AG781" s="169"/>
      <c r="AH781" s="169"/>
      <c r="AI781" s="169"/>
      <c r="AJ781" s="169"/>
      <c r="AK781" s="169"/>
      <c r="AL781" s="169"/>
      <c r="AM781" s="169"/>
      <c r="AN781" s="169"/>
      <c r="AO781" s="169"/>
      <c r="AP781" s="169"/>
      <c r="AQ781" s="169"/>
      <c r="AR781" s="169"/>
      <c r="AS781" s="169"/>
      <c r="AT781" s="169"/>
      <c r="AU781" s="169"/>
      <c r="AV781" s="169"/>
      <c r="AW781" s="169"/>
      <c r="AX781" s="169"/>
      <c r="AY781" s="169"/>
      <c r="AZ781" s="169"/>
      <c r="BA781" s="169"/>
      <c r="BB781" s="169"/>
      <c r="BC781" s="169"/>
    </row>
    <row r="782" spans="1:55" ht="14.25" customHeight="1">
      <c r="A782" s="169"/>
      <c r="B782" s="169"/>
      <c r="C782" s="169"/>
      <c r="D782" s="169"/>
      <c r="E782" s="169"/>
      <c r="F782" s="169"/>
      <c r="G782" s="169"/>
      <c r="H782" s="169"/>
      <c r="I782" s="169"/>
      <c r="J782" s="169"/>
      <c r="K782" s="169"/>
      <c r="L782" s="169"/>
      <c r="M782" s="169"/>
      <c r="N782" s="169"/>
      <c r="O782" s="169"/>
      <c r="P782" s="169"/>
      <c r="Q782" s="169"/>
      <c r="R782" s="169"/>
      <c r="S782" s="169"/>
      <c r="T782" s="169"/>
      <c r="U782" s="169"/>
      <c r="V782" s="169"/>
      <c r="W782" s="169"/>
      <c r="X782" s="169"/>
      <c r="Y782" s="169"/>
      <c r="Z782" s="169"/>
      <c r="AA782" s="169"/>
      <c r="AB782" s="169"/>
      <c r="AC782" s="169"/>
      <c r="AD782" s="169"/>
      <c r="AE782" s="169"/>
      <c r="AF782" s="169"/>
      <c r="AG782" s="169"/>
      <c r="AH782" s="169"/>
      <c r="AI782" s="169"/>
      <c r="AJ782" s="169"/>
      <c r="AK782" s="169"/>
      <c r="AL782" s="169"/>
      <c r="AM782" s="169"/>
      <c r="AN782" s="169"/>
      <c r="AO782" s="169"/>
      <c r="AP782" s="169"/>
      <c r="AQ782" s="169"/>
      <c r="AR782" s="169"/>
      <c r="AS782" s="169"/>
      <c r="AT782" s="169"/>
      <c r="AU782" s="169"/>
      <c r="AV782" s="169"/>
      <c r="AW782" s="169"/>
      <c r="AX782" s="169"/>
      <c r="AY782" s="169"/>
      <c r="AZ782" s="169"/>
      <c r="BA782" s="169"/>
      <c r="BB782" s="169"/>
      <c r="BC782" s="169"/>
    </row>
    <row r="783" spans="1:55" ht="14.25" customHeight="1">
      <c r="A783" s="169"/>
      <c r="B783" s="169"/>
      <c r="C783" s="169"/>
      <c r="D783" s="169"/>
      <c r="E783" s="169"/>
      <c r="F783" s="169"/>
      <c r="G783" s="169"/>
      <c r="H783" s="169"/>
      <c r="I783" s="169"/>
      <c r="J783" s="169"/>
      <c r="K783" s="169"/>
      <c r="L783" s="169"/>
      <c r="M783" s="169"/>
      <c r="N783" s="169"/>
      <c r="O783" s="169"/>
      <c r="P783" s="169"/>
      <c r="Q783" s="169"/>
      <c r="R783" s="169"/>
      <c r="S783" s="169"/>
      <c r="T783" s="169"/>
      <c r="U783" s="169"/>
      <c r="V783" s="169"/>
      <c r="W783" s="169"/>
      <c r="X783" s="169"/>
      <c r="Y783" s="169"/>
      <c r="Z783" s="169"/>
      <c r="AA783" s="169"/>
      <c r="AB783" s="169"/>
      <c r="AC783" s="169"/>
      <c r="AD783" s="169"/>
      <c r="AE783" s="169"/>
      <c r="AF783" s="169"/>
      <c r="AG783" s="169"/>
      <c r="AH783" s="169"/>
      <c r="AI783" s="169"/>
      <c r="AJ783" s="169"/>
      <c r="AK783" s="169"/>
      <c r="AL783" s="169"/>
      <c r="AM783" s="169"/>
      <c r="AN783" s="169"/>
      <c r="AO783" s="169"/>
      <c r="AP783" s="169"/>
      <c r="AQ783" s="169"/>
      <c r="AR783" s="169"/>
      <c r="AS783" s="169"/>
      <c r="AT783" s="169"/>
      <c r="AU783" s="169"/>
      <c r="AV783" s="169"/>
      <c r="AW783" s="169"/>
      <c r="AX783" s="169"/>
      <c r="AY783" s="169"/>
      <c r="AZ783" s="169"/>
      <c r="BA783" s="169"/>
      <c r="BB783" s="169"/>
      <c r="BC783" s="169"/>
    </row>
    <row r="784" spans="1:55" ht="14.25" customHeight="1">
      <c r="A784" s="169"/>
      <c r="B784" s="169"/>
      <c r="C784" s="169"/>
      <c r="D784" s="169"/>
      <c r="E784" s="169"/>
      <c r="F784" s="169"/>
      <c r="G784" s="169"/>
      <c r="H784" s="169"/>
      <c r="I784" s="169"/>
      <c r="J784" s="169"/>
      <c r="K784" s="169"/>
      <c r="L784" s="169"/>
      <c r="M784" s="169"/>
      <c r="N784" s="169"/>
      <c r="O784" s="169"/>
      <c r="P784" s="169"/>
      <c r="Q784" s="169"/>
      <c r="R784" s="169"/>
      <c r="S784" s="169"/>
      <c r="T784" s="169"/>
      <c r="U784" s="169"/>
      <c r="V784" s="169"/>
      <c r="W784" s="169"/>
      <c r="X784" s="169"/>
      <c r="Y784" s="169"/>
      <c r="Z784" s="169"/>
      <c r="AA784" s="169"/>
      <c r="AB784" s="169"/>
      <c r="AC784" s="169"/>
      <c r="AD784" s="169"/>
      <c r="AE784" s="169"/>
      <c r="AF784" s="169"/>
      <c r="AG784" s="169"/>
      <c r="AH784" s="169"/>
      <c r="AI784" s="169"/>
      <c r="AJ784" s="169"/>
      <c r="AK784" s="169"/>
      <c r="AL784" s="169"/>
      <c r="AM784" s="169"/>
      <c r="AN784" s="169"/>
      <c r="AO784" s="169"/>
      <c r="AP784" s="169"/>
      <c r="AQ784" s="169"/>
      <c r="AR784" s="169"/>
      <c r="AS784" s="169"/>
      <c r="AT784" s="169"/>
      <c r="AU784" s="169"/>
      <c r="AV784" s="169"/>
      <c r="AW784" s="169"/>
      <c r="AX784" s="169"/>
      <c r="AY784" s="169"/>
      <c r="AZ784" s="169"/>
      <c r="BA784" s="169"/>
      <c r="BB784" s="169"/>
      <c r="BC784" s="169"/>
    </row>
    <row r="785" spans="1:55" ht="14.25" customHeight="1">
      <c r="A785" s="169"/>
      <c r="B785" s="169"/>
      <c r="C785" s="169"/>
      <c r="D785" s="169"/>
      <c r="E785" s="169"/>
      <c r="F785" s="169"/>
      <c r="G785" s="169"/>
      <c r="H785" s="169"/>
      <c r="I785" s="169"/>
      <c r="J785" s="169"/>
      <c r="K785" s="169"/>
      <c r="L785" s="169"/>
      <c r="M785" s="169"/>
      <c r="N785" s="169"/>
      <c r="O785" s="169"/>
      <c r="P785" s="169"/>
      <c r="Q785" s="169"/>
      <c r="R785" s="169"/>
      <c r="S785" s="169"/>
      <c r="T785" s="169"/>
      <c r="U785" s="169"/>
      <c r="V785" s="169"/>
      <c r="W785" s="169"/>
      <c r="X785" s="169"/>
      <c r="Y785" s="169"/>
      <c r="Z785" s="169"/>
      <c r="AA785" s="169"/>
      <c r="AB785" s="169"/>
      <c r="AC785" s="169"/>
      <c r="AD785" s="169"/>
      <c r="AE785" s="169"/>
      <c r="AF785" s="169"/>
      <c r="AG785" s="169"/>
      <c r="AH785" s="169"/>
      <c r="AI785" s="169"/>
      <c r="AJ785" s="169"/>
      <c r="AK785" s="169"/>
      <c r="AL785" s="169"/>
      <c r="AM785" s="169"/>
      <c r="AN785" s="169"/>
      <c r="AO785" s="169"/>
      <c r="AP785" s="169"/>
      <c r="AQ785" s="169"/>
      <c r="AR785" s="169"/>
      <c r="AS785" s="169"/>
      <c r="AT785" s="169"/>
      <c r="AU785" s="169"/>
      <c r="AV785" s="169"/>
      <c r="AW785" s="169"/>
      <c r="AX785" s="169"/>
      <c r="AY785" s="169"/>
      <c r="AZ785" s="169"/>
      <c r="BA785" s="169"/>
      <c r="BB785" s="169"/>
      <c r="BC785" s="169"/>
    </row>
    <row r="786" spans="1:55" ht="14.25" customHeight="1">
      <c r="A786" s="169"/>
      <c r="B786" s="169"/>
      <c r="C786" s="169"/>
      <c r="D786" s="169"/>
      <c r="E786" s="169"/>
      <c r="F786" s="169"/>
      <c r="G786" s="169"/>
      <c r="H786" s="169"/>
      <c r="I786" s="169"/>
      <c r="J786" s="169"/>
      <c r="K786" s="169"/>
      <c r="L786" s="169"/>
      <c r="M786" s="169"/>
      <c r="N786" s="169"/>
      <c r="O786" s="169"/>
      <c r="P786" s="169"/>
      <c r="Q786" s="169"/>
      <c r="R786" s="169"/>
      <c r="S786" s="169"/>
      <c r="T786" s="169"/>
      <c r="U786" s="169"/>
      <c r="V786" s="169"/>
      <c r="W786" s="169"/>
      <c r="X786" s="169"/>
      <c r="Y786" s="169"/>
      <c r="Z786" s="169"/>
      <c r="AA786" s="169"/>
      <c r="AB786" s="169"/>
      <c r="AC786" s="169"/>
      <c r="AD786" s="169"/>
      <c r="AE786" s="169"/>
      <c r="AF786" s="169"/>
      <c r="AG786" s="169"/>
      <c r="AH786" s="169"/>
      <c r="AI786" s="169"/>
      <c r="AJ786" s="169"/>
      <c r="AK786" s="169"/>
      <c r="AL786" s="169"/>
      <c r="AM786" s="169"/>
      <c r="AN786" s="169"/>
      <c r="AO786" s="169"/>
      <c r="AP786" s="169"/>
      <c r="AQ786" s="169"/>
      <c r="AR786" s="169"/>
      <c r="AS786" s="169"/>
      <c r="AT786" s="169"/>
      <c r="AU786" s="169"/>
      <c r="AV786" s="169"/>
      <c r="AW786" s="169"/>
      <c r="AX786" s="169"/>
      <c r="AY786" s="169"/>
      <c r="AZ786" s="169"/>
      <c r="BA786" s="169"/>
      <c r="BB786" s="169"/>
      <c r="BC786" s="169"/>
    </row>
    <row r="787" spans="1:55" ht="14.25" customHeight="1">
      <c r="A787" s="169"/>
      <c r="B787" s="169"/>
      <c r="C787" s="169"/>
      <c r="D787" s="169"/>
      <c r="E787" s="169"/>
      <c r="F787" s="169"/>
      <c r="G787" s="169"/>
      <c r="H787" s="169"/>
      <c r="I787" s="169"/>
      <c r="J787" s="169"/>
      <c r="K787" s="169"/>
      <c r="L787" s="169"/>
      <c r="M787" s="169"/>
      <c r="N787" s="169"/>
      <c r="O787" s="169"/>
      <c r="P787" s="169"/>
      <c r="Q787" s="169"/>
      <c r="R787" s="169"/>
      <c r="S787" s="169"/>
      <c r="T787" s="169"/>
      <c r="U787" s="169"/>
      <c r="V787" s="169"/>
      <c r="W787" s="169"/>
      <c r="X787" s="169"/>
      <c r="Y787" s="169"/>
      <c r="Z787" s="169"/>
      <c r="AA787" s="169"/>
      <c r="AB787" s="169"/>
      <c r="AC787" s="169"/>
      <c r="AD787" s="169"/>
      <c r="AE787" s="169"/>
      <c r="AF787" s="169"/>
      <c r="AG787" s="169"/>
      <c r="AH787" s="169"/>
      <c r="AI787" s="169"/>
      <c r="AJ787" s="169"/>
      <c r="AK787" s="169"/>
      <c r="AL787" s="169"/>
      <c r="AM787" s="169"/>
      <c r="AN787" s="169"/>
      <c r="AO787" s="169"/>
      <c r="AP787" s="169"/>
      <c r="AQ787" s="169"/>
      <c r="AR787" s="169"/>
      <c r="AS787" s="169"/>
      <c r="AT787" s="169"/>
      <c r="AU787" s="169"/>
      <c r="AV787" s="169"/>
      <c r="AW787" s="169"/>
      <c r="AX787" s="169"/>
      <c r="AY787" s="169"/>
      <c r="AZ787" s="169"/>
      <c r="BA787" s="169"/>
      <c r="BB787" s="169"/>
      <c r="BC787" s="169"/>
    </row>
    <row r="788" spans="1:55" ht="14.25" customHeight="1">
      <c r="A788" s="169"/>
      <c r="B788" s="169"/>
      <c r="C788" s="169"/>
      <c r="D788" s="169"/>
      <c r="E788" s="169"/>
      <c r="F788" s="169"/>
      <c r="G788" s="169"/>
      <c r="H788" s="169"/>
      <c r="I788" s="169"/>
      <c r="J788" s="169"/>
      <c r="K788" s="169"/>
      <c r="L788" s="169"/>
      <c r="M788" s="169"/>
      <c r="N788" s="169"/>
      <c r="O788" s="169"/>
      <c r="P788" s="169"/>
      <c r="Q788" s="169"/>
      <c r="R788" s="169"/>
      <c r="S788" s="169"/>
      <c r="T788" s="169"/>
      <c r="U788" s="169"/>
      <c r="V788" s="169"/>
      <c r="W788" s="169"/>
      <c r="X788" s="169"/>
      <c r="Y788" s="169"/>
      <c r="Z788" s="169"/>
      <c r="AA788" s="169"/>
      <c r="AB788" s="169"/>
      <c r="AC788" s="169"/>
      <c r="AD788" s="169"/>
      <c r="AE788" s="169"/>
      <c r="AF788" s="169"/>
      <c r="AG788" s="169"/>
      <c r="AH788" s="169"/>
      <c r="AI788" s="169"/>
      <c r="AJ788" s="169"/>
      <c r="AK788" s="169"/>
      <c r="AL788" s="169"/>
      <c r="AM788" s="169"/>
      <c r="AN788" s="169"/>
      <c r="AO788" s="169"/>
      <c r="AP788" s="169"/>
      <c r="AQ788" s="169"/>
      <c r="AR788" s="169"/>
      <c r="AS788" s="169"/>
      <c r="AT788" s="169"/>
      <c r="AU788" s="169"/>
      <c r="AV788" s="169"/>
      <c r="AW788" s="169"/>
      <c r="AX788" s="169"/>
      <c r="AY788" s="169"/>
      <c r="AZ788" s="169"/>
      <c r="BA788" s="169"/>
      <c r="BB788" s="169"/>
      <c r="BC788" s="169"/>
    </row>
    <row r="789" spans="1:55" ht="14.25" customHeight="1">
      <c r="A789" s="169"/>
      <c r="B789" s="169"/>
      <c r="C789" s="169"/>
      <c r="D789" s="169"/>
      <c r="E789" s="169"/>
      <c r="F789" s="169"/>
      <c r="G789" s="169"/>
      <c r="H789" s="169"/>
      <c r="I789" s="169"/>
      <c r="J789" s="169"/>
      <c r="K789" s="169"/>
      <c r="L789" s="169"/>
      <c r="M789" s="169"/>
      <c r="N789" s="169"/>
      <c r="O789" s="169"/>
      <c r="P789" s="169"/>
      <c r="Q789" s="169"/>
      <c r="R789" s="169"/>
      <c r="S789" s="169"/>
      <c r="T789" s="169"/>
      <c r="U789" s="169"/>
      <c r="V789" s="169"/>
      <c r="W789" s="169"/>
      <c r="X789" s="169"/>
      <c r="Y789" s="169"/>
      <c r="Z789" s="169"/>
      <c r="AA789" s="169"/>
      <c r="AB789" s="169"/>
      <c r="AC789" s="169"/>
      <c r="AD789" s="169"/>
      <c r="AE789" s="169"/>
      <c r="AF789" s="169"/>
      <c r="AG789" s="169"/>
      <c r="AH789" s="169"/>
      <c r="AI789" s="169"/>
      <c r="AJ789" s="169"/>
      <c r="AK789" s="169"/>
      <c r="AL789" s="169"/>
      <c r="AM789" s="169"/>
      <c r="AN789" s="169"/>
      <c r="AO789" s="169"/>
      <c r="AP789" s="169"/>
      <c r="AQ789" s="169"/>
      <c r="AR789" s="169"/>
      <c r="AS789" s="169"/>
      <c r="AT789" s="169"/>
      <c r="AU789" s="169"/>
      <c r="AV789" s="169"/>
      <c r="AW789" s="169"/>
      <c r="AX789" s="169"/>
      <c r="AY789" s="169"/>
      <c r="AZ789" s="169"/>
      <c r="BA789" s="169"/>
      <c r="BB789" s="169"/>
      <c r="BC789" s="169"/>
    </row>
    <row r="790" spans="1:55" ht="14.25" customHeight="1">
      <c r="A790" s="169"/>
      <c r="B790" s="169"/>
      <c r="C790" s="169"/>
      <c r="D790" s="169"/>
      <c r="E790" s="169"/>
      <c r="F790" s="169"/>
      <c r="G790" s="169"/>
      <c r="H790" s="169"/>
      <c r="I790" s="169"/>
      <c r="J790" s="169"/>
      <c r="K790" s="169"/>
      <c r="L790" s="169"/>
      <c r="M790" s="169"/>
      <c r="N790" s="169"/>
      <c r="O790" s="169"/>
      <c r="P790" s="169"/>
      <c r="Q790" s="169"/>
      <c r="R790" s="169"/>
      <c r="S790" s="169"/>
      <c r="T790" s="169"/>
      <c r="U790" s="169"/>
      <c r="V790" s="169"/>
      <c r="W790" s="169"/>
      <c r="X790" s="169"/>
      <c r="Y790" s="169"/>
      <c r="Z790" s="169"/>
      <c r="AA790" s="169"/>
      <c r="AB790" s="169"/>
      <c r="AC790" s="169"/>
      <c r="AD790" s="169"/>
      <c r="AE790" s="169"/>
      <c r="AF790" s="169"/>
      <c r="AG790" s="169"/>
      <c r="AH790" s="169"/>
      <c r="AI790" s="169"/>
      <c r="AJ790" s="169"/>
      <c r="AK790" s="169"/>
      <c r="AL790" s="169"/>
      <c r="AM790" s="169"/>
      <c r="AN790" s="169"/>
      <c r="AO790" s="169"/>
      <c r="AP790" s="169"/>
      <c r="AQ790" s="169"/>
      <c r="AR790" s="169"/>
      <c r="AS790" s="169"/>
      <c r="AT790" s="169"/>
      <c r="AU790" s="169"/>
      <c r="AV790" s="169"/>
      <c r="AW790" s="169"/>
      <c r="AX790" s="169"/>
      <c r="AY790" s="169"/>
      <c r="AZ790" s="169"/>
      <c r="BA790" s="169"/>
      <c r="BB790" s="169"/>
      <c r="BC790" s="169"/>
    </row>
    <row r="791" spans="1:55" ht="14.25" customHeight="1">
      <c r="A791" s="169"/>
      <c r="B791" s="169"/>
      <c r="C791" s="169"/>
      <c r="D791" s="169"/>
      <c r="E791" s="169"/>
      <c r="F791" s="169"/>
      <c r="G791" s="169"/>
      <c r="H791" s="169"/>
      <c r="I791" s="169"/>
      <c r="J791" s="169"/>
      <c r="K791" s="169"/>
      <c r="L791" s="169"/>
      <c r="M791" s="169"/>
      <c r="N791" s="169"/>
      <c r="O791" s="169"/>
      <c r="P791" s="169"/>
      <c r="Q791" s="169"/>
      <c r="R791" s="169"/>
      <c r="S791" s="169"/>
      <c r="T791" s="169"/>
      <c r="U791" s="169"/>
      <c r="V791" s="169"/>
      <c r="W791" s="169"/>
      <c r="X791" s="169"/>
      <c r="Y791" s="169"/>
      <c r="Z791" s="169"/>
      <c r="AA791" s="169"/>
      <c r="AB791" s="169"/>
      <c r="AC791" s="169"/>
      <c r="AD791" s="169"/>
      <c r="AE791" s="169"/>
      <c r="AF791" s="169"/>
      <c r="AG791" s="169"/>
      <c r="AH791" s="169"/>
      <c r="AI791" s="169"/>
      <c r="AJ791" s="169"/>
      <c r="AK791" s="169"/>
      <c r="AL791" s="169"/>
      <c r="AM791" s="169"/>
      <c r="AN791" s="169"/>
      <c r="AO791" s="169"/>
      <c r="AP791" s="169"/>
      <c r="AQ791" s="169"/>
      <c r="AR791" s="169"/>
      <c r="AS791" s="169"/>
      <c r="AT791" s="169"/>
      <c r="AU791" s="169"/>
      <c r="AV791" s="169"/>
      <c r="AW791" s="169"/>
      <c r="AX791" s="169"/>
      <c r="AY791" s="169"/>
      <c r="AZ791" s="169"/>
      <c r="BA791" s="169"/>
      <c r="BB791" s="169"/>
      <c r="BC791" s="169"/>
    </row>
    <row r="792" spans="1:55" ht="14.25" customHeight="1">
      <c r="A792" s="169"/>
      <c r="B792" s="169"/>
      <c r="C792" s="169"/>
      <c r="D792" s="169"/>
      <c r="E792" s="169"/>
      <c r="F792" s="169"/>
      <c r="G792" s="169"/>
      <c r="H792" s="169"/>
      <c r="I792" s="169"/>
      <c r="J792" s="169"/>
      <c r="K792" s="169"/>
      <c r="L792" s="169"/>
      <c r="M792" s="169"/>
      <c r="N792" s="169"/>
      <c r="O792" s="169"/>
      <c r="P792" s="169"/>
      <c r="Q792" s="169"/>
      <c r="R792" s="169"/>
      <c r="S792" s="169"/>
      <c r="T792" s="169"/>
      <c r="U792" s="169"/>
      <c r="V792" s="169"/>
      <c r="W792" s="169"/>
      <c r="X792" s="169"/>
      <c r="Y792" s="169"/>
      <c r="Z792" s="169"/>
      <c r="AA792" s="169"/>
      <c r="AB792" s="169"/>
      <c r="AC792" s="169"/>
      <c r="AD792" s="169"/>
      <c r="AE792" s="169"/>
      <c r="AF792" s="169"/>
      <c r="AG792" s="169"/>
      <c r="AH792" s="169"/>
      <c r="AI792" s="169"/>
      <c r="AJ792" s="169"/>
      <c r="AK792" s="169"/>
      <c r="AL792" s="169"/>
      <c r="AM792" s="169"/>
      <c r="AN792" s="169"/>
      <c r="AO792" s="169"/>
      <c r="AP792" s="169"/>
      <c r="AQ792" s="169"/>
      <c r="AR792" s="169"/>
      <c r="AS792" s="169"/>
      <c r="AT792" s="169"/>
      <c r="AU792" s="169"/>
      <c r="AV792" s="169"/>
      <c r="AW792" s="169"/>
      <c r="AX792" s="169"/>
      <c r="AY792" s="169"/>
      <c r="AZ792" s="169"/>
      <c r="BA792" s="169"/>
      <c r="BB792" s="169"/>
      <c r="BC792" s="169"/>
    </row>
    <row r="793" spans="1:55" ht="14.25" customHeight="1">
      <c r="A793" s="169"/>
      <c r="B793" s="169"/>
      <c r="C793" s="169"/>
      <c r="D793" s="169"/>
      <c r="E793" s="169"/>
      <c r="F793" s="169"/>
      <c r="G793" s="169"/>
      <c r="H793" s="169"/>
      <c r="I793" s="169"/>
      <c r="J793" s="169"/>
      <c r="K793" s="169"/>
      <c r="L793" s="169"/>
      <c r="M793" s="169"/>
      <c r="N793" s="169"/>
      <c r="O793" s="169"/>
      <c r="P793" s="169"/>
      <c r="Q793" s="169"/>
      <c r="R793" s="169"/>
      <c r="S793" s="169"/>
      <c r="T793" s="169"/>
      <c r="U793" s="169"/>
      <c r="V793" s="169"/>
      <c r="W793" s="169"/>
      <c r="X793" s="169"/>
      <c r="Y793" s="169"/>
      <c r="Z793" s="169"/>
      <c r="AA793" s="169"/>
      <c r="AB793" s="169"/>
      <c r="AC793" s="169"/>
      <c r="AD793" s="169"/>
      <c r="AE793" s="169"/>
      <c r="AF793" s="169"/>
      <c r="AG793" s="169"/>
      <c r="AH793" s="169"/>
      <c r="AI793" s="169"/>
      <c r="AJ793" s="169"/>
      <c r="AK793" s="169"/>
      <c r="AL793" s="169"/>
      <c r="AM793" s="169"/>
      <c r="AN793" s="169"/>
      <c r="AO793" s="169"/>
      <c r="AP793" s="169"/>
      <c r="AQ793" s="169"/>
      <c r="AR793" s="169"/>
      <c r="AS793" s="169"/>
      <c r="AT793" s="169"/>
      <c r="AU793" s="169"/>
      <c r="AV793" s="169"/>
      <c r="AW793" s="169"/>
      <c r="AX793" s="169"/>
      <c r="AY793" s="169"/>
      <c r="AZ793" s="169"/>
      <c r="BA793" s="169"/>
      <c r="BB793" s="169"/>
      <c r="BC793" s="169"/>
    </row>
    <row r="794" spans="1:55" ht="14.25" customHeight="1">
      <c r="A794" s="169"/>
      <c r="B794" s="169"/>
      <c r="C794" s="169"/>
      <c r="D794" s="169"/>
      <c r="E794" s="169"/>
      <c r="F794" s="169"/>
      <c r="G794" s="169"/>
      <c r="H794" s="169"/>
      <c r="I794" s="169"/>
      <c r="J794" s="169"/>
      <c r="K794" s="169"/>
      <c r="L794" s="169"/>
      <c r="M794" s="169"/>
      <c r="N794" s="169"/>
      <c r="O794" s="169"/>
      <c r="P794" s="169"/>
      <c r="Q794" s="169"/>
      <c r="R794" s="169"/>
      <c r="S794" s="169"/>
      <c r="T794" s="169"/>
      <c r="U794" s="169"/>
      <c r="V794" s="169"/>
      <c r="W794" s="169"/>
      <c r="X794" s="169"/>
      <c r="Y794" s="169"/>
      <c r="Z794" s="169"/>
      <c r="AA794" s="169"/>
      <c r="AB794" s="169"/>
      <c r="AC794" s="169"/>
      <c r="AD794" s="169"/>
      <c r="AE794" s="169"/>
      <c r="AF794" s="169"/>
      <c r="AG794" s="169"/>
      <c r="AH794" s="169"/>
      <c r="AI794" s="169"/>
      <c r="AJ794" s="169"/>
      <c r="AK794" s="169"/>
      <c r="AL794" s="169"/>
      <c r="AM794" s="169"/>
      <c r="AN794" s="169"/>
      <c r="AO794" s="169"/>
      <c r="AP794" s="169"/>
      <c r="AQ794" s="169"/>
      <c r="AR794" s="169"/>
      <c r="AS794" s="169"/>
      <c r="AT794" s="169"/>
      <c r="AU794" s="169"/>
      <c r="AV794" s="169"/>
      <c r="AW794" s="169"/>
      <c r="AX794" s="169"/>
      <c r="AY794" s="169"/>
      <c r="AZ794" s="169"/>
      <c r="BA794" s="169"/>
      <c r="BB794" s="169"/>
      <c r="BC794" s="169"/>
    </row>
    <row r="795" spans="1:55" ht="14.25" customHeight="1">
      <c r="A795" s="169"/>
      <c r="B795" s="169"/>
      <c r="C795" s="169"/>
      <c r="D795" s="169"/>
      <c r="E795" s="169"/>
      <c r="F795" s="169"/>
      <c r="G795" s="169"/>
      <c r="H795" s="169"/>
      <c r="I795" s="169"/>
      <c r="J795" s="169"/>
      <c r="K795" s="169"/>
      <c r="L795" s="169"/>
      <c r="M795" s="169"/>
      <c r="N795" s="169"/>
      <c r="O795" s="169"/>
      <c r="P795" s="169"/>
      <c r="Q795" s="169"/>
      <c r="R795" s="169"/>
      <c r="S795" s="169"/>
      <c r="T795" s="169"/>
      <c r="U795" s="169"/>
      <c r="V795" s="169"/>
      <c r="W795" s="169"/>
      <c r="X795" s="169"/>
      <c r="Y795" s="169"/>
      <c r="Z795" s="169"/>
      <c r="AA795" s="169"/>
      <c r="AB795" s="169"/>
      <c r="AC795" s="169"/>
      <c r="AD795" s="169"/>
      <c r="AE795" s="169"/>
      <c r="AF795" s="169"/>
      <c r="AG795" s="169"/>
      <c r="AH795" s="169"/>
      <c r="AI795" s="169"/>
      <c r="AJ795" s="169"/>
      <c r="AK795" s="169"/>
      <c r="AL795" s="169"/>
      <c r="AM795" s="169"/>
      <c r="AN795" s="169"/>
      <c r="AO795" s="169"/>
      <c r="AP795" s="169"/>
      <c r="AQ795" s="169"/>
      <c r="AR795" s="169"/>
      <c r="AS795" s="169"/>
      <c r="AT795" s="169"/>
      <c r="AU795" s="169"/>
      <c r="AV795" s="169"/>
      <c r="AW795" s="169"/>
      <c r="AX795" s="169"/>
      <c r="AY795" s="169"/>
      <c r="AZ795" s="169"/>
      <c r="BA795" s="169"/>
      <c r="BB795" s="169"/>
      <c r="BC795" s="169"/>
    </row>
    <row r="796" spans="1:55" ht="14.25" customHeight="1">
      <c r="A796" s="169"/>
      <c r="B796" s="169"/>
      <c r="C796" s="169"/>
      <c r="D796" s="169"/>
      <c r="E796" s="169"/>
      <c r="F796" s="169"/>
      <c r="G796" s="169"/>
      <c r="H796" s="169"/>
      <c r="I796" s="169"/>
      <c r="J796" s="169"/>
      <c r="K796" s="169"/>
      <c r="L796" s="169"/>
      <c r="M796" s="169"/>
      <c r="N796" s="169"/>
      <c r="O796" s="169"/>
      <c r="P796" s="169"/>
      <c r="Q796" s="169"/>
      <c r="R796" s="169"/>
      <c r="S796" s="169"/>
      <c r="T796" s="169"/>
      <c r="U796" s="169"/>
      <c r="V796" s="169"/>
      <c r="W796" s="169"/>
      <c r="X796" s="169"/>
      <c r="Y796" s="169"/>
      <c r="Z796" s="169"/>
      <c r="AA796" s="169"/>
      <c r="AB796" s="169"/>
      <c r="AC796" s="169"/>
      <c r="AD796" s="169"/>
      <c r="AE796" s="169"/>
      <c r="AF796" s="169"/>
      <c r="AG796" s="169"/>
      <c r="AH796" s="169"/>
      <c r="AI796" s="169"/>
      <c r="AJ796" s="169"/>
      <c r="AK796" s="169"/>
      <c r="AL796" s="169"/>
      <c r="AM796" s="169"/>
      <c r="AN796" s="169"/>
      <c r="AO796" s="169"/>
      <c r="AP796" s="169"/>
      <c r="AQ796" s="169"/>
      <c r="AR796" s="169"/>
      <c r="AS796" s="169"/>
      <c r="AT796" s="169"/>
      <c r="AU796" s="169"/>
      <c r="AV796" s="169"/>
      <c r="AW796" s="169"/>
      <c r="AX796" s="169"/>
      <c r="AY796" s="169"/>
      <c r="AZ796" s="169"/>
      <c r="BA796" s="169"/>
      <c r="BB796" s="169"/>
      <c r="BC796" s="169"/>
    </row>
    <row r="797" spans="1:55" ht="14.25" customHeight="1">
      <c r="A797" s="169"/>
      <c r="B797" s="169"/>
      <c r="C797" s="169"/>
      <c r="D797" s="169"/>
      <c r="E797" s="169"/>
      <c r="F797" s="169"/>
      <c r="G797" s="169"/>
      <c r="H797" s="169"/>
      <c r="I797" s="169"/>
      <c r="J797" s="169"/>
      <c r="K797" s="169"/>
      <c r="L797" s="169"/>
      <c r="M797" s="169"/>
      <c r="N797" s="169"/>
      <c r="O797" s="169"/>
      <c r="P797" s="169"/>
      <c r="Q797" s="169"/>
      <c r="R797" s="169"/>
      <c r="S797" s="169"/>
      <c r="T797" s="169"/>
      <c r="U797" s="169"/>
      <c r="V797" s="169"/>
      <c r="W797" s="169"/>
      <c r="X797" s="169"/>
      <c r="Y797" s="169"/>
      <c r="Z797" s="169"/>
      <c r="AA797" s="169"/>
      <c r="AB797" s="169"/>
      <c r="AC797" s="169"/>
      <c r="AD797" s="169"/>
      <c r="AE797" s="169"/>
      <c r="AF797" s="169"/>
      <c r="AG797" s="169"/>
      <c r="AH797" s="169"/>
      <c r="AI797" s="169"/>
      <c r="AJ797" s="169"/>
      <c r="AK797" s="169"/>
      <c r="AL797" s="169"/>
      <c r="AM797" s="169"/>
      <c r="AN797" s="169"/>
      <c r="AO797" s="169"/>
      <c r="AP797" s="169"/>
      <c r="AQ797" s="169"/>
      <c r="AR797" s="169"/>
      <c r="AS797" s="169"/>
      <c r="AT797" s="169"/>
      <c r="AU797" s="169"/>
      <c r="AV797" s="169"/>
      <c r="AW797" s="169"/>
      <c r="AX797" s="169"/>
      <c r="AY797" s="169"/>
      <c r="AZ797" s="169"/>
      <c r="BA797" s="169"/>
      <c r="BB797" s="169"/>
      <c r="BC797" s="169"/>
    </row>
    <row r="798" spans="1:55" ht="14.25" customHeight="1">
      <c r="A798" s="169"/>
      <c r="B798" s="169"/>
      <c r="C798" s="169"/>
      <c r="D798" s="169"/>
      <c r="E798" s="169"/>
      <c r="F798" s="169"/>
      <c r="G798" s="169"/>
      <c r="H798" s="169"/>
      <c r="I798" s="169"/>
      <c r="J798" s="169"/>
      <c r="K798" s="169"/>
      <c r="L798" s="169"/>
      <c r="M798" s="169"/>
      <c r="N798" s="169"/>
      <c r="O798" s="169"/>
      <c r="P798" s="169"/>
      <c r="Q798" s="169"/>
      <c r="R798" s="169"/>
      <c r="S798" s="169"/>
      <c r="T798" s="169"/>
      <c r="U798" s="169"/>
      <c r="V798" s="169"/>
      <c r="W798" s="169"/>
      <c r="X798" s="169"/>
      <c r="Y798" s="169"/>
      <c r="Z798" s="169"/>
      <c r="AA798" s="169"/>
      <c r="AB798" s="169"/>
      <c r="AC798" s="169"/>
      <c r="AD798" s="169"/>
      <c r="AE798" s="169"/>
      <c r="AF798" s="169"/>
      <c r="AG798" s="169"/>
      <c r="AH798" s="169"/>
      <c r="AI798" s="169"/>
      <c r="AJ798" s="169"/>
      <c r="AK798" s="169"/>
      <c r="AL798" s="169"/>
      <c r="AM798" s="169"/>
      <c r="AN798" s="169"/>
      <c r="AO798" s="169"/>
      <c r="AP798" s="169"/>
      <c r="AQ798" s="169"/>
      <c r="AR798" s="169"/>
      <c r="AS798" s="169"/>
      <c r="AT798" s="169"/>
      <c r="AU798" s="169"/>
      <c r="AV798" s="169"/>
      <c r="AW798" s="169"/>
      <c r="AX798" s="169"/>
      <c r="AY798" s="169"/>
      <c r="AZ798" s="169"/>
      <c r="BA798" s="169"/>
      <c r="BB798" s="169"/>
      <c r="BC798" s="169"/>
    </row>
    <row r="799" spans="1:55" ht="14.25" customHeight="1">
      <c r="A799" s="169"/>
      <c r="B799" s="169"/>
      <c r="C799" s="169"/>
      <c r="D799" s="169"/>
      <c r="E799" s="169"/>
      <c r="F799" s="169"/>
      <c r="G799" s="169"/>
      <c r="H799" s="169"/>
      <c r="I799" s="169"/>
      <c r="J799" s="169"/>
      <c r="K799" s="169"/>
      <c r="L799" s="169"/>
      <c r="M799" s="169"/>
      <c r="N799" s="169"/>
      <c r="O799" s="169"/>
      <c r="P799" s="169"/>
      <c r="Q799" s="169"/>
      <c r="R799" s="169"/>
      <c r="S799" s="169"/>
      <c r="T799" s="169"/>
      <c r="U799" s="169"/>
      <c r="V799" s="169"/>
      <c r="W799" s="169"/>
      <c r="X799" s="169"/>
      <c r="Y799" s="169"/>
      <c r="Z799" s="169"/>
      <c r="AA799" s="169"/>
      <c r="AB799" s="169"/>
      <c r="AC799" s="169"/>
      <c r="AD799" s="169"/>
      <c r="AE799" s="169"/>
      <c r="AF799" s="169"/>
      <c r="AG799" s="169"/>
      <c r="AH799" s="169"/>
      <c r="AI799" s="169"/>
      <c r="AJ799" s="169"/>
      <c r="AK799" s="169"/>
      <c r="AL799" s="169"/>
      <c r="AM799" s="169"/>
      <c r="AN799" s="169"/>
      <c r="AO799" s="169"/>
      <c r="AP799" s="169"/>
      <c r="AQ799" s="169"/>
      <c r="AR799" s="169"/>
      <c r="AS799" s="169"/>
      <c r="AT799" s="169"/>
      <c r="AU799" s="169"/>
      <c r="AV799" s="169"/>
      <c r="AW799" s="169"/>
      <c r="AX799" s="169"/>
      <c r="AY799" s="169"/>
      <c r="AZ799" s="169"/>
      <c r="BA799" s="169"/>
      <c r="BB799" s="169"/>
      <c r="BC799" s="169"/>
    </row>
    <row r="800" spans="1:55" ht="14.25" customHeight="1">
      <c r="A800" s="169"/>
      <c r="B800" s="169"/>
      <c r="C800" s="169"/>
      <c r="D800" s="169"/>
      <c r="E800" s="169"/>
      <c r="F800" s="169"/>
      <c r="G800" s="169"/>
      <c r="H800" s="169"/>
      <c r="I800" s="169"/>
      <c r="J800" s="169"/>
      <c r="K800" s="169"/>
      <c r="L800" s="169"/>
      <c r="M800" s="169"/>
      <c r="N800" s="169"/>
      <c r="O800" s="169"/>
      <c r="P800" s="169"/>
      <c r="Q800" s="169"/>
      <c r="R800" s="169"/>
      <c r="S800" s="169"/>
      <c r="T800" s="169"/>
      <c r="U800" s="169"/>
      <c r="V800" s="169"/>
      <c r="W800" s="169"/>
      <c r="X800" s="169"/>
      <c r="Y800" s="169"/>
      <c r="Z800" s="169"/>
      <c r="AA800" s="169"/>
      <c r="AB800" s="169"/>
      <c r="AC800" s="169"/>
      <c r="AD800" s="169"/>
      <c r="AE800" s="169"/>
      <c r="AF800" s="169"/>
      <c r="AG800" s="169"/>
      <c r="AH800" s="169"/>
      <c r="AI800" s="169"/>
      <c r="AJ800" s="169"/>
      <c r="AK800" s="169"/>
      <c r="AL800" s="169"/>
      <c r="AM800" s="169"/>
      <c r="AN800" s="169"/>
      <c r="AO800" s="169"/>
      <c r="AP800" s="169"/>
      <c r="AQ800" s="169"/>
      <c r="AR800" s="169"/>
      <c r="AS800" s="169"/>
      <c r="AT800" s="169"/>
      <c r="AU800" s="169"/>
      <c r="AV800" s="169"/>
      <c r="AW800" s="169"/>
      <c r="AX800" s="169"/>
      <c r="AY800" s="169"/>
      <c r="AZ800" s="169"/>
      <c r="BA800" s="169"/>
      <c r="BB800" s="169"/>
      <c r="BC800" s="169"/>
    </row>
    <row r="801" spans="1:55" ht="14.25" customHeight="1">
      <c r="A801" s="169"/>
      <c r="B801" s="169"/>
      <c r="C801" s="169"/>
      <c r="D801" s="169"/>
      <c r="E801" s="169"/>
      <c r="F801" s="169"/>
      <c r="G801" s="169"/>
      <c r="H801" s="169"/>
      <c r="I801" s="169"/>
      <c r="J801" s="169"/>
      <c r="K801" s="169"/>
      <c r="L801" s="169"/>
      <c r="M801" s="169"/>
      <c r="N801" s="169"/>
      <c r="O801" s="169"/>
      <c r="P801" s="169"/>
      <c r="Q801" s="169"/>
      <c r="R801" s="169"/>
      <c r="S801" s="169"/>
      <c r="T801" s="169"/>
      <c r="U801" s="169"/>
      <c r="V801" s="169"/>
      <c r="W801" s="169"/>
      <c r="X801" s="169"/>
      <c r="Y801" s="169"/>
      <c r="Z801" s="169"/>
      <c r="AA801" s="169"/>
      <c r="AB801" s="169"/>
      <c r="AC801" s="169"/>
      <c r="AD801" s="169"/>
      <c r="AE801" s="169"/>
      <c r="AF801" s="169"/>
      <c r="AG801" s="169"/>
      <c r="AH801" s="169"/>
      <c r="AI801" s="169"/>
      <c r="AJ801" s="169"/>
      <c r="AK801" s="169"/>
      <c r="AL801" s="169"/>
      <c r="AM801" s="169"/>
      <c r="AN801" s="169"/>
      <c r="AO801" s="169"/>
      <c r="AP801" s="169"/>
      <c r="AQ801" s="169"/>
      <c r="AR801" s="169"/>
      <c r="AS801" s="169"/>
      <c r="AT801" s="169"/>
      <c r="AU801" s="169"/>
      <c r="AV801" s="169"/>
      <c r="AW801" s="169"/>
      <c r="AX801" s="169"/>
      <c r="AY801" s="169"/>
      <c r="AZ801" s="169"/>
      <c r="BA801" s="169"/>
      <c r="BB801" s="169"/>
      <c r="BC801" s="169"/>
    </row>
    <row r="802" spans="1:55" ht="14.25" customHeight="1">
      <c r="A802" s="169"/>
      <c r="B802" s="169"/>
      <c r="C802" s="169"/>
      <c r="D802" s="169"/>
      <c r="E802" s="169"/>
      <c r="F802" s="169"/>
      <c r="G802" s="169"/>
      <c r="H802" s="169"/>
      <c r="I802" s="169"/>
      <c r="J802" s="169"/>
      <c r="K802" s="169"/>
      <c r="L802" s="169"/>
      <c r="M802" s="169"/>
      <c r="N802" s="169"/>
      <c r="O802" s="169"/>
      <c r="P802" s="169"/>
      <c r="Q802" s="169"/>
      <c r="R802" s="169"/>
      <c r="S802" s="169"/>
      <c r="T802" s="169"/>
      <c r="U802" s="169"/>
      <c r="V802" s="169"/>
      <c r="W802" s="169"/>
      <c r="X802" s="169"/>
      <c r="Y802" s="169"/>
      <c r="Z802" s="169"/>
      <c r="AA802" s="169"/>
      <c r="AB802" s="169"/>
      <c r="AC802" s="169"/>
      <c r="AD802" s="169"/>
      <c r="AE802" s="169"/>
      <c r="AF802" s="169"/>
      <c r="AG802" s="169"/>
      <c r="AH802" s="169"/>
      <c r="AI802" s="169"/>
      <c r="AJ802" s="169"/>
      <c r="AK802" s="169"/>
      <c r="AL802" s="169"/>
      <c r="AM802" s="169"/>
      <c r="AN802" s="169"/>
      <c r="AO802" s="169"/>
      <c r="AP802" s="169"/>
      <c r="AQ802" s="169"/>
      <c r="AR802" s="169"/>
      <c r="AS802" s="169"/>
      <c r="AT802" s="169"/>
      <c r="AU802" s="169"/>
      <c r="AV802" s="169"/>
      <c r="AW802" s="169"/>
      <c r="AX802" s="169"/>
      <c r="AY802" s="169"/>
      <c r="AZ802" s="169"/>
      <c r="BA802" s="169"/>
      <c r="BB802" s="169"/>
      <c r="BC802" s="169"/>
    </row>
    <row r="803" spans="1:55" ht="14.25" customHeight="1">
      <c r="A803" s="169"/>
      <c r="B803" s="169"/>
      <c r="C803" s="169"/>
      <c r="D803" s="169"/>
      <c r="E803" s="169"/>
      <c r="F803" s="169"/>
      <c r="G803" s="169"/>
      <c r="H803" s="169"/>
      <c r="I803" s="169"/>
      <c r="J803" s="169"/>
      <c r="K803" s="169"/>
      <c r="L803" s="169"/>
      <c r="M803" s="169"/>
      <c r="N803" s="169"/>
      <c r="O803" s="169"/>
      <c r="P803" s="169"/>
      <c r="Q803" s="169"/>
      <c r="R803" s="169"/>
      <c r="S803" s="169"/>
      <c r="T803" s="169"/>
      <c r="U803" s="169"/>
      <c r="V803" s="169"/>
      <c r="W803" s="169"/>
      <c r="X803" s="169"/>
      <c r="Y803" s="169"/>
      <c r="Z803" s="169"/>
      <c r="AA803" s="169"/>
      <c r="AB803" s="169"/>
      <c r="AC803" s="169"/>
      <c r="AD803" s="169"/>
      <c r="AE803" s="169"/>
      <c r="AF803" s="169"/>
      <c r="AG803" s="169"/>
      <c r="AH803" s="169"/>
      <c r="AI803" s="169"/>
      <c r="AJ803" s="169"/>
      <c r="AK803" s="169"/>
      <c r="AL803" s="169"/>
      <c r="AM803" s="169"/>
      <c r="AN803" s="169"/>
      <c r="AO803" s="169"/>
      <c r="AP803" s="169"/>
      <c r="AQ803" s="169"/>
      <c r="AR803" s="169"/>
      <c r="AS803" s="169"/>
      <c r="AT803" s="169"/>
      <c r="AU803" s="169"/>
      <c r="AV803" s="169"/>
      <c r="AW803" s="169"/>
      <c r="AX803" s="169"/>
      <c r="AY803" s="169"/>
      <c r="AZ803" s="169"/>
      <c r="BA803" s="169"/>
      <c r="BB803" s="169"/>
      <c r="BC803" s="169"/>
    </row>
    <row r="804" spans="1:55" ht="14.25" customHeight="1">
      <c r="A804" s="169"/>
      <c r="B804" s="169"/>
      <c r="C804" s="169"/>
      <c r="D804" s="169"/>
      <c r="E804" s="169"/>
      <c r="F804" s="169"/>
      <c r="G804" s="169"/>
      <c r="H804" s="169"/>
      <c r="I804" s="169"/>
      <c r="J804" s="169"/>
      <c r="K804" s="169"/>
      <c r="L804" s="169"/>
      <c r="M804" s="169"/>
      <c r="N804" s="169"/>
      <c r="O804" s="169"/>
      <c r="P804" s="169"/>
      <c r="Q804" s="169"/>
      <c r="R804" s="169"/>
      <c r="S804" s="169"/>
      <c r="T804" s="169"/>
      <c r="U804" s="169"/>
      <c r="V804" s="169"/>
      <c r="W804" s="169"/>
      <c r="X804" s="169"/>
      <c r="Y804" s="169"/>
      <c r="Z804" s="169"/>
      <c r="AA804" s="169"/>
      <c r="AB804" s="169"/>
      <c r="AC804" s="169"/>
      <c r="AD804" s="169"/>
      <c r="AE804" s="169"/>
      <c r="AF804" s="169"/>
      <c r="AG804" s="169"/>
      <c r="AH804" s="169"/>
      <c r="AI804" s="169"/>
      <c r="AJ804" s="169"/>
      <c r="AK804" s="169"/>
      <c r="AL804" s="169"/>
      <c r="AM804" s="169"/>
      <c r="AN804" s="169"/>
      <c r="AO804" s="169"/>
      <c r="AP804" s="169"/>
      <c r="AQ804" s="169"/>
      <c r="AR804" s="169"/>
      <c r="AS804" s="169"/>
      <c r="AT804" s="169"/>
      <c r="AU804" s="169"/>
      <c r="AV804" s="169"/>
      <c r="AW804" s="169"/>
      <c r="AX804" s="169"/>
      <c r="AY804" s="169"/>
      <c r="AZ804" s="169"/>
      <c r="BA804" s="169"/>
      <c r="BB804" s="169"/>
      <c r="BC804" s="169"/>
    </row>
    <row r="805" spans="1:55" ht="14.25" customHeight="1">
      <c r="A805" s="169"/>
      <c r="B805" s="169"/>
      <c r="C805" s="169"/>
      <c r="D805" s="169"/>
      <c r="E805" s="169"/>
      <c r="F805" s="169"/>
      <c r="G805" s="169"/>
      <c r="H805" s="169"/>
      <c r="I805" s="169"/>
      <c r="J805" s="169"/>
      <c r="K805" s="169"/>
      <c r="L805" s="169"/>
      <c r="M805" s="169"/>
      <c r="N805" s="169"/>
      <c r="O805" s="169"/>
      <c r="P805" s="169"/>
      <c r="Q805" s="169"/>
      <c r="R805" s="169"/>
      <c r="S805" s="169"/>
      <c r="T805" s="169"/>
      <c r="U805" s="169"/>
      <c r="V805" s="169"/>
      <c r="W805" s="169"/>
      <c r="X805" s="169"/>
      <c r="Y805" s="169"/>
      <c r="Z805" s="169"/>
      <c r="AA805" s="169"/>
      <c r="AB805" s="169"/>
      <c r="AC805" s="169"/>
      <c r="AD805" s="169"/>
      <c r="AE805" s="169"/>
      <c r="AF805" s="169"/>
      <c r="AG805" s="169"/>
      <c r="AH805" s="169"/>
      <c r="AI805" s="169"/>
      <c r="AJ805" s="169"/>
      <c r="AK805" s="169"/>
      <c r="AL805" s="169"/>
      <c r="AM805" s="169"/>
      <c r="AN805" s="169"/>
      <c r="AO805" s="169"/>
      <c r="AP805" s="169"/>
      <c r="AQ805" s="169"/>
      <c r="AR805" s="169"/>
      <c r="AS805" s="169"/>
      <c r="AT805" s="169"/>
      <c r="AU805" s="169"/>
      <c r="AV805" s="169"/>
      <c r="AW805" s="169"/>
      <c r="AX805" s="169"/>
      <c r="AY805" s="169"/>
      <c r="AZ805" s="169"/>
      <c r="BA805" s="169"/>
      <c r="BB805" s="169"/>
      <c r="BC805" s="169"/>
    </row>
    <row r="806" spans="1:55" ht="14.25" customHeight="1">
      <c r="A806" s="169"/>
      <c r="B806" s="169"/>
      <c r="C806" s="169"/>
      <c r="D806" s="169"/>
      <c r="E806" s="169"/>
      <c r="F806" s="169"/>
      <c r="G806" s="169"/>
      <c r="H806" s="169"/>
      <c r="I806" s="169"/>
      <c r="J806" s="169"/>
      <c r="K806" s="169"/>
      <c r="L806" s="169"/>
      <c r="M806" s="169"/>
      <c r="N806" s="169"/>
      <c r="O806" s="169"/>
      <c r="P806" s="169"/>
      <c r="Q806" s="169"/>
      <c r="R806" s="169"/>
      <c r="S806" s="169"/>
      <c r="T806" s="169"/>
      <c r="U806" s="169"/>
      <c r="V806" s="169"/>
      <c r="W806" s="169"/>
      <c r="X806" s="169"/>
      <c r="Y806" s="169"/>
      <c r="Z806" s="169"/>
      <c r="AA806" s="169"/>
      <c r="AB806" s="169"/>
      <c r="AC806" s="169"/>
      <c r="AD806" s="169"/>
      <c r="AE806" s="169"/>
      <c r="AF806" s="169"/>
      <c r="AG806" s="169"/>
      <c r="AH806" s="169"/>
      <c r="AI806" s="169"/>
      <c r="AJ806" s="169"/>
      <c r="AK806" s="169"/>
      <c r="AL806" s="169"/>
      <c r="AM806" s="169"/>
      <c r="AN806" s="169"/>
      <c r="AO806" s="169"/>
      <c r="AP806" s="169"/>
      <c r="AQ806" s="169"/>
      <c r="AR806" s="169"/>
      <c r="AS806" s="169"/>
      <c r="AT806" s="169"/>
      <c r="AU806" s="169"/>
      <c r="AV806" s="169"/>
      <c r="AW806" s="169"/>
      <c r="AX806" s="169"/>
      <c r="AY806" s="169"/>
      <c r="AZ806" s="169"/>
      <c r="BA806" s="169"/>
      <c r="BB806" s="169"/>
      <c r="BC806" s="169"/>
    </row>
    <row r="807" spans="1:55" ht="14.25" customHeight="1">
      <c r="A807" s="169"/>
      <c r="B807" s="169"/>
      <c r="C807" s="169"/>
      <c r="D807" s="169"/>
      <c r="E807" s="169"/>
      <c r="F807" s="169"/>
      <c r="G807" s="169"/>
      <c r="H807" s="169"/>
      <c r="I807" s="169"/>
      <c r="J807" s="169"/>
      <c r="K807" s="169"/>
      <c r="L807" s="169"/>
      <c r="M807" s="169"/>
      <c r="N807" s="169"/>
      <c r="O807" s="169"/>
      <c r="P807" s="169"/>
      <c r="Q807" s="169"/>
      <c r="R807" s="169"/>
      <c r="S807" s="169"/>
      <c r="T807" s="169"/>
      <c r="U807" s="169"/>
      <c r="V807" s="169"/>
      <c r="W807" s="169"/>
      <c r="X807" s="169"/>
      <c r="Y807" s="169"/>
      <c r="Z807" s="169"/>
      <c r="AA807" s="169"/>
      <c r="AB807" s="169"/>
      <c r="AC807" s="169"/>
      <c r="AD807" s="169"/>
      <c r="AE807" s="169"/>
      <c r="AF807" s="169"/>
      <c r="AG807" s="169"/>
      <c r="AH807" s="169"/>
      <c r="AI807" s="169"/>
      <c r="AJ807" s="169"/>
      <c r="AK807" s="169"/>
      <c r="AL807" s="169"/>
      <c r="AM807" s="169"/>
      <c r="AN807" s="169"/>
      <c r="AO807" s="169"/>
      <c r="AP807" s="169"/>
      <c r="AQ807" s="169"/>
      <c r="AR807" s="169"/>
      <c r="AS807" s="169"/>
      <c r="AT807" s="169"/>
      <c r="AU807" s="169"/>
      <c r="AV807" s="169"/>
      <c r="AW807" s="169"/>
      <c r="AX807" s="169"/>
      <c r="AY807" s="169"/>
      <c r="AZ807" s="169"/>
      <c r="BA807" s="169"/>
      <c r="BB807" s="169"/>
      <c r="BC807" s="169"/>
    </row>
    <row r="808" spans="1:55" ht="14.25" customHeight="1">
      <c r="A808" s="169"/>
      <c r="B808" s="169"/>
      <c r="C808" s="169"/>
      <c r="D808" s="169"/>
      <c r="E808" s="169"/>
      <c r="F808" s="169"/>
      <c r="G808" s="169"/>
      <c r="H808" s="169"/>
      <c r="I808" s="169"/>
      <c r="J808" s="169"/>
      <c r="K808" s="169"/>
      <c r="L808" s="169"/>
      <c r="M808" s="169"/>
      <c r="N808" s="169"/>
      <c r="O808" s="169"/>
      <c r="P808" s="169"/>
      <c r="Q808" s="169"/>
      <c r="R808" s="169"/>
      <c r="S808" s="169"/>
      <c r="T808" s="169"/>
      <c r="U808" s="169"/>
      <c r="V808" s="169"/>
      <c r="W808" s="169"/>
      <c r="X808" s="169"/>
      <c r="Y808" s="169"/>
      <c r="Z808" s="169"/>
      <c r="AA808" s="169"/>
      <c r="AB808" s="169"/>
      <c r="AC808" s="169"/>
      <c r="AD808" s="169"/>
      <c r="AE808" s="169"/>
      <c r="AF808" s="169"/>
      <c r="AG808" s="169"/>
      <c r="AH808" s="169"/>
      <c r="AI808" s="169"/>
      <c r="AJ808" s="169"/>
      <c r="AK808" s="169"/>
      <c r="AL808" s="169"/>
      <c r="AM808" s="169"/>
      <c r="AN808" s="169"/>
      <c r="AO808" s="169"/>
      <c r="AP808" s="169"/>
      <c r="AQ808" s="169"/>
      <c r="AR808" s="169"/>
      <c r="AS808" s="169"/>
      <c r="AT808" s="169"/>
      <c r="AU808" s="169"/>
      <c r="AV808" s="169"/>
      <c r="AW808" s="169"/>
      <c r="AX808" s="169"/>
      <c r="AY808" s="169"/>
      <c r="AZ808" s="169"/>
      <c r="BA808" s="169"/>
      <c r="BB808" s="169"/>
      <c r="BC808" s="169"/>
    </row>
    <row r="809" spans="1:55" ht="14.25" customHeight="1">
      <c r="A809" s="169"/>
      <c r="B809" s="169"/>
      <c r="C809" s="169"/>
      <c r="D809" s="169"/>
      <c r="E809" s="169"/>
      <c r="F809" s="169"/>
      <c r="G809" s="169"/>
      <c r="H809" s="169"/>
      <c r="I809" s="169"/>
      <c r="J809" s="169"/>
      <c r="K809" s="169"/>
      <c r="L809" s="169"/>
      <c r="M809" s="169"/>
      <c r="N809" s="169"/>
      <c r="O809" s="169"/>
      <c r="P809" s="169"/>
      <c r="Q809" s="169"/>
      <c r="R809" s="169"/>
      <c r="S809" s="169"/>
      <c r="T809" s="169"/>
      <c r="U809" s="169"/>
      <c r="V809" s="169"/>
      <c r="W809" s="169"/>
      <c r="X809" s="169"/>
      <c r="Y809" s="169"/>
      <c r="Z809" s="169"/>
      <c r="AA809" s="169"/>
      <c r="AB809" s="169"/>
      <c r="AC809" s="169"/>
      <c r="AD809" s="169"/>
      <c r="AE809" s="169"/>
      <c r="AF809" s="169"/>
      <c r="AG809" s="169"/>
      <c r="AH809" s="169"/>
      <c r="AI809" s="169"/>
      <c r="AJ809" s="169"/>
      <c r="AK809" s="169"/>
      <c r="AL809" s="169"/>
      <c r="AM809" s="169"/>
      <c r="AN809" s="169"/>
      <c r="AO809" s="169"/>
      <c r="AP809" s="169"/>
      <c r="AQ809" s="169"/>
      <c r="AR809" s="169"/>
      <c r="AS809" s="169"/>
      <c r="AT809" s="169"/>
      <c r="AU809" s="169"/>
      <c r="AV809" s="169"/>
      <c r="AW809" s="169"/>
      <c r="AX809" s="169"/>
      <c r="AY809" s="169"/>
      <c r="AZ809" s="169"/>
      <c r="BA809" s="169"/>
      <c r="BB809" s="169"/>
      <c r="BC809" s="169"/>
    </row>
    <row r="810" spans="1:55" ht="14.25" customHeight="1">
      <c r="A810" s="169"/>
      <c r="B810" s="169"/>
      <c r="C810" s="169"/>
      <c r="D810" s="169"/>
      <c r="E810" s="169"/>
      <c r="F810" s="169"/>
      <c r="G810" s="169"/>
      <c r="H810" s="169"/>
      <c r="I810" s="169"/>
      <c r="J810" s="169"/>
      <c r="K810" s="169"/>
      <c r="L810" s="169"/>
      <c r="M810" s="169"/>
      <c r="N810" s="169"/>
      <c r="O810" s="169"/>
      <c r="P810" s="169"/>
      <c r="Q810" s="169"/>
      <c r="R810" s="169"/>
      <c r="S810" s="169"/>
      <c r="T810" s="169"/>
      <c r="U810" s="169"/>
      <c r="V810" s="169"/>
      <c r="W810" s="169"/>
      <c r="X810" s="169"/>
      <c r="Y810" s="169"/>
      <c r="Z810" s="169"/>
      <c r="AA810" s="169"/>
      <c r="AB810" s="169"/>
      <c r="AC810" s="169"/>
      <c r="AD810" s="169"/>
      <c r="AE810" s="169"/>
      <c r="AF810" s="169"/>
      <c r="AG810" s="169"/>
      <c r="AH810" s="169"/>
      <c r="AI810" s="169"/>
      <c r="AJ810" s="169"/>
      <c r="AK810" s="169"/>
      <c r="AL810" s="169"/>
      <c r="AM810" s="169"/>
      <c r="AN810" s="169"/>
      <c r="AO810" s="169"/>
      <c r="AP810" s="169"/>
      <c r="AQ810" s="169"/>
      <c r="AR810" s="169"/>
      <c r="AS810" s="169"/>
      <c r="AT810" s="169"/>
      <c r="AU810" s="169"/>
      <c r="AV810" s="169"/>
      <c r="AW810" s="169"/>
      <c r="AX810" s="169"/>
      <c r="AY810" s="169"/>
      <c r="AZ810" s="169"/>
      <c r="BA810" s="169"/>
      <c r="BB810" s="169"/>
      <c r="BC810" s="169"/>
    </row>
    <row r="811" spans="1:55" ht="14.25" customHeight="1">
      <c r="A811" s="169"/>
      <c r="B811" s="169"/>
      <c r="C811" s="169"/>
      <c r="D811" s="169"/>
      <c r="E811" s="169"/>
      <c r="F811" s="169"/>
      <c r="G811" s="169"/>
      <c r="H811" s="169"/>
      <c r="I811" s="169"/>
      <c r="J811" s="169"/>
      <c r="K811" s="169"/>
      <c r="L811" s="169"/>
      <c r="M811" s="169"/>
      <c r="N811" s="169"/>
      <c r="O811" s="169"/>
      <c r="P811" s="169"/>
      <c r="Q811" s="169"/>
      <c r="R811" s="169"/>
      <c r="S811" s="169"/>
      <c r="T811" s="169"/>
      <c r="U811" s="169"/>
      <c r="V811" s="169"/>
      <c r="W811" s="169"/>
      <c r="X811" s="169"/>
      <c r="Y811" s="169"/>
      <c r="Z811" s="169"/>
      <c r="AA811" s="169"/>
      <c r="AB811" s="169"/>
      <c r="AC811" s="169"/>
      <c r="AD811" s="169"/>
      <c r="AE811" s="169"/>
      <c r="AF811" s="169"/>
      <c r="AG811" s="169"/>
      <c r="AH811" s="169"/>
      <c r="AI811" s="169"/>
      <c r="AJ811" s="169"/>
      <c r="AK811" s="169"/>
      <c r="AL811" s="169"/>
      <c r="AM811" s="169"/>
      <c r="AN811" s="169"/>
      <c r="AO811" s="169"/>
      <c r="AP811" s="169"/>
      <c r="AQ811" s="169"/>
      <c r="AR811" s="169"/>
      <c r="AS811" s="169"/>
      <c r="AT811" s="169"/>
      <c r="AU811" s="169"/>
      <c r="AV811" s="169"/>
      <c r="AW811" s="169"/>
      <c r="AX811" s="169"/>
      <c r="AY811" s="169"/>
      <c r="AZ811" s="169"/>
      <c r="BA811" s="169"/>
      <c r="BB811" s="169"/>
      <c r="BC811" s="169"/>
    </row>
    <row r="812" spans="1:55" ht="14.25" customHeight="1">
      <c r="A812" s="169"/>
      <c r="B812" s="169"/>
      <c r="C812" s="169"/>
      <c r="D812" s="169"/>
      <c r="E812" s="169"/>
      <c r="F812" s="169"/>
      <c r="G812" s="169"/>
      <c r="H812" s="169"/>
      <c r="I812" s="169"/>
      <c r="J812" s="169"/>
      <c r="K812" s="169"/>
      <c r="L812" s="169"/>
      <c r="M812" s="169"/>
      <c r="N812" s="169"/>
      <c r="O812" s="169"/>
      <c r="P812" s="169"/>
      <c r="Q812" s="169"/>
      <c r="R812" s="169"/>
      <c r="S812" s="169"/>
      <c r="T812" s="169"/>
      <c r="U812" s="169"/>
      <c r="V812" s="169"/>
      <c r="W812" s="169"/>
      <c r="X812" s="169"/>
      <c r="Y812" s="169"/>
      <c r="Z812" s="169"/>
      <c r="AA812" s="169"/>
      <c r="AB812" s="169"/>
      <c r="AC812" s="169"/>
      <c r="AD812" s="169"/>
      <c r="AE812" s="169"/>
      <c r="AF812" s="169"/>
      <c r="AG812" s="169"/>
      <c r="AH812" s="169"/>
      <c r="AI812" s="169"/>
      <c r="AJ812" s="169"/>
      <c r="AK812" s="169"/>
      <c r="AL812" s="169"/>
      <c r="AM812" s="169"/>
      <c r="AN812" s="169"/>
      <c r="AO812" s="169"/>
      <c r="AP812" s="169"/>
      <c r="AQ812" s="169"/>
      <c r="AR812" s="169"/>
      <c r="AS812" s="169"/>
      <c r="AT812" s="169"/>
      <c r="AU812" s="169"/>
      <c r="AV812" s="169"/>
      <c r="AW812" s="169"/>
      <c r="AX812" s="169"/>
      <c r="AY812" s="169"/>
      <c r="AZ812" s="169"/>
      <c r="BA812" s="169"/>
      <c r="BB812" s="169"/>
      <c r="BC812" s="169"/>
    </row>
    <row r="813" spans="1:55" ht="14.25" customHeight="1">
      <c r="A813" s="169"/>
      <c r="B813" s="169"/>
      <c r="C813" s="169"/>
      <c r="D813" s="169"/>
      <c r="E813" s="169"/>
      <c r="F813" s="169"/>
      <c r="G813" s="169"/>
      <c r="H813" s="169"/>
      <c r="I813" s="169"/>
      <c r="J813" s="169"/>
      <c r="K813" s="169"/>
      <c r="L813" s="169"/>
      <c r="M813" s="169"/>
      <c r="N813" s="169"/>
      <c r="O813" s="169"/>
      <c r="P813" s="169"/>
      <c r="Q813" s="169"/>
      <c r="R813" s="169"/>
      <c r="S813" s="169"/>
      <c r="T813" s="169"/>
      <c r="U813" s="169"/>
      <c r="V813" s="169"/>
      <c r="W813" s="169"/>
      <c r="X813" s="169"/>
      <c r="Y813" s="169"/>
      <c r="Z813" s="169"/>
      <c r="AA813" s="169"/>
      <c r="AB813" s="169"/>
      <c r="AC813" s="169"/>
      <c r="AD813" s="169"/>
      <c r="AE813" s="169"/>
      <c r="AF813" s="169"/>
      <c r="AG813" s="169"/>
      <c r="AH813" s="169"/>
      <c r="AI813" s="169"/>
      <c r="AJ813" s="169"/>
      <c r="AK813" s="169"/>
      <c r="AL813" s="169"/>
      <c r="AM813" s="169"/>
      <c r="AN813" s="169"/>
      <c r="AO813" s="169"/>
      <c r="AP813" s="169"/>
      <c r="AQ813" s="169"/>
      <c r="AR813" s="169"/>
      <c r="AS813" s="169"/>
      <c r="AT813" s="169"/>
      <c r="AU813" s="169"/>
      <c r="AV813" s="169"/>
      <c r="AW813" s="169"/>
      <c r="AX813" s="169"/>
      <c r="AY813" s="169"/>
      <c r="AZ813" s="169"/>
      <c r="BA813" s="169"/>
      <c r="BB813" s="169"/>
      <c r="BC813" s="169"/>
    </row>
    <row r="814" spans="1:55" ht="14.25" customHeight="1">
      <c r="A814" s="169"/>
      <c r="B814" s="169"/>
      <c r="C814" s="169"/>
      <c r="D814" s="169"/>
      <c r="E814" s="169"/>
      <c r="F814" s="169"/>
      <c r="G814" s="169"/>
      <c r="H814" s="169"/>
      <c r="I814" s="169"/>
      <c r="J814" s="169"/>
      <c r="K814" s="169"/>
      <c r="L814" s="169"/>
      <c r="M814" s="169"/>
      <c r="N814" s="169"/>
      <c r="O814" s="169"/>
      <c r="P814" s="169"/>
      <c r="Q814" s="169"/>
      <c r="R814" s="169"/>
      <c r="S814" s="169"/>
      <c r="T814" s="169"/>
      <c r="U814" s="169"/>
      <c r="V814" s="169"/>
      <c r="W814" s="169"/>
      <c r="X814" s="169"/>
      <c r="Y814" s="169"/>
      <c r="Z814" s="169"/>
      <c r="AA814" s="169"/>
      <c r="AB814" s="169"/>
      <c r="AC814" s="169"/>
      <c r="AD814" s="169"/>
      <c r="AE814" s="169"/>
      <c r="AF814" s="169"/>
      <c r="AG814" s="169"/>
      <c r="AH814" s="169"/>
      <c r="AI814" s="169"/>
      <c r="AJ814" s="169"/>
      <c r="AK814" s="169"/>
      <c r="AL814" s="169"/>
      <c r="AM814" s="169"/>
      <c r="AN814" s="169"/>
      <c r="AO814" s="169"/>
      <c r="AP814" s="169"/>
      <c r="AQ814" s="169"/>
      <c r="AR814" s="169"/>
      <c r="AS814" s="169"/>
      <c r="AT814" s="169"/>
      <c r="AU814" s="169"/>
      <c r="AV814" s="169"/>
      <c r="AW814" s="169"/>
      <c r="AX814" s="169"/>
      <c r="AY814" s="169"/>
      <c r="AZ814" s="169"/>
      <c r="BA814" s="169"/>
      <c r="BB814" s="169"/>
      <c r="BC814" s="169"/>
    </row>
    <row r="815" spans="1:55" ht="14.25" customHeight="1">
      <c r="A815" s="169"/>
      <c r="B815" s="169"/>
      <c r="C815" s="169"/>
      <c r="D815" s="169"/>
      <c r="E815" s="169"/>
      <c r="F815" s="169"/>
      <c r="G815" s="169"/>
      <c r="H815" s="169"/>
      <c r="I815" s="169"/>
      <c r="J815" s="169"/>
      <c r="K815" s="169"/>
      <c r="L815" s="169"/>
      <c r="M815" s="169"/>
      <c r="N815" s="169"/>
      <c r="O815" s="169"/>
      <c r="P815" s="169"/>
      <c r="Q815" s="169"/>
      <c r="R815" s="169"/>
      <c r="S815" s="169"/>
      <c r="T815" s="169"/>
      <c r="U815" s="169"/>
      <c r="V815" s="169"/>
      <c r="W815" s="169"/>
      <c r="X815" s="169"/>
      <c r="Y815" s="169"/>
      <c r="Z815" s="169"/>
      <c r="AA815" s="169"/>
      <c r="AB815" s="169"/>
      <c r="AC815" s="169"/>
      <c r="AD815" s="169"/>
      <c r="AE815" s="169"/>
      <c r="AF815" s="169"/>
      <c r="AG815" s="169"/>
      <c r="AH815" s="169"/>
      <c r="AI815" s="169"/>
      <c r="AJ815" s="169"/>
      <c r="AK815" s="169"/>
      <c r="AL815" s="169"/>
      <c r="AM815" s="169"/>
      <c r="AN815" s="169"/>
      <c r="AO815" s="169"/>
      <c r="AP815" s="169"/>
      <c r="AQ815" s="169"/>
      <c r="AR815" s="169"/>
      <c r="AS815" s="169"/>
      <c r="AT815" s="169"/>
      <c r="AU815" s="169"/>
      <c r="AV815" s="169"/>
      <c r="AW815" s="169"/>
      <c r="AX815" s="169"/>
      <c r="AY815" s="169"/>
      <c r="AZ815" s="169"/>
      <c r="BA815" s="169"/>
      <c r="BB815" s="169"/>
      <c r="BC815" s="169"/>
    </row>
    <row r="816" spans="1:55" ht="14.25" customHeight="1">
      <c r="A816" s="169"/>
      <c r="B816" s="169"/>
      <c r="C816" s="169"/>
      <c r="D816" s="169"/>
      <c r="E816" s="169"/>
      <c r="F816" s="169"/>
      <c r="G816" s="169"/>
      <c r="H816" s="169"/>
      <c r="I816" s="169"/>
      <c r="J816" s="169"/>
      <c r="K816" s="169"/>
      <c r="L816" s="169"/>
      <c r="M816" s="169"/>
      <c r="N816" s="169"/>
      <c r="O816" s="169"/>
      <c r="P816" s="169"/>
      <c r="Q816" s="169"/>
      <c r="R816" s="169"/>
      <c r="S816" s="169"/>
      <c r="T816" s="169"/>
      <c r="U816" s="169"/>
      <c r="V816" s="169"/>
      <c r="W816" s="169"/>
      <c r="X816" s="169"/>
      <c r="Y816" s="169"/>
      <c r="Z816" s="169"/>
      <c r="AA816" s="169"/>
      <c r="AB816" s="169"/>
      <c r="AC816" s="169"/>
      <c r="AD816" s="169"/>
      <c r="AE816" s="169"/>
      <c r="AF816" s="169"/>
      <c r="AG816" s="169"/>
      <c r="AH816" s="169"/>
      <c r="AI816" s="169"/>
      <c r="AJ816" s="169"/>
      <c r="AK816" s="169"/>
      <c r="AL816" s="169"/>
      <c r="AM816" s="169"/>
      <c r="AN816" s="169"/>
      <c r="AO816" s="169"/>
      <c r="AP816" s="169"/>
      <c r="AQ816" s="169"/>
      <c r="AR816" s="169"/>
      <c r="AS816" s="169"/>
      <c r="AT816" s="169"/>
      <c r="AU816" s="169"/>
      <c r="AV816" s="169"/>
      <c r="AW816" s="169"/>
      <c r="AX816" s="169"/>
      <c r="AY816" s="169"/>
      <c r="AZ816" s="169"/>
      <c r="BA816" s="169"/>
      <c r="BB816" s="169"/>
      <c r="BC816" s="169"/>
    </row>
    <row r="817" spans="1:55" ht="14.25" customHeight="1">
      <c r="A817" s="169"/>
      <c r="B817" s="169"/>
      <c r="C817" s="169"/>
      <c r="D817" s="169"/>
      <c r="E817" s="169"/>
      <c r="F817" s="169"/>
      <c r="G817" s="169"/>
      <c r="H817" s="169"/>
      <c r="I817" s="169"/>
      <c r="J817" s="169"/>
      <c r="K817" s="169"/>
      <c r="L817" s="169"/>
      <c r="M817" s="169"/>
      <c r="N817" s="169"/>
      <c r="O817" s="169"/>
      <c r="P817" s="169"/>
      <c r="Q817" s="169"/>
      <c r="R817" s="169"/>
      <c r="S817" s="169"/>
      <c r="T817" s="169"/>
      <c r="U817" s="169"/>
      <c r="V817" s="169"/>
      <c r="W817" s="169"/>
      <c r="X817" s="169"/>
      <c r="Y817" s="169"/>
      <c r="Z817" s="169"/>
      <c r="AA817" s="169"/>
      <c r="AB817" s="169"/>
      <c r="AC817" s="169"/>
      <c r="AD817" s="169"/>
      <c r="AE817" s="169"/>
      <c r="AF817" s="169"/>
      <c r="AG817" s="169"/>
      <c r="AH817" s="169"/>
      <c r="AI817" s="169"/>
      <c r="AJ817" s="169"/>
      <c r="AK817" s="169"/>
      <c r="AL817" s="169"/>
      <c r="AM817" s="169"/>
      <c r="AN817" s="169"/>
      <c r="AO817" s="169"/>
      <c r="AP817" s="169"/>
      <c r="AQ817" s="169"/>
      <c r="AR817" s="169"/>
      <c r="AS817" s="169"/>
      <c r="AT817" s="169"/>
      <c r="AU817" s="169"/>
      <c r="AV817" s="169"/>
      <c r="AW817" s="169"/>
      <c r="AX817" s="169"/>
      <c r="AY817" s="169"/>
      <c r="AZ817" s="169"/>
      <c r="BA817" s="169"/>
      <c r="BB817" s="169"/>
      <c r="BC817" s="169"/>
    </row>
    <row r="818" spans="1:55" ht="14.25" customHeight="1">
      <c r="A818" s="169"/>
      <c r="B818" s="169"/>
      <c r="C818" s="169"/>
      <c r="D818" s="169"/>
      <c r="E818" s="169"/>
      <c r="F818" s="169"/>
      <c r="G818" s="169"/>
      <c r="H818" s="169"/>
      <c r="I818" s="169"/>
      <c r="J818" s="169"/>
      <c r="K818" s="169"/>
      <c r="L818" s="169"/>
      <c r="M818" s="169"/>
      <c r="N818" s="169"/>
      <c r="O818" s="169"/>
      <c r="P818" s="169"/>
      <c r="Q818" s="169"/>
      <c r="R818" s="169"/>
      <c r="S818" s="169"/>
      <c r="T818" s="169"/>
      <c r="U818" s="169"/>
      <c r="V818" s="169"/>
      <c r="W818" s="169"/>
      <c r="X818" s="169"/>
      <c r="Y818" s="169"/>
      <c r="Z818" s="169"/>
      <c r="AA818" s="169"/>
      <c r="AB818" s="169"/>
      <c r="AC818" s="169"/>
      <c r="AD818" s="169"/>
      <c r="AE818" s="169"/>
      <c r="AF818" s="169"/>
      <c r="AG818" s="169"/>
      <c r="AH818" s="169"/>
      <c r="AI818" s="169"/>
      <c r="AJ818" s="169"/>
      <c r="AK818" s="169"/>
      <c r="AL818" s="169"/>
      <c r="AM818" s="169"/>
      <c r="AN818" s="169"/>
      <c r="AO818" s="169"/>
      <c r="AP818" s="169"/>
      <c r="AQ818" s="169"/>
      <c r="AR818" s="169"/>
      <c r="AS818" s="169"/>
      <c r="AT818" s="169"/>
      <c r="AU818" s="169"/>
      <c r="AV818" s="169"/>
      <c r="AW818" s="169"/>
      <c r="AX818" s="169"/>
      <c r="AY818" s="169"/>
      <c r="AZ818" s="169"/>
      <c r="BA818" s="169"/>
      <c r="BB818" s="169"/>
      <c r="BC818" s="169"/>
    </row>
    <row r="819" spans="1:55" ht="14.25" customHeight="1">
      <c r="A819" s="169"/>
      <c r="B819" s="169"/>
      <c r="C819" s="169"/>
      <c r="D819" s="169"/>
      <c r="E819" s="169"/>
      <c r="F819" s="169"/>
      <c r="G819" s="169"/>
      <c r="H819" s="169"/>
      <c r="I819" s="169"/>
      <c r="J819" s="169"/>
      <c r="K819" s="169"/>
      <c r="L819" s="169"/>
      <c r="M819" s="169"/>
      <c r="N819" s="169"/>
      <c r="O819" s="169"/>
      <c r="P819" s="169"/>
      <c r="Q819" s="169"/>
      <c r="R819" s="169"/>
      <c r="S819" s="169"/>
      <c r="T819" s="169"/>
      <c r="U819" s="169"/>
      <c r="V819" s="169"/>
      <c r="W819" s="169"/>
      <c r="X819" s="169"/>
      <c r="Y819" s="169"/>
      <c r="Z819" s="169"/>
      <c r="AA819" s="169"/>
      <c r="AB819" s="169"/>
      <c r="AC819" s="169"/>
      <c r="AD819" s="169"/>
      <c r="AE819" s="169"/>
      <c r="AF819" s="169"/>
      <c r="AG819" s="169"/>
      <c r="AH819" s="169"/>
      <c r="AI819" s="169"/>
      <c r="AJ819" s="169"/>
      <c r="AK819" s="169"/>
      <c r="AL819" s="169"/>
      <c r="AM819" s="169"/>
      <c r="AN819" s="169"/>
      <c r="AO819" s="169"/>
      <c r="AP819" s="169"/>
      <c r="AQ819" s="169"/>
      <c r="AR819" s="169"/>
      <c r="AS819" s="169"/>
      <c r="AT819" s="169"/>
      <c r="AU819" s="169"/>
      <c r="AV819" s="169"/>
      <c r="AW819" s="169"/>
      <c r="AX819" s="169"/>
      <c r="AY819" s="169"/>
      <c r="AZ819" s="169"/>
      <c r="BA819" s="169"/>
      <c r="BB819" s="169"/>
      <c r="BC819" s="169"/>
    </row>
    <row r="820" spans="1:55" ht="14.25" customHeight="1">
      <c r="A820" s="169"/>
      <c r="B820" s="169"/>
      <c r="C820" s="169"/>
      <c r="D820" s="169"/>
      <c r="E820" s="169"/>
      <c r="F820" s="169"/>
      <c r="G820" s="169"/>
      <c r="H820" s="169"/>
      <c r="I820" s="169"/>
      <c r="J820" s="169"/>
      <c r="K820" s="169"/>
      <c r="L820" s="169"/>
      <c r="M820" s="169"/>
      <c r="N820" s="169"/>
      <c r="O820" s="169"/>
      <c r="P820" s="169"/>
      <c r="Q820" s="169"/>
      <c r="R820" s="169"/>
      <c r="S820" s="169"/>
      <c r="T820" s="169"/>
      <c r="U820" s="169"/>
      <c r="V820" s="169"/>
      <c r="W820" s="169"/>
      <c r="X820" s="169"/>
      <c r="Y820" s="169"/>
      <c r="Z820" s="169"/>
      <c r="AA820" s="169"/>
      <c r="AB820" s="169"/>
      <c r="AC820" s="169"/>
      <c r="AD820" s="169"/>
      <c r="AE820" s="169"/>
      <c r="AF820" s="169"/>
      <c r="AG820" s="169"/>
      <c r="AH820" s="169"/>
      <c r="AI820" s="169"/>
      <c r="AJ820" s="169"/>
      <c r="AK820" s="169"/>
      <c r="AL820" s="169"/>
      <c r="AM820" s="169"/>
      <c r="AN820" s="169"/>
      <c r="AO820" s="169"/>
      <c r="AP820" s="169"/>
      <c r="AQ820" s="169"/>
      <c r="AR820" s="169"/>
      <c r="AS820" s="169"/>
      <c r="AT820" s="169"/>
      <c r="AU820" s="169"/>
      <c r="AV820" s="169"/>
      <c r="AW820" s="169"/>
      <c r="AX820" s="169"/>
      <c r="AY820" s="169"/>
      <c r="AZ820" s="169"/>
      <c r="BA820" s="169"/>
      <c r="BB820" s="169"/>
      <c r="BC820" s="169"/>
    </row>
    <row r="821" spans="1:55" ht="14.25" customHeight="1">
      <c r="A821" s="169"/>
      <c r="B821" s="169"/>
      <c r="C821" s="169"/>
      <c r="D821" s="169"/>
      <c r="E821" s="169"/>
      <c r="F821" s="169"/>
      <c r="G821" s="169"/>
      <c r="H821" s="169"/>
      <c r="I821" s="169"/>
      <c r="J821" s="169"/>
      <c r="K821" s="169"/>
      <c r="L821" s="169"/>
      <c r="M821" s="169"/>
      <c r="N821" s="169"/>
      <c r="O821" s="169"/>
      <c r="P821" s="169"/>
      <c r="Q821" s="169"/>
      <c r="R821" s="169"/>
      <c r="S821" s="169"/>
      <c r="T821" s="169"/>
      <c r="U821" s="169"/>
      <c r="V821" s="169"/>
      <c r="W821" s="169"/>
      <c r="X821" s="169"/>
      <c r="Y821" s="169"/>
      <c r="Z821" s="169"/>
      <c r="AA821" s="169"/>
      <c r="AB821" s="169"/>
      <c r="AC821" s="169"/>
      <c r="AD821" s="169"/>
      <c r="AE821" s="169"/>
      <c r="AF821" s="169"/>
      <c r="AG821" s="169"/>
      <c r="AH821" s="169"/>
      <c r="AI821" s="169"/>
      <c r="AJ821" s="169"/>
      <c r="AK821" s="169"/>
      <c r="AL821" s="169"/>
      <c r="AM821" s="169"/>
      <c r="AN821" s="169"/>
      <c r="AO821" s="169"/>
      <c r="AP821" s="169"/>
      <c r="AQ821" s="169"/>
      <c r="AR821" s="169"/>
      <c r="AS821" s="169"/>
      <c r="AT821" s="169"/>
      <c r="AU821" s="169"/>
      <c r="AV821" s="169"/>
      <c r="AW821" s="169"/>
      <c r="AX821" s="169"/>
      <c r="AY821" s="169"/>
      <c r="AZ821" s="169"/>
      <c r="BA821" s="169"/>
      <c r="BB821" s="169"/>
      <c r="BC821" s="169"/>
    </row>
    <row r="822" spans="1:55" ht="14.25" customHeight="1">
      <c r="A822" s="169"/>
      <c r="B822" s="169"/>
      <c r="C822" s="169"/>
      <c r="D822" s="169"/>
      <c r="E822" s="169"/>
      <c r="F822" s="169"/>
      <c r="G822" s="169"/>
      <c r="H822" s="169"/>
      <c r="I822" s="169"/>
      <c r="J822" s="169"/>
      <c r="K822" s="169"/>
      <c r="L822" s="169"/>
      <c r="M822" s="169"/>
      <c r="N822" s="169"/>
      <c r="O822" s="169"/>
      <c r="P822" s="169"/>
      <c r="Q822" s="169"/>
      <c r="R822" s="169"/>
      <c r="S822" s="169"/>
      <c r="T822" s="169"/>
      <c r="U822" s="169"/>
      <c r="V822" s="169"/>
      <c r="W822" s="169"/>
      <c r="X822" s="169"/>
      <c r="Y822" s="169"/>
      <c r="Z822" s="169"/>
      <c r="AA822" s="169"/>
      <c r="AB822" s="169"/>
      <c r="AC822" s="169"/>
      <c r="AD822" s="169"/>
      <c r="AE822" s="169"/>
      <c r="AF822" s="169"/>
      <c r="AG822" s="169"/>
      <c r="AH822" s="169"/>
      <c r="AI822" s="169"/>
      <c r="AJ822" s="169"/>
      <c r="AK822" s="169"/>
      <c r="AL822" s="169"/>
      <c r="AM822" s="169"/>
      <c r="AN822" s="169"/>
      <c r="AO822" s="169"/>
      <c r="AP822" s="169"/>
      <c r="AQ822" s="169"/>
      <c r="AR822" s="169"/>
      <c r="AS822" s="169"/>
      <c r="AT822" s="169"/>
      <c r="AU822" s="169"/>
      <c r="AV822" s="169"/>
      <c r="AW822" s="169"/>
      <c r="AX822" s="169"/>
      <c r="AY822" s="169"/>
      <c r="AZ822" s="169"/>
      <c r="BA822" s="169"/>
      <c r="BB822" s="169"/>
      <c r="BC822" s="169"/>
    </row>
    <row r="823" spans="1:55" ht="14.25" customHeight="1">
      <c r="A823" s="169"/>
      <c r="B823" s="169"/>
      <c r="C823" s="169"/>
      <c r="D823" s="169"/>
      <c r="E823" s="169"/>
      <c r="F823" s="169"/>
      <c r="G823" s="169"/>
      <c r="H823" s="169"/>
      <c r="I823" s="169"/>
      <c r="J823" s="169"/>
      <c r="K823" s="169"/>
      <c r="L823" s="169"/>
      <c r="M823" s="169"/>
      <c r="N823" s="169"/>
      <c r="O823" s="169"/>
      <c r="P823" s="169"/>
      <c r="Q823" s="169"/>
      <c r="R823" s="169"/>
      <c r="S823" s="169"/>
      <c r="T823" s="169"/>
      <c r="U823" s="169"/>
      <c r="V823" s="169"/>
      <c r="W823" s="169"/>
      <c r="X823" s="169"/>
      <c r="Y823" s="169"/>
      <c r="Z823" s="169"/>
      <c r="AA823" s="169"/>
      <c r="AB823" s="169"/>
      <c r="AC823" s="169"/>
      <c r="AD823" s="169"/>
      <c r="AE823" s="169"/>
      <c r="AF823" s="169"/>
      <c r="AG823" s="169"/>
      <c r="AH823" s="169"/>
      <c r="AI823" s="169"/>
      <c r="AJ823" s="169"/>
      <c r="AK823" s="169"/>
      <c r="AL823" s="169"/>
      <c r="AM823" s="169"/>
      <c r="AN823" s="169"/>
      <c r="AO823" s="169"/>
      <c r="AP823" s="169"/>
      <c r="AQ823" s="169"/>
      <c r="AR823" s="169"/>
      <c r="AS823" s="169"/>
      <c r="AT823" s="169"/>
      <c r="AU823" s="169"/>
      <c r="AV823" s="169"/>
      <c r="AW823" s="169"/>
      <c r="AX823" s="169"/>
      <c r="AY823" s="169"/>
      <c r="AZ823" s="169"/>
      <c r="BA823" s="169"/>
      <c r="BB823" s="169"/>
      <c r="BC823" s="169"/>
    </row>
    <row r="824" spans="1:55" ht="14.25" customHeight="1">
      <c r="A824" s="169"/>
      <c r="B824" s="169"/>
      <c r="C824" s="169"/>
      <c r="D824" s="169"/>
      <c r="E824" s="169"/>
      <c r="F824" s="169"/>
      <c r="G824" s="169"/>
      <c r="H824" s="169"/>
      <c r="I824" s="169"/>
      <c r="J824" s="169"/>
      <c r="K824" s="169"/>
      <c r="L824" s="169"/>
      <c r="M824" s="169"/>
      <c r="N824" s="169"/>
      <c r="O824" s="169"/>
      <c r="P824" s="169"/>
      <c r="Q824" s="169"/>
      <c r="R824" s="169"/>
      <c r="S824" s="169"/>
      <c r="T824" s="169"/>
      <c r="U824" s="169"/>
      <c r="V824" s="169"/>
      <c r="W824" s="169"/>
      <c r="X824" s="169"/>
      <c r="Y824" s="169"/>
      <c r="Z824" s="169"/>
      <c r="AA824" s="169"/>
      <c r="AB824" s="169"/>
      <c r="AC824" s="169"/>
      <c r="AD824" s="169"/>
      <c r="AE824" s="169"/>
      <c r="AF824" s="169"/>
      <c r="AG824" s="169"/>
      <c r="AH824" s="169"/>
      <c r="AI824" s="169"/>
      <c r="AJ824" s="169"/>
      <c r="AK824" s="169"/>
      <c r="AL824" s="169"/>
      <c r="AM824" s="169"/>
      <c r="AN824" s="169"/>
      <c r="AO824" s="169"/>
      <c r="AP824" s="169"/>
      <c r="AQ824" s="169"/>
      <c r="AR824" s="169"/>
      <c r="AS824" s="169"/>
      <c r="AT824" s="169"/>
      <c r="AU824" s="169"/>
      <c r="AV824" s="169"/>
      <c r="AW824" s="169"/>
      <c r="AX824" s="169"/>
      <c r="AY824" s="169"/>
      <c r="AZ824" s="169"/>
      <c r="BA824" s="169"/>
      <c r="BB824" s="169"/>
      <c r="BC824" s="169"/>
    </row>
    <row r="825" spans="1:55" ht="14.25" customHeight="1">
      <c r="A825" s="169"/>
      <c r="B825" s="169"/>
      <c r="C825" s="169"/>
      <c r="D825" s="169"/>
      <c r="E825" s="169"/>
      <c r="F825" s="169"/>
      <c r="G825" s="169"/>
      <c r="H825" s="169"/>
      <c r="I825" s="169"/>
      <c r="J825" s="169"/>
      <c r="K825" s="169"/>
      <c r="L825" s="169"/>
      <c r="M825" s="169"/>
      <c r="N825" s="169"/>
      <c r="O825" s="169"/>
      <c r="P825" s="169"/>
      <c r="Q825" s="169"/>
      <c r="R825" s="169"/>
      <c r="S825" s="169"/>
      <c r="T825" s="169"/>
      <c r="U825" s="169"/>
      <c r="V825" s="169"/>
      <c r="W825" s="169"/>
      <c r="X825" s="169"/>
      <c r="Y825" s="169"/>
      <c r="Z825" s="169"/>
      <c r="AA825" s="169"/>
      <c r="AB825" s="169"/>
      <c r="AC825" s="169"/>
      <c r="AD825" s="169"/>
      <c r="AE825" s="169"/>
      <c r="AF825" s="169"/>
      <c r="AG825" s="169"/>
      <c r="AH825" s="169"/>
      <c r="AI825" s="169"/>
      <c r="AJ825" s="169"/>
      <c r="AK825" s="169"/>
      <c r="AL825" s="169"/>
      <c r="AM825" s="169"/>
      <c r="AN825" s="169"/>
      <c r="AO825" s="169"/>
      <c r="AP825" s="169"/>
      <c r="AQ825" s="169"/>
      <c r="AR825" s="169"/>
      <c r="AS825" s="169"/>
      <c r="AT825" s="169"/>
      <c r="AU825" s="169"/>
      <c r="AV825" s="169"/>
      <c r="AW825" s="169"/>
      <c r="AX825" s="169"/>
      <c r="AY825" s="169"/>
      <c r="AZ825" s="169"/>
      <c r="BA825" s="169"/>
      <c r="BB825" s="169"/>
      <c r="BC825" s="169"/>
    </row>
    <row r="826" spans="1:55" ht="14.25" customHeight="1">
      <c r="A826" s="169"/>
      <c r="B826" s="169"/>
      <c r="C826" s="169"/>
      <c r="D826" s="169"/>
      <c r="E826" s="169"/>
      <c r="F826" s="169"/>
      <c r="G826" s="169"/>
      <c r="H826" s="169"/>
      <c r="I826" s="169"/>
      <c r="J826" s="169"/>
      <c r="K826" s="169"/>
      <c r="L826" s="169"/>
      <c r="M826" s="169"/>
      <c r="N826" s="169"/>
      <c r="O826" s="169"/>
      <c r="P826" s="169"/>
      <c r="Q826" s="169"/>
      <c r="R826" s="169"/>
      <c r="S826" s="169"/>
      <c r="T826" s="169"/>
      <c r="U826" s="169"/>
      <c r="V826" s="169"/>
      <c r="W826" s="169"/>
      <c r="X826" s="169"/>
      <c r="Y826" s="169"/>
      <c r="Z826" s="169"/>
      <c r="AA826" s="169"/>
      <c r="AB826" s="169"/>
      <c r="AC826" s="169"/>
      <c r="AD826" s="169"/>
      <c r="AE826" s="169"/>
      <c r="AF826" s="169"/>
      <c r="AG826" s="169"/>
      <c r="AH826" s="169"/>
      <c r="AI826" s="169"/>
      <c r="AJ826" s="169"/>
      <c r="AK826" s="169"/>
      <c r="AL826" s="169"/>
      <c r="AM826" s="169"/>
      <c r="AN826" s="169"/>
      <c r="AO826" s="169"/>
      <c r="AP826" s="169"/>
      <c r="AQ826" s="169"/>
      <c r="AR826" s="169"/>
      <c r="AS826" s="169"/>
      <c r="AT826" s="169"/>
      <c r="AU826" s="169"/>
      <c r="AV826" s="169"/>
      <c r="AW826" s="169"/>
      <c r="AX826" s="169"/>
      <c r="AY826" s="169"/>
      <c r="AZ826" s="169"/>
      <c r="BA826" s="169"/>
      <c r="BB826" s="169"/>
      <c r="BC826" s="169"/>
    </row>
    <row r="827" spans="1:55" ht="14.25" customHeight="1">
      <c r="A827" s="169"/>
      <c r="B827" s="169"/>
      <c r="C827" s="169"/>
      <c r="D827" s="169"/>
      <c r="E827" s="169"/>
      <c r="F827" s="169"/>
      <c r="G827" s="169"/>
      <c r="H827" s="169"/>
      <c r="I827" s="169"/>
      <c r="J827" s="169"/>
      <c r="K827" s="169"/>
      <c r="L827" s="169"/>
      <c r="M827" s="169"/>
      <c r="N827" s="169"/>
      <c r="O827" s="169"/>
      <c r="P827" s="169"/>
      <c r="Q827" s="169"/>
      <c r="R827" s="169"/>
      <c r="S827" s="169"/>
      <c r="T827" s="169"/>
      <c r="U827" s="169"/>
      <c r="V827" s="169"/>
      <c r="W827" s="169"/>
      <c r="X827" s="169"/>
      <c r="Y827" s="169"/>
      <c r="Z827" s="169"/>
      <c r="AA827" s="169"/>
      <c r="AB827" s="169"/>
      <c r="AC827" s="169"/>
      <c r="AD827" s="169"/>
      <c r="AE827" s="169"/>
      <c r="AF827" s="169"/>
      <c r="AG827" s="169"/>
      <c r="AH827" s="169"/>
      <c r="AI827" s="169"/>
      <c r="AJ827" s="169"/>
      <c r="AK827" s="169"/>
      <c r="AL827" s="169"/>
      <c r="AM827" s="169"/>
      <c r="AN827" s="169"/>
      <c r="AO827" s="169"/>
      <c r="AP827" s="169"/>
      <c r="AQ827" s="169"/>
      <c r="AR827" s="169"/>
      <c r="AS827" s="169"/>
      <c r="AT827" s="169"/>
      <c r="AU827" s="169"/>
      <c r="AV827" s="169"/>
      <c r="AW827" s="169"/>
      <c r="AX827" s="169"/>
      <c r="AY827" s="169"/>
      <c r="AZ827" s="169"/>
      <c r="BA827" s="169"/>
      <c r="BB827" s="169"/>
      <c r="BC827" s="169"/>
    </row>
    <row r="828" spans="1:55" ht="14.25" customHeight="1">
      <c r="A828" s="169"/>
      <c r="B828" s="169"/>
      <c r="C828" s="169"/>
      <c r="D828" s="169"/>
      <c r="E828" s="169"/>
      <c r="F828" s="169"/>
      <c r="G828" s="169"/>
      <c r="H828" s="169"/>
      <c r="I828" s="169"/>
      <c r="J828" s="169"/>
      <c r="K828" s="169"/>
      <c r="L828" s="169"/>
      <c r="M828" s="169"/>
      <c r="N828" s="169"/>
      <c r="O828" s="169"/>
      <c r="P828" s="169"/>
      <c r="Q828" s="169"/>
      <c r="R828" s="169"/>
      <c r="S828" s="169"/>
      <c r="T828" s="169"/>
      <c r="U828" s="169"/>
      <c r="V828" s="169"/>
      <c r="W828" s="169"/>
      <c r="X828" s="169"/>
      <c r="Y828" s="169"/>
      <c r="Z828" s="169"/>
      <c r="AA828" s="169"/>
      <c r="AB828" s="169"/>
      <c r="AC828" s="169"/>
      <c r="AD828" s="169"/>
      <c r="AE828" s="169"/>
      <c r="AF828" s="169"/>
      <c r="AG828" s="169"/>
      <c r="AH828" s="169"/>
      <c r="AI828" s="169"/>
      <c r="AJ828" s="169"/>
      <c r="AK828" s="169"/>
      <c r="AL828" s="169"/>
      <c r="AM828" s="169"/>
      <c r="AN828" s="169"/>
      <c r="AO828" s="169"/>
      <c r="AP828" s="169"/>
      <c r="AQ828" s="169"/>
      <c r="AR828" s="169"/>
      <c r="AS828" s="169"/>
      <c r="AT828" s="169"/>
      <c r="AU828" s="169"/>
      <c r="AV828" s="169"/>
      <c r="AW828" s="169"/>
      <c r="AX828" s="169"/>
      <c r="AY828" s="169"/>
      <c r="AZ828" s="169"/>
      <c r="BA828" s="169"/>
      <c r="BB828" s="169"/>
      <c r="BC828" s="169"/>
    </row>
    <row r="829" spans="1:55" ht="14.25" customHeight="1">
      <c r="A829" s="169"/>
      <c r="B829" s="169"/>
      <c r="C829" s="169"/>
      <c r="D829" s="169"/>
      <c r="E829" s="169"/>
      <c r="F829" s="169"/>
      <c r="G829" s="169"/>
      <c r="H829" s="169"/>
      <c r="I829" s="169"/>
      <c r="J829" s="169"/>
      <c r="K829" s="169"/>
      <c r="L829" s="169"/>
      <c r="M829" s="169"/>
      <c r="N829" s="169"/>
      <c r="O829" s="169"/>
      <c r="P829" s="169"/>
      <c r="Q829" s="169"/>
      <c r="R829" s="169"/>
      <c r="S829" s="169"/>
      <c r="T829" s="169"/>
      <c r="U829" s="169"/>
      <c r="V829" s="169"/>
      <c r="W829" s="169"/>
      <c r="X829" s="169"/>
      <c r="Y829" s="169"/>
      <c r="Z829" s="169"/>
      <c r="AA829" s="169"/>
      <c r="AB829" s="169"/>
      <c r="AC829" s="169"/>
      <c r="AD829" s="169"/>
      <c r="AE829" s="169"/>
      <c r="AF829" s="169"/>
      <c r="AG829" s="169"/>
      <c r="AH829" s="169"/>
      <c r="AI829" s="169"/>
      <c r="AJ829" s="169"/>
      <c r="AK829" s="169"/>
      <c r="AL829" s="169"/>
      <c r="AM829" s="169"/>
      <c r="AN829" s="169"/>
      <c r="AO829" s="169"/>
      <c r="AP829" s="169"/>
      <c r="AQ829" s="169"/>
      <c r="AR829" s="169"/>
      <c r="AS829" s="169"/>
      <c r="AT829" s="169"/>
      <c r="AU829" s="169"/>
      <c r="AV829" s="169"/>
      <c r="AW829" s="169"/>
      <c r="AX829" s="169"/>
      <c r="AY829" s="169"/>
      <c r="AZ829" s="169"/>
      <c r="BA829" s="169"/>
      <c r="BB829" s="169"/>
      <c r="BC829" s="169"/>
    </row>
    <row r="830" spans="1:55" ht="14.25" customHeight="1">
      <c r="A830" s="169"/>
      <c r="B830" s="169"/>
      <c r="C830" s="169"/>
      <c r="D830" s="169"/>
      <c r="E830" s="169"/>
      <c r="F830" s="169"/>
      <c r="G830" s="169"/>
      <c r="H830" s="169"/>
      <c r="I830" s="169"/>
      <c r="J830" s="169"/>
      <c r="K830" s="169"/>
      <c r="L830" s="169"/>
      <c r="M830" s="169"/>
      <c r="N830" s="169"/>
      <c r="O830" s="169"/>
      <c r="P830" s="169"/>
      <c r="Q830" s="169"/>
      <c r="R830" s="169"/>
      <c r="S830" s="169"/>
      <c r="T830" s="169"/>
      <c r="U830" s="169"/>
      <c r="V830" s="169"/>
      <c r="W830" s="169"/>
      <c r="X830" s="169"/>
      <c r="Y830" s="169"/>
      <c r="Z830" s="169"/>
      <c r="AA830" s="169"/>
      <c r="AB830" s="169"/>
      <c r="AC830" s="169"/>
      <c r="AD830" s="169"/>
      <c r="AE830" s="169"/>
      <c r="AF830" s="169"/>
      <c r="AG830" s="169"/>
      <c r="AH830" s="169"/>
      <c r="AI830" s="169"/>
      <c r="AJ830" s="169"/>
      <c r="AK830" s="169"/>
      <c r="AL830" s="169"/>
      <c r="AM830" s="169"/>
      <c r="AN830" s="169"/>
      <c r="AO830" s="169"/>
      <c r="AP830" s="169"/>
      <c r="AQ830" s="169"/>
      <c r="AR830" s="169"/>
      <c r="AS830" s="169"/>
      <c r="AT830" s="169"/>
      <c r="AU830" s="169"/>
      <c r="AV830" s="169"/>
      <c r="AW830" s="169"/>
      <c r="AX830" s="169"/>
      <c r="AY830" s="169"/>
      <c r="AZ830" s="169"/>
      <c r="BA830" s="169"/>
      <c r="BB830" s="169"/>
      <c r="BC830" s="169"/>
    </row>
    <row r="831" spans="1:55" ht="14.25" customHeight="1">
      <c r="A831" s="169"/>
      <c r="B831" s="169"/>
      <c r="C831" s="169"/>
      <c r="D831" s="169"/>
      <c r="E831" s="169"/>
      <c r="F831" s="169"/>
      <c r="G831" s="169"/>
      <c r="H831" s="169"/>
      <c r="I831" s="169"/>
      <c r="J831" s="169"/>
      <c r="K831" s="169"/>
      <c r="L831" s="169"/>
      <c r="M831" s="169"/>
      <c r="N831" s="169"/>
      <c r="O831" s="169"/>
      <c r="P831" s="169"/>
      <c r="Q831" s="169"/>
      <c r="R831" s="169"/>
      <c r="S831" s="169"/>
      <c r="T831" s="169"/>
      <c r="U831" s="169"/>
      <c r="V831" s="169"/>
      <c r="W831" s="169"/>
      <c r="X831" s="169"/>
      <c r="Y831" s="169"/>
      <c r="Z831" s="169"/>
      <c r="AA831" s="169"/>
      <c r="AB831" s="169"/>
      <c r="AC831" s="169"/>
      <c r="AD831" s="169"/>
      <c r="AE831" s="169"/>
      <c r="AF831" s="169"/>
      <c r="AG831" s="169"/>
      <c r="AH831" s="169"/>
      <c r="AI831" s="169"/>
      <c r="AJ831" s="169"/>
      <c r="AK831" s="169"/>
      <c r="AL831" s="169"/>
      <c r="AM831" s="169"/>
      <c r="AN831" s="169"/>
      <c r="AO831" s="169"/>
      <c r="AP831" s="169"/>
      <c r="AQ831" s="169"/>
      <c r="AR831" s="169"/>
      <c r="AS831" s="169"/>
      <c r="AT831" s="169"/>
      <c r="AU831" s="169"/>
      <c r="AV831" s="169"/>
      <c r="AW831" s="169"/>
      <c r="AX831" s="169"/>
      <c r="AY831" s="169"/>
      <c r="AZ831" s="169"/>
      <c r="BA831" s="169"/>
      <c r="BB831" s="169"/>
      <c r="BC831" s="169"/>
    </row>
    <row r="832" spans="1:55" ht="14.25" customHeight="1">
      <c r="A832" s="169"/>
      <c r="B832" s="169"/>
      <c r="C832" s="169"/>
      <c r="D832" s="169"/>
      <c r="E832" s="169"/>
      <c r="F832" s="169"/>
      <c r="G832" s="169"/>
      <c r="H832" s="169"/>
      <c r="I832" s="169"/>
      <c r="J832" s="169"/>
      <c r="K832" s="169"/>
      <c r="L832" s="169"/>
      <c r="M832" s="169"/>
      <c r="N832" s="169"/>
      <c r="O832" s="169"/>
      <c r="P832" s="169"/>
      <c r="Q832" s="169"/>
      <c r="R832" s="169"/>
      <c r="S832" s="169"/>
      <c r="T832" s="169"/>
      <c r="U832" s="169"/>
      <c r="V832" s="169"/>
      <c r="W832" s="169"/>
      <c r="X832" s="169"/>
      <c r="Y832" s="169"/>
      <c r="Z832" s="169"/>
      <c r="AA832" s="169"/>
      <c r="AB832" s="169"/>
      <c r="AC832" s="169"/>
      <c r="AD832" s="169"/>
      <c r="AE832" s="169"/>
      <c r="AF832" s="169"/>
      <c r="AG832" s="169"/>
      <c r="AH832" s="169"/>
      <c r="AI832" s="169"/>
      <c r="AJ832" s="169"/>
      <c r="AK832" s="169"/>
      <c r="AL832" s="169"/>
      <c r="AM832" s="169"/>
      <c r="AN832" s="169"/>
      <c r="AO832" s="169"/>
      <c r="AP832" s="169"/>
      <c r="AQ832" s="169"/>
      <c r="AR832" s="169"/>
      <c r="AS832" s="169"/>
      <c r="AT832" s="169"/>
      <c r="AU832" s="169"/>
      <c r="AV832" s="169"/>
      <c r="AW832" s="169"/>
      <c r="AX832" s="169"/>
      <c r="AY832" s="169"/>
      <c r="AZ832" s="169"/>
      <c r="BA832" s="169"/>
      <c r="BB832" s="169"/>
      <c r="BC832" s="169"/>
    </row>
    <row r="833" spans="1:55" ht="14.25" customHeight="1">
      <c r="A833" s="169"/>
      <c r="B833" s="169"/>
      <c r="C833" s="169"/>
      <c r="D833" s="169"/>
      <c r="E833" s="169"/>
      <c r="F833" s="169"/>
      <c r="G833" s="169"/>
      <c r="H833" s="169"/>
      <c r="I833" s="169"/>
      <c r="J833" s="169"/>
      <c r="K833" s="169"/>
      <c r="L833" s="169"/>
      <c r="M833" s="169"/>
      <c r="N833" s="169"/>
      <c r="O833" s="169"/>
      <c r="P833" s="169"/>
      <c r="Q833" s="169"/>
      <c r="R833" s="169"/>
      <c r="S833" s="169"/>
      <c r="T833" s="169"/>
      <c r="U833" s="169"/>
      <c r="V833" s="169"/>
      <c r="W833" s="169"/>
      <c r="X833" s="169"/>
      <c r="Y833" s="169"/>
      <c r="Z833" s="169"/>
      <c r="AA833" s="169"/>
      <c r="AB833" s="169"/>
      <c r="AC833" s="169"/>
      <c r="AD833" s="169"/>
      <c r="AE833" s="169"/>
      <c r="AF833" s="169"/>
      <c r="AG833" s="169"/>
      <c r="AH833" s="169"/>
      <c r="AI833" s="169"/>
      <c r="AJ833" s="169"/>
      <c r="AK833" s="169"/>
      <c r="AL833" s="169"/>
      <c r="AM833" s="169"/>
      <c r="AN833" s="169"/>
      <c r="AO833" s="169"/>
      <c r="AP833" s="169"/>
      <c r="AQ833" s="169"/>
      <c r="AR833" s="169"/>
      <c r="AS833" s="169"/>
      <c r="AT833" s="169"/>
      <c r="AU833" s="169"/>
      <c r="AV833" s="169"/>
      <c r="AW833" s="169"/>
      <c r="AX833" s="169"/>
      <c r="AY833" s="169"/>
      <c r="AZ833" s="169"/>
      <c r="BA833" s="169"/>
      <c r="BB833" s="169"/>
      <c r="BC833" s="169"/>
    </row>
    <row r="834" spans="1:55" ht="14.25" customHeight="1">
      <c r="A834" s="169"/>
      <c r="B834" s="169"/>
      <c r="C834" s="169"/>
      <c r="D834" s="169"/>
      <c r="E834" s="169"/>
      <c r="F834" s="169"/>
      <c r="G834" s="169"/>
      <c r="H834" s="169"/>
      <c r="I834" s="169"/>
      <c r="J834" s="169"/>
      <c r="K834" s="169"/>
      <c r="L834" s="169"/>
      <c r="M834" s="169"/>
      <c r="N834" s="169"/>
      <c r="O834" s="169"/>
      <c r="P834" s="169"/>
      <c r="Q834" s="169"/>
      <c r="R834" s="169"/>
      <c r="S834" s="169"/>
      <c r="T834" s="169"/>
      <c r="U834" s="169"/>
      <c r="V834" s="169"/>
      <c r="W834" s="169"/>
      <c r="X834" s="169"/>
      <c r="Y834" s="169"/>
      <c r="Z834" s="169"/>
      <c r="AA834" s="169"/>
      <c r="AB834" s="169"/>
      <c r="AC834" s="169"/>
      <c r="AD834" s="169"/>
      <c r="AE834" s="169"/>
      <c r="AF834" s="169"/>
      <c r="AG834" s="169"/>
      <c r="AH834" s="169"/>
      <c r="AI834" s="169"/>
      <c r="AJ834" s="169"/>
      <c r="AK834" s="169"/>
      <c r="AL834" s="169"/>
      <c r="AM834" s="169"/>
      <c r="AN834" s="169"/>
      <c r="AO834" s="169"/>
      <c r="AP834" s="169"/>
      <c r="AQ834" s="169"/>
      <c r="AR834" s="169"/>
      <c r="AS834" s="169"/>
      <c r="AT834" s="169"/>
      <c r="AU834" s="169"/>
      <c r="AV834" s="169"/>
      <c r="AW834" s="169"/>
      <c r="AX834" s="169"/>
      <c r="AY834" s="169"/>
      <c r="AZ834" s="169"/>
      <c r="BA834" s="169"/>
      <c r="BB834" s="169"/>
      <c r="BC834" s="169"/>
    </row>
    <row r="835" spans="1:55" ht="14.25" customHeight="1">
      <c r="A835" s="169"/>
      <c r="B835" s="169"/>
      <c r="C835" s="169"/>
      <c r="D835" s="169"/>
      <c r="E835" s="169"/>
      <c r="F835" s="169"/>
      <c r="G835" s="169"/>
      <c r="H835" s="169"/>
      <c r="I835" s="169"/>
      <c r="J835" s="169"/>
      <c r="K835" s="169"/>
      <c r="L835" s="169"/>
      <c r="M835" s="169"/>
      <c r="N835" s="169"/>
      <c r="O835" s="169"/>
      <c r="P835" s="169"/>
      <c r="Q835" s="169"/>
      <c r="R835" s="169"/>
      <c r="S835" s="169"/>
      <c r="T835" s="169"/>
      <c r="U835" s="169"/>
      <c r="V835" s="169"/>
      <c r="W835" s="169"/>
      <c r="X835" s="169"/>
      <c r="Y835" s="169"/>
      <c r="Z835" s="169"/>
      <c r="AA835" s="169"/>
      <c r="AB835" s="169"/>
      <c r="AC835" s="169"/>
      <c r="AD835" s="169"/>
      <c r="AE835" s="169"/>
      <c r="AF835" s="169"/>
      <c r="AG835" s="169"/>
      <c r="AH835" s="169"/>
      <c r="AI835" s="169"/>
      <c r="AJ835" s="169"/>
      <c r="AK835" s="169"/>
      <c r="AL835" s="169"/>
      <c r="AM835" s="169"/>
      <c r="AN835" s="169"/>
      <c r="AO835" s="169"/>
      <c r="AP835" s="169"/>
      <c r="AQ835" s="169"/>
      <c r="AR835" s="169"/>
      <c r="AS835" s="169"/>
      <c r="AT835" s="169"/>
      <c r="AU835" s="169"/>
      <c r="AV835" s="169"/>
      <c r="AW835" s="169"/>
      <c r="AX835" s="169"/>
      <c r="AY835" s="169"/>
      <c r="AZ835" s="169"/>
      <c r="BA835" s="169"/>
      <c r="BB835" s="169"/>
      <c r="BC835" s="169"/>
    </row>
    <row r="836" spans="1:55" ht="14.25" customHeight="1">
      <c r="A836" s="169"/>
      <c r="B836" s="169"/>
      <c r="C836" s="169"/>
      <c r="D836" s="169"/>
      <c r="E836" s="169"/>
      <c r="F836" s="169"/>
      <c r="G836" s="169"/>
      <c r="H836" s="169"/>
      <c r="I836" s="169"/>
      <c r="J836" s="169"/>
      <c r="K836" s="169"/>
      <c r="L836" s="169"/>
      <c r="M836" s="169"/>
      <c r="N836" s="169"/>
      <c r="O836" s="169"/>
      <c r="P836" s="169"/>
      <c r="Q836" s="169"/>
      <c r="R836" s="169"/>
      <c r="S836" s="169"/>
      <c r="T836" s="169"/>
      <c r="U836" s="169"/>
      <c r="V836" s="169"/>
      <c r="W836" s="169"/>
      <c r="X836" s="169"/>
      <c r="Y836" s="169"/>
      <c r="Z836" s="169"/>
      <c r="AA836" s="169"/>
      <c r="AB836" s="169"/>
      <c r="AC836" s="169"/>
      <c r="AD836" s="169"/>
      <c r="AE836" s="169"/>
      <c r="AF836" s="169"/>
      <c r="AG836" s="169"/>
      <c r="AH836" s="169"/>
      <c r="AI836" s="169"/>
      <c r="AJ836" s="169"/>
      <c r="AK836" s="169"/>
      <c r="AL836" s="169"/>
      <c r="AM836" s="169"/>
      <c r="AN836" s="169"/>
      <c r="AO836" s="169"/>
      <c r="AP836" s="169"/>
      <c r="AQ836" s="169"/>
      <c r="AR836" s="169"/>
      <c r="AS836" s="169"/>
      <c r="AT836" s="169"/>
      <c r="AU836" s="169"/>
      <c r="AV836" s="169"/>
      <c r="AW836" s="169"/>
      <c r="AX836" s="169"/>
      <c r="AY836" s="169"/>
      <c r="AZ836" s="169"/>
      <c r="BA836" s="169"/>
      <c r="BB836" s="169"/>
      <c r="BC836" s="169"/>
    </row>
    <row r="837" spans="1:55" ht="14.25" customHeight="1">
      <c r="A837" s="169"/>
      <c r="B837" s="169"/>
      <c r="C837" s="169"/>
      <c r="D837" s="169"/>
      <c r="E837" s="169"/>
      <c r="F837" s="169"/>
      <c r="G837" s="169"/>
      <c r="H837" s="169"/>
      <c r="I837" s="169"/>
      <c r="J837" s="169"/>
      <c r="K837" s="169"/>
      <c r="L837" s="169"/>
      <c r="M837" s="169"/>
      <c r="N837" s="169"/>
      <c r="O837" s="169"/>
      <c r="P837" s="169"/>
      <c r="Q837" s="169"/>
      <c r="R837" s="169"/>
      <c r="S837" s="169"/>
      <c r="T837" s="169"/>
      <c r="U837" s="169"/>
      <c r="V837" s="169"/>
      <c r="W837" s="169"/>
      <c r="X837" s="169"/>
      <c r="Y837" s="169"/>
      <c r="Z837" s="169"/>
      <c r="AA837" s="169"/>
      <c r="AB837" s="169"/>
      <c r="AC837" s="169"/>
      <c r="AD837" s="169"/>
      <c r="AE837" s="169"/>
      <c r="AF837" s="169"/>
      <c r="AG837" s="169"/>
      <c r="AH837" s="169"/>
      <c r="AI837" s="169"/>
      <c r="AJ837" s="169"/>
      <c r="AK837" s="169"/>
      <c r="AL837" s="169"/>
      <c r="AM837" s="169"/>
      <c r="AN837" s="169"/>
      <c r="AO837" s="169"/>
      <c r="AP837" s="169"/>
      <c r="AQ837" s="169"/>
      <c r="AR837" s="169"/>
      <c r="AS837" s="169"/>
      <c r="AT837" s="169"/>
      <c r="AU837" s="169"/>
      <c r="AV837" s="169"/>
      <c r="AW837" s="169"/>
      <c r="AX837" s="169"/>
      <c r="AY837" s="169"/>
      <c r="AZ837" s="169"/>
      <c r="BA837" s="169"/>
      <c r="BB837" s="169"/>
      <c r="BC837" s="169"/>
    </row>
    <row r="838" spans="1:55" ht="14.25" customHeight="1">
      <c r="A838" s="169"/>
      <c r="B838" s="169"/>
      <c r="C838" s="169"/>
      <c r="D838" s="169"/>
      <c r="E838" s="169"/>
      <c r="F838" s="169"/>
      <c r="G838" s="169"/>
      <c r="H838" s="169"/>
      <c r="I838" s="169"/>
      <c r="J838" s="169"/>
      <c r="K838" s="169"/>
      <c r="L838" s="169"/>
      <c r="M838" s="169"/>
      <c r="N838" s="169"/>
      <c r="O838" s="169"/>
      <c r="P838" s="169"/>
      <c r="Q838" s="169"/>
      <c r="R838" s="169"/>
      <c r="S838" s="169"/>
      <c r="T838" s="169"/>
      <c r="U838" s="169"/>
      <c r="V838" s="169"/>
      <c r="W838" s="169"/>
      <c r="X838" s="169"/>
      <c r="Y838" s="169"/>
      <c r="Z838" s="169"/>
      <c r="AA838" s="169"/>
      <c r="AB838" s="169"/>
      <c r="AC838" s="169"/>
      <c r="AD838" s="169"/>
      <c r="AE838" s="169"/>
      <c r="AF838" s="169"/>
      <c r="AG838" s="169"/>
      <c r="AH838" s="169"/>
      <c r="AI838" s="169"/>
      <c r="AJ838" s="169"/>
      <c r="AK838" s="169"/>
      <c r="AL838" s="169"/>
      <c r="AM838" s="169"/>
      <c r="AN838" s="169"/>
      <c r="AO838" s="169"/>
      <c r="AP838" s="169"/>
      <c r="AQ838" s="169"/>
      <c r="AR838" s="169"/>
      <c r="AS838" s="169"/>
      <c r="AT838" s="169"/>
      <c r="AU838" s="169"/>
      <c r="AV838" s="169"/>
      <c r="AW838" s="169"/>
      <c r="AX838" s="169"/>
      <c r="AY838" s="169"/>
      <c r="AZ838" s="169"/>
      <c r="BA838" s="169"/>
      <c r="BB838" s="169"/>
      <c r="BC838" s="169"/>
    </row>
    <row r="839" spans="1:55" ht="14.25" customHeight="1">
      <c r="A839" s="169"/>
      <c r="B839" s="169"/>
      <c r="C839" s="169"/>
      <c r="D839" s="169"/>
      <c r="E839" s="169"/>
      <c r="F839" s="169"/>
      <c r="G839" s="169"/>
      <c r="H839" s="169"/>
      <c r="I839" s="169"/>
      <c r="J839" s="169"/>
      <c r="K839" s="169"/>
      <c r="L839" s="169"/>
      <c r="M839" s="169"/>
      <c r="N839" s="169"/>
      <c r="O839" s="169"/>
      <c r="P839" s="169"/>
      <c r="Q839" s="169"/>
      <c r="R839" s="169"/>
      <c r="S839" s="169"/>
      <c r="T839" s="169"/>
      <c r="U839" s="169"/>
      <c r="V839" s="169"/>
      <c r="W839" s="169"/>
      <c r="X839" s="169"/>
      <c r="Y839" s="169"/>
      <c r="Z839" s="169"/>
      <c r="AA839" s="169"/>
      <c r="AB839" s="169"/>
      <c r="AC839" s="169"/>
      <c r="AD839" s="169"/>
      <c r="AE839" s="169"/>
      <c r="AF839" s="169"/>
      <c r="AG839" s="169"/>
      <c r="AH839" s="169"/>
      <c r="AI839" s="169"/>
      <c r="AJ839" s="169"/>
      <c r="AK839" s="169"/>
      <c r="AL839" s="169"/>
      <c r="AM839" s="169"/>
      <c r="AN839" s="169"/>
      <c r="AO839" s="169"/>
      <c r="AP839" s="169"/>
      <c r="AQ839" s="169"/>
      <c r="AR839" s="169"/>
      <c r="AS839" s="169"/>
      <c r="AT839" s="169"/>
      <c r="AU839" s="169"/>
      <c r="AV839" s="169"/>
      <c r="AW839" s="169"/>
      <c r="AX839" s="169"/>
      <c r="AY839" s="169"/>
      <c r="AZ839" s="169"/>
      <c r="BA839" s="169"/>
      <c r="BB839" s="169"/>
      <c r="BC839" s="169"/>
    </row>
    <row r="840" spans="1:55" ht="14.25" customHeight="1">
      <c r="A840" s="169"/>
      <c r="B840" s="169"/>
      <c r="C840" s="169"/>
      <c r="D840" s="169"/>
      <c r="E840" s="169"/>
      <c r="F840" s="169"/>
      <c r="G840" s="169"/>
      <c r="H840" s="169"/>
      <c r="I840" s="169"/>
      <c r="J840" s="169"/>
      <c r="K840" s="169"/>
      <c r="L840" s="169"/>
      <c r="M840" s="169"/>
      <c r="N840" s="169"/>
      <c r="O840" s="169"/>
      <c r="P840" s="169"/>
      <c r="Q840" s="169"/>
      <c r="R840" s="169"/>
      <c r="S840" s="169"/>
      <c r="T840" s="169"/>
      <c r="U840" s="169"/>
      <c r="V840" s="169"/>
      <c r="W840" s="169"/>
      <c r="X840" s="169"/>
      <c r="Y840" s="169"/>
      <c r="Z840" s="169"/>
      <c r="AA840" s="169"/>
      <c r="AB840" s="169"/>
      <c r="AC840" s="169"/>
      <c r="AD840" s="169"/>
      <c r="AE840" s="169"/>
      <c r="AF840" s="169"/>
      <c r="AG840" s="169"/>
      <c r="AH840" s="169"/>
      <c r="AI840" s="169"/>
      <c r="AJ840" s="169"/>
      <c r="AK840" s="169"/>
      <c r="AL840" s="169"/>
      <c r="AM840" s="169"/>
      <c r="AN840" s="169"/>
      <c r="AO840" s="169"/>
      <c r="AP840" s="169"/>
      <c r="AQ840" s="169"/>
      <c r="AR840" s="169"/>
      <c r="AS840" s="169"/>
      <c r="AT840" s="169"/>
      <c r="AU840" s="169"/>
      <c r="AV840" s="169"/>
      <c r="AW840" s="169"/>
      <c r="AX840" s="169"/>
      <c r="AY840" s="169"/>
      <c r="AZ840" s="169"/>
      <c r="BA840" s="169"/>
      <c r="BB840" s="169"/>
      <c r="BC840" s="169"/>
    </row>
    <row r="841" spans="1:55" ht="14.25" customHeight="1">
      <c r="A841" s="169"/>
      <c r="B841" s="169"/>
      <c r="C841" s="169"/>
      <c r="D841" s="169"/>
      <c r="E841" s="169"/>
      <c r="F841" s="169"/>
      <c r="G841" s="169"/>
      <c r="H841" s="169"/>
      <c r="I841" s="169"/>
      <c r="J841" s="169"/>
      <c r="K841" s="169"/>
      <c r="L841" s="169"/>
      <c r="M841" s="169"/>
      <c r="N841" s="169"/>
      <c r="O841" s="169"/>
      <c r="P841" s="169"/>
      <c r="Q841" s="169"/>
      <c r="R841" s="169"/>
      <c r="S841" s="169"/>
      <c r="T841" s="169"/>
      <c r="U841" s="169"/>
      <c r="V841" s="169"/>
      <c r="W841" s="169"/>
      <c r="X841" s="169"/>
      <c r="Y841" s="169"/>
      <c r="Z841" s="169"/>
      <c r="AA841" s="169"/>
      <c r="AB841" s="169"/>
      <c r="AC841" s="169"/>
      <c r="AD841" s="169"/>
      <c r="AE841" s="169"/>
      <c r="AF841" s="169"/>
      <c r="AG841" s="169"/>
      <c r="AH841" s="169"/>
      <c r="AI841" s="169"/>
      <c r="AJ841" s="169"/>
      <c r="AK841" s="169"/>
      <c r="AL841" s="169"/>
      <c r="AM841" s="169"/>
      <c r="AN841" s="169"/>
      <c r="AO841" s="169"/>
      <c r="AP841" s="169"/>
      <c r="AQ841" s="169"/>
      <c r="AR841" s="169"/>
      <c r="AS841" s="169"/>
      <c r="AT841" s="169"/>
      <c r="AU841" s="169"/>
      <c r="AV841" s="169"/>
      <c r="AW841" s="169"/>
      <c r="AX841" s="169"/>
      <c r="AY841" s="169"/>
      <c r="AZ841" s="169"/>
      <c r="BA841" s="169"/>
      <c r="BB841" s="169"/>
      <c r="BC841" s="169"/>
    </row>
    <row r="842" spans="1:55" ht="14.25" customHeight="1">
      <c r="A842" s="169"/>
      <c r="B842" s="169"/>
      <c r="C842" s="169"/>
      <c r="D842" s="169"/>
      <c r="E842" s="169"/>
      <c r="F842" s="169"/>
      <c r="G842" s="169"/>
      <c r="H842" s="169"/>
      <c r="I842" s="169"/>
      <c r="J842" s="169"/>
      <c r="K842" s="169"/>
      <c r="L842" s="169"/>
      <c r="M842" s="169"/>
      <c r="N842" s="169"/>
      <c r="O842" s="169"/>
      <c r="P842" s="169"/>
      <c r="Q842" s="169"/>
      <c r="R842" s="169"/>
      <c r="S842" s="169"/>
      <c r="T842" s="169"/>
      <c r="U842" s="169"/>
      <c r="V842" s="169"/>
      <c r="W842" s="169"/>
      <c r="X842" s="169"/>
      <c r="Y842" s="169"/>
      <c r="Z842" s="169"/>
      <c r="AA842" s="169"/>
      <c r="AB842" s="169"/>
      <c r="AC842" s="169"/>
      <c r="AD842" s="169"/>
      <c r="AE842" s="169"/>
      <c r="AF842" s="169"/>
      <c r="AG842" s="169"/>
      <c r="AH842" s="169"/>
      <c r="AI842" s="169"/>
      <c r="AJ842" s="169"/>
      <c r="AK842" s="169"/>
      <c r="AL842" s="169"/>
      <c r="AM842" s="169"/>
      <c r="AN842" s="169"/>
      <c r="AO842" s="169"/>
      <c r="AP842" s="169"/>
      <c r="AQ842" s="169"/>
      <c r="AR842" s="169"/>
      <c r="AS842" s="169"/>
      <c r="AT842" s="169"/>
      <c r="AU842" s="169"/>
      <c r="AV842" s="169"/>
      <c r="AW842" s="169"/>
      <c r="AX842" s="169"/>
      <c r="AY842" s="169"/>
      <c r="AZ842" s="169"/>
      <c r="BA842" s="169"/>
      <c r="BB842" s="169"/>
      <c r="BC842" s="169"/>
    </row>
    <row r="843" spans="1:55" ht="14.25" customHeight="1">
      <c r="A843" s="169"/>
      <c r="B843" s="169"/>
      <c r="C843" s="169"/>
      <c r="D843" s="169"/>
      <c r="E843" s="169"/>
      <c r="F843" s="169"/>
      <c r="G843" s="169"/>
      <c r="H843" s="169"/>
      <c r="I843" s="169"/>
      <c r="J843" s="169"/>
      <c r="K843" s="169"/>
      <c r="L843" s="169"/>
      <c r="M843" s="169"/>
      <c r="N843" s="169"/>
      <c r="O843" s="169"/>
      <c r="P843" s="169"/>
      <c r="Q843" s="169"/>
      <c r="R843" s="169"/>
      <c r="S843" s="169"/>
      <c r="T843" s="169"/>
      <c r="U843" s="169"/>
      <c r="V843" s="169"/>
      <c r="W843" s="169"/>
      <c r="X843" s="169"/>
      <c r="Y843" s="169"/>
      <c r="Z843" s="169"/>
      <c r="AA843" s="169"/>
      <c r="AB843" s="169"/>
      <c r="AC843" s="169"/>
      <c r="AD843" s="169"/>
      <c r="AE843" s="169"/>
      <c r="AF843" s="169"/>
      <c r="AG843" s="169"/>
      <c r="AH843" s="169"/>
      <c r="AI843" s="169"/>
      <c r="AJ843" s="169"/>
      <c r="AK843" s="169"/>
      <c r="AL843" s="169"/>
      <c r="AM843" s="169"/>
      <c r="AN843" s="169"/>
      <c r="AO843" s="169"/>
      <c r="AP843" s="169"/>
      <c r="AQ843" s="169"/>
      <c r="AR843" s="169"/>
      <c r="AS843" s="169"/>
      <c r="AT843" s="169"/>
      <c r="AU843" s="169"/>
      <c r="AV843" s="169"/>
      <c r="AW843" s="169"/>
      <c r="AX843" s="169"/>
      <c r="AY843" s="169"/>
      <c r="AZ843" s="169"/>
      <c r="BA843" s="169"/>
      <c r="BB843" s="169"/>
      <c r="BC843" s="169"/>
    </row>
    <row r="844" spans="1:55" ht="14.25" customHeight="1">
      <c r="A844" s="169"/>
      <c r="B844" s="169"/>
      <c r="C844" s="169"/>
      <c r="D844" s="169"/>
      <c r="E844" s="169"/>
      <c r="F844" s="169"/>
      <c r="G844" s="169"/>
      <c r="H844" s="169"/>
      <c r="I844" s="169"/>
      <c r="J844" s="169"/>
      <c r="K844" s="169"/>
      <c r="L844" s="169"/>
      <c r="M844" s="169"/>
      <c r="N844" s="169"/>
      <c r="O844" s="169"/>
      <c r="P844" s="169"/>
      <c r="Q844" s="169"/>
      <c r="R844" s="169"/>
      <c r="S844" s="169"/>
      <c r="T844" s="169"/>
      <c r="U844" s="169"/>
      <c r="V844" s="169"/>
      <c r="W844" s="169"/>
      <c r="X844" s="169"/>
      <c r="Y844" s="169"/>
      <c r="Z844" s="169"/>
      <c r="AA844" s="169"/>
      <c r="AB844" s="169"/>
      <c r="AC844" s="169"/>
      <c r="AD844" s="169"/>
      <c r="AE844" s="169"/>
      <c r="AF844" s="169"/>
      <c r="AG844" s="169"/>
      <c r="AH844" s="169"/>
      <c r="AI844" s="169"/>
      <c r="AJ844" s="169"/>
      <c r="AK844" s="169"/>
      <c r="AL844" s="169"/>
      <c r="AM844" s="169"/>
      <c r="AN844" s="169"/>
      <c r="AO844" s="169"/>
      <c r="AP844" s="169"/>
      <c r="AQ844" s="169"/>
      <c r="AR844" s="169"/>
      <c r="AS844" s="169"/>
      <c r="AT844" s="169"/>
      <c r="AU844" s="169"/>
      <c r="AV844" s="169"/>
      <c r="AW844" s="169"/>
      <c r="AX844" s="169"/>
      <c r="AY844" s="169"/>
      <c r="AZ844" s="169"/>
      <c r="BA844" s="169"/>
      <c r="BB844" s="169"/>
      <c r="BC844" s="169"/>
    </row>
    <row r="845" spans="1:55" ht="14.25" customHeight="1">
      <c r="A845" s="169"/>
      <c r="B845" s="169"/>
      <c r="C845" s="169"/>
      <c r="D845" s="169"/>
      <c r="E845" s="169"/>
      <c r="F845" s="169"/>
      <c r="G845" s="169"/>
      <c r="H845" s="169"/>
      <c r="I845" s="169"/>
      <c r="J845" s="169"/>
      <c r="K845" s="169"/>
      <c r="L845" s="169"/>
      <c r="M845" s="169"/>
      <c r="N845" s="169"/>
      <c r="O845" s="169"/>
      <c r="P845" s="169"/>
      <c r="Q845" s="169"/>
      <c r="R845" s="169"/>
      <c r="S845" s="169"/>
      <c r="T845" s="169"/>
      <c r="U845" s="169"/>
      <c r="V845" s="169"/>
      <c r="W845" s="169"/>
      <c r="X845" s="169"/>
      <c r="Y845" s="169"/>
      <c r="Z845" s="169"/>
      <c r="AA845" s="169"/>
      <c r="AB845" s="169"/>
      <c r="AC845" s="169"/>
      <c r="AD845" s="169"/>
      <c r="AE845" s="169"/>
      <c r="AF845" s="169"/>
      <c r="AG845" s="169"/>
      <c r="AH845" s="169"/>
      <c r="AI845" s="169"/>
      <c r="AJ845" s="169"/>
      <c r="AK845" s="169"/>
      <c r="AL845" s="169"/>
      <c r="AM845" s="169"/>
      <c r="AN845" s="169"/>
      <c r="AO845" s="169"/>
      <c r="AP845" s="169"/>
      <c r="AQ845" s="169"/>
      <c r="AR845" s="169"/>
      <c r="AS845" s="169"/>
      <c r="AT845" s="169"/>
      <c r="AU845" s="169"/>
      <c r="AV845" s="169"/>
      <c r="AW845" s="169"/>
      <c r="AX845" s="169"/>
      <c r="AY845" s="169"/>
      <c r="AZ845" s="169"/>
      <c r="BA845" s="169"/>
      <c r="BB845" s="169"/>
      <c r="BC845" s="169"/>
    </row>
    <row r="846" spans="1:55" ht="14.25" customHeight="1">
      <c r="A846" s="169"/>
      <c r="B846" s="169"/>
      <c r="C846" s="169"/>
      <c r="D846" s="169"/>
      <c r="E846" s="169"/>
      <c r="F846" s="169"/>
      <c r="G846" s="169"/>
      <c r="H846" s="169"/>
      <c r="I846" s="169"/>
      <c r="J846" s="169"/>
      <c r="K846" s="169"/>
      <c r="L846" s="169"/>
      <c r="M846" s="169"/>
      <c r="N846" s="169"/>
      <c r="O846" s="169"/>
      <c r="P846" s="169"/>
      <c r="Q846" s="169"/>
      <c r="R846" s="169"/>
      <c r="S846" s="169"/>
      <c r="T846" s="169"/>
      <c r="U846" s="169"/>
      <c r="V846" s="169"/>
      <c r="W846" s="169"/>
      <c r="X846" s="169"/>
      <c r="Y846" s="169"/>
      <c r="Z846" s="169"/>
      <c r="AA846" s="169"/>
      <c r="AB846" s="169"/>
      <c r="AC846" s="169"/>
      <c r="AD846" s="169"/>
      <c r="AE846" s="169"/>
      <c r="AF846" s="169"/>
      <c r="AG846" s="169"/>
      <c r="AH846" s="169"/>
      <c r="AI846" s="169"/>
      <c r="AJ846" s="169"/>
      <c r="AK846" s="169"/>
      <c r="AL846" s="169"/>
      <c r="AM846" s="169"/>
      <c r="AN846" s="169"/>
      <c r="AO846" s="169"/>
      <c r="AP846" s="169"/>
      <c r="AQ846" s="169"/>
      <c r="AR846" s="169"/>
      <c r="AS846" s="169"/>
      <c r="AT846" s="169"/>
      <c r="AU846" s="169"/>
      <c r="AV846" s="169"/>
      <c r="AW846" s="169"/>
      <c r="AX846" s="169"/>
      <c r="AY846" s="169"/>
      <c r="AZ846" s="169"/>
      <c r="BA846" s="169"/>
      <c r="BB846" s="169"/>
      <c r="BC846" s="169"/>
    </row>
    <row r="847" spans="1:55" ht="14.25" customHeight="1">
      <c r="A847" s="169"/>
      <c r="B847" s="169"/>
      <c r="C847" s="169"/>
      <c r="D847" s="169"/>
      <c r="E847" s="169"/>
      <c r="F847" s="169"/>
      <c r="G847" s="169"/>
      <c r="H847" s="169"/>
      <c r="I847" s="169"/>
      <c r="J847" s="169"/>
      <c r="K847" s="169"/>
      <c r="L847" s="169"/>
      <c r="M847" s="169"/>
      <c r="N847" s="169"/>
      <c r="O847" s="169"/>
      <c r="P847" s="169"/>
      <c r="Q847" s="169"/>
      <c r="R847" s="169"/>
      <c r="S847" s="169"/>
      <c r="T847" s="169"/>
      <c r="U847" s="169"/>
      <c r="V847" s="169"/>
      <c r="W847" s="169"/>
      <c r="X847" s="169"/>
      <c r="Y847" s="169"/>
      <c r="Z847" s="169"/>
      <c r="AA847" s="169"/>
      <c r="AB847" s="169"/>
      <c r="AC847" s="169"/>
      <c r="AD847" s="169"/>
      <c r="AE847" s="169"/>
      <c r="AF847" s="169"/>
      <c r="AG847" s="169"/>
      <c r="AH847" s="169"/>
      <c r="AI847" s="169"/>
      <c r="AJ847" s="169"/>
      <c r="AK847" s="169"/>
      <c r="AL847" s="169"/>
      <c r="AM847" s="169"/>
      <c r="AN847" s="169"/>
      <c r="AO847" s="169"/>
      <c r="AP847" s="169"/>
      <c r="AQ847" s="169"/>
      <c r="AR847" s="169"/>
      <c r="AS847" s="169"/>
      <c r="AT847" s="169"/>
      <c r="AU847" s="169"/>
      <c r="AV847" s="169"/>
      <c r="AW847" s="169"/>
      <c r="AX847" s="169"/>
      <c r="AY847" s="169"/>
      <c r="AZ847" s="169"/>
      <c r="BA847" s="169"/>
      <c r="BB847" s="169"/>
      <c r="BC847" s="169"/>
    </row>
    <row r="848" spans="1:55" ht="14.25" customHeight="1">
      <c r="A848" s="169"/>
      <c r="B848" s="169"/>
      <c r="C848" s="169"/>
      <c r="D848" s="169"/>
      <c r="E848" s="169"/>
      <c r="F848" s="169"/>
      <c r="G848" s="169"/>
      <c r="H848" s="169"/>
      <c r="I848" s="169"/>
      <c r="J848" s="169"/>
      <c r="K848" s="169"/>
      <c r="L848" s="169"/>
      <c r="M848" s="169"/>
      <c r="N848" s="169"/>
      <c r="O848" s="169"/>
      <c r="P848" s="169"/>
      <c r="Q848" s="169"/>
      <c r="R848" s="169"/>
      <c r="S848" s="169"/>
      <c r="T848" s="169"/>
      <c r="U848" s="169"/>
      <c r="V848" s="169"/>
      <c r="W848" s="169"/>
      <c r="X848" s="169"/>
      <c r="Y848" s="169"/>
      <c r="Z848" s="169"/>
      <c r="AA848" s="169"/>
      <c r="AB848" s="169"/>
      <c r="AC848" s="169"/>
      <c r="AD848" s="169"/>
      <c r="AE848" s="169"/>
      <c r="AF848" s="169"/>
      <c r="AG848" s="169"/>
      <c r="AH848" s="169"/>
      <c r="AI848" s="169"/>
      <c r="AJ848" s="169"/>
      <c r="AK848" s="169"/>
      <c r="AL848" s="169"/>
      <c r="AM848" s="169"/>
      <c r="AN848" s="169"/>
      <c r="AO848" s="169"/>
      <c r="AP848" s="169"/>
      <c r="AQ848" s="169"/>
      <c r="AR848" s="169"/>
      <c r="AS848" s="169"/>
      <c r="AT848" s="169"/>
      <c r="AU848" s="169"/>
      <c r="AV848" s="169"/>
      <c r="AW848" s="169"/>
      <c r="AX848" s="169"/>
      <c r="AY848" s="169"/>
      <c r="AZ848" s="169"/>
      <c r="BA848" s="169"/>
      <c r="BB848" s="169"/>
      <c r="BC848" s="169"/>
    </row>
    <row r="849" spans="1:55" ht="14.25" customHeight="1">
      <c r="A849" s="169"/>
      <c r="B849" s="169"/>
      <c r="C849" s="169"/>
      <c r="D849" s="169"/>
      <c r="E849" s="169"/>
      <c r="F849" s="169"/>
      <c r="G849" s="169"/>
      <c r="H849" s="169"/>
      <c r="I849" s="169"/>
      <c r="J849" s="169"/>
      <c r="K849" s="169"/>
      <c r="L849" s="169"/>
      <c r="M849" s="169"/>
      <c r="N849" s="169"/>
      <c r="O849" s="169"/>
      <c r="P849" s="169"/>
      <c r="Q849" s="169"/>
      <c r="R849" s="169"/>
      <c r="S849" s="169"/>
      <c r="T849" s="169"/>
      <c r="U849" s="169"/>
      <c r="V849" s="169"/>
      <c r="W849" s="169"/>
      <c r="X849" s="169"/>
      <c r="Y849" s="169"/>
      <c r="Z849" s="169"/>
      <c r="AA849" s="169"/>
      <c r="AB849" s="169"/>
      <c r="AC849" s="169"/>
      <c r="AD849" s="169"/>
      <c r="AE849" s="169"/>
      <c r="AF849" s="169"/>
      <c r="AG849" s="169"/>
      <c r="AH849" s="169"/>
      <c r="AI849" s="169"/>
      <c r="AJ849" s="169"/>
      <c r="AK849" s="169"/>
      <c r="AL849" s="169"/>
      <c r="AM849" s="169"/>
      <c r="AN849" s="169"/>
      <c r="AO849" s="169"/>
      <c r="AP849" s="169"/>
      <c r="AQ849" s="169"/>
      <c r="AR849" s="169"/>
      <c r="AS849" s="169"/>
      <c r="AT849" s="169"/>
      <c r="AU849" s="169"/>
      <c r="AV849" s="169"/>
      <c r="AW849" s="169"/>
      <c r="AX849" s="169"/>
      <c r="AY849" s="169"/>
      <c r="AZ849" s="169"/>
      <c r="BA849" s="169"/>
      <c r="BB849" s="169"/>
      <c r="BC849" s="169"/>
    </row>
    <row r="850" spans="1:55" ht="14.25" customHeight="1">
      <c r="A850" s="169"/>
      <c r="B850" s="169"/>
      <c r="C850" s="169"/>
      <c r="D850" s="169"/>
      <c r="E850" s="169"/>
      <c r="F850" s="169"/>
      <c r="G850" s="169"/>
      <c r="H850" s="169"/>
      <c r="I850" s="169"/>
      <c r="J850" s="169"/>
      <c r="K850" s="169"/>
      <c r="L850" s="169"/>
      <c r="M850" s="169"/>
      <c r="N850" s="169"/>
      <c r="O850" s="169"/>
      <c r="P850" s="169"/>
      <c r="Q850" s="169"/>
      <c r="R850" s="169"/>
      <c r="S850" s="169"/>
      <c r="T850" s="169"/>
      <c r="U850" s="169"/>
      <c r="V850" s="169"/>
      <c r="W850" s="169"/>
      <c r="X850" s="169"/>
      <c r="Y850" s="169"/>
      <c r="Z850" s="169"/>
      <c r="AA850" s="169"/>
      <c r="AB850" s="169"/>
      <c r="AC850" s="169"/>
      <c r="AD850" s="169"/>
      <c r="AE850" s="169"/>
      <c r="AF850" s="169"/>
      <c r="AG850" s="169"/>
      <c r="AH850" s="169"/>
      <c r="AI850" s="169"/>
      <c r="AJ850" s="169"/>
      <c r="AK850" s="169"/>
      <c r="AL850" s="169"/>
      <c r="AM850" s="169"/>
      <c r="AN850" s="169"/>
      <c r="AO850" s="169"/>
      <c r="AP850" s="169"/>
      <c r="AQ850" s="169"/>
      <c r="AR850" s="169"/>
      <c r="AS850" s="169"/>
      <c r="AT850" s="169"/>
      <c r="AU850" s="169"/>
      <c r="AV850" s="169"/>
      <c r="AW850" s="169"/>
      <c r="AX850" s="169"/>
      <c r="AY850" s="169"/>
      <c r="AZ850" s="169"/>
      <c r="BA850" s="169"/>
      <c r="BB850" s="169"/>
      <c r="BC850" s="169"/>
    </row>
    <row r="851" spans="1:55" ht="14.25" customHeight="1">
      <c r="A851" s="169"/>
      <c r="B851" s="169"/>
      <c r="C851" s="169"/>
      <c r="D851" s="169"/>
      <c r="E851" s="169"/>
      <c r="F851" s="169"/>
      <c r="G851" s="169"/>
      <c r="H851" s="169"/>
      <c r="I851" s="169"/>
      <c r="J851" s="169"/>
      <c r="K851" s="169"/>
      <c r="L851" s="169"/>
      <c r="M851" s="169"/>
      <c r="N851" s="169"/>
      <c r="O851" s="169"/>
      <c r="P851" s="169"/>
      <c r="Q851" s="169"/>
      <c r="R851" s="169"/>
      <c r="S851" s="169"/>
      <c r="T851" s="169"/>
      <c r="U851" s="169"/>
      <c r="V851" s="169"/>
      <c r="W851" s="169"/>
      <c r="X851" s="169"/>
      <c r="Y851" s="169"/>
      <c r="Z851" s="169"/>
      <c r="AA851" s="169"/>
      <c r="AB851" s="169"/>
      <c r="AC851" s="169"/>
      <c r="AD851" s="169"/>
      <c r="AE851" s="169"/>
      <c r="AF851" s="169"/>
      <c r="AG851" s="169"/>
      <c r="AH851" s="169"/>
      <c r="AI851" s="169"/>
      <c r="AJ851" s="169"/>
      <c r="AK851" s="169"/>
      <c r="AL851" s="169"/>
      <c r="AM851" s="169"/>
      <c r="AN851" s="169"/>
      <c r="AO851" s="169"/>
      <c r="AP851" s="169"/>
      <c r="AQ851" s="169"/>
      <c r="AR851" s="169"/>
      <c r="AS851" s="169"/>
      <c r="AT851" s="169"/>
      <c r="AU851" s="169"/>
      <c r="AV851" s="169"/>
      <c r="AW851" s="169"/>
      <c r="AX851" s="169"/>
      <c r="AY851" s="169"/>
      <c r="AZ851" s="169"/>
      <c r="BA851" s="169"/>
      <c r="BB851" s="169"/>
      <c r="BC851" s="169"/>
    </row>
    <row r="852" spans="1:55" ht="14.25" customHeight="1">
      <c r="A852" s="169"/>
      <c r="B852" s="169"/>
      <c r="C852" s="169"/>
      <c r="D852" s="169"/>
      <c r="E852" s="169"/>
      <c r="F852" s="169"/>
      <c r="G852" s="169"/>
      <c r="H852" s="169"/>
      <c r="I852" s="169"/>
      <c r="J852" s="169"/>
      <c r="K852" s="169"/>
      <c r="L852" s="169"/>
      <c r="M852" s="169"/>
      <c r="N852" s="169"/>
      <c r="O852" s="169"/>
      <c r="P852" s="169"/>
      <c r="Q852" s="169"/>
      <c r="R852" s="169"/>
      <c r="S852" s="169"/>
      <c r="T852" s="169"/>
      <c r="U852" s="169"/>
      <c r="V852" s="169"/>
      <c r="W852" s="169"/>
      <c r="X852" s="169"/>
      <c r="Y852" s="169"/>
      <c r="Z852" s="169"/>
      <c r="AA852" s="169"/>
      <c r="AB852" s="169"/>
      <c r="AC852" s="169"/>
      <c r="AD852" s="169"/>
      <c r="AE852" s="169"/>
      <c r="AF852" s="169"/>
      <c r="AG852" s="169"/>
      <c r="AH852" s="169"/>
      <c r="AI852" s="169"/>
      <c r="AJ852" s="169"/>
      <c r="AK852" s="169"/>
      <c r="AL852" s="169"/>
      <c r="AM852" s="169"/>
      <c r="AN852" s="169"/>
      <c r="AO852" s="169"/>
      <c r="AP852" s="169"/>
      <c r="AQ852" s="169"/>
      <c r="AR852" s="169"/>
      <c r="AS852" s="169"/>
      <c r="AT852" s="169"/>
      <c r="AU852" s="169"/>
      <c r="AV852" s="169"/>
      <c r="AW852" s="169"/>
      <c r="AX852" s="169"/>
      <c r="AY852" s="169"/>
      <c r="AZ852" s="169"/>
      <c r="BA852" s="169"/>
      <c r="BB852" s="169"/>
      <c r="BC852" s="169"/>
    </row>
    <row r="853" spans="1:55" ht="14.25" customHeight="1">
      <c r="A853" s="169"/>
      <c r="B853" s="169"/>
      <c r="C853" s="169"/>
      <c r="D853" s="169"/>
      <c r="E853" s="169"/>
      <c r="F853" s="169"/>
      <c r="G853" s="169"/>
      <c r="H853" s="169"/>
      <c r="I853" s="169"/>
      <c r="J853" s="169"/>
      <c r="K853" s="169"/>
      <c r="L853" s="169"/>
      <c r="M853" s="169"/>
      <c r="N853" s="169"/>
      <c r="O853" s="169"/>
      <c r="P853" s="169"/>
      <c r="Q853" s="169"/>
      <c r="R853" s="169"/>
      <c r="S853" s="169"/>
      <c r="T853" s="169"/>
      <c r="U853" s="169"/>
      <c r="V853" s="169"/>
      <c r="W853" s="169"/>
      <c r="X853" s="169"/>
      <c r="Y853" s="169"/>
      <c r="Z853" s="169"/>
      <c r="AA853" s="169"/>
      <c r="AB853" s="169"/>
      <c r="AC853" s="169"/>
      <c r="AD853" s="169"/>
      <c r="AE853" s="169"/>
      <c r="AF853" s="169"/>
      <c r="AG853" s="169"/>
      <c r="AH853" s="169"/>
      <c r="AI853" s="169"/>
      <c r="AJ853" s="169"/>
      <c r="AK853" s="169"/>
      <c r="AL853" s="169"/>
      <c r="AM853" s="169"/>
      <c r="AN853" s="169"/>
      <c r="AO853" s="169"/>
      <c r="AP853" s="169"/>
      <c r="AQ853" s="169"/>
      <c r="AR853" s="169"/>
      <c r="AS853" s="169"/>
      <c r="AT853" s="169"/>
      <c r="AU853" s="169"/>
      <c r="AV853" s="169"/>
      <c r="AW853" s="169"/>
      <c r="AX853" s="169"/>
      <c r="AY853" s="169"/>
      <c r="AZ853" s="169"/>
      <c r="BA853" s="169"/>
      <c r="BB853" s="169"/>
      <c r="BC853" s="169"/>
    </row>
    <row r="854" spans="1:55" ht="14.25" customHeight="1">
      <c r="A854" s="169"/>
      <c r="B854" s="169"/>
      <c r="C854" s="169"/>
      <c r="D854" s="169"/>
      <c r="E854" s="169"/>
      <c r="F854" s="169"/>
      <c r="G854" s="169"/>
      <c r="H854" s="169"/>
      <c r="I854" s="169"/>
      <c r="J854" s="169"/>
      <c r="K854" s="169"/>
      <c r="L854" s="169"/>
      <c r="M854" s="169"/>
      <c r="N854" s="169"/>
      <c r="O854" s="169"/>
      <c r="P854" s="169"/>
      <c r="Q854" s="169"/>
      <c r="R854" s="169"/>
      <c r="S854" s="169"/>
      <c r="T854" s="169"/>
      <c r="U854" s="169"/>
      <c r="V854" s="169"/>
      <c r="W854" s="169"/>
      <c r="X854" s="169"/>
      <c r="Y854" s="169"/>
      <c r="Z854" s="169"/>
      <c r="AA854" s="169"/>
      <c r="AB854" s="169"/>
      <c r="AC854" s="169"/>
      <c r="AD854" s="169"/>
      <c r="AE854" s="169"/>
      <c r="AF854" s="169"/>
      <c r="AG854" s="169"/>
      <c r="AH854" s="169"/>
      <c r="AI854" s="169"/>
      <c r="AJ854" s="169"/>
      <c r="AK854" s="169"/>
      <c r="AL854" s="169"/>
      <c r="AM854" s="169"/>
      <c r="AN854" s="169"/>
      <c r="AO854" s="169"/>
      <c r="AP854" s="169"/>
      <c r="AQ854" s="169"/>
      <c r="AR854" s="169"/>
      <c r="AS854" s="169"/>
      <c r="AT854" s="169"/>
      <c r="AU854" s="169"/>
      <c r="AV854" s="169"/>
      <c r="AW854" s="169"/>
      <c r="AX854" s="169"/>
      <c r="AY854" s="169"/>
      <c r="AZ854" s="169"/>
      <c r="BA854" s="169"/>
      <c r="BB854" s="169"/>
      <c r="BC854" s="169"/>
    </row>
    <row r="855" spans="1:55" ht="14.25" customHeight="1">
      <c r="A855" s="169"/>
      <c r="B855" s="169"/>
      <c r="C855" s="169"/>
      <c r="D855" s="169"/>
      <c r="E855" s="169"/>
      <c r="F855" s="169"/>
      <c r="G855" s="169"/>
      <c r="H855" s="169"/>
      <c r="I855" s="169"/>
      <c r="J855" s="169"/>
      <c r="K855" s="169"/>
      <c r="L855" s="169"/>
      <c r="M855" s="169"/>
      <c r="N855" s="169"/>
      <c r="O855" s="169"/>
      <c r="P855" s="169"/>
      <c r="Q855" s="169"/>
      <c r="R855" s="169"/>
      <c r="S855" s="169"/>
      <c r="T855" s="169"/>
      <c r="U855" s="169"/>
      <c r="V855" s="169"/>
      <c r="W855" s="169"/>
      <c r="X855" s="169"/>
      <c r="Y855" s="169"/>
      <c r="Z855" s="169"/>
      <c r="AA855" s="169"/>
      <c r="AB855" s="169"/>
      <c r="AC855" s="169"/>
      <c r="AD855" s="169"/>
      <c r="AE855" s="169"/>
      <c r="AF855" s="169"/>
      <c r="AG855" s="169"/>
      <c r="AH855" s="169"/>
      <c r="AI855" s="169"/>
      <c r="AJ855" s="169"/>
      <c r="AK855" s="169"/>
      <c r="AL855" s="169"/>
      <c r="AM855" s="169"/>
      <c r="AN855" s="169"/>
      <c r="AO855" s="169"/>
      <c r="AP855" s="169"/>
      <c r="AQ855" s="169"/>
      <c r="AR855" s="169"/>
      <c r="AS855" s="169"/>
      <c r="AT855" s="169"/>
      <c r="AU855" s="169"/>
      <c r="AV855" s="169"/>
      <c r="AW855" s="169"/>
      <c r="AX855" s="169"/>
      <c r="AY855" s="169"/>
      <c r="AZ855" s="169"/>
      <c r="BA855" s="169"/>
      <c r="BB855" s="169"/>
      <c r="BC855" s="169"/>
    </row>
    <row r="856" spans="1:55" ht="14.25" customHeight="1">
      <c r="A856" s="169"/>
      <c r="B856" s="169"/>
      <c r="C856" s="169"/>
      <c r="D856" s="169"/>
      <c r="E856" s="169"/>
      <c r="F856" s="169"/>
      <c r="G856" s="169"/>
      <c r="H856" s="169"/>
      <c r="I856" s="169"/>
      <c r="J856" s="169"/>
      <c r="K856" s="169"/>
      <c r="L856" s="169"/>
      <c r="M856" s="169"/>
      <c r="N856" s="169"/>
      <c r="O856" s="169"/>
      <c r="P856" s="169"/>
      <c r="Q856" s="169"/>
      <c r="R856" s="169"/>
      <c r="S856" s="169"/>
      <c r="T856" s="169"/>
      <c r="U856" s="169"/>
      <c r="V856" s="169"/>
      <c r="W856" s="169"/>
      <c r="X856" s="169"/>
      <c r="Y856" s="169"/>
      <c r="Z856" s="169"/>
      <c r="AA856" s="169"/>
      <c r="AB856" s="169"/>
      <c r="AC856" s="169"/>
      <c r="AD856" s="169"/>
      <c r="AE856" s="169"/>
      <c r="AF856" s="169"/>
      <c r="AG856" s="169"/>
      <c r="AH856" s="169"/>
      <c r="AI856" s="169"/>
      <c r="AJ856" s="169"/>
      <c r="AK856" s="169"/>
      <c r="AL856" s="169"/>
      <c r="AM856" s="169"/>
      <c r="AN856" s="169"/>
      <c r="AO856" s="169"/>
      <c r="AP856" s="169"/>
      <c r="AQ856" s="169"/>
      <c r="AR856" s="169"/>
      <c r="AS856" s="169"/>
      <c r="AT856" s="169"/>
      <c r="AU856" s="169"/>
      <c r="AV856" s="169"/>
      <c r="AW856" s="169"/>
      <c r="AX856" s="169"/>
      <c r="AY856" s="169"/>
      <c r="AZ856" s="169"/>
      <c r="BA856" s="169"/>
      <c r="BB856" s="169"/>
      <c r="BC856" s="169"/>
    </row>
    <row r="857" spans="1:55" ht="14.25" customHeight="1">
      <c r="A857" s="169"/>
      <c r="B857" s="169"/>
      <c r="C857" s="169"/>
      <c r="D857" s="169"/>
      <c r="E857" s="169"/>
      <c r="F857" s="169"/>
      <c r="G857" s="169"/>
      <c r="H857" s="169"/>
      <c r="I857" s="169"/>
      <c r="J857" s="169"/>
      <c r="K857" s="169"/>
      <c r="L857" s="169"/>
      <c r="M857" s="169"/>
      <c r="N857" s="169"/>
      <c r="O857" s="169"/>
      <c r="P857" s="169"/>
      <c r="Q857" s="169"/>
      <c r="R857" s="169"/>
      <c r="S857" s="169"/>
      <c r="T857" s="169"/>
      <c r="U857" s="169"/>
      <c r="V857" s="169"/>
      <c r="W857" s="169"/>
      <c r="X857" s="169"/>
      <c r="Y857" s="169"/>
      <c r="Z857" s="169"/>
      <c r="AA857" s="169"/>
      <c r="AB857" s="169"/>
      <c r="AC857" s="169"/>
      <c r="AD857" s="169"/>
      <c r="AE857" s="169"/>
      <c r="AF857" s="169"/>
      <c r="AG857" s="169"/>
      <c r="AH857" s="169"/>
      <c r="AI857" s="169"/>
      <c r="AJ857" s="169"/>
      <c r="AK857" s="169"/>
      <c r="AL857" s="169"/>
      <c r="AM857" s="169"/>
      <c r="AN857" s="169"/>
      <c r="AO857" s="169"/>
      <c r="AP857" s="169"/>
      <c r="AQ857" s="169"/>
      <c r="AR857" s="169"/>
      <c r="AS857" s="169"/>
      <c r="AT857" s="169"/>
      <c r="AU857" s="169"/>
      <c r="AV857" s="169"/>
      <c r="AW857" s="169"/>
      <c r="AX857" s="169"/>
      <c r="AY857" s="169"/>
      <c r="AZ857" s="169"/>
      <c r="BA857" s="169"/>
      <c r="BB857" s="169"/>
      <c r="BC857" s="169"/>
    </row>
  </sheetData>
  <mergeCells count="294">
    <mergeCell ref="A644:A645"/>
    <mergeCell ref="B644:D644"/>
    <mergeCell ref="E644:G644"/>
    <mergeCell ref="H644:J644"/>
    <mergeCell ref="K644:M644"/>
    <mergeCell ref="N644:P644"/>
    <mergeCell ref="Q644:S644"/>
    <mergeCell ref="AM644:AM645"/>
    <mergeCell ref="AN644:AN645"/>
    <mergeCell ref="AO644:AQ644"/>
    <mergeCell ref="AR644:AT644"/>
    <mergeCell ref="AU644:AW644"/>
    <mergeCell ref="T644:V644"/>
    <mergeCell ref="W644:Y644"/>
    <mergeCell ref="Z644:AB644"/>
    <mergeCell ref="AC644:AE644"/>
    <mergeCell ref="AF644:AH644"/>
    <mergeCell ref="AI644:AK644"/>
    <mergeCell ref="AL644:AL645"/>
    <mergeCell ref="H549:J549"/>
    <mergeCell ref="O549:Q549"/>
    <mergeCell ref="R549:T549"/>
    <mergeCell ref="U549:U550"/>
    <mergeCell ref="A549:A550"/>
    <mergeCell ref="B549:B550"/>
    <mergeCell ref="C549:C550"/>
    <mergeCell ref="E549:G549"/>
    <mergeCell ref="K549:K550"/>
    <mergeCell ref="L549:L550"/>
    <mergeCell ref="M549:M550"/>
    <mergeCell ref="AM588:AM589"/>
    <mergeCell ref="AN588:AN589"/>
    <mergeCell ref="AO588:AQ588"/>
    <mergeCell ref="AR588:AT588"/>
    <mergeCell ref="AU588:AW588"/>
    <mergeCell ref="T588:V588"/>
    <mergeCell ref="W588:Y588"/>
    <mergeCell ref="Z588:AB588"/>
    <mergeCell ref="AC588:AE588"/>
    <mergeCell ref="AF588:AH588"/>
    <mergeCell ref="AI588:AK588"/>
    <mergeCell ref="AL588:AL589"/>
    <mergeCell ref="A588:A589"/>
    <mergeCell ref="B588:D588"/>
    <mergeCell ref="E588:G588"/>
    <mergeCell ref="H588:J588"/>
    <mergeCell ref="K588:M588"/>
    <mergeCell ref="N588:P588"/>
    <mergeCell ref="Q588:S588"/>
    <mergeCell ref="H627:J627"/>
    <mergeCell ref="O627:Q627"/>
    <mergeCell ref="R627:T627"/>
    <mergeCell ref="U627:U628"/>
    <mergeCell ref="A627:A628"/>
    <mergeCell ref="B627:B628"/>
    <mergeCell ref="C627:C628"/>
    <mergeCell ref="E627:G627"/>
    <mergeCell ref="K627:K628"/>
    <mergeCell ref="L627:L628"/>
    <mergeCell ref="M627:M628"/>
    <mergeCell ref="E20:G20"/>
    <mergeCell ref="H20:J20"/>
    <mergeCell ref="M20:M21"/>
    <mergeCell ref="O20:Q20"/>
    <mergeCell ref="U20:U21"/>
    <mergeCell ref="K83:M83"/>
    <mergeCell ref="N83:P83"/>
    <mergeCell ref="Q83:S83"/>
    <mergeCell ref="T83:V83"/>
    <mergeCell ref="B146:B147"/>
    <mergeCell ref="C146:C147"/>
    <mergeCell ref="K146:K147"/>
    <mergeCell ref="L146:L147"/>
    <mergeCell ref="M146:M147"/>
    <mergeCell ref="O146:Q146"/>
    <mergeCell ref="R146:T146"/>
    <mergeCell ref="A2:A3"/>
    <mergeCell ref="B2:B3"/>
    <mergeCell ref="C2:H2"/>
    <mergeCell ref="I2:N2"/>
    <mergeCell ref="O2:T2"/>
    <mergeCell ref="A6:A8"/>
    <mergeCell ref="A20:A21"/>
    <mergeCell ref="R20:T20"/>
    <mergeCell ref="K20:K21"/>
    <mergeCell ref="L20:L21"/>
    <mergeCell ref="B20:B21"/>
    <mergeCell ref="C20:C21"/>
    <mergeCell ref="W83:Y83"/>
    <mergeCell ref="AO83:AQ83"/>
    <mergeCell ref="AR83:AT83"/>
    <mergeCell ref="AU83:AW83"/>
    <mergeCell ref="Z83:AB83"/>
    <mergeCell ref="AC83:AE83"/>
    <mergeCell ref="AF83:AH83"/>
    <mergeCell ref="AI83:AK83"/>
    <mergeCell ref="AL83:AL84"/>
    <mergeCell ref="AM83:AM84"/>
    <mergeCell ref="AN83:AN84"/>
    <mergeCell ref="AM163:AM164"/>
    <mergeCell ref="AN163:AN164"/>
    <mergeCell ref="AO163:AQ163"/>
    <mergeCell ref="AR163:AT163"/>
    <mergeCell ref="AU163:AW163"/>
    <mergeCell ref="T163:V163"/>
    <mergeCell ref="W163:Y163"/>
    <mergeCell ref="Z163:AB163"/>
    <mergeCell ref="AC163:AE163"/>
    <mergeCell ref="AF163:AH163"/>
    <mergeCell ref="AI163:AK163"/>
    <mergeCell ref="AL163:AL164"/>
    <mergeCell ref="W181:Y181"/>
    <mergeCell ref="A181:A182"/>
    <mergeCell ref="B181:D181"/>
    <mergeCell ref="E181:G181"/>
    <mergeCell ref="H181:J181"/>
    <mergeCell ref="K181:M181"/>
    <mergeCell ref="N181:P181"/>
    <mergeCell ref="Q181:S181"/>
    <mergeCell ref="U146:U147"/>
    <mergeCell ref="E146:G146"/>
    <mergeCell ref="H146:J146"/>
    <mergeCell ref="N269:P269"/>
    <mergeCell ref="A163:A164"/>
    <mergeCell ref="B163:D163"/>
    <mergeCell ref="E163:G163"/>
    <mergeCell ref="H163:J163"/>
    <mergeCell ref="K163:M163"/>
    <mergeCell ref="N163:P163"/>
    <mergeCell ref="Q163:S163"/>
    <mergeCell ref="T181:V181"/>
    <mergeCell ref="Q269:S269"/>
    <mergeCell ref="T269:V269"/>
    <mergeCell ref="A286:A287"/>
    <mergeCell ref="B286:D286"/>
    <mergeCell ref="E286:G286"/>
    <mergeCell ref="H286:J286"/>
    <mergeCell ref="K286:M286"/>
    <mergeCell ref="N286:P286"/>
    <mergeCell ref="Q286:S286"/>
    <mergeCell ref="A83:A84"/>
    <mergeCell ref="B83:D83"/>
    <mergeCell ref="E83:G83"/>
    <mergeCell ref="H83:J83"/>
    <mergeCell ref="A146:A147"/>
    <mergeCell ref="A225:A226"/>
    <mergeCell ref="B225:D225"/>
    <mergeCell ref="E225:G225"/>
    <mergeCell ref="H225:J225"/>
    <mergeCell ref="K225:M225"/>
    <mergeCell ref="N225:P225"/>
    <mergeCell ref="Q225:S225"/>
    <mergeCell ref="A269:A270"/>
    <mergeCell ref="B269:D269"/>
    <mergeCell ref="E269:G269"/>
    <mergeCell ref="H269:J269"/>
    <mergeCell ref="K269:M269"/>
    <mergeCell ref="AO225:AQ225"/>
    <mergeCell ref="AR225:AT225"/>
    <mergeCell ref="AU225:AW225"/>
    <mergeCell ref="AX225:AZ225"/>
    <mergeCell ref="BA225:BC225"/>
    <mergeCell ref="T225:V225"/>
    <mergeCell ref="W225:Y225"/>
    <mergeCell ref="Z225:AB225"/>
    <mergeCell ref="AC225:AE225"/>
    <mergeCell ref="AF225:AH225"/>
    <mergeCell ref="AI225:AK225"/>
    <mergeCell ref="AL225:AN225"/>
    <mergeCell ref="AO286:AQ286"/>
    <mergeCell ref="AR286:AT286"/>
    <mergeCell ref="AU286:AW286"/>
    <mergeCell ref="AX286:AZ286"/>
    <mergeCell ref="BA286:BC286"/>
    <mergeCell ref="R304:U304"/>
    <mergeCell ref="Z304:AC304"/>
    <mergeCell ref="W314:W316"/>
    <mergeCell ref="S314:V314"/>
    <mergeCell ref="X314:Y316"/>
    <mergeCell ref="AA314:AD314"/>
    <mergeCell ref="S315:V315"/>
    <mergeCell ref="AA315:AD315"/>
    <mergeCell ref="AF286:AH286"/>
    <mergeCell ref="AI286:AK286"/>
    <mergeCell ref="AL286:AN286"/>
    <mergeCell ref="T286:V286"/>
    <mergeCell ref="W286:Y286"/>
    <mergeCell ref="Z286:AB286"/>
    <mergeCell ref="AC286:AE286"/>
    <mergeCell ref="W362:W366"/>
    <mergeCell ref="W367:W371"/>
    <mergeCell ref="W357:W361"/>
    <mergeCell ref="W372:W376"/>
    <mergeCell ref="W382:W386"/>
    <mergeCell ref="W387:W391"/>
    <mergeCell ref="W392:W396"/>
    <mergeCell ref="W397:W401"/>
    <mergeCell ref="W269:Y269"/>
    <mergeCell ref="W317:W321"/>
    <mergeCell ref="W322:W326"/>
    <mergeCell ref="W327:W331"/>
    <mergeCell ref="W332:W336"/>
    <mergeCell ref="W337:W341"/>
    <mergeCell ref="W342:W346"/>
    <mergeCell ref="W347:W351"/>
    <mergeCell ref="W352:W356"/>
    <mergeCell ref="X434:X436"/>
    <mergeCell ref="Y434:Z436"/>
    <mergeCell ref="AB434:AE434"/>
    <mergeCell ref="AB435:AE435"/>
    <mergeCell ref="W427:W431"/>
    <mergeCell ref="W437:W441"/>
    <mergeCell ref="W442:W446"/>
    <mergeCell ref="W447:W451"/>
    <mergeCell ref="W377:W381"/>
    <mergeCell ref="W452:W456"/>
    <mergeCell ref="W457:W461"/>
    <mergeCell ref="W462:W466"/>
    <mergeCell ref="W467:W471"/>
    <mergeCell ref="W402:W406"/>
    <mergeCell ref="W407:W411"/>
    <mergeCell ref="W412:W416"/>
    <mergeCell ref="W417:W421"/>
    <mergeCell ref="W422:W426"/>
    <mergeCell ref="W434:W436"/>
    <mergeCell ref="S434:V434"/>
    <mergeCell ref="S435:V435"/>
    <mergeCell ref="J305:M305"/>
    <mergeCell ref="N305:Q305"/>
    <mergeCell ref="Z305:AC305"/>
    <mergeCell ref="A304:A306"/>
    <mergeCell ref="B304:E304"/>
    <mergeCell ref="F304:I304"/>
    <mergeCell ref="J304:M304"/>
    <mergeCell ref="N304:Q304"/>
    <mergeCell ref="W304:X306"/>
    <mergeCell ref="R305:U305"/>
    <mergeCell ref="G315:J315"/>
    <mergeCell ref="K315:N315"/>
    <mergeCell ref="B305:E305"/>
    <mergeCell ref="F305:I305"/>
    <mergeCell ref="A314:A316"/>
    <mergeCell ref="B314:B316"/>
    <mergeCell ref="G314:J314"/>
    <mergeCell ref="K314:N314"/>
    <mergeCell ref="O314:R314"/>
    <mergeCell ref="O315:R315"/>
    <mergeCell ref="V304:V306"/>
    <mergeCell ref="V307:V311"/>
    <mergeCell ref="C314:F314"/>
    <mergeCell ref="C315:F315"/>
    <mergeCell ref="A317:A321"/>
    <mergeCell ref="A322:A326"/>
    <mergeCell ref="A327:A331"/>
    <mergeCell ref="A332:A336"/>
    <mergeCell ref="A337:A341"/>
    <mergeCell ref="A342:A346"/>
    <mergeCell ref="A347:A351"/>
    <mergeCell ref="A352:A356"/>
    <mergeCell ref="A357:A361"/>
    <mergeCell ref="A362:A366"/>
    <mergeCell ref="A367:A371"/>
    <mergeCell ref="A372:A376"/>
    <mergeCell ref="A377:A381"/>
    <mergeCell ref="A382:A386"/>
    <mergeCell ref="A387:A391"/>
    <mergeCell ref="A392:A396"/>
    <mergeCell ref="A397:A401"/>
    <mergeCell ref="A402:A406"/>
    <mergeCell ref="A407:A411"/>
    <mergeCell ref="G434:J434"/>
    <mergeCell ref="K434:N434"/>
    <mergeCell ref="O434:R434"/>
    <mergeCell ref="G435:J435"/>
    <mergeCell ref="K435:N435"/>
    <mergeCell ref="O435:R435"/>
    <mergeCell ref="A412:A416"/>
    <mergeCell ref="A417:A421"/>
    <mergeCell ref="A422:A426"/>
    <mergeCell ref="A427:A431"/>
    <mergeCell ref="B434:B436"/>
    <mergeCell ref="C434:F434"/>
    <mergeCell ref="C435:F435"/>
    <mergeCell ref="A467:A471"/>
    <mergeCell ref="A475:A476"/>
    <mergeCell ref="B475:H475"/>
    <mergeCell ref="I475:O475"/>
    <mergeCell ref="A434:A436"/>
    <mergeCell ref="A437:A441"/>
    <mergeCell ref="A442:A446"/>
    <mergeCell ref="A447:A451"/>
    <mergeCell ref="A452:A456"/>
    <mergeCell ref="A457:A461"/>
    <mergeCell ref="A462:A466"/>
  </mergeCells>
  <pageMargins left="0.7" right="0.7" top="0.75" bottom="0.75" header="0" footer="0"/>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399E3-E145-4EF2-B29D-8C2A10269447}">
  <dimension ref="A1:U468"/>
  <sheetViews>
    <sheetView showGridLines="0" topLeftCell="A449" workbookViewId="0">
      <pane xSplit="1" topLeftCell="J1" activePane="topRight" state="frozen"/>
      <selection pane="topRight" activeCell="L468" sqref="L468"/>
    </sheetView>
  </sheetViews>
  <sheetFormatPr defaultColWidth="9" defaultRowHeight="12.75" customHeight="1"/>
  <cols>
    <col min="1" max="1" width="14" style="1" bestFit="1" customWidth="1"/>
    <col min="2" max="2" width="39.19921875" style="1" bestFit="1" customWidth="1"/>
    <col min="3" max="3" width="31.3984375" style="1" customWidth="1"/>
    <col min="4" max="4" width="13.8984375" style="1" customWidth="1"/>
    <col min="5" max="5" width="96" style="1" bestFit="1" customWidth="1"/>
    <col min="6" max="6" width="11.5" style="1" customWidth="1"/>
    <col min="7" max="7" width="10.69921875" style="1" customWidth="1"/>
    <col min="8" max="8" width="8.5" style="1" customWidth="1"/>
    <col min="9" max="9" width="255.69921875" style="1" bestFit="1" customWidth="1"/>
    <col min="10" max="10" width="30.09765625" style="1" bestFit="1" customWidth="1"/>
    <col min="11" max="11" width="55.3984375" style="1" bestFit="1" customWidth="1"/>
    <col min="12" max="12" width="26" style="1" bestFit="1" customWidth="1"/>
    <col min="13" max="13" width="18.8984375" style="1" bestFit="1" customWidth="1"/>
    <col min="14" max="14" width="17" style="1" customWidth="1"/>
    <col min="15" max="15" width="7.5" style="1" customWidth="1"/>
    <col min="16" max="16" width="50.5" style="1" bestFit="1" customWidth="1"/>
    <col min="17" max="17" width="91.59765625" style="1" bestFit="1" customWidth="1"/>
    <col min="18" max="18" width="107" style="1" bestFit="1" customWidth="1"/>
    <col min="19" max="19" width="92.5" style="1" bestFit="1" customWidth="1"/>
    <col min="20" max="20" width="16.09765625" style="1" customWidth="1"/>
    <col min="21" max="21" width="49.69921875" style="1" bestFit="1" customWidth="1"/>
    <col min="22" max="22" width="9" style="1" customWidth="1"/>
    <col min="23" max="16384" width="9" style="1"/>
  </cols>
  <sheetData>
    <row r="1" spans="1:21" ht="13.75" customHeight="1">
      <c r="A1" s="458" t="s">
        <v>251</v>
      </c>
      <c r="B1" s="459" t="s">
        <v>252</v>
      </c>
      <c r="C1" s="459" t="s">
        <v>253</v>
      </c>
      <c r="D1" s="459" t="s">
        <v>254</v>
      </c>
      <c r="E1" s="459" t="s">
        <v>255</v>
      </c>
      <c r="F1" s="459" t="s">
        <v>256</v>
      </c>
      <c r="G1" s="459" t="s">
        <v>257</v>
      </c>
      <c r="H1" s="459" t="s">
        <v>258</v>
      </c>
      <c r="I1" s="459" t="s">
        <v>259</v>
      </c>
      <c r="J1" s="459" t="s">
        <v>260</v>
      </c>
      <c r="K1" s="459" t="s">
        <v>261</v>
      </c>
      <c r="L1" s="459" t="s">
        <v>262</v>
      </c>
      <c r="M1" s="459" t="s">
        <v>263</v>
      </c>
      <c r="N1" s="459" t="s">
        <v>264</v>
      </c>
      <c r="O1" s="459" t="s">
        <v>265</v>
      </c>
      <c r="P1" s="459" t="s">
        <v>266</v>
      </c>
      <c r="Q1" s="459" t="s">
        <v>267</v>
      </c>
      <c r="R1" s="459" t="s">
        <v>268</v>
      </c>
      <c r="S1" s="459" t="s">
        <v>269</v>
      </c>
      <c r="T1" s="459" t="s">
        <v>270</v>
      </c>
      <c r="U1" s="460" t="s">
        <v>271</v>
      </c>
    </row>
    <row r="2" spans="1:21" ht="13.75" customHeight="1">
      <c r="A2" s="456" t="s">
        <v>272</v>
      </c>
      <c r="B2" s="3" t="s">
        <v>273</v>
      </c>
      <c r="C2" s="3" t="s">
        <v>274</v>
      </c>
      <c r="D2" s="5">
        <v>2019</v>
      </c>
      <c r="E2" s="3" t="s">
        <v>275</v>
      </c>
      <c r="F2" s="3" t="s">
        <v>276</v>
      </c>
      <c r="G2" s="3" t="s">
        <v>276</v>
      </c>
      <c r="H2" s="5">
        <v>20221</v>
      </c>
      <c r="I2" s="3" t="s">
        <v>277</v>
      </c>
      <c r="J2" s="3" t="s">
        <v>278</v>
      </c>
      <c r="K2" s="3" t="s">
        <v>279</v>
      </c>
      <c r="L2" s="3" t="s">
        <v>280</v>
      </c>
      <c r="M2" s="3" t="s">
        <v>281</v>
      </c>
      <c r="N2" s="5">
        <v>2</v>
      </c>
      <c r="O2" s="5">
        <v>15</v>
      </c>
      <c r="P2" s="3" t="s">
        <v>282</v>
      </c>
      <c r="Q2" s="3" t="s">
        <v>283</v>
      </c>
      <c r="R2" s="3" t="s">
        <v>284</v>
      </c>
      <c r="S2" s="2"/>
      <c r="T2" s="2"/>
      <c r="U2" s="457" t="s">
        <v>285</v>
      </c>
    </row>
    <row r="3" spans="1:21" ht="13.75" customHeight="1">
      <c r="A3" s="456" t="s">
        <v>286</v>
      </c>
      <c r="B3" s="3" t="s">
        <v>287</v>
      </c>
      <c r="C3" s="3" t="s">
        <v>274</v>
      </c>
      <c r="D3" s="5">
        <v>2019</v>
      </c>
      <c r="E3" s="3" t="s">
        <v>288</v>
      </c>
      <c r="F3" s="3" t="s">
        <v>289</v>
      </c>
      <c r="G3" s="3" t="s">
        <v>289</v>
      </c>
      <c r="H3" s="5">
        <v>20222</v>
      </c>
      <c r="I3" s="3" t="s">
        <v>290</v>
      </c>
      <c r="J3" s="3" t="s">
        <v>278</v>
      </c>
      <c r="K3" s="3" t="s">
        <v>279</v>
      </c>
      <c r="L3" s="3" t="s">
        <v>291</v>
      </c>
      <c r="M3" s="3" t="s">
        <v>292</v>
      </c>
      <c r="N3" s="5">
        <v>185</v>
      </c>
      <c r="O3" s="5">
        <v>5</v>
      </c>
      <c r="P3" s="2"/>
      <c r="Q3" s="3" t="s">
        <v>293</v>
      </c>
      <c r="R3" s="2"/>
      <c r="S3" s="2"/>
      <c r="T3" s="2"/>
      <c r="U3" s="457" t="s">
        <v>294</v>
      </c>
    </row>
    <row r="4" spans="1:21" ht="13.75" customHeight="1">
      <c r="A4" s="456" t="s">
        <v>295</v>
      </c>
      <c r="B4" s="3" t="s">
        <v>296</v>
      </c>
      <c r="C4" s="3" t="s">
        <v>274</v>
      </c>
      <c r="D4" s="5">
        <v>2019</v>
      </c>
      <c r="E4" s="3" t="s">
        <v>297</v>
      </c>
      <c r="F4" s="3" t="s">
        <v>298</v>
      </c>
      <c r="G4" s="3" t="s">
        <v>298</v>
      </c>
      <c r="H4" s="5">
        <v>20222</v>
      </c>
      <c r="I4" s="3" t="s">
        <v>299</v>
      </c>
      <c r="J4" s="3" t="s">
        <v>278</v>
      </c>
      <c r="K4" s="3" t="s">
        <v>279</v>
      </c>
      <c r="L4" s="3" t="s">
        <v>291</v>
      </c>
      <c r="M4" s="3" t="s">
        <v>292</v>
      </c>
      <c r="N4" s="5">
        <v>150</v>
      </c>
      <c r="O4" s="5">
        <v>5</v>
      </c>
      <c r="P4" s="2"/>
      <c r="Q4" s="3" t="s">
        <v>300</v>
      </c>
      <c r="R4" s="2"/>
      <c r="S4" s="2"/>
      <c r="T4" s="2"/>
      <c r="U4" s="457" t="s">
        <v>301</v>
      </c>
    </row>
    <row r="5" spans="1:21" ht="26.75" customHeight="1">
      <c r="A5" s="456" t="s">
        <v>302</v>
      </c>
      <c r="B5" s="3" t="s">
        <v>303</v>
      </c>
      <c r="C5" s="3" t="s">
        <v>274</v>
      </c>
      <c r="D5" s="5">
        <v>2019</v>
      </c>
      <c r="E5" s="3" t="s">
        <v>304</v>
      </c>
      <c r="F5" s="3" t="s">
        <v>305</v>
      </c>
      <c r="G5" s="3" t="s">
        <v>305</v>
      </c>
      <c r="H5" s="5">
        <v>20221</v>
      </c>
      <c r="I5" s="227" t="s">
        <v>306</v>
      </c>
      <c r="J5" s="3" t="s">
        <v>278</v>
      </c>
      <c r="K5" s="3" t="s">
        <v>279</v>
      </c>
      <c r="L5" s="3" t="s">
        <v>307</v>
      </c>
      <c r="M5" s="3" t="s">
        <v>281</v>
      </c>
      <c r="N5" s="5">
        <v>40</v>
      </c>
      <c r="O5" s="5">
        <v>20</v>
      </c>
      <c r="P5" s="2"/>
      <c r="Q5" s="3" t="s">
        <v>308</v>
      </c>
      <c r="R5" s="2"/>
      <c r="S5" s="2"/>
      <c r="T5" s="2"/>
      <c r="U5" s="457" t="s">
        <v>309</v>
      </c>
    </row>
    <row r="6" spans="1:21" ht="13.75" customHeight="1">
      <c r="A6" s="456" t="s">
        <v>310</v>
      </c>
      <c r="B6" s="3" t="s">
        <v>311</v>
      </c>
      <c r="C6" s="3" t="s">
        <v>274</v>
      </c>
      <c r="D6" s="5">
        <v>2019</v>
      </c>
      <c r="E6" s="3" t="s">
        <v>312</v>
      </c>
      <c r="F6" s="3" t="s">
        <v>313</v>
      </c>
      <c r="G6" s="3" t="s">
        <v>314</v>
      </c>
      <c r="H6" s="5">
        <v>20212</v>
      </c>
      <c r="I6" s="3" t="s">
        <v>315</v>
      </c>
      <c r="J6" s="3" t="s">
        <v>278</v>
      </c>
      <c r="K6" s="3" t="s">
        <v>279</v>
      </c>
      <c r="L6" s="3" t="s">
        <v>280</v>
      </c>
      <c r="M6" s="3" t="s">
        <v>292</v>
      </c>
      <c r="N6" s="5">
        <v>400</v>
      </c>
      <c r="O6" s="5">
        <v>15</v>
      </c>
      <c r="P6" s="2"/>
      <c r="Q6" s="3" t="s">
        <v>316</v>
      </c>
      <c r="R6" s="3" t="s">
        <v>317</v>
      </c>
      <c r="S6" s="2"/>
      <c r="T6" s="2"/>
      <c r="U6" s="457" t="s">
        <v>318</v>
      </c>
    </row>
    <row r="7" spans="1:21" ht="13.75" customHeight="1">
      <c r="A7" s="456" t="s">
        <v>319</v>
      </c>
      <c r="B7" s="3" t="s">
        <v>320</v>
      </c>
      <c r="C7" s="3" t="s">
        <v>274</v>
      </c>
      <c r="D7" s="5">
        <v>2019</v>
      </c>
      <c r="E7" s="3" t="s">
        <v>321</v>
      </c>
      <c r="F7" s="3" t="s">
        <v>322</v>
      </c>
      <c r="G7" s="3" t="s">
        <v>322</v>
      </c>
      <c r="H7" s="5">
        <v>20212</v>
      </c>
      <c r="I7" s="3" t="s">
        <v>323</v>
      </c>
      <c r="J7" s="3" t="s">
        <v>278</v>
      </c>
      <c r="K7" s="3" t="s">
        <v>279</v>
      </c>
      <c r="L7" s="3" t="s">
        <v>307</v>
      </c>
      <c r="M7" s="3" t="s">
        <v>281</v>
      </c>
      <c r="N7" s="5">
        <v>20</v>
      </c>
      <c r="O7" s="5">
        <v>15</v>
      </c>
      <c r="P7" s="2"/>
      <c r="Q7" s="3" t="s">
        <v>324</v>
      </c>
      <c r="R7" s="2"/>
      <c r="S7" s="2"/>
      <c r="T7" s="2"/>
      <c r="U7" s="457" t="s">
        <v>325</v>
      </c>
    </row>
    <row r="8" spans="1:21" ht="13.75" customHeight="1">
      <c r="A8" s="456" t="s">
        <v>326</v>
      </c>
      <c r="B8" s="3" t="s">
        <v>327</v>
      </c>
      <c r="C8" s="3" t="s">
        <v>274</v>
      </c>
      <c r="D8" s="5">
        <v>2020</v>
      </c>
      <c r="E8" s="3" t="s">
        <v>328</v>
      </c>
      <c r="F8" s="3" t="s">
        <v>329</v>
      </c>
      <c r="G8" s="3" t="s">
        <v>330</v>
      </c>
      <c r="H8" s="5">
        <v>20221</v>
      </c>
      <c r="I8" s="3" t="s">
        <v>331</v>
      </c>
      <c r="J8" s="3" t="s">
        <v>278</v>
      </c>
      <c r="K8" s="3" t="s">
        <v>332</v>
      </c>
      <c r="L8" s="3" t="s">
        <v>291</v>
      </c>
      <c r="M8" s="3" t="s">
        <v>292</v>
      </c>
      <c r="N8" s="5">
        <v>7</v>
      </c>
      <c r="O8" s="5">
        <v>5</v>
      </c>
      <c r="P8" s="2"/>
      <c r="Q8" s="3" t="s">
        <v>333</v>
      </c>
      <c r="R8" s="3" t="s">
        <v>334</v>
      </c>
      <c r="S8" s="2"/>
      <c r="T8" s="2"/>
      <c r="U8" s="457" t="s">
        <v>335</v>
      </c>
    </row>
    <row r="9" spans="1:21" ht="13.75" customHeight="1">
      <c r="A9" s="456" t="s">
        <v>336</v>
      </c>
      <c r="B9" s="3" t="s">
        <v>337</v>
      </c>
      <c r="C9" s="3" t="s">
        <v>274</v>
      </c>
      <c r="D9" s="5">
        <v>2020</v>
      </c>
      <c r="E9" s="3" t="s">
        <v>338</v>
      </c>
      <c r="F9" s="3" t="s">
        <v>339</v>
      </c>
      <c r="G9" s="3" t="s">
        <v>339</v>
      </c>
      <c r="H9" s="5">
        <v>20221</v>
      </c>
      <c r="I9" s="3" t="s">
        <v>340</v>
      </c>
      <c r="J9" s="3" t="s">
        <v>278</v>
      </c>
      <c r="K9" s="3" t="s">
        <v>279</v>
      </c>
      <c r="L9" s="3" t="s">
        <v>280</v>
      </c>
      <c r="M9" s="3" t="s">
        <v>281</v>
      </c>
      <c r="N9" s="5">
        <v>5</v>
      </c>
      <c r="O9" s="5">
        <v>15</v>
      </c>
      <c r="P9" s="2"/>
      <c r="Q9" s="3" t="s">
        <v>341</v>
      </c>
      <c r="R9" s="3" t="s">
        <v>342</v>
      </c>
      <c r="S9" s="2"/>
      <c r="T9" s="2"/>
      <c r="U9" s="457" t="s">
        <v>343</v>
      </c>
    </row>
    <row r="10" spans="1:21" ht="26.75" customHeight="1">
      <c r="A10" s="456" t="s">
        <v>336</v>
      </c>
      <c r="B10" s="3" t="s">
        <v>337</v>
      </c>
      <c r="C10" s="3" t="s">
        <v>274</v>
      </c>
      <c r="D10" s="5">
        <v>2020</v>
      </c>
      <c r="E10" s="3" t="s">
        <v>344</v>
      </c>
      <c r="F10" s="3" t="s">
        <v>345</v>
      </c>
      <c r="G10" s="3" t="s">
        <v>346</v>
      </c>
      <c r="H10" s="5">
        <v>20222</v>
      </c>
      <c r="I10" s="227" t="s">
        <v>347</v>
      </c>
      <c r="J10" s="3" t="s">
        <v>278</v>
      </c>
      <c r="K10" s="3" t="s">
        <v>348</v>
      </c>
      <c r="L10" s="3" t="s">
        <v>280</v>
      </c>
      <c r="M10" s="3" t="s">
        <v>292</v>
      </c>
      <c r="N10" s="5">
        <v>10</v>
      </c>
      <c r="O10" s="5">
        <v>2</v>
      </c>
      <c r="P10" s="3" t="s">
        <v>349</v>
      </c>
      <c r="Q10" s="2"/>
      <c r="R10" s="2"/>
      <c r="S10" s="3" t="s">
        <v>350</v>
      </c>
      <c r="T10" s="2"/>
      <c r="U10" s="457" t="s">
        <v>351</v>
      </c>
    </row>
    <row r="11" spans="1:21" ht="52.75" customHeight="1">
      <c r="A11" s="456" t="s">
        <v>336</v>
      </c>
      <c r="B11" s="3" t="s">
        <v>337</v>
      </c>
      <c r="C11" s="3" t="s">
        <v>274</v>
      </c>
      <c r="D11" s="5">
        <v>2020</v>
      </c>
      <c r="E11" s="3" t="s">
        <v>352</v>
      </c>
      <c r="F11" s="3" t="s">
        <v>353</v>
      </c>
      <c r="G11" s="3" t="s">
        <v>353</v>
      </c>
      <c r="H11" s="5">
        <v>20231</v>
      </c>
      <c r="I11" s="227" t="s">
        <v>354</v>
      </c>
      <c r="J11" s="3" t="s">
        <v>278</v>
      </c>
      <c r="K11" s="3" t="s">
        <v>355</v>
      </c>
      <c r="L11" s="3" t="s">
        <v>307</v>
      </c>
      <c r="M11" s="3" t="s">
        <v>281</v>
      </c>
      <c r="N11" s="5">
        <v>2</v>
      </c>
      <c r="O11" s="5">
        <v>40</v>
      </c>
      <c r="P11" s="3" t="s">
        <v>356</v>
      </c>
      <c r="Q11" s="3" t="s">
        <v>357</v>
      </c>
      <c r="R11" s="2"/>
      <c r="S11" s="2"/>
      <c r="T11" s="2"/>
      <c r="U11" s="457" t="s">
        <v>358</v>
      </c>
    </row>
    <row r="12" spans="1:21" ht="13.75" customHeight="1">
      <c r="A12" s="456" t="s">
        <v>359</v>
      </c>
      <c r="B12" s="3" t="s">
        <v>360</v>
      </c>
      <c r="C12" s="3" t="s">
        <v>274</v>
      </c>
      <c r="D12" s="5">
        <v>2020</v>
      </c>
      <c r="E12" s="3" t="s">
        <v>361</v>
      </c>
      <c r="F12" s="3" t="s">
        <v>362</v>
      </c>
      <c r="G12" s="3" t="s">
        <v>363</v>
      </c>
      <c r="H12" s="5">
        <v>20231</v>
      </c>
      <c r="I12" s="3" t="s">
        <v>364</v>
      </c>
      <c r="J12" s="3" t="s">
        <v>278</v>
      </c>
      <c r="K12" s="3" t="s">
        <v>279</v>
      </c>
      <c r="L12" s="3" t="s">
        <v>307</v>
      </c>
      <c r="M12" s="3" t="s">
        <v>292</v>
      </c>
      <c r="N12" s="5">
        <v>500</v>
      </c>
      <c r="O12" s="5">
        <v>10</v>
      </c>
      <c r="P12" s="3" t="s">
        <v>365</v>
      </c>
      <c r="Q12" s="3" t="s">
        <v>366</v>
      </c>
      <c r="R12" s="3" t="s">
        <v>367</v>
      </c>
      <c r="S12" s="2"/>
      <c r="T12" s="2"/>
      <c r="U12" s="457" t="s">
        <v>368</v>
      </c>
    </row>
    <row r="13" spans="1:21" ht="13.75" customHeight="1">
      <c r="A13" s="456" t="s">
        <v>369</v>
      </c>
      <c r="B13" s="3" t="s">
        <v>370</v>
      </c>
      <c r="C13" s="3" t="s">
        <v>274</v>
      </c>
      <c r="D13" s="5">
        <v>2020</v>
      </c>
      <c r="E13" s="3" t="s">
        <v>371</v>
      </c>
      <c r="F13" s="3" t="s">
        <v>372</v>
      </c>
      <c r="G13" s="3" t="s">
        <v>372</v>
      </c>
      <c r="H13" s="5">
        <v>20212</v>
      </c>
      <c r="I13" s="3" t="s">
        <v>373</v>
      </c>
      <c r="J13" s="3" t="s">
        <v>278</v>
      </c>
      <c r="K13" s="3" t="s">
        <v>374</v>
      </c>
      <c r="L13" s="3" t="s">
        <v>280</v>
      </c>
      <c r="M13" s="3" t="s">
        <v>281</v>
      </c>
      <c r="N13" s="5">
        <v>100</v>
      </c>
      <c r="O13" s="5">
        <v>12</v>
      </c>
      <c r="P13" s="3" t="s">
        <v>375</v>
      </c>
      <c r="Q13" s="2"/>
      <c r="R13" s="2"/>
      <c r="S13" s="3" t="s">
        <v>376</v>
      </c>
      <c r="T13" s="2"/>
      <c r="U13" s="457" t="s">
        <v>377</v>
      </c>
    </row>
    <row r="14" spans="1:21" ht="13.75" customHeight="1">
      <c r="A14" s="456" t="s">
        <v>378</v>
      </c>
      <c r="B14" s="3" t="s">
        <v>379</v>
      </c>
      <c r="C14" s="3" t="s">
        <v>274</v>
      </c>
      <c r="D14" s="5">
        <v>2020</v>
      </c>
      <c r="E14" s="3" t="s">
        <v>361</v>
      </c>
      <c r="F14" s="3" t="s">
        <v>362</v>
      </c>
      <c r="G14" s="3" t="s">
        <v>363</v>
      </c>
      <c r="H14" s="5">
        <v>20231</v>
      </c>
      <c r="I14" s="3" t="s">
        <v>364</v>
      </c>
      <c r="J14" s="3" t="s">
        <v>278</v>
      </c>
      <c r="K14" s="3" t="s">
        <v>279</v>
      </c>
      <c r="L14" s="3" t="s">
        <v>307</v>
      </c>
      <c r="M14" s="3" t="s">
        <v>292</v>
      </c>
      <c r="N14" s="5">
        <v>500</v>
      </c>
      <c r="O14" s="5">
        <v>10</v>
      </c>
      <c r="P14" s="3" t="s">
        <v>365</v>
      </c>
      <c r="Q14" s="3" t="s">
        <v>366</v>
      </c>
      <c r="R14" s="3" t="s">
        <v>367</v>
      </c>
      <c r="S14" s="2"/>
      <c r="T14" s="2"/>
      <c r="U14" s="457" t="s">
        <v>368</v>
      </c>
    </row>
    <row r="15" spans="1:21" ht="13.75" customHeight="1">
      <c r="A15" s="456" t="s">
        <v>380</v>
      </c>
      <c r="B15" s="3" t="s">
        <v>381</v>
      </c>
      <c r="C15" s="3" t="s">
        <v>274</v>
      </c>
      <c r="D15" s="5">
        <v>2020</v>
      </c>
      <c r="E15" s="3" t="s">
        <v>382</v>
      </c>
      <c r="F15" s="3" t="s">
        <v>383</v>
      </c>
      <c r="G15" s="3" t="s">
        <v>383</v>
      </c>
      <c r="H15" s="5">
        <v>20222</v>
      </c>
      <c r="I15" s="3" t="s">
        <v>384</v>
      </c>
      <c r="J15" s="3" t="s">
        <v>278</v>
      </c>
      <c r="K15" s="3" t="s">
        <v>279</v>
      </c>
      <c r="L15" s="3" t="s">
        <v>280</v>
      </c>
      <c r="M15" s="3" t="s">
        <v>292</v>
      </c>
      <c r="N15" s="5">
        <v>3</v>
      </c>
      <c r="O15" s="5">
        <v>15</v>
      </c>
      <c r="P15" s="2"/>
      <c r="Q15" s="3" t="s">
        <v>385</v>
      </c>
      <c r="R15" s="3" t="s">
        <v>386</v>
      </c>
      <c r="S15" s="2"/>
      <c r="T15" s="2"/>
      <c r="U15" s="457" t="s">
        <v>387</v>
      </c>
    </row>
    <row r="16" spans="1:21" ht="13.75" customHeight="1">
      <c r="A16" s="456" t="s">
        <v>380</v>
      </c>
      <c r="B16" s="3" t="s">
        <v>381</v>
      </c>
      <c r="C16" s="3" t="s">
        <v>274</v>
      </c>
      <c r="D16" s="5">
        <v>2020</v>
      </c>
      <c r="E16" s="3" t="s">
        <v>361</v>
      </c>
      <c r="F16" s="3" t="s">
        <v>362</v>
      </c>
      <c r="G16" s="3" t="s">
        <v>363</v>
      </c>
      <c r="H16" s="5">
        <v>20231</v>
      </c>
      <c r="I16" s="3" t="s">
        <v>364</v>
      </c>
      <c r="J16" s="3" t="s">
        <v>278</v>
      </c>
      <c r="K16" s="3" t="s">
        <v>279</v>
      </c>
      <c r="L16" s="3" t="s">
        <v>307</v>
      </c>
      <c r="M16" s="3" t="s">
        <v>292</v>
      </c>
      <c r="N16" s="5">
        <v>500</v>
      </c>
      <c r="O16" s="5">
        <v>10</v>
      </c>
      <c r="P16" s="3" t="s">
        <v>365</v>
      </c>
      <c r="Q16" s="3" t="s">
        <v>388</v>
      </c>
      <c r="R16" s="3" t="s">
        <v>389</v>
      </c>
      <c r="S16" s="2"/>
      <c r="T16" s="2"/>
      <c r="U16" s="457" t="s">
        <v>368</v>
      </c>
    </row>
    <row r="17" spans="1:21" ht="13.75" customHeight="1">
      <c r="A17" s="456" t="s">
        <v>390</v>
      </c>
      <c r="B17" s="3" t="s">
        <v>391</v>
      </c>
      <c r="C17" s="3" t="s">
        <v>274</v>
      </c>
      <c r="D17" s="5">
        <v>2020</v>
      </c>
      <c r="E17" s="3" t="s">
        <v>328</v>
      </c>
      <c r="F17" s="3" t="s">
        <v>329</v>
      </c>
      <c r="G17" s="3" t="s">
        <v>330</v>
      </c>
      <c r="H17" s="5">
        <v>20221</v>
      </c>
      <c r="I17" s="3" t="s">
        <v>331</v>
      </c>
      <c r="J17" s="3" t="s">
        <v>278</v>
      </c>
      <c r="K17" s="3" t="s">
        <v>332</v>
      </c>
      <c r="L17" s="3" t="s">
        <v>291</v>
      </c>
      <c r="M17" s="3" t="s">
        <v>292</v>
      </c>
      <c r="N17" s="5">
        <v>7</v>
      </c>
      <c r="O17" s="5">
        <v>5</v>
      </c>
      <c r="P17" s="2"/>
      <c r="Q17" s="3" t="s">
        <v>333</v>
      </c>
      <c r="R17" s="3" t="s">
        <v>334</v>
      </c>
      <c r="S17" s="2"/>
      <c r="T17" s="2"/>
      <c r="U17" s="457" t="s">
        <v>335</v>
      </c>
    </row>
    <row r="18" spans="1:21" ht="13.75" customHeight="1">
      <c r="A18" s="456" t="s">
        <v>392</v>
      </c>
      <c r="B18" s="3" t="s">
        <v>393</v>
      </c>
      <c r="C18" s="3" t="s">
        <v>274</v>
      </c>
      <c r="D18" s="5">
        <v>2020</v>
      </c>
      <c r="E18" s="3" t="s">
        <v>361</v>
      </c>
      <c r="F18" s="3" t="s">
        <v>362</v>
      </c>
      <c r="G18" s="3" t="s">
        <v>363</v>
      </c>
      <c r="H18" s="5">
        <v>20231</v>
      </c>
      <c r="I18" s="3" t="s">
        <v>364</v>
      </c>
      <c r="J18" s="3" t="s">
        <v>278</v>
      </c>
      <c r="K18" s="3" t="s">
        <v>279</v>
      </c>
      <c r="L18" s="3" t="s">
        <v>307</v>
      </c>
      <c r="M18" s="3" t="s">
        <v>292</v>
      </c>
      <c r="N18" s="5">
        <v>500</v>
      </c>
      <c r="O18" s="5">
        <v>10</v>
      </c>
      <c r="P18" s="3" t="s">
        <v>365</v>
      </c>
      <c r="Q18" s="3" t="s">
        <v>388</v>
      </c>
      <c r="R18" s="3" t="s">
        <v>389</v>
      </c>
      <c r="S18" s="2"/>
      <c r="T18" s="2"/>
      <c r="U18" s="457" t="s">
        <v>368</v>
      </c>
    </row>
    <row r="19" spans="1:21" ht="13.75" customHeight="1">
      <c r="A19" s="456" t="s">
        <v>394</v>
      </c>
      <c r="B19" s="3" t="s">
        <v>395</v>
      </c>
      <c r="C19" s="3" t="s">
        <v>274</v>
      </c>
      <c r="D19" s="5">
        <v>2020</v>
      </c>
      <c r="E19" s="3" t="s">
        <v>361</v>
      </c>
      <c r="F19" s="3" t="s">
        <v>362</v>
      </c>
      <c r="G19" s="3" t="s">
        <v>363</v>
      </c>
      <c r="H19" s="5">
        <v>20231</v>
      </c>
      <c r="I19" s="3" t="s">
        <v>364</v>
      </c>
      <c r="J19" s="3" t="s">
        <v>278</v>
      </c>
      <c r="K19" s="3" t="s">
        <v>279</v>
      </c>
      <c r="L19" s="3" t="s">
        <v>307</v>
      </c>
      <c r="M19" s="3" t="s">
        <v>292</v>
      </c>
      <c r="N19" s="5">
        <v>500</v>
      </c>
      <c r="O19" s="5">
        <v>10</v>
      </c>
      <c r="P19" s="3" t="s">
        <v>365</v>
      </c>
      <c r="Q19" s="3" t="s">
        <v>366</v>
      </c>
      <c r="R19" s="3" t="s">
        <v>367</v>
      </c>
      <c r="S19" s="2"/>
      <c r="T19" s="2"/>
      <c r="U19" s="457" t="s">
        <v>368</v>
      </c>
    </row>
    <row r="20" spans="1:21" ht="13.75" customHeight="1">
      <c r="A20" s="456" t="s">
        <v>396</v>
      </c>
      <c r="B20" s="3" t="s">
        <v>397</v>
      </c>
      <c r="C20" s="3" t="s">
        <v>274</v>
      </c>
      <c r="D20" s="5">
        <v>2020</v>
      </c>
      <c r="E20" s="3" t="s">
        <v>361</v>
      </c>
      <c r="F20" s="3" t="s">
        <v>362</v>
      </c>
      <c r="G20" s="3" t="s">
        <v>363</v>
      </c>
      <c r="H20" s="5">
        <v>20231</v>
      </c>
      <c r="I20" s="3" t="s">
        <v>364</v>
      </c>
      <c r="J20" s="3" t="s">
        <v>278</v>
      </c>
      <c r="K20" s="3" t="s">
        <v>279</v>
      </c>
      <c r="L20" s="3" t="s">
        <v>307</v>
      </c>
      <c r="M20" s="3" t="s">
        <v>292</v>
      </c>
      <c r="N20" s="5">
        <v>500</v>
      </c>
      <c r="O20" s="5">
        <v>10</v>
      </c>
      <c r="P20" s="3" t="s">
        <v>365</v>
      </c>
      <c r="Q20" s="3" t="s">
        <v>366</v>
      </c>
      <c r="R20" s="3" t="s">
        <v>367</v>
      </c>
      <c r="S20" s="2"/>
      <c r="T20" s="2"/>
      <c r="U20" s="457" t="s">
        <v>368</v>
      </c>
    </row>
    <row r="21" spans="1:21" ht="13.75" customHeight="1">
      <c r="A21" s="456" t="s">
        <v>398</v>
      </c>
      <c r="B21" s="3" t="s">
        <v>399</v>
      </c>
      <c r="C21" s="3" t="s">
        <v>274</v>
      </c>
      <c r="D21" s="5">
        <v>2020</v>
      </c>
      <c r="E21" s="3" t="s">
        <v>361</v>
      </c>
      <c r="F21" s="3" t="s">
        <v>362</v>
      </c>
      <c r="G21" s="3" t="s">
        <v>363</v>
      </c>
      <c r="H21" s="5">
        <v>20231</v>
      </c>
      <c r="I21" s="3" t="s">
        <v>364</v>
      </c>
      <c r="J21" s="3" t="s">
        <v>278</v>
      </c>
      <c r="K21" s="3" t="s">
        <v>279</v>
      </c>
      <c r="L21" s="3" t="s">
        <v>307</v>
      </c>
      <c r="M21" s="3" t="s">
        <v>292</v>
      </c>
      <c r="N21" s="5">
        <v>500</v>
      </c>
      <c r="O21" s="5">
        <v>10</v>
      </c>
      <c r="P21" s="3" t="s">
        <v>365</v>
      </c>
      <c r="Q21" s="3" t="s">
        <v>366</v>
      </c>
      <c r="R21" s="3" t="s">
        <v>367</v>
      </c>
      <c r="S21" s="2"/>
      <c r="T21" s="2"/>
      <c r="U21" s="457" t="s">
        <v>368</v>
      </c>
    </row>
    <row r="22" spans="1:21" ht="13.75" customHeight="1">
      <c r="A22" s="456" t="s">
        <v>400</v>
      </c>
      <c r="B22" s="3" t="s">
        <v>401</v>
      </c>
      <c r="C22" s="3" t="s">
        <v>274</v>
      </c>
      <c r="D22" s="5">
        <v>2020</v>
      </c>
      <c r="E22" s="3" t="s">
        <v>402</v>
      </c>
      <c r="F22" s="3" t="s">
        <v>403</v>
      </c>
      <c r="G22" s="3" t="s">
        <v>404</v>
      </c>
      <c r="H22" s="5">
        <v>20222</v>
      </c>
      <c r="I22" s="3" t="s">
        <v>405</v>
      </c>
      <c r="J22" s="3" t="s">
        <v>278</v>
      </c>
      <c r="K22" s="3" t="s">
        <v>279</v>
      </c>
      <c r="L22" s="3" t="s">
        <v>291</v>
      </c>
      <c r="M22" s="3" t="s">
        <v>292</v>
      </c>
      <c r="N22" s="5">
        <v>100</v>
      </c>
      <c r="O22" s="5">
        <v>5</v>
      </c>
      <c r="P22" s="2"/>
      <c r="Q22" s="3" t="s">
        <v>406</v>
      </c>
      <c r="R22" s="3" t="s">
        <v>407</v>
      </c>
      <c r="S22" s="2"/>
      <c r="T22" s="2"/>
      <c r="U22" s="457" t="s">
        <v>408</v>
      </c>
    </row>
    <row r="23" spans="1:21" ht="13.75" customHeight="1">
      <c r="A23" s="456" t="s">
        <v>400</v>
      </c>
      <c r="B23" s="3" t="s">
        <v>401</v>
      </c>
      <c r="C23" s="3" t="s">
        <v>274</v>
      </c>
      <c r="D23" s="5">
        <v>2020</v>
      </c>
      <c r="E23" s="3" t="s">
        <v>409</v>
      </c>
      <c r="F23" s="3" t="s">
        <v>410</v>
      </c>
      <c r="G23" s="3" t="s">
        <v>411</v>
      </c>
      <c r="H23" s="5">
        <v>20222</v>
      </c>
      <c r="I23" s="3" t="s">
        <v>409</v>
      </c>
      <c r="J23" s="3" t="s">
        <v>278</v>
      </c>
      <c r="K23" s="3" t="s">
        <v>279</v>
      </c>
      <c r="L23" s="3" t="s">
        <v>291</v>
      </c>
      <c r="M23" s="3" t="s">
        <v>292</v>
      </c>
      <c r="N23" s="5">
        <v>50</v>
      </c>
      <c r="O23" s="5">
        <v>5</v>
      </c>
      <c r="P23" s="2"/>
      <c r="Q23" s="3" t="s">
        <v>412</v>
      </c>
      <c r="R23" s="3" t="s">
        <v>413</v>
      </c>
      <c r="S23" s="2"/>
      <c r="T23" s="2"/>
      <c r="U23" s="457" t="s">
        <v>408</v>
      </c>
    </row>
    <row r="24" spans="1:21" ht="13.75" customHeight="1">
      <c r="A24" s="456" t="s">
        <v>414</v>
      </c>
      <c r="B24" s="3" t="s">
        <v>415</v>
      </c>
      <c r="C24" s="3" t="s">
        <v>274</v>
      </c>
      <c r="D24" s="5">
        <v>2020</v>
      </c>
      <c r="E24" s="3" t="s">
        <v>361</v>
      </c>
      <c r="F24" s="3" t="s">
        <v>362</v>
      </c>
      <c r="G24" s="3" t="s">
        <v>363</v>
      </c>
      <c r="H24" s="5">
        <v>20231</v>
      </c>
      <c r="I24" s="3" t="s">
        <v>364</v>
      </c>
      <c r="J24" s="3" t="s">
        <v>278</v>
      </c>
      <c r="K24" s="3" t="s">
        <v>279</v>
      </c>
      <c r="L24" s="3" t="s">
        <v>307</v>
      </c>
      <c r="M24" s="3" t="s">
        <v>292</v>
      </c>
      <c r="N24" s="5">
        <v>500</v>
      </c>
      <c r="O24" s="5">
        <v>10</v>
      </c>
      <c r="P24" s="3" t="s">
        <v>365</v>
      </c>
      <c r="Q24" s="3" t="s">
        <v>366</v>
      </c>
      <c r="R24" s="3" t="s">
        <v>367</v>
      </c>
      <c r="S24" s="2"/>
      <c r="T24" s="2"/>
      <c r="U24" s="457" t="s">
        <v>368</v>
      </c>
    </row>
    <row r="25" spans="1:21" ht="13.75" customHeight="1">
      <c r="A25" s="456" t="s">
        <v>416</v>
      </c>
      <c r="B25" s="3" t="s">
        <v>417</v>
      </c>
      <c r="C25" s="3" t="s">
        <v>274</v>
      </c>
      <c r="D25" s="5">
        <v>2020</v>
      </c>
      <c r="E25" s="3" t="s">
        <v>418</v>
      </c>
      <c r="F25" s="3" t="s">
        <v>419</v>
      </c>
      <c r="G25" s="3" t="s">
        <v>419</v>
      </c>
      <c r="H25" s="5">
        <v>20231</v>
      </c>
      <c r="I25" s="3" t="s">
        <v>420</v>
      </c>
      <c r="J25" s="3" t="s">
        <v>278</v>
      </c>
      <c r="K25" s="3" t="s">
        <v>279</v>
      </c>
      <c r="L25" s="3" t="s">
        <v>291</v>
      </c>
      <c r="M25" s="3" t="s">
        <v>292</v>
      </c>
      <c r="N25" s="5">
        <v>250</v>
      </c>
      <c r="O25" s="5">
        <v>4</v>
      </c>
      <c r="P25" s="2"/>
      <c r="Q25" s="3" t="s">
        <v>421</v>
      </c>
      <c r="R25" s="3" t="s">
        <v>422</v>
      </c>
      <c r="S25" s="2"/>
      <c r="T25" s="2"/>
      <c r="U25" s="457" t="s">
        <v>423</v>
      </c>
    </row>
    <row r="26" spans="1:21" ht="13.75" customHeight="1">
      <c r="A26" s="456" t="s">
        <v>424</v>
      </c>
      <c r="B26" s="3" t="s">
        <v>425</v>
      </c>
      <c r="C26" s="3" t="s">
        <v>274</v>
      </c>
      <c r="D26" s="5">
        <v>2021</v>
      </c>
      <c r="E26" s="3" t="s">
        <v>361</v>
      </c>
      <c r="F26" s="3" t="s">
        <v>362</v>
      </c>
      <c r="G26" s="3" t="s">
        <v>363</v>
      </c>
      <c r="H26" s="5">
        <v>20231</v>
      </c>
      <c r="I26" s="3" t="s">
        <v>364</v>
      </c>
      <c r="J26" s="3" t="s">
        <v>278</v>
      </c>
      <c r="K26" s="3" t="s">
        <v>279</v>
      </c>
      <c r="L26" s="3" t="s">
        <v>307</v>
      </c>
      <c r="M26" s="3" t="s">
        <v>292</v>
      </c>
      <c r="N26" s="5">
        <v>500</v>
      </c>
      <c r="O26" s="5">
        <v>10</v>
      </c>
      <c r="P26" s="3" t="s">
        <v>365</v>
      </c>
      <c r="Q26" s="3" t="s">
        <v>366</v>
      </c>
      <c r="R26" s="3" t="s">
        <v>367</v>
      </c>
      <c r="S26" s="2"/>
      <c r="T26" s="2"/>
      <c r="U26" s="457" t="s">
        <v>368</v>
      </c>
    </row>
    <row r="27" spans="1:21" ht="13.75" customHeight="1">
      <c r="A27" s="456" t="s">
        <v>426</v>
      </c>
      <c r="B27" s="3" t="s">
        <v>427</v>
      </c>
      <c r="C27" s="3" t="s">
        <v>274</v>
      </c>
      <c r="D27" s="5">
        <v>2021</v>
      </c>
      <c r="E27" s="3" t="s">
        <v>428</v>
      </c>
      <c r="F27" s="3" t="s">
        <v>429</v>
      </c>
      <c r="G27" s="3" t="s">
        <v>429</v>
      </c>
      <c r="H27" s="5">
        <v>20221</v>
      </c>
      <c r="I27" s="2"/>
      <c r="J27" s="3" t="s">
        <v>278</v>
      </c>
      <c r="K27" s="3" t="s">
        <v>279</v>
      </c>
      <c r="L27" s="3" t="s">
        <v>291</v>
      </c>
      <c r="M27" s="3" t="s">
        <v>292</v>
      </c>
      <c r="N27" s="5">
        <v>200</v>
      </c>
      <c r="O27" s="5">
        <v>5</v>
      </c>
      <c r="P27" s="2"/>
      <c r="Q27" s="3" t="s">
        <v>430</v>
      </c>
      <c r="R27" s="3" t="s">
        <v>431</v>
      </c>
      <c r="S27" s="2"/>
      <c r="T27" s="2"/>
      <c r="U27" s="457" t="s">
        <v>432</v>
      </c>
    </row>
    <row r="28" spans="1:21" ht="13.75" customHeight="1">
      <c r="A28" s="456" t="s">
        <v>433</v>
      </c>
      <c r="B28" s="3" t="s">
        <v>434</v>
      </c>
      <c r="C28" s="3" t="s">
        <v>274</v>
      </c>
      <c r="D28" s="5">
        <v>2021</v>
      </c>
      <c r="E28" s="3" t="s">
        <v>435</v>
      </c>
      <c r="F28" s="3" t="s">
        <v>436</v>
      </c>
      <c r="G28" s="3" t="s">
        <v>339</v>
      </c>
      <c r="H28" s="5">
        <v>20212</v>
      </c>
      <c r="I28" s="3" t="s">
        <v>437</v>
      </c>
      <c r="J28" s="3" t="s">
        <v>278</v>
      </c>
      <c r="K28" s="3" t="s">
        <v>279</v>
      </c>
      <c r="L28" s="3" t="s">
        <v>438</v>
      </c>
      <c r="M28" s="3" t="s">
        <v>281</v>
      </c>
      <c r="N28" s="5">
        <v>18</v>
      </c>
      <c r="O28" s="5">
        <v>10</v>
      </c>
      <c r="P28" s="2"/>
      <c r="Q28" s="3" t="s">
        <v>439</v>
      </c>
      <c r="R28" s="2"/>
      <c r="S28" s="2"/>
      <c r="T28" s="2"/>
      <c r="U28" s="457" t="s">
        <v>440</v>
      </c>
    </row>
    <row r="29" spans="1:21" ht="13.75" customHeight="1">
      <c r="A29" s="456" t="s">
        <v>441</v>
      </c>
      <c r="B29" s="3" t="s">
        <v>442</v>
      </c>
      <c r="C29" s="3" t="s">
        <v>274</v>
      </c>
      <c r="D29" s="5">
        <v>2021</v>
      </c>
      <c r="E29" s="3" t="s">
        <v>361</v>
      </c>
      <c r="F29" s="3" t="s">
        <v>362</v>
      </c>
      <c r="G29" s="3" t="s">
        <v>363</v>
      </c>
      <c r="H29" s="5">
        <v>20231</v>
      </c>
      <c r="I29" s="3" t="s">
        <v>364</v>
      </c>
      <c r="J29" s="3" t="s">
        <v>278</v>
      </c>
      <c r="K29" s="3" t="s">
        <v>279</v>
      </c>
      <c r="L29" s="3" t="s">
        <v>307</v>
      </c>
      <c r="M29" s="3" t="s">
        <v>292</v>
      </c>
      <c r="N29" s="5">
        <v>500</v>
      </c>
      <c r="O29" s="5">
        <v>10</v>
      </c>
      <c r="P29" s="3" t="s">
        <v>365</v>
      </c>
      <c r="Q29" s="3" t="s">
        <v>366</v>
      </c>
      <c r="R29" s="3" t="s">
        <v>367</v>
      </c>
      <c r="S29" s="2"/>
      <c r="T29" s="2"/>
      <c r="U29" s="457" t="s">
        <v>368</v>
      </c>
    </row>
    <row r="30" spans="1:21" ht="13.75" customHeight="1">
      <c r="A30" s="456" t="s">
        <v>443</v>
      </c>
      <c r="B30" s="3" t="s">
        <v>444</v>
      </c>
      <c r="C30" s="3" t="s">
        <v>274</v>
      </c>
      <c r="D30" s="5">
        <v>2021</v>
      </c>
      <c r="E30" s="3" t="s">
        <v>361</v>
      </c>
      <c r="F30" s="3" t="s">
        <v>362</v>
      </c>
      <c r="G30" s="3" t="s">
        <v>363</v>
      </c>
      <c r="H30" s="5">
        <v>20231</v>
      </c>
      <c r="I30" s="3" t="s">
        <v>364</v>
      </c>
      <c r="J30" s="3" t="s">
        <v>278</v>
      </c>
      <c r="K30" s="3" t="s">
        <v>279</v>
      </c>
      <c r="L30" s="3" t="s">
        <v>307</v>
      </c>
      <c r="M30" s="3" t="s">
        <v>292</v>
      </c>
      <c r="N30" s="5">
        <v>500</v>
      </c>
      <c r="O30" s="5">
        <v>10</v>
      </c>
      <c r="P30" s="3" t="s">
        <v>365</v>
      </c>
      <c r="Q30" s="3" t="s">
        <v>366</v>
      </c>
      <c r="R30" s="3" t="s">
        <v>367</v>
      </c>
      <c r="S30" s="2"/>
      <c r="T30" s="2"/>
      <c r="U30" s="457" t="s">
        <v>368</v>
      </c>
    </row>
    <row r="31" spans="1:21" ht="13.75" customHeight="1">
      <c r="A31" s="456" t="s">
        <v>445</v>
      </c>
      <c r="B31" s="3" t="s">
        <v>446</v>
      </c>
      <c r="C31" s="3" t="s">
        <v>274</v>
      </c>
      <c r="D31" s="5">
        <v>2021</v>
      </c>
      <c r="E31" s="3" t="s">
        <v>361</v>
      </c>
      <c r="F31" s="3" t="s">
        <v>362</v>
      </c>
      <c r="G31" s="3" t="s">
        <v>363</v>
      </c>
      <c r="H31" s="5">
        <v>20231</v>
      </c>
      <c r="I31" s="3" t="s">
        <v>364</v>
      </c>
      <c r="J31" s="3" t="s">
        <v>278</v>
      </c>
      <c r="K31" s="3" t="s">
        <v>279</v>
      </c>
      <c r="L31" s="3" t="s">
        <v>307</v>
      </c>
      <c r="M31" s="3" t="s">
        <v>292</v>
      </c>
      <c r="N31" s="5">
        <v>500</v>
      </c>
      <c r="O31" s="5">
        <v>10</v>
      </c>
      <c r="P31" s="3" t="s">
        <v>365</v>
      </c>
      <c r="Q31" s="3" t="s">
        <v>366</v>
      </c>
      <c r="R31" s="3" t="s">
        <v>367</v>
      </c>
      <c r="S31" s="2"/>
      <c r="T31" s="2"/>
      <c r="U31" s="457" t="s">
        <v>368</v>
      </c>
    </row>
    <row r="32" spans="1:21" ht="13.75" customHeight="1">
      <c r="A32" s="456" t="s">
        <v>447</v>
      </c>
      <c r="B32" s="3" t="s">
        <v>448</v>
      </c>
      <c r="C32" s="3" t="s">
        <v>274</v>
      </c>
      <c r="D32" s="5">
        <v>2021</v>
      </c>
      <c r="E32" s="3" t="s">
        <v>361</v>
      </c>
      <c r="F32" s="3" t="s">
        <v>362</v>
      </c>
      <c r="G32" s="3" t="s">
        <v>363</v>
      </c>
      <c r="H32" s="5">
        <v>20231</v>
      </c>
      <c r="I32" s="3" t="s">
        <v>364</v>
      </c>
      <c r="J32" s="3" t="s">
        <v>278</v>
      </c>
      <c r="K32" s="3" t="s">
        <v>279</v>
      </c>
      <c r="L32" s="3" t="s">
        <v>307</v>
      </c>
      <c r="M32" s="3" t="s">
        <v>292</v>
      </c>
      <c r="N32" s="5">
        <v>500</v>
      </c>
      <c r="O32" s="5">
        <v>10</v>
      </c>
      <c r="P32" s="3" t="s">
        <v>365</v>
      </c>
      <c r="Q32" s="3" t="s">
        <v>388</v>
      </c>
      <c r="R32" s="3" t="s">
        <v>389</v>
      </c>
      <c r="S32" s="2"/>
      <c r="T32" s="2"/>
      <c r="U32" s="457" t="s">
        <v>368</v>
      </c>
    </row>
    <row r="33" spans="1:21" ht="13.75" customHeight="1">
      <c r="A33" s="456" t="s">
        <v>449</v>
      </c>
      <c r="B33" s="3" t="s">
        <v>450</v>
      </c>
      <c r="C33" s="3" t="s">
        <v>274</v>
      </c>
      <c r="D33" s="5">
        <v>2021</v>
      </c>
      <c r="E33" s="3" t="s">
        <v>361</v>
      </c>
      <c r="F33" s="3" t="s">
        <v>362</v>
      </c>
      <c r="G33" s="3" t="s">
        <v>363</v>
      </c>
      <c r="H33" s="5">
        <v>20231</v>
      </c>
      <c r="I33" s="3" t="s">
        <v>364</v>
      </c>
      <c r="J33" s="3" t="s">
        <v>278</v>
      </c>
      <c r="K33" s="3" t="s">
        <v>279</v>
      </c>
      <c r="L33" s="3" t="s">
        <v>307</v>
      </c>
      <c r="M33" s="3" t="s">
        <v>292</v>
      </c>
      <c r="N33" s="5">
        <v>500</v>
      </c>
      <c r="O33" s="5">
        <v>10</v>
      </c>
      <c r="P33" s="3" t="s">
        <v>365</v>
      </c>
      <c r="Q33" s="3" t="s">
        <v>366</v>
      </c>
      <c r="R33" s="3" t="s">
        <v>367</v>
      </c>
      <c r="S33" s="2"/>
      <c r="T33" s="2"/>
      <c r="U33" s="457" t="s">
        <v>368</v>
      </c>
    </row>
    <row r="34" spans="1:21" ht="13.75" customHeight="1">
      <c r="A34" s="456" t="s">
        <v>451</v>
      </c>
      <c r="B34" s="3" t="s">
        <v>452</v>
      </c>
      <c r="C34" s="3" t="s">
        <v>274</v>
      </c>
      <c r="D34" s="5">
        <v>2021</v>
      </c>
      <c r="E34" s="3" t="s">
        <v>361</v>
      </c>
      <c r="F34" s="3" t="s">
        <v>362</v>
      </c>
      <c r="G34" s="3" t="s">
        <v>363</v>
      </c>
      <c r="H34" s="5">
        <v>20231</v>
      </c>
      <c r="I34" s="3" t="s">
        <v>364</v>
      </c>
      <c r="J34" s="3" t="s">
        <v>278</v>
      </c>
      <c r="K34" s="3" t="s">
        <v>279</v>
      </c>
      <c r="L34" s="3" t="s">
        <v>307</v>
      </c>
      <c r="M34" s="3" t="s">
        <v>292</v>
      </c>
      <c r="N34" s="5">
        <v>500</v>
      </c>
      <c r="O34" s="5">
        <v>10</v>
      </c>
      <c r="P34" s="3" t="s">
        <v>365</v>
      </c>
      <c r="Q34" s="3" t="s">
        <v>366</v>
      </c>
      <c r="R34" s="3" t="s">
        <v>367</v>
      </c>
      <c r="S34" s="2"/>
      <c r="T34" s="2"/>
      <c r="U34" s="457" t="s">
        <v>368</v>
      </c>
    </row>
    <row r="35" spans="1:21" ht="13.75" customHeight="1">
      <c r="A35" s="456" t="s">
        <v>453</v>
      </c>
      <c r="B35" s="3" t="s">
        <v>454</v>
      </c>
      <c r="C35" s="3" t="s">
        <v>274</v>
      </c>
      <c r="D35" s="5">
        <v>2021</v>
      </c>
      <c r="E35" s="3" t="s">
        <v>361</v>
      </c>
      <c r="F35" s="3" t="s">
        <v>362</v>
      </c>
      <c r="G35" s="3" t="s">
        <v>363</v>
      </c>
      <c r="H35" s="5">
        <v>20231</v>
      </c>
      <c r="I35" s="3" t="s">
        <v>364</v>
      </c>
      <c r="J35" s="3" t="s">
        <v>278</v>
      </c>
      <c r="K35" s="3" t="s">
        <v>279</v>
      </c>
      <c r="L35" s="3" t="s">
        <v>307</v>
      </c>
      <c r="M35" s="3" t="s">
        <v>292</v>
      </c>
      <c r="N35" s="5">
        <v>500</v>
      </c>
      <c r="O35" s="5">
        <v>10</v>
      </c>
      <c r="P35" s="3" t="s">
        <v>365</v>
      </c>
      <c r="Q35" s="3" t="s">
        <v>366</v>
      </c>
      <c r="R35" s="3" t="s">
        <v>367</v>
      </c>
      <c r="S35" s="2"/>
      <c r="T35" s="2"/>
      <c r="U35" s="457" t="s">
        <v>368</v>
      </c>
    </row>
    <row r="36" spans="1:21" ht="13.75" customHeight="1">
      <c r="A36" s="456" t="s">
        <v>455</v>
      </c>
      <c r="B36" s="3" t="s">
        <v>456</v>
      </c>
      <c r="C36" s="3" t="s">
        <v>274</v>
      </c>
      <c r="D36" s="5">
        <v>2021</v>
      </c>
      <c r="E36" s="3" t="s">
        <v>457</v>
      </c>
      <c r="F36" s="3" t="s">
        <v>458</v>
      </c>
      <c r="G36" s="3" t="s">
        <v>339</v>
      </c>
      <c r="H36" s="5">
        <v>20221</v>
      </c>
      <c r="I36" s="3" t="s">
        <v>459</v>
      </c>
      <c r="J36" s="3" t="s">
        <v>278</v>
      </c>
      <c r="K36" s="3" t="s">
        <v>279</v>
      </c>
      <c r="L36" s="3" t="s">
        <v>280</v>
      </c>
      <c r="M36" s="3" t="s">
        <v>281</v>
      </c>
      <c r="N36" s="5">
        <v>5</v>
      </c>
      <c r="O36" s="5">
        <v>15</v>
      </c>
      <c r="P36" s="2"/>
      <c r="Q36" s="3" t="s">
        <v>460</v>
      </c>
      <c r="R36" s="2"/>
      <c r="S36" s="2"/>
      <c r="T36" s="2"/>
      <c r="U36" s="457" t="s">
        <v>343</v>
      </c>
    </row>
    <row r="37" spans="1:21" ht="13.75" customHeight="1">
      <c r="A37" s="456" t="s">
        <v>461</v>
      </c>
      <c r="B37" s="3" t="s">
        <v>462</v>
      </c>
      <c r="C37" s="3" t="s">
        <v>274</v>
      </c>
      <c r="D37" s="5">
        <v>2021</v>
      </c>
      <c r="E37" s="3" t="s">
        <v>361</v>
      </c>
      <c r="F37" s="3" t="s">
        <v>362</v>
      </c>
      <c r="G37" s="3" t="s">
        <v>363</v>
      </c>
      <c r="H37" s="5">
        <v>20231</v>
      </c>
      <c r="I37" s="3" t="s">
        <v>364</v>
      </c>
      <c r="J37" s="3" t="s">
        <v>278</v>
      </c>
      <c r="K37" s="3" t="s">
        <v>279</v>
      </c>
      <c r="L37" s="3" t="s">
        <v>307</v>
      </c>
      <c r="M37" s="3" t="s">
        <v>292</v>
      </c>
      <c r="N37" s="5">
        <v>500</v>
      </c>
      <c r="O37" s="5">
        <v>10</v>
      </c>
      <c r="P37" s="3" t="s">
        <v>365</v>
      </c>
      <c r="Q37" s="3" t="s">
        <v>366</v>
      </c>
      <c r="R37" s="3" t="s">
        <v>367</v>
      </c>
      <c r="S37" s="2"/>
      <c r="T37" s="2"/>
      <c r="U37" s="457" t="s">
        <v>368</v>
      </c>
    </row>
    <row r="38" spans="1:21" ht="13.75" customHeight="1">
      <c r="A38" s="456" t="s">
        <v>463</v>
      </c>
      <c r="B38" s="3" t="s">
        <v>464</v>
      </c>
      <c r="C38" s="3" t="s">
        <v>274</v>
      </c>
      <c r="D38" s="5">
        <v>2021</v>
      </c>
      <c r="E38" s="3" t="s">
        <v>361</v>
      </c>
      <c r="F38" s="3" t="s">
        <v>362</v>
      </c>
      <c r="G38" s="3" t="s">
        <v>363</v>
      </c>
      <c r="H38" s="5">
        <v>20231</v>
      </c>
      <c r="I38" s="3" t="s">
        <v>364</v>
      </c>
      <c r="J38" s="3" t="s">
        <v>278</v>
      </c>
      <c r="K38" s="3" t="s">
        <v>279</v>
      </c>
      <c r="L38" s="3" t="s">
        <v>307</v>
      </c>
      <c r="M38" s="3" t="s">
        <v>292</v>
      </c>
      <c r="N38" s="5">
        <v>500</v>
      </c>
      <c r="O38" s="5">
        <v>10</v>
      </c>
      <c r="P38" s="3" t="s">
        <v>365</v>
      </c>
      <c r="Q38" s="3" t="s">
        <v>366</v>
      </c>
      <c r="R38" s="3" t="s">
        <v>367</v>
      </c>
      <c r="S38" s="2"/>
      <c r="T38" s="2"/>
      <c r="U38" s="457" t="s">
        <v>368</v>
      </c>
    </row>
    <row r="39" spans="1:21" ht="13.75" customHeight="1">
      <c r="A39" s="456" t="s">
        <v>465</v>
      </c>
      <c r="B39" s="3" t="s">
        <v>466</v>
      </c>
      <c r="C39" s="3" t="s">
        <v>274</v>
      </c>
      <c r="D39" s="5">
        <v>2021</v>
      </c>
      <c r="E39" s="3" t="s">
        <v>435</v>
      </c>
      <c r="F39" s="3" t="s">
        <v>339</v>
      </c>
      <c r="G39" s="3" t="s">
        <v>339</v>
      </c>
      <c r="H39" s="5">
        <v>20221</v>
      </c>
      <c r="I39" s="3" t="s">
        <v>467</v>
      </c>
      <c r="J39" s="3" t="s">
        <v>278</v>
      </c>
      <c r="K39" s="3" t="s">
        <v>279</v>
      </c>
      <c r="L39" s="3" t="s">
        <v>280</v>
      </c>
      <c r="M39" s="3" t="s">
        <v>281</v>
      </c>
      <c r="N39" s="5">
        <v>4</v>
      </c>
      <c r="O39" s="5">
        <v>15</v>
      </c>
      <c r="P39" s="2"/>
      <c r="Q39" s="3" t="s">
        <v>468</v>
      </c>
      <c r="R39" s="2"/>
      <c r="S39" s="2"/>
      <c r="T39" s="2"/>
      <c r="U39" s="457" t="s">
        <v>469</v>
      </c>
    </row>
    <row r="40" spans="1:21" ht="13.75" customHeight="1">
      <c r="A40" s="456" t="s">
        <v>465</v>
      </c>
      <c r="B40" s="3" t="s">
        <v>466</v>
      </c>
      <c r="C40" s="3" t="s">
        <v>274</v>
      </c>
      <c r="D40" s="5">
        <v>2021</v>
      </c>
      <c r="E40" s="3" t="s">
        <v>418</v>
      </c>
      <c r="F40" s="3" t="s">
        <v>419</v>
      </c>
      <c r="G40" s="3" t="s">
        <v>419</v>
      </c>
      <c r="H40" s="5">
        <v>20231</v>
      </c>
      <c r="I40" s="3" t="s">
        <v>420</v>
      </c>
      <c r="J40" s="3" t="s">
        <v>278</v>
      </c>
      <c r="K40" s="3" t="s">
        <v>279</v>
      </c>
      <c r="L40" s="3" t="s">
        <v>291</v>
      </c>
      <c r="M40" s="3" t="s">
        <v>292</v>
      </c>
      <c r="N40" s="5">
        <v>250</v>
      </c>
      <c r="O40" s="5">
        <v>4</v>
      </c>
      <c r="P40" s="2"/>
      <c r="Q40" s="3" t="s">
        <v>421</v>
      </c>
      <c r="R40" s="3" t="s">
        <v>422</v>
      </c>
      <c r="S40" s="2"/>
      <c r="T40" s="2"/>
      <c r="U40" s="457" t="s">
        <v>423</v>
      </c>
    </row>
    <row r="41" spans="1:21" ht="13.75" customHeight="1">
      <c r="A41" s="456" t="s">
        <v>470</v>
      </c>
      <c r="B41" s="3" t="s">
        <v>471</v>
      </c>
      <c r="C41" s="3" t="s">
        <v>274</v>
      </c>
      <c r="D41" s="5">
        <v>2021</v>
      </c>
      <c r="E41" s="3" t="s">
        <v>361</v>
      </c>
      <c r="F41" s="3" t="s">
        <v>362</v>
      </c>
      <c r="G41" s="3" t="s">
        <v>363</v>
      </c>
      <c r="H41" s="5">
        <v>20231</v>
      </c>
      <c r="I41" s="3" t="s">
        <v>364</v>
      </c>
      <c r="J41" s="3" t="s">
        <v>278</v>
      </c>
      <c r="K41" s="3" t="s">
        <v>279</v>
      </c>
      <c r="L41" s="3" t="s">
        <v>307</v>
      </c>
      <c r="M41" s="3" t="s">
        <v>292</v>
      </c>
      <c r="N41" s="5">
        <v>500</v>
      </c>
      <c r="O41" s="5">
        <v>10</v>
      </c>
      <c r="P41" s="3" t="s">
        <v>365</v>
      </c>
      <c r="Q41" s="3" t="s">
        <v>366</v>
      </c>
      <c r="R41" s="3" t="s">
        <v>367</v>
      </c>
      <c r="S41" s="2"/>
      <c r="T41" s="2"/>
      <c r="U41" s="457" t="s">
        <v>368</v>
      </c>
    </row>
    <row r="42" spans="1:21" ht="13.75" customHeight="1">
      <c r="A42" s="456" t="s">
        <v>472</v>
      </c>
      <c r="B42" s="3" t="s">
        <v>473</v>
      </c>
      <c r="C42" s="3" t="s">
        <v>274</v>
      </c>
      <c r="D42" s="5">
        <v>2021</v>
      </c>
      <c r="E42" s="3" t="s">
        <v>474</v>
      </c>
      <c r="F42" s="3" t="s">
        <v>475</v>
      </c>
      <c r="G42" s="3" t="s">
        <v>475</v>
      </c>
      <c r="H42" s="5">
        <v>20221</v>
      </c>
      <c r="I42" s="3" t="s">
        <v>476</v>
      </c>
      <c r="J42" s="3" t="s">
        <v>278</v>
      </c>
      <c r="K42" s="3" t="s">
        <v>279</v>
      </c>
      <c r="L42" s="3" t="s">
        <v>291</v>
      </c>
      <c r="M42" s="3" t="s">
        <v>292</v>
      </c>
      <c r="N42" s="5">
        <v>1</v>
      </c>
      <c r="O42" s="5">
        <v>5</v>
      </c>
      <c r="P42" s="3" t="s">
        <v>477</v>
      </c>
      <c r="Q42" s="3" t="s">
        <v>478</v>
      </c>
      <c r="R42" s="3" t="s">
        <v>479</v>
      </c>
      <c r="S42" s="2"/>
      <c r="T42" s="2"/>
      <c r="U42" s="457" t="s">
        <v>480</v>
      </c>
    </row>
    <row r="43" spans="1:21" ht="13.75" customHeight="1">
      <c r="A43" s="456" t="s">
        <v>481</v>
      </c>
      <c r="B43" s="3" t="s">
        <v>482</v>
      </c>
      <c r="C43" s="3" t="s">
        <v>274</v>
      </c>
      <c r="D43" s="5">
        <v>2021</v>
      </c>
      <c r="E43" s="3" t="s">
        <v>483</v>
      </c>
      <c r="F43" s="3" t="s">
        <v>339</v>
      </c>
      <c r="G43" s="3" t="s">
        <v>339</v>
      </c>
      <c r="H43" s="5">
        <v>20221</v>
      </c>
      <c r="I43" s="3" t="s">
        <v>483</v>
      </c>
      <c r="J43" s="3" t="s">
        <v>278</v>
      </c>
      <c r="K43" s="3" t="s">
        <v>279</v>
      </c>
      <c r="L43" s="3" t="s">
        <v>280</v>
      </c>
      <c r="M43" s="3" t="s">
        <v>281</v>
      </c>
      <c r="N43" s="5">
        <v>6</v>
      </c>
      <c r="O43" s="5">
        <v>15</v>
      </c>
      <c r="P43" s="2"/>
      <c r="Q43" s="3" t="s">
        <v>484</v>
      </c>
      <c r="R43" s="2"/>
      <c r="S43" s="2"/>
      <c r="T43" s="2"/>
      <c r="U43" s="457" t="s">
        <v>351</v>
      </c>
    </row>
    <row r="44" spans="1:21" ht="13.75" customHeight="1">
      <c r="A44" s="456" t="s">
        <v>485</v>
      </c>
      <c r="B44" s="3" t="s">
        <v>486</v>
      </c>
      <c r="C44" s="3" t="s">
        <v>274</v>
      </c>
      <c r="D44" s="5">
        <v>2021</v>
      </c>
      <c r="E44" s="3" t="s">
        <v>487</v>
      </c>
      <c r="F44" s="3" t="s">
        <v>458</v>
      </c>
      <c r="G44" s="3" t="s">
        <v>339</v>
      </c>
      <c r="H44" s="5">
        <v>20221</v>
      </c>
      <c r="I44" s="3" t="s">
        <v>487</v>
      </c>
      <c r="J44" s="3" t="s">
        <v>278</v>
      </c>
      <c r="K44" s="3" t="s">
        <v>279</v>
      </c>
      <c r="L44" s="3" t="s">
        <v>280</v>
      </c>
      <c r="M44" s="3" t="s">
        <v>281</v>
      </c>
      <c r="N44" s="5">
        <v>5</v>
      </c>
      <c r="O44" s="5">
        <v>15</v>
      </c>
      <c r="P44" s="2"/>
      <c r="Q44" s="3" t="s">
        <v>488</v>
      </c>
      <c r="R44" s="3" t="s">
        <v>489</v>
      </c>
      <c r="S44" s="2"/>
      <c r="T44" s="2"/>
      <c r="U44" s="457" t="s">
        <v>490</v>
      </c>
    </row>
    <row r="45" spans="1:21" ht="13.75" customHeight="1">
      <c r="A45" s="456" t="s">
        <v>491</v>
      </c>
      <c r="B45" s="3" t="s">
        <v>492</v>
      </c>
      <c r="C45" s="3" t="s">
        <v>274</v>
      </c>
      <c r="D45" s="5">
        <v>2021</v>
      </c>
      <c r="E45" s="3" t="s">
        <v>493</v>
      </c>
      <c r="F45" s="3" t="s">
        <v>458</v>
      </c>
      <c r="G45" s="3" t="s">
        <v>339</v>
      </c>
      <c r="H45" s="5">
        <v>20221</v>
      </c>
      <c r="I45" s="3" t="s">
        <v>494</v>
      </c>
      <c r="J45" s="3" t="s">
        <v>278</v>
      </c>
      <c r="K45" s="3" t="s">
        <v>279</v>
      </c>
      <c r="L45" s="3" t="s">
        <v>280</v>
      </c>
      <c r="M45" s="3" t="s">
        <v>281</v>
      </c>
      <c r="N45" s="5">
        <v>5</v>
      </c>
      <c r="O45" s="5">
        <v>15</v>
      </c>
      <c r="P45" s="2"/>
      <c r="Q45" s="3" t="s">
        <v>495</v>
      </c>
      <c r="R45" s="3" t="s">
        <v>496</v>
      </c>
      <c r="S45" s="2"/>
      <c r="T45" s="2"/>
      <c r="U45" s="457" t="s">
        <v>343</v>
      </c>
    </row>
    <row r="46" spans="1:21" ht="13.75" customHeight="1">
      <c r="A46" s="456" t="s">
        <v>497</v>
      </c>
      <c r="B46" s="3" t="s">
        <v>498</v>
      </c>
      <c r="C46" s="3" t="s">
        <v>274</v>
      </c>
      <c r="D46" s="5">
        <v>2021</v>
      </c>
      <c r="E46" s="3" t="s">
        <v>361</v>
      </c>
      <c r="F46" s="3" t="s">
        <v>362</v>
      </c>
      <c r="G46" s="3" t="s">
        <v>363</v>
      </c>
      <c r="H46" s="5">
        <v>20231</v>
      </c>
      <c r="I46" s="3" t="s">
        <v>364</v>
      </c>
      <c r="J46" s="3" t="s">
        <v>278</v>
      </c>
      <c r="K46" s="3" t="s">
        <v>279</v>
      </c>
      <c r="L46" s="3" t="s">
        <v>307</v>
      </c>
      <c r="M46" s="3" t="s">
        <v>292</v>
      </c>
      <c r="N46" s="5">
        <v>500</v>
      </c>
      <c r="O46" s="5">
        <v>10</v>
      </c>
      <c r="P46" s="3" t="s">
        <v>365</v>
      </c>
      <c r="Q46" s="3" t="s">
        <v>366</v>
      </c>
      <c r="R46" s="3" t="s">
        <v>367</v>
      </c>
      <c r="S46" s="2"/>
      <c r="T46" s="2"/>
      <c r="U46" s="457" t="s">
        <v>368</v>
      </c>
    </row>
    <row r="47" spans="1:21" ht="13.75" customHeight="1">
      <c r="A47" s="456" t="s">
        <v>499</v>
      </c>
      <c r="B47" s="3" t="s">
        <v>500</v>
      </c>
      <c r="C47" s="3" t="s">
        <v>274</v>
      </c>
      <c r="D47" s="5">
        <v>2021</v>
      </c>
      <c r="E47" s="3" t="s">
        <v>361</v>
      </c>
      <c r="F47" s="3" t="s">
        <v>362</v>
      </c>
      <c r="G47" s="3" t="s">
        <v>363</v>
      </c>
      <c r="H47" s="5">
        <v>20231</v>
      </c>
      <c r="I47" s="3" t="s">
        <v>364</v>
      </c>
      <c r="J47" s="3" t="s">
        <v>278</v>
      </c>
      <c r="K47" s="3" t="s">
        <v>279</v>
      </c>
      <c r="L47" s="3" t="s">
        <v>307</v>
      </c>
      <c r="M47" s="3" t="s">
        <v>292</v>
      </c>
      <c r="N47" s="5">
        <v>500</v>
      </c>
      <c r="O47" s="5">
        <v>10</v>
      </c>
      <c r="P47" s="3" t="s">
        <v>365</v>
      </c>
      <c r="Q47" s="3" t="s">
        <v>366</v>
      </c>
      <c r="R47" s="3" t="s">
        <v>367</v>
      </c>
      <c r="S47" s="2"/>
      <c r="T47" s="2"/>
      <c r="U47" s="457" t="s">
        <v>368</v>
      </c>
    </row>
    <row r="48" spans="1:21" ht="13.75" customHeight="1">
      <c r="A48" s="456" t="s">
        <v>501</v>
      </c>
      <c r="B48" s="3" t="s">
        <v>502</v>
      </c>
      <c r="C48" s="3" t="s">
        <v>274</v>
      </c>
      <c r="D48" s="5">
        <v>2021</v>
      </c>
      <c r="E48" s="3" t="s">
        <v>361</v>
      </c>
      <c r="F48" s="3" t="s">
        <v>362</v>
      </c>
      <c r="G48" s="3" t="s">
        <v>363</v>
      </c>
      <c r="H48" s="5">
        <v>20231</v>
      </c>
      <c r="I48" s="3" t="s">
        <v>364</v>
      </c>
      <c r="J48" s="3" t="s">
        <v>278</v>
      </c>
      <c r="K48" s="3" t="s">
        <v>279</v>
      </c>
      <c r="L48" s="3" t="s">
        <v>307</v>
      </c>
      <c r="M48" s="3" t="s">
        <v>292</v>
      </c>
      <c r="N48" s="5">
        <v>500</v>
      </c>
      <c r="O48" s="5">
        <v>10</v>
      </c>
      <c r="P48" s="3" t="s">
        <v>365</v>
      </c>
      <c r="Q48" s="3" t="s">
        <v>366</v>
      </c>
      <c r="R48" s="3" t="s">
        <v>367</v>
      </c>
      <c r="S48" s="2"/>
      <c r="T48" s="2"/>
      <c r="U48" s="457" t="s">
        <v>368</v>
      </c>
    </row>
    <row r="49" spans="1:21" ht="13.75" customHeight="1">
      <c r="A49" s="456" t="s">
        <v>503</v>
      </c>
      <c r="B49" s="3" t="s">
        <v>504</v>
      </c>
      <c r="C49" s="3" t="s">
        <v>274</v>
      </c>
      <c r="D49" s="5">
        <v>2021</v>
      </c>
      <c r="E49" s="3" t="s">
        <v>505</v>
      </c>
      <c r="F49" s="3" t="s">
        <v>506</v>
      </c>
      <c r="G49" s="3" t="s">
        <v>506</v>
      </c>
      <c r="H49" s="5">
        <v>20231</v>
      </c>
      <c r="I49" s="2"/>
      <c r="J49" s="3" t="s">
        <v>278</v>
      </c>
      <c r="K49" s="3" t="s">
        <v>332</v>
      </c>
      <c r="L49" s="3" t="s">
        <v>291</v>
      </c>
      <c r="M49" s="3" t="s">
        <v>292</v>
      </c>
      <c r="N49" s="5">
        <v>50</v>
      </c>
      <c r="O49" s="5">
        <v>4</v>
      </c>
      <c r="P49" s="2"/>
      <c r="Q49" s="3" t="s">
        <v>507</v>
      </c>
      <c r="R49" s="3" t="s">
        <v>508</v>
      </c>
      <c r="S49" s="2"/>
      <c r="T49" s="2"/>
      <c r="U49" s="457" t="s">
        <v>440</v>
      </c>
    </row>
    <row r="50" spans="1:21" ht="13.75" customHeight="1">
      <c r="A50" s="456" t="s">
        <v>509</v>
      </c>
      <c r="B50" s="3" t="s">
        <v>510</v>
      </c>
      <c r="C50" s="3" t="s">
        <v>274</v>
      </c>
      <c r="D50" s="5">
        <v>2021</v>
      </c>
      <c r="E50" s="3" t="s">
        <v>511</v>
      </c>
      <c r="F50" s="3" t="s">
        <v>419</v>
      </c>
      <c r="G50" s="3" t="s">
        <v>419</v>
      </c>
      <c r="H50" s="5">
        <v>20231</v>
      </c>
      <c r="I50" s="3" t="s">
        <v>512</v>
      </c>
      <c r="J50" s="3" t="s">
        <v>278</v>
      </c>
      <c r="K50" s="3" t="s">
        <v>279</v>
      </c>
      <c r="L50" s="3" t="s">
        <v>438</v>
      </c>
      <c r="M50" s="3" t="s">
        <v>292</v>
      </c>
      <c r="N50" s="5">
        <v>60</v>
      </c>
      <c r="O50" s="5">
        <v>10</v>
      </c>
      <c r="P50" s="3" t="s">
        <v>513</v>
      </c>
      <c r="Q50" s="3" t="s">
        <v>514</v>
      </c>
      <c r="R50" s="2"/>
      <c r="S50" s="2"/>
      <c r="T50" s="2"/>
      <c r="U50" s="457" t="s">
        <v>515</v>
      </c>
    </row>
    <row r="51" spans="1:21" ht="13.75" customHeight="1">
      <c r="A51" s="456" t="s">
        <v>516</v>
      </c>
      <c r="B51" s="3" t="s">
        <v>517</v>
      </c>
      <c r="C51" s="3" t="s">
        <v>274</v>
      </c>
      <c r="D51" s="5">
        <v>2021</v>
      </c>
      <c r="E51" s="3" t="s">
        <v>361</v>
      </c>
      <c r="F51" s="3" t="s">
        <v>362</v>
      </c>
      <c r="G51" s="3" t="s">
        <v>363</v>
      </c>
      <c r="H51" s="5">
        <v>20231</v>
      </c>
      <c r="I51" s="3" t="s">
        <v>364</v>
      </c>
      <c r="J51" s="3" t="s">
        <v>278</v>
      </c>
      <c r="K51" s="3" t="s">
        <v>279</v>
      </c>
      <c r="L51" s="3" t="s">
        <v>307</v>
      </c>
      <c r="M51" s="3" t="s">
        <v>292</v>
      </c>
      <c r="N51" s="5">
        <v>500</v>
      </c>
      <c r="O51" s="5">
        <v>10</v>
      </c>
      <c r="P51" s="3" t="s">
        <v>365</v>
      </c>
      <c r="Q51" s="3" t="s">
        <v>366</v>
      </c>
      <c r="R51" s="3" t="s">
        <v>367</v>
      </c>
      <c r="S51" s="2"/>
      <c r="T51" s="2"/>
      <c r="U51" s="457" t="s">
        <v>368</v>
      </c>
    </row>
    <row r="52" spans="1:21" ht="13.75" customHeight="1">
      <c r="A52" s="456" t="s">
        <v>518</v>
      </c>
      <c r="B52" s="3" t="s">
        <v>519</v>
      </c>
      <c r="C52" s="3" t="s">
        <v>274</v>
      </c>
      <c r="D52" s="5">
        <v>2021</v>
      </c>
      <c r="E52" s="3" t="s">
        <v>361</v>
      </c>
      <c r="F52" s="3" t="s">
        <v>362</v>
      </c>
      <c r="G52" s="3" t="s">
        <v>363</v>
      </c>
      <c r="H52" s="5">
        <v>20231</v>
      </c>
      <c r="I52" s="3" t="s">
        <v>364</v>
      </c>
      <c r="J52" s="3" t="s">
        <v>278</v>
      </c>
      <c r="K52" s="3" t="s">
        <v>279</v>
      </c>
      <c r="L52" s="3" t="s">
        <v>307</v>
      </c>
      <c r="M52" s="3" t="s">
        <v>292</v>
      </c>
      <c r="N52" s="5">
        <v>500</v>
      </c>
      <c r="O52" s="5">
        <v>10</v>
      </c>
      <c r="P52" s="3" t="s">
        <v>365</v>
      </c>
      <c r="Q52" s="3" t="s">
        <v>366</v>
      </c>
      <c r="R52" s="3" t="s">
        <v>367</v>
      </c>
      <c r="S52" s="2"/>
      <c r="T52" s="2"/>
      <c r="U52" s="457" t="s">
        <v>368</v>
      </c>
    </row>
    <row r="53" spans="1:21" ht="13.75" customHeight="1">
      <c r="A53" s="456" t="s">
        <v>520</v>
      </c>
      <c r="B53" s="3" t="s">
        <v>521</v>
      </c>
      <c r="C53" s="3" t="s">
        <v>274</v>
      </c>
      <c r="D53" s="5">
        <v>2021</v>
      </c>
      <c r="E53" s="3" t="s">
        <v>361</v>
      </c>
      <c r="F53" s="3" t="s">
        <v>362</v>
      </c>
      <c r="G53" s="3" t="s">
        <v>363</v>
      </c>
      <c r="H53" s="5">
        <v>20231</v>
      </c>
      <c r="I53" s="3" t="s">
        <v>364</v>
      </c>
      <c r="J53" s="3" t="s">
        <v>278</v>
      </c>
      <c r="K53" s="3" t="s">
        <v>279</v>
      </c>
      <c r="L53" s="3" t="s">
        <v>307</v>
      </c>
      <c r="M53" s="3" t="s">
        <v>292</v>
      </c>
      <c r="N53" s="5">
        <v>500</v>
      </c>
      <c r="O53" s="5">
        <v>10</v>
      </c>
      <c r="P53" s="3" t="s">
        <v>365</v>
      </c>
      <c r="Q53" s="3" t="s">
        <v>366</v>
      </c>
      <c r="R53" s="3" t="s">
        <v>367</v>
      </c>
      <c r="S53" s="2"/>
      <c r="T53" s="2"/>
      <c r="U53" s="457" t="s">
        <v>368</v>
      </c>
    </row>
    <row r="54" spans="1:21" ht="13.75" customHeight="1">
      <c r="A54" s="456" t="s">
        <v>522</v>
      </c>
      <c r="B54" s="3" t="s">
        <v>523</v>
      </c>
      <c r="C54" s="3" t="s">
        <v>274</v>
      </c>
      <c r="D54" s="5">
        <v>2021</v>
      </c>
      <c r="E54" s="3" t="s">
        <v>361</v>
      </c>
      <c r="F54" s="3" t="s">
        <v>362</v>
      </c>
      <c r="G54" s="3" t="s">
        <v>363</v>
      </c>
      <c r="H54" s="5">
        <v>20231</v>
      </c>
      <c r="I54" s="3" t="s">
        <v>364</v>
      </c>
      <c r="J54" s="3" t="s">
        <v>278</v>
      </c>
      <c r="K54" s="3" t="s">
        <v>279</v>
      </c>
      <c r="L54" s="3" t="s">
        <v>307</v>
      </c>
      <c r="M54" s="3" t="s">
        <v>292</v>
      </c>
      <c r="N54" s="5">
        <v>500</v>
      </c>
      <c r="O54" s="5">
        <v>10</v>
      </c>
      <c r="P54" s="3" t="s">
        <v>365</v>
      </c>
      <c r="Q54" s="3" t="s">
        <v>366</v>
      </c>
      <c r="R54" s="3" t="s">
        <v>367</v>
      </c>
      <c r="S54" s="2"/>
      <c r="T54" s="2"/>
      <c r="U54" s="457" t="s">
        <v>368</v>
      </c>
    </row>
    <row r="55" spans="1:21" ht="13.75" customHeight="1">
      <c r="A55" s="456" t="s">
        <v>524</v>
      </c>
      <c r="B55" s="3" t="s">
        <v>525</v>
      </c>
      <c r="C55" s="3" t="s">
        <v>274</v>
      </c>
      <c r="D55" s="5">
        <v>2021</v>
      </c>
      <c r="E55" s="3" t="s">
        <v>361</v>
      </c>
      <c r="F55" s="3" t="s">
        <v>362</v>
      </c>
      <c r="G55" s="3" t="s">
        <v>363</v>
      </c>
      <c r="H55" s="5">
        <v>20231</v>
      </c>
      <c r="I55" s="3" t="s">
        <v>364</v>
      </c>
      <c r="J55" s="3" t="s">
        <v>278</v>
      </c>
      <c r="K55" s="3" t="s">
        <v>279</v>
      </c>
      <c r="L55" s="3" t="s">
        <v>307</v>
      </c>
      <c r="M55" s="3" t="s">
        <v>292</v>
      </c>
      <c r="N55" s="5">
        <v>500</v>
      </c>
      <c r="O55" s="5">
        <v>10</v>
      </c>
      <c r="P55" s="3" t="s">
        <v>365</v>
      </c>
      <c r="Q55" s="3" t="s">
        <v>366</v>
      </c>
      <c r="R55" s="3" t="s">
        <v>367</v>
      </c>
      <c r="S55" s="2"/>
      <c r="T55" s="2"/>
      <c r="U55" s="457" t="s">
        <v>368</v>
      </c>
    </row>
    <row r="56" spans="1:21" ht="26.75" customHeight="1">
      <c r="A56" s="456" t="s">
        <v>526</v>
      </c>
      <c r="B56" s="3" t="s">
        <v>527</v>
      </c>
      <c r="C56" s="3" t="s">
        <v>274</v>
      </c>
      <c r="D56" s="5">
        <v>2021</v>
      </c>
      <c r="E56" s="3" t="s">
        <v>528</v>
      </c>
      <c r="F56" s="3" t="s">
        <v>529</v>
      </c>
      <c r="G56" s="3" t="s">
        <v>529</v>
      </c>
      <c r="H56" s="5">
        <v>20221</v>
      </c>
      <c r="I56" s="227" t="s">
        <v>530</v>
      </c>
      <c r="J56" s="3" t="s">
        <v>278</v>
      </c>
      <c r="K56" s="3" t="s">
        <v>279</v>
      </c>
      <c r="L56" s="3" t="s">
        <v>280</v>
      </c>
      <c r="M56" s="3" t="s">
        <v>281</v>
      </c>
      <c r="N56" s="5">
        <v>1000</v>
      </c>
      <c r="O56" s="5">
        <v>15</v>
      </c>
      <c r="P56" s="2"/>
      <c r="Q56" s="3" t="s">
        <v>531</v>
      </c>
      <c r="R56" s="3" t="s">
        <v>532</v>
      </c>
      <c r="S56" s="2"/>
      <c r="T56" s="2"/>
      <c r="U56" s="457" t="s">
        <v>343</v>
      </c>
    </row>
    <row r="57" spans="1:21" ht="13.75" customHeight="1">
      <c r="A57" s="456" t="s">
        <v>526</v>
      </c>
      <c r="B57" s="3" t="s">
        <v>527</v>
      </c>
      <c r="C57" s="3" t="s">
        <v>274</v>
      </c>
      <c r="D57" s="5">
        <v>2021</v>
      </c>
      <c r="E57" s="3" t="s">
        <v>361</v>
      </c>
      <c r="F57" s="3" t="s">
        <v>362</v>
      </c>
      <c r="G57" s="3" t="s">
        <v>363</v>
      </c>
      <c r="H57" s="5">
        <v>20231</v>
      </c>
      <c r="I57" s="3" t="s">
        <v>364</v>
      </c>
      <c r="J57" s="3" t="s">
        <v>278</v>
      </c>
      <c r="K57" s="3" t="s">
        <v>279</v>
      </c>
      <c r="L57" s="3" t="s">
        <v>307</v>
      </c>
      <c r="M57" s="3" t="s">
        <v>292</v>
      </c>
      <c r="N57" s="5">
        <v>500</v>
      </c>
      <c r="O57" s="5">
        <v>10</v>
      </c>
      <c r="P57" s="3" t="s">
        <v>365</v>
      </c>
      <c r="Q57" s="3" t="s">
        <v>366</v>
      </c>
      <c r="R57" s="3" t="s">
        <v>367</v>
      </c>
      <c r="S57" s="2"/>
      <c r="T57" s="2"/>
      <c r="U57" s="457" t="s">
        <v>368</v>
      </c>
    </row>
    <row r="58" spans="1:21" ht="13.75" customHeight="1">
      <c r="A58" s="456" t="s">
        <v>533</v>
      </c>
      <c r="B58" s="3" t="s">
        <v>534</v>
      </c>
      <c r="C58" s="3" t="s">
        <v>274</v>
      </c>
      <c r="D58" s="5">
        <v>2022</v>
      </c>
      <c r="E58" s="3" t="s">
        <v>361</v>
      </c>
      <c r="F58" s="3" t="s">
        <v>362</v>
      </c>
      <c r="G58" s="3" t="s">
        <v>363</v>
      </c>
      <c r="H58" s="5">
        <v>20231</v>
      </c>
      <c r="I58" s="3" t="s">
        <v>364</v>
      </c>
      <c r="J58" s="3" t="s">
        <v>278</v>
      </c>
      <c r="K58" s="3" t="s">
        <v>279</v>
      </c>
      <c r="L58" s="3" t="s">
        <v>307</v>
      </c>
      <c r="M58" s="3" t="s">
        <v>292</v>
      </c>
      <c r="N58" s="5">
        <v>500</v>
      </c>
      <c r="O58" s="5">
        <v>10</v>
      </c>
      <c r="P58" s="3" t="s">
        <v>365</v>
      </c>
      <c r="Q58" s="3" t="s">
        <v>366</v>
      </c>
      <c r="R58" s="3" t="s">
        <v>367</v>
      </c>
      <c r="S58" s="2"/>
      <c r="T58" s="2"/>
      <c r="U58" s="457" t="s">
        <v>368</v>
      </c>
    </row>
    <row r="59" spans="1:21" ht="13.75" customHeight="1">
      <c r="A59" s="456" t="s">
        <v>535</v>
      </c>
      <c r="B59" s="3" t="s">
        <v>536</v>
      </c>
      <c r="C59" s="3" t="s">
        <v>274</v>
      </c>
      <c r="D59" s="5">
        <v>2022</v>
      </c>
      <c r="E59" s="3" t="s">
        <v>361</v>
      </c>
      <c r="F59" s="3" t="s">
        <v>362</v>
      </c>
      <c r="G59" s="3" t="s">
        <v>363</v>
      </c>
      <c r="H59" s="5">
        <v>20231</v>
      </c>
      <c r="I59" s="3" t="s">
        <v>364</v>
      </c>
      <c r="J59" s="3" t="s">
        <v>278</v>
      </c>
      <c r="K59" s="3" t="s">
        <v>279</v>
      </c>
      <c r="L59" s="3" t="s">
        <v>307</v>
      </c>
      <c r="M59" s="3" t="s">
        <v>292</v>
      </c>
      <c r="N59" s="5">
        <v>500</v>
      </c>
      <c r="O59" s="5">
        <v>10</v>
      </c>
      <c r="P59" s="3" t="s">
        <v>365</v>
      </c>
      <c r="Q59" s="3" t="s">
        <v>366</v>
      </c>
      <c r="R59" s="3" t="s">
        <v>367</v>
      </c>
      <c r="S59" s="2"/>
      <c r="T59" s="2"/>
      <c r="U59" s="457" t="s">
        <v>368</v>
      </c>
    </row>
    <row r="60" spans="1:21" ht="13.75" customHeight="1">
      <c r="A60" s="456" t="s">
        <v>537</v>
      </c>
      <c r="B60" s="3" t="s">
        <v>538</v>
      </c>
      <c r="C60" s="3" t="s">
        <v>274</v>
      </c>
      <c r="D60" s="5">
        <v>2022</v>
      </c>
      <c r="E60" s="3" t="s">
        <v>361</v>
      </c>
      <c r="F60" s="3" t="s">
        <v>362</v>
      </c>
      <c r="G60" s="3" t="s">
        <v>363</v>
      </c>
      <c r="H60" s="5">
        <v>20231</v>
      </c>
      <c r="I60" s="3" t="s">
        <v>364</v>
      </c>
      <c r="J60" s="3" t="s">
        <v>278</v>
      </c>
      <c r="K60" s="3" t="s">
        <v>279</v>
      </c>
      <c r="L60" s="3" t="s">
        <v>307</v>
      </c>
      <c r="M60" s="3" t="s">
        <v>292</v>
      </c>
      <c r="N60" s="5">
        <v>500</v>
      </c>
      <c r="O60" s="5">
        <v>10</v>
      </c>
      <c r="P60" s="3" t="s">
        <v>365</v>
      </c>
      <c r="Q60" s="3" t="s">
        <v>366</v>
      </c>
      <c r="R60" s="3" t="s">
        <v>367</v>
      </c>
      <c r="S60" s="2"/>
      <c r="T60" s="2"/>
      <c r="U60" s="457" t="s">
        <v>368</v>
      </c>
    </row>
    <row r="61" spans="1:21" ht="13.75" customHeight="1">
      <c r="A61" s="456" t="s">
        <v>539</v>
      </c>
      <c r="B61" s="3" t="s">
        <v>540</v>
      </c>
      <c r="C61" s="3" t="s">
        <v>274</v>
      </c>
      <c r="D61" s="5">
        <v>2022</v>
      </c>
      <c r="E61" s="3" t="s">
        <v>541</v>
      </c>
      <c r="F61" s="3" t="s">
        <v>542</v>
      </c>
      <c r="G61" s="3" t="s">
        <v>542</v>
      </c>
      <c r="H61" s="5">
        <v>20222</v>
      </c>
      <c r="I61" s="3" t="s">
        <v>543</v>
      </c>
      <c r="J61" s="3" t="s">
        <v>278</v>
      </c>
      <c r="K61" s="3" t="s">
        <v>279</v>
      </c>
      <c r="L61" s="3" t="s">
        <v>438</v>
      </c>
      <c r="M61" s="3" t="s">
        <v>292</v>
      </c>
      <c r="N61" s="5">
        <v>150</v>
      </c>
      <c r="O61" s="5">
        <v>10</v>
      </c>
      <c r="P61" s="2"/>
      <c r="Q61" s="3" t="s">
        <v>544</v>
      </c>
      <c r="R61" s="2"/>
      <c r="S61" s="2"/>
      <c r="T61" s="2"/>
      <c r="U61" s="457" t="s">
        <v>545</v>
      </c>
    </row>
    <row r="62" spans="1:21" ht="13.75" customHeight="1">
      <c r="A62" s="456" t="s">
        <v>539</v>
      </c>
      <c r="B62" s="3" t="s">
        <v>540</v>
      </c>
      <c r="C62" s="3" t="s">
        <v>274</v>
      </c>
      <c r="D62" s="5">
        <v>2022</v>
      </c>
      <c r="E62" s="3" t="s">
        <v>361</v>
      </c>
      <c r="F62" s="3" t="s">
        <v>362</v>
      </c>
      <c r="G62" s="3" t="s">
        <v>363</v>
      </c>
      <c r="H62" s="5">
        <v>20231</v>
      </c>
      <c r="I62" s="3" t="s">
        <v>364</v>
      </c>
      <c r="J62" s="3" t="s">
        <v>278</v>
      </c>
      <c r="K62" s="3" t="s">
        <v>279</v>
      </c>
      <c r="L62" s="3" t="s">
        <v>307</v>
      </c>
      <c r="M62" s="3" t="s">
        <v>292</v>
      </c>
      <c r="N62" s="5">
        <v>500</v>
      </c>
      <c r="O62" s="5">
        <v>10</v>
      </c>
      <c r="P62" s="3" t="s">
        <v>365</v>
      </c>
      <c r="Q62" s="3" t="s">
        <v>366</v>
      </c>
      <c r="R62" s="3" t="s">
        <v>367</v>
      </c>
      <c r="S62" s="2"/>
      <c r="T62" s="2"/>
      <c r="U62" s="457" t="s">
        <v>368</v>
      </c>
    </row>
    <row r="63" spans="1:21" ht="13.75" customHeight="1">
      <c r="A63" s="456" t="s">
        <v>546</v>
      </c>
      <c r="B63" s="3" t="s">
        <v>547</v>
      </c>
      <c r="C63" s="3" t="s">
        <v>274</v>
      </c>
      <c r="D63" s="5">
        <v>2022</v>
      </c>
      <c r="E63" s="3" t="s">
        <v>361</v>
      </c>
      <c r="F63" s="3" t="s">
        <v>362</v>
      </c>
      <c r="G63" s="3" t="s">
        <v>363</v>
      </c>
      <c r="H63" s="5">
        <v>20231</v>
      </c>
      <c r="I63" s="3" t="s">
        <v>364</v>
      </c>
      <c r="J63" s="3" t="s">
        <v>278</v>
      </c>
      <c r="K63" s="3" t="s">
        <v>279</v>
      </c>
      <c r="L63" s="3" t="s">
        <v>307</v>
      </c>
      <c r="M63" s="3" t="s">
        <v>292</v>
      </c>
      <c r="N63" s="5">
        <v>500</v>
      </c>
      <c r="O63" s="5">
        <v>10</v>
      </c>
      <c r="P63" s="3" t="s">
        <v>365</v>
      </c>
      <c r="Q63" s="3" t="s">
        <v>366</v>
      </c>
      <c r="R63" s="3" t="s">
        <v>367</v>
      </c>
      <c r="S63" s="2"/>
      <c r="T63" s="2"/>
      <c r="U63" s="457" t="s">
        <v>368</v>
      </c>
    </row>
    <row r="64" spans="1:21" ht="13.75" customHeight="1">
      <c r="A64" s="456" t="s">
        <v>548</v>
      </c>
      <c r="B64" s="3" t="s">
        <v>549</v>
      </c>
      <c r="C64" s="3" t="s">
        <v>274</v>
      </c>
      <c r="D64" s="5">
        <v>2022</v>
      </c>
      <c r="E64" s="3" t="s">
        <v>550</v>
      </c>
      <c r="F64" s="3" t="s">
        <v>551</v>
      </c>
      <c r="G64" s="3" t="s">
        <v>552</v>
      </c>
      <c r="H64" s="5">
        <v>20222</v>
      </c>
      <c r="I64" s="3" t="s">
        <v>553</v>
      </c>
      <c r="J64" s="3" t="s">
        <v>278</v>
      </c>
      <c r="K64" s="3" t="s">
        <v>279</v>
      </c>
      <c r="L64" s="3" t="s">
        <v>307</v>
      </c>
      <c r="M64" s="3" t="s">
        <v>292</v>
      </c>
      <c r="N64" s="5">
        <v>437</v>
      </c>
      <c r="O64" s="5">
        <v>20</v>
      </c>
      <c r="P64" s="3" t="s">
        <v>554</v>
      </c>
      <c r="Q64" s="3" t="s">
        <v>555</v>
      </c>
      <c r="R64" s="2"/>
      <c r="S64" s="2"/>
      <c r="T64" s="2"/>
      <c r="U64" s="457" t="s">
        <v>556</v>
      </c>
    </row>
    <row r="65" spans="1:21" ht="13.75" customHeight="1">
      <c r="A65" s="456" t="s">
        <v>548</v>
      </c>
      <c r="B65" s="3" t="s">
        <v>549</v>
      </c>
      <c r="C65" s="3" t="s">
        <v>274</v>
      </c>
      <c r="D65" s="5">
        <v>2022</v>
      </c>
      <c r="E65" s="3" t="s">
        <v>505</v>
      </c>
      <c r="F65" s="3" t="s">
        <v>506</v>
      </c>
      <c r="G65" s="3" t="s">
        <v>506</v>
      </c>
      <c r="H65" s="5">
        <v>20231</v>
      </c>
      <c r="I65" s="2"/>
      <c r="J65" s="3" t="s">
        <v>278</v>
      </c>
      <c r="K65" s="3" t="s">
        <v>332</v>
      </c>
      <c r="L65" s="3" t="s">
        <v>291</v>
      </c>
      <c r="M65" s="3" t="s">
        <v>292</v>
      </c>
      <c r="N65" s="5">
        <v>50</v>
      </c>
      <c r="O65" s="5">
        <v>4</v>
      </c>
      <c r="P65" s="2"/>
      <c r="Q65" s="3" t="s">
        <v>507</v>
      </c>
      <c r="R65" s="3" t="s">
        <v>508</v>
      </c>
      <c r="S65" s="2"/>
      <c r="T65" s="2"/>
      <c r="U65" s="457" t="s">
        <v>440</v>
      </c>
    </row>
    <row r="66" spans="1:21" ht="13.75" customHeight="1">
      <c r="A66" s="456" t="s">
        <v>548</v>
      </c>
      <c r="B66" s="3" t="s">
        <v>549</v>
      </c>
      <c r="C66" s="3" t="s">
        <v>274</v>
      </c>
      <c r="D66" s="5">
        <v>2022</v>
      </c>
      <c r="E66" s="3" t="s">
        <v>557</v>
      </c>
      <c r="F66" s="3" t="s">
        <v>506</v>
      </c>
      <c r="G66" s="3" t="s">
        <v>506</v>
      </c>
      <c r="H66" s="5">
        <v>20231</v>
      </c>
      <c r="I66" s="3" t="s">
        <v>558</v>
      </c>
      <c r="J66" s="3" t="s">
        <v>278</v>
      </c>
      <c r="K66" s="3" t="s">
        <v>332</v>
      </c>
      <c r="L66" s="3" t="s">
        <v>291</v>
      </c>
      <c r="M66" s="3" t="s">
        <v>292</v>
      </c>
      <c r="N66" s="5">
        <v>2</v>
      </c>
      <c r="O66" s="5">
        <v>5</v>
      </c>
      <c r="P66" s="2"/>
      <c r="Q66" s="3" t="s">
        <v>559</v>
      </c>
      <c r="R66" s="2"/>
      <c r="S66" s="2"/>
      <c r="T66" s="2"/>
      <c r="U66" s="457" t="s">
        <v>560</v>
      </c>
    </row>
    <row r="67" spans="1:21" ht="13.75" customHeight="1">
      <c r="A67" s="456" t="s">
        <v>561</v>
      </c>
      <c r="B67" s="3" t="s">
        <v>562</v>
      </c>
      <c r="C67" s="3" t="s">
        <v>274</v>
      </c>
      <c r="D67" s="5">
        <v>2022</v>
      </c>
      <c r="E67" s="3" t="s">
        <v>361</v>
      </c>
      <c r="F67" s="3" t="s">
        <v>362</v>
      </c>
      <c r="G67" s="3" t="s">
        <v>363</v>
      </c>
      <c r="H67" s="5">
        <v>20231</v>
      </c>
      <c r="I67" s="3" t="s">
        <v>364</v>
      </c>
      <c r="J67" s="3" t="s">
        <v>278</v>
      </c>
      <c r="K67" s="3" t="s">
        <v>279</v>
      </c>
      <c r="L67" s="3" t="s">
        <v>307</v>
      </c>
      <c r="M67" s="3" t="s">
        <v>292</v>
      </c>
      <c r="N67" s="5">
        <v>500</v>
      </c>
      <c r="O67" s="5">
        <v>10</v>
      </c>
      <c r="P67" s="3" t="s">
        <v>365</v>
      </c>
      <c r="Q67" s="3" t="s">
        <v>366</v>
      </c>
      <c r="R67" s="3" t="s">
        <v>367</v>
      </c>
      <c r="S67" s="2"/>
      <c r="T67" s="2"/>
      <c r="U67" s="457" t="s">
        <v>368</v>
      </c>
    </row>
    <row r="68" spans="1:21" ht="13.75" customHeight="1">
      <c r="A68" s="456" t="s">
        <v>563</v>
      </c>
      <c r="B68" s="3" t="s">
        <v>564</v>
      </c>
      <c r="C68" s="3" t="s">
        <v>274</v>
      </c>
      <c r="D68" s="5">
        <v>2022</v>
      </c>
      <c r="E68" s="3" t="s">
        <v>361</v>
      </c>
      <c r="F68" s="3" t="s">
        <v>362</v>
      </c>
      <c r="G68" s="3" t="s">
        <v>363</v>
      </c>
      <c r="H68" s="5">
        <v>20231</v>
      </c>
      <c r="I68" s="3" t="s">
        <v>364</v>
      </c>
      <c r="J68" s="3" t="s">
        <v>278</v>
      </c>
      <c r="K68" s="3" t="s">
        <v>279</v>
      </c>
      <c r="L68" s="3" t="s">
        <v>307</v>
      </c>
      <c r="M68" s="3" t="s">
        <v>292</v>
      </c>
      <c r="N68" s="5">
        <v>500</v>
      </c>
      <c r="O68" s="5">
        <v>10</v>
      </c>
      <c r="P68" s="3" t="s">
        <v>365</v>
      </c>
      <c r="Q68" s="3" t="s">
        <v>366</v>
      </c>
      <c r="R68" s="3" t="s">
        <v>367</v>
      </c>
      <c r="S68" s="2"/>
      <c r="T68" s="2"/>
      <c r="U68" s="457" t="s">
        <v>368</v>
      </c>
    </row>
    <row r="69" spans="1:21" ht="13.75" customHeight="1">
      <c r="A69" s="456" t="s">
        <v>565</v>
      </c>
      <c r="B69" s="3" t="s">
        <v>566</v>
      </c>
      <c r="C69" s="3" t="s">
        <v>274</v>
      </c>
      <c r="D69" s="5">
        <v>2022</v>
      </c>
      <c r="E69" s="3" t="s">
        <v>361</v>
      </c>
      <c r="F69" s="3" t="s">
        <v>362</v>
      </c>
      <c r="G69" s="3" t="s">
        <v>363</v>
      </c>
      <c r="H69" s="5">
        <v>20231</v>
      </c>
      <c r="I69" s="3" t="s">
        <v>364</v>
      </c>
      <c r="J69" s="3" t="s">
        <v>278</v>
      </c>
      <c r="K69" s="3" t="s">
        <v>279</v>
      </c>
      <c r="L69" s="3" t="s">
        <v>307</v>
      </c>
      <c r="M69" s="3" t="s">
        <v>292</v>
      </c>
      <c r="N69" s="5">
        <v>500</v>
      </c>
      <c r="O69" s="5">
        <v>10</v>
      </c>
      <c r="P69" s="3" t="s">
        <v>365</v>
      </c>
      <c r="Q69" s="3" t="s">
        <v>366</v>
      </c>
      <c r="R69" s="3" t="s">
        <v>367</v>
      </c>
      <c r="S69" s="2"/>
      <c r="T69" s="2"/>
      <c r="U69" s="457" t="s">
        <v>368</v>
      </c>
    </row>
    <row r="70" spans="1:21" ht="13.75" customHeight="1">
      <c r="A70" s="456" t="s">
        <v>567</v>
      </c>
      <c r="B70" s="3" t="s">
        <v>568</v>
      </c>
      <c r="C70" s="3" t="s">
        <v>274</v>
      </c>
      <c r="D70" s="5">
        <v>2022</v>
      </c>
      <c r="E70" s="3" t="s">
        <v>361</v>
      </c>
      <c r="F70" s="3" t="s">
        <v>362</v>
      </c>
      <c r="G70" s="3" t="s">
        <v>363</v>
      </c>
      <c r="H70" s="5">
        <v>20231</v>
      </c>
      <c r="I70" s="3" t="s">
        <v>364</v>
      </c>
      <c r="J70" s="3" t="s">
        <v>278</v>
      </c>
      <c r="K70" s="3" t="s">
        <v>279</v>
      </c>
      <c r="L70" s="3" t="s">
        <v>307</v>
      </c>
      <c r="M70" s="3" t="s">
        <v>292</v>
      </c>
      <c r="N70" s="5">
        <v>500</v>
      </c>
      <c r="O70" s="5">
        <v>10</v>
      </c>
      <c r="P70" s="3" t="s">
        <v>365</v>
      </c>
      <c r="Q70" s="3" t="s">
        <v>366</v>
      </c>
      <c r="R70" s="3" t="s">
        <v>367</v>
      </c>
      <c r="S70" s="2"/>
      <c r="T70" s="2"/>
      <c r="U70" s="457" t="s">
        <v>368</v>
      </c>
    </row>
    <row r="71" spans="1:21" ht="13.75" customHeight="1">
      <c r="A71" s="456" t="s">
        <v>567</v>
      </c>
      <c r="B71" s="3" t="s">
        <v>568</v>
      </c>
      <c r="C71" s="3" t="s">
        <v>274</v>
      </c>
      <c r="D71" s="5">
        <v>2022</v>
      </c>
      <c r="E71" s="3" t="s">
        <v>569</v>
      </c>
      <c r="F71" s="3" t="s">
        <v>570</v>
      </c>
      <c r="G71" s="3" t="s">
        <v>571</v>
      </c>
      <c r="H71" s="5">
        <v>20231</v>
      </c>
      <c r="I71" s="3" t="s">
        <v>572</v>
      </c>
      <c r="J71" s="3" t="s">
        <v>278</v>
      </c>
      <c r="K71" s="3" t="s">
        <v>348</v>
      </c>
      <c r="L71" s="3" t="s">
        <v>280</v>
      </c>
      <c r="M71" s="3" t="s">
        <v>292</v>
      </c>
      <c r="N71" s="5">
        <v>43</v>
      </c>
      <c r="O71" s="5">
        <v>2</v>
      </c>
      <c r="P71" s="2"/>
      <c r="Q71" s="2"/>
      <c r="R71" s="2"/>
      <c r="S71" s="3" t="s">
        <v>573</v>
      </c>
      <c r="T71" s="2"/>
      <c r="U71" s="457" t="s">
        <v>574</v>
      </c>
    </row>
    <row r="72" spans="1:21" ht="13.75" customHeight="1">
      <c r="A72" s="456" t="s">
        <v>575</v>
      </c>
      <c r="B72" s="3" t="s">
        <v>576</v>
      </c>
      <c r="C72" s="3" t="s">
        <v>274</v>
      </c>
      <c r="D72" s="5">
        <v>2022</v>
      </c>
      <c r="E72" s="3" t="s">
        <v>361</v>
      </c>
      <c r="F72" s="3" t="s">
        <v>362</v>
      </c>
      <c r="G72" s="3" t="s">
        <v>363</v>
      </c>
      <c r="H72" s="5">
        <v>20231</v>
      </c>
      <c r="I72" s="3" t="s">
        <v>364</v>
      </c>
      <c r="J72" s="3" t="s">
        <v>278</v>
      </c>
      <c r="K72" s="3" t="s">
        <v>279</v>
      </c>
      <c r="L72" s="3" t="s">
        <v>307</v>
      </c>
      <c r="M72" s="3" t="s">
        <v>292</v>
      </c>
      <c r="N72" s="5">
        <v>500</v>
      </c>
      <c r="O72" s="5">
        <v>10</v>
      </c>
      <c r="P72" s="3" t="s">
        <v>365</v>
      </c>
      <c r="Q72" s="3" t="s">
        <v>366</v>
      </c>
      <c r="R72" s="3" t="s">
        <v>367</v>
      </c>
      <c r="S72" s="2"/>
      <c r="T72" s="2"/>
      <c r="U72" s="457" t="s">
        <v>368</v>
      </c>
    </row>
    <row r="73" spans="1:21" ht="13.75" customHeight="1">
      <c r="A73" s="456" t="s">
        <v>577</v>
      </c>
      <c r="B73" s="3" t="s">
        <v>578</v>
      </c>
      <c r="C73" s="3" t="s">
        <v>274</v>
      </c>
      <c r="D73" s="5">
        <v>2022</v>
      </c>
      <c r="E73" s="3" t="s">
        <v>361</v>
      </c>
      <c r="F73" s="3" t="s">
        <v>362</v>
      </c>
      <c r="G73" s="3" t="s">
        <v>363</v>
      </c>
      <c r="H73" s="5">
        <v>20231</v>
      </c>
      <c r="I73" s="3" t="s">
        <v>364</v>
      </c>
      <c r="J73" s="3" t="s">
        <v>278</v>
      </c>
      <c r="K73" s="3" t="s">
        <v>279</v>
      </c>
      <c r="L73" s="3" t="s">
        <v>307</v>
      </c>
      <c r="M73" s="3" t="s">
        <v>292</v>
      </c>
      <c r="N73" s="5">
        <v>500</v>
      </c>
      <c r="O73" s="5">
        <v>10</v>
      </c>
      <c r="P73" s="3" t="s">
        <v>365</v>
      </c>
      <c r="Q73" s="3" t="s">
        <v>366</v>
      </c>
      <c r="R73" s="3" t="s">
        <v>367</v>
      </c>
      <c r="S73" s="2"/>
      <c r="T73" s="2"/>
      <c r="U73" s="457" t="s">
        <v>368</v>
      </c>
    </row>
    <row r="74" spans="1:21" ht="13.75" customHeight="1">
      <c r="A74" s="456" t="s">
        <v>579</v>
      </c>
      <c r="B74" s="3" t="s">
        <v>580</v>
      </c>
      <c r="C74" s="3" t="s">
        <v>274</v>
      </c>
      <c r="D74" s="5">
        <v>2022</v>
      </c>
      <c r="E74" s="3" t="s">
        <v>361</v>
      </c>
      <c r="F74" s="3" t="s">
        <v>362</v>
      </c>
      <c r="G74" s="3" t="s">
        <v>363</v>
      </c>
      <c r="H74" s="5">
        <v>20231</v>
      </c>
      <c r="I74" s="3" t="s">
        <v>364</v>
      </c>
      <c r="J74" s="3" t="s">
        <v>278</v>
      </c>
      <c r="K74" s="3" t="s">
        <v>279</v>
      </c>
      <c r="L74" s="3" t="s">
        <v>307</v>
      </c>
      <c r="M74" s="3" t="s">
        <v>292</v>
      </c>
      <c r="N74" s="5">
        <v>500</v>
      </c>
      <c r="O74" s="5">
        <v>10</v>
      </c>
      <c r="P74" s="3" t="s">
        <v>365</v>
      </c>
      <c r="Q74" s="3" t="s">
        <v>366</v>
      </c>
      <c r="R74" s="3" t="s">
        <v>367</v>
      </c>
      <c r="S74" s="2"/>
      <c r="T74" s="2"/>
      <c r="U74" s="457" t="s">
        <v>368</v>
      </c>
    </row>
    <row r="75" spans="1:21" ht="13.75" customHeight="1">
      <c r="A75" s="456" t="s">
        <v>581</v>
      </c>
      <c r="B75" s="3" t="s">
        <v>582</v>
      </c>
      <c r="C75" s="3" t="s">
        <v>274</v>
      </c>
      <c r="D75" s="5">
        <v>2022</v>
      </c>
      <c r="E75" s="3" t="s">
        <v>361</v>
      </c>
      <c r="F75" s="3" t="s">
        <v>362</v>
      </c>
      <c r="G75" s="3" t="s">
        <v>363</v>
      </c>
      <c r="H75" s="5">
        <v>20231</v>
      </c>
      <c r="I75" s="3" t="s">
        <v>364</v>
      </c>
      <c r="J75" s="3" t="s">
        <v>278</v>
      </c>
      <c r="K75" s="3" t="s">
        <v>279</v>
      </c>
      <c r="L75" s="3" t="s">
        <v>307</v>
      </c>
      <c r="M75" s="3" t="s">
        <v>292</v>
      </c>
      <c r="N75" s="5">
        <v>500</v>
      </c>
      <c r="O75" s="5">
        <v>10</v>
      </c>
      <c r="P75" s="3" t="s">
        <v>365</v>
      </c>
      <c r="Q75" s="3" t="s">
        <v>366</v>
      </c>
      <c r="R75" s="3" t="s">
        <v>367</v>
      </c>
      <c r="S75" s="2"/>
      <c r="T75" s="2"/>
      <c r="U75" s="457" t="s">
        <v>368</v>
      </c>
    </row>
    <row r="76" spans="1:21" ht="13.75" customHeight="1">
      <c r="A76" s="456" t="s">
        <v>583</v>
      </c>
      <c r="B76" s="3" t="s">
        <v>584</v>
      </c>
      <c r="C76" s="3" t="s">
        <v>274</v>
      </c>
      <c r="D76" s="5">
        <v>2022</v>
      </c>
      <c r="E76" s="3" t="s">
        <v>361</v>
      </c>
      <c r="F76" s="3" t="s">
        <v>362</v>
      </c>
      <c r="G76" s="3" t="s">
        <v>363</v>
      </c>
      <c r="H76" s="5">
        <v>20231</v>
      </c>
      <c r="I76" s="3" t="s">
        <v>364</v>
      </c>
      <c r="J76" s="3" t="s">
        <v>278</v>
      </c>
      <c r="K76" s="3" t="s">
        <v>279</v>
      </c>
      <c r="L76" s="3" t="s">
        <v>307</v>
      </c>
      <c r="M76" s="3" t="s">
        <v>292</v>
      </c>
      <c r="N76" s="5">
        <v>500</v>
      </c>
      <c r="O76" s="5">
        <v>10</v>
      </c>
      <c r="P76" s="3" t="s">
        <v>365</v>
      </c>
      <c r="Q76" s="3" t="s">
        <v>366</v>
      </c>
      <c r="R76" s="3" t="s">
        <v>367</v>
      </c>
      <c r="S76" s="2"/>
      <c r="T76" s="2"/>
      <c r="U76" s="457" t="s">
        <v>368</v>
      </c>
    </row>
    <row r="77" spans="1:21" ht="13.75" customHeight="1">
      <c r="A77" s="456" t="s">
        <v>585</v>
      </c>
      <c r="B77" s="3" t="s">
        <v>586</v>
      </c>
      <c r="C77" s="3" t="s">
        <v>274</v>
      </c>
      <c r="D77" s="5">
        <v>2022</v>
      </c>
      <c r="E77" s="3" t="s">
        <v>361</v>
      </c>
      <c r="F77" s="3" t="s">
        <v>362</v>
      </c>
      <c r="G77" s="3" t="s">
        <v>363</v>
      </c>
      <c r="H77" s="5">
        <v>20231</v>
      </c>
      <c r="I77" s="3" t="s">
        <v>364</v>
      </c>
      <c r="J77" s="3" t="s">
        <v>278</v>
      </c>
      <c r="K77" s="3" t="s">
        <v>279</v>
      </c>
      <c r="L77" s="3" t="s">
        <v>307</v>
      </c>
      <c r="M77" s="3" t="s">
        <v>292</v>
      </c>
      <c r="N77" s="5">
        <v>500</v>
      </c>
      <c r="O77" s="5">
        <v>10</v>
      </c>
      <c r="P77" s="3" t="s">
        <v>365</v>
      </c>
      <c r="Q77" s="3" t="s">
        <v>366</v>
      </c>
      <c r="R77" s="3" t="s">
        <v>367</v>
      </c>
      <c r="S77" s="2"/>
      <c r="T77" s="2"/>
      <c r="U77" s="457" t="s">
        <v>368</v>
      </c>
    </row>
    <row r="78" spans="1:21" ht="13.75" customHeight="1">
      <c r="A78" s="456" t="s">
        <v>587</v>
      </c>
      <c r="B78" s="3" t="s">
        <v>588</v>
      </c>
      <c r="C78" s="3" t="s">
        <v>274</v>
      </c>
      <c r="D78" s="5">
        <v>2022</v>
      </c>
      <c r="E78" s="3" t="s">
        <v>361</v>
      </c>
      <c r="F78" s="3" t="s">
        <v>362</v>
      </c>
      <c r="G78" s="3" t="s">
        <v>363</v>
      </c>
      <c r="H78" s="5">
        <v>20231</v>
      </c>
      <c r="I78" s="3" t="s">
        <v>364</v>
      </c>
      <c r="J78" s="3" t="s">
        <v>278</v>
      </c>
      <c r="K78" s="3" t="s">
        <v>279</v>
      </c>
      <c r="L78" s="3" t="s">
        <v>307</v>
      </c>
      <c r="M78" s="3" t="s">
        <v>292</v>
      </c>
      <c r="N78" s="5">
        <v>500</v>
      </c>
      <c r="O78" s="5">
        <v>10</v>
      </c>
      <c r="P78" s="3" t="s">
        <v>365</v>
      </c>
      <c r="Q78" s="3" t="s">
        <v>366</v>
      </c>
      <c r="R78" s="3" t="s">
        <v>367</v>
      </c>
      <c r="S78" s="2"/>
      <c r="T78" s="2"/>
      <c r="U78" s="457" t="s">
        <v>368</v>
      </c>
    </row>
    <row r="79" spans="1:21" ht="13.75" customHeight="1">
      <c r="A79" s="456" t="s">
        <v>589</v>
      </c>
      <c r="B79" s="3" t="s">
        <v>590</v>
      </c>
      <c r="C79" s="3" t="s">
        <v>274</v>
      </c>
      <c r="D79" s="5">
        <v>2022</v>
      </c>
      <c r="E79" s="3" t="s">
        <v>361</v>
      </c>
      <c r="F79" s="3" t="s">
        <v>362</v>
      </c>
      <c r="G79" s="3" t="s">
        <v>363</v>
      </c>
      <c r="H79" s="5">
        <v>20231</v>
      </c>
      <c r="I79" s="3" t="s">
        <v>364</v>
      </c>
      <c r="J79" s="3" t="s">
        <v>278</v>
      </c>
      <c r="K79" s="3" t="s">
        <v>279</v>
      </c>
      <c r="L79" s="3" t="s">
        <v>307</v>
      </c>
      <c r="M79" s="3" t="s">
        <v>292</v>
      </c>
      <c r="N79" s="5">
        <v>500</v>
      </c>
      <c r="O79" s="5">
        <v>10</v>
      </c>
      <c r="P79" s="3" t="s">
        <v>365</v>
      </c>
      <c r="Q79" s="3" t="s">
        <v>366</v>
      </c>
      <c r="R79" s="3" t="s">
        <v>367</v>
      </c>
      <c r="S79" s="2"/>
      <c r="T79" s="2"/>
      <c r="U79" s="457" t="s">
        <v>368</v>
      </c>
    </row>
    <row r="80" spans="1:21" ht="13.75" customHeight="1">
      <c r="A80" s="456" t="s">
        <v>591</v>
      </c>
      <c r="B80" s="3" t="s">
        <v>592</v>
      </c>
      <c r="C80" s="3" t="s">
        <v>274</v>
      </c>
      <c r="D80" s="5">
        <v>2022</v>
      </c>
      <c r="E80" s="3" t="s">
        <v>361</v>
      </c>
      <c r="F80" s="3" t="s">
        <v>362</v>
      </c>
      <c r="G80" s="3" t="s">
        <v>363</v>
      </c>
      <c r="H80" s="5">
        <v>20231</v>
      </c>
      <c r="I80" s="3" t="s">
        <v>364</v>
      </c>
      <c r="J80" s="3" t="s">
        <v>278</v>
      </c>
      <c r="K80" s="3" t="s">
        <v>279</v>
      </c>
      <c r="L80" s="3" t="s">
        <v>307</v>
      </c>
      <c r="M80" s="3" t="s">
        <v>292</v>
      </c>
      <c r="N80" s="5">
        <v>500</v>
      </c>
      <c r="O80" s="5">
        <v>10</v>
      </c>
      <c r="P80" s="3" t="s">
        <v>365</v>
      </c>
      <c r="Q80" s="3" t="s">
        <v>366</v>
      </c>
      <c r="R80" s="3" t="s">
        <v>367</v>
      </c>
      <c r="S80" s="2"/>
      <c r="T80" s="2"/>
      <c r="U80" s="457" t="s">
        <v>368</v>
      </c>
    </row>
    <row r="81" spans="1:21" ht="13.75" customHeight="1">
      <c r="A81" s="456" t="s">
        <v>593</v>
      </c>
      <c r="B81" s="3" t="s">
        <v>594</v>
      </c>
      <c r="C81" s="3" t="s">
        <v>274</v>
      </c>
      <c r="D81" s="5">
        <v>2022</v>
      </c>
      <c r="E81" s="3" t="s">
        <v>361</v>
      </c>
      <c r="F81" s="3" t="s">
        <v>362</v>
      </c>
      <c r="G81" s="3" t="s">
        <v>363</v>
      </c>
      <c r="H81" s="5">
        <v>20231</v>
      </c>
      <c r="I81" s="3" t="s">
        <v>364</v>
      </c>
      <c r="J81" s="3" t="s">
        <v>278</v>
      </c>
      <c r="K81" s="3" t="s">
        <v>279</v>
      </c>
      <c r="L81" s="3" t="s">
        <v>307</v>
      </c>
      <c r="M81" s="3" t="s">
        <v>292</v>
      </c>
      <c r="N81" s="5">
        <v>500</v>
      </c>
      <c r="O81" s="5">
        <v>10</v>
      </c>
      <c r="P81" s="3" t="s">
        <v>365</v>
      </c>
      <c r="Q81" s="3" t="s">
        <v>366</v>
      </c>
      <c r="R81" s="3" t="s">
        <v>367</v>
      </c>
      <c r="S81" s="2"/>
      <c r="T81" s="2"/>
      <c r="U81" s="457" t="s">
        <v>368</v>
      </c>
    </row>
    <row r="82" spans="1:21" ht="13.75" customHeight="1">
      <c r="A82" s="456" t="s">
        <v>595</v>
      </c>
      <c r="B82" s="3" t="s">
        <v>596</v>
      </c>
      <c r="C82" s="3" t="s">
        <v>274</v>
      </c>
      <c r="D82" s="5">
        <v>2022</v>
      </c>
      <c r="E82" s="3" t="s">
        <v>361</v>
      </c>
      <c r="F82" s="3" t="s">
        <v>362</v>
      </c>
      <c r="G82" s="3" t="s">
        <v>363</v>
      </c>
      <c r="H82" s="5">
        <v>20231</v>
      </c>
      <c r="I82" s="3" t="s">
        <v>364</v>
      </c>
      <c r="J82" s="3" t="s">
        <v>278</v>
      </c>
      <c r="K82" s="3" t="s">
        <v>279</v>
      </c>
      <c r="L82" s="3" t="s">
        <v>307</v>
      </c>
      <c r="M82" s="3" t="s">
        <v>292</v>
      </c>
      <c r="N82" s="5">
        <v>500</v>
      </c>
      <c r="O82" s="5">
        <v>10</v>
      </c>
      <c r="P82" s="3" t="s">
        <v>365</v>
      </c>
      <c r="Q82" s="3" t="s">
        <v>366</v>
      </c>
      <c r="R82" s="3" t="s">
        <v>367</v>
      </c>
      <c r="S82" s="2"/>
      <c r="T82" s="2"/>
      <c r="U82" s="457" t="s">
        <v>368</v>
      </c>
    </row>
    <row r="83" spans="1:21" ht="13.75" customHeight="1">
      <c r="A83" s="456" t="s">
        <v>597</v>
      </c>
      <c r="B83" s="3" t="s">
        <v>598</v>
      </c>
      <c r="C83" s="3" t="s">
        <v>274</v>
      </c>
      <c r="D83" s="5">
        <v>2022</v>
      </c>
      <c r="E83" s="3" t="s">
        <v>361</v>
      </c>
      <c r="F83" s="3" t="s">
        <v>362</v>
      </c>
      <c r="G83" s="3" t="s">
        <v>363</v>
      </c>
      <c r="H83" s="5">
        <v>20231</v>
      </c>
      <c r="I83" s="3" t="s">
        <v>364</v>
      </c>
      <c r="J83" s="3" t="s">
        <v>278</v>
      </c>
      <c r="K83" s="3" t="s">
        <v>279</v>
      </c>
      <c r="L83" s="3" t="s">
        <v>307</v>
      </c>
      <c r="M83" s="3" t="s">
        <v>292</v>
      </c>
      <c r="N83" s="5">
        <v>500</v>
      </c>
      <c r="O83" s="5">
        <v>10</v>
      </c>
      <c r="P83" s="3" t="s">
        <v>365</v>
      </c>
      <c r="Q83" s="3" t="s">
        <v>366</v>
      </c>
      <c r="R83" s="3" t="s">
        <v>367</v>
      </c>
      <c r="S83" s="2"/>
      <c r="T83" s="2"/>
      <c r="U83" s="457" t="s">
        <v>368</v>
      </c>
    </row>
    <row r="84" spans="1:21" ht="13.75" customHeight="1">
      <c r="A84" s="456" t="s">
        <v>599</v>
      </c>
      <c r="B84" s="3" t="s">
        <v>600</v>
      </c>
      <c r="C84" s="3" t="s">
        <v>274</v>
      </c>
      <c r="D84" s="5">
        <v>2022</v>
      </c>
      <c r="E84" s="3" t="s">
        <v>361</v>
      </c>
      <c r="F84" s="3" t="s">
        <v>362</v>
      </c>
      <c r="G84" s="3" t="s">
        <v>363</v>
      </c>
      <c r="H84" s="5">
        <v>20231</v>
      </c>
      <c r="I84" s="3" t="s">
        <v>364</v>
      </c>
      <c r="J84" s="3" t="s">
        <v>278</v>
      </c>
      <c r="K84" s="3" t="s">
        <v>279</v>
      </c>
      <c r="L84" s="3" t="s">
        <v>307</v>
      </c>
      <c r="M84" s="3" t="s">
        <v>292</v>
      </c>
      <c r="N84" s="5">
        <v>500</v>
      </c>
      <c r="O84" s="5">
        <v>10</v>
      </c>
      <c r="P84" s="3" t="s">
        <v>365</v>
      </c>
      <c r="Q84" s="3" t="s">
        <v>366</v>
      </c>
      <c r="R84" s="3" t="s">
        <v>367</v>
      </c>
      <c r="S84" s="2"/>
      <c r="T84" s="2"/>
      <c r="U84" s="457" t="s">
        <v>368</v>
      </c>
    </row>
    <row r="85" spans="1:21" ht="13.75" customHeight="1">
      <c r="A85" s="456" t="s">
        <v>601</v>
      </c>
      <c r="B85" s="3" t="s">
        <v>602</v>
      </c>
      <c r="C85" s="3" t="s">
        <v>274</v>
      </c>
      <c r="D85" s="5">
        <v>2022</v>
      </c>
      <c r="E85" s="3" t="s">
        <v>361</v>
      </c>
      <c r="F85" s="3" t="s">
        <v>362</v>
      </c>
      <c r="G85" s="3" t="s">
        <v>363</v>
      </c>
      <c r="H85" s="5">
        <v>20231</v>
      </c>
      <c r="I85" s="3" t="s">
        <v>364</v>
      </c>
      <c r="J85" s="3" t="s">
        <v>278</v>
      </c>
      <c r="K85" s="3" t="s">
        <v>279</v>
      </c>
      <c r="L85" s="3" t="s">
        <v>307</v>
      </c>
      <c r="M85" s="3" t="s">
        <v>292</v>
      </c>
      <c r="N85" s="5">
        <v>500</v>
      </c>
      <c r="O85" s="5">
        <v>10</v>
      </c>
      <c r="P85" s="3" t="s">
        <v>365</v>
      </c>
      <c r="Q85" s="3" t="s">
        <v>366</v>
      </c>
      <c r="R85" s="3" t="s">
        <v>367</v>
      </c>
      <c r="S85" s="2"/>
      <c r="T85" s="2"/>
      <c r="U85" s="457" t="s">
        <v>368</v>
      </c>
    </row>
    <row r="86" spans="1:21" ht="13.75" customHeight="1">
      <c r="A86" s="456" t="s">
        <v>603</v>
      </c>
      <c r="B86" s="3" t="s">
        <v>604</v>
      </c>
      <c r="C86" s="3" t="s">
        <v>274</v>
      </c>
      <c r="D86" s="5">
        <v>2022</v>
      </c>
      <c r="E86" s="3" t="s">
        <v>361</v>
      </c>
      <c r="F86" s="3" t="s">
        <v>362</v>
      </c>
      <c r="G86" s="3" t="s">
        <v>363</v>
      </c>
      <c r="H86" s="5">
        <v>20231</v>
      </c>
      <c r="I86" s="3" t="s">
        <v>364</v>
      </c>
      <c r="J86" s="3" t="s">
        <v>278</v>
      </c>
      <c r="K86" s="3" t="s">
        <v>279</v>
      </c>
      <c r="L86" s="3" t="s">
        <v>307</v>
      </c>
      <c r="M86" s="3" t="s">
        <v>292</v>
      </c>
      <c r="N86" s="5">
        <v>500</v>
      </c>
      <c r="O86" s="5">
        <v>10</v>
      </c>
      <c r="P86" s="3" t="s">
        <v>365</v>
      </c>
      <c r="Q86" s="3" t="s">
        <v>366</v>
      </c>
      <c r="R86" s="3" t="s">
        <v>367</v>
      </c>
      <c r="S86" s="2"/>
      <c r="T86" s="2"/>
      <c r="U86" s="457" t="s">
        <v>368</v>
      </c>
    </row>
    <row r="87" spans="1:21" ht="13.75" customHeight="1">
      <c r="A87" s="456" t="s">
        <v>605</v>
      </c>
      <c r="B87" s="3" t="s">
        <v>606</v>
      </c>
      <c r="C87" s="3" t="s">
        <v>274</v>
      </c>
      <c r="D87" s="5">
        <v>2022</v>
      </c>
      <c r="E87" s="3" t="s">
        <v>361</v>
      </c>
      <c r="F87" s="3" t="s">
        <v>362</v>
      </c>
      <c r="G87" s="3" t="s">
        <v>363</v>
      </c>
      <c r="H87" s="5">
        <v>20231</v>
      </c>
      <c r="I87" s="3" t="s">
        <v>364</v>
      </c>
      <c r="J87" s="3" t="s">
        <v>278</v>
      </c>
      <c r="K87" s="3" t="s">
        <v>279</v>
      </c>
      <c r="L87" s="3" t="s">
        <v>307</v>
      </c>
      <c r="M87" s="3" t="s">
        <v>292</v>
      </c>
      <c r="N87" s="5">
        <v>500</v>
      </c>
      <c r="O87" s="5">
        <v>10</v>
      </c>
      <c r="P87" s="3" t="s">
        <v>365</v>
      </c>
      <c r="Q87" s="3" t="s">
        <v>366</v>
      </c>
      <c r="R87" s="3" t="s">
        <v>367</v>
      </c>
      <c r="S87" s="2"/>
      <c r="T87" s="2"/>
      <c r="U87" s="457" t="s">
        <v>368</v>
      </c>
    </row>
    <row r="88" spans="1:21" ht="13.75" customHeight="1">
      <c r="A88" s="456" t="s">
        <v>607</v>
      </c>
      <c r="B88" s="3" t="s">
        <v>608</v>
      </c>
      <c r="C88" s="3" t="s">
        <v>274</v>
      </c>
      <c r="D88" s="5">
        <v>2022</v>
      </c>
      <c r="E88" s="3" t="s">
        <v>361</v>
      </c>
      <c r="F88" s="3" t="s">
        <v>362</v>
      </c>
      <c r="G88" s="3" t="s">
        <v>363</v>
      </c>
      <c r="H88" s="5">
        <v>20231</v>
      </c>
      <c r="I88" s="3" t="s">
        <v>364</v>
      </c>
      <c r="J88" s="3" t="s">
        <v>278</v>
      </c>
      <c r="K88" s="3" t="s">
        <v>279</v>
      </c>
      <c r="L88" s="3" t="s">
        <v>307</v>
      </c>
      <c r="M88" s="3" t="s">
        <v>292</v>
      </c>
      <c r="N88" s="5">
        <v>500</v>
      </c>
      <c r="O88" s="5">
        <v>10</v>
      </c>
      <c r="P88" s="3" t="s">
        <v>365</v>
      </c>
      <c r="Q88" s="3" t="s">
        <v>366</v>
      </c>
      <c r="R88" s="3" t="s">
        <v>367</v>
      </c>
      <c r="S88" s="2"/>
      <c r="T88" s="2"/>
      <c r="U88" s="457" t="s">
        <v>368</v>
      </c>
    </row>
    <row r="89" spans="1:21" ht="13.75" customHeight="1">
      <c r="A89" s="456" t="s">
        <v>609</v>
      </c>
      <c r="B89" s="3" t="s">
        <v>610</v>
      </c>
      <c r="C89" s="3" t="s">
        <v>274</v>
      </c>
      <c r="D89" s="5">
        <v>2022</v>
      </c>
      <c r="E89" s="3" t="s">
        <v>361</v>
      </c>
      <c r="F89" s="3" t="s">
        <v>362</v>
      </c>
      <c r="G89" s="3" t="s">
        <v>363</v>
      </c>
      <c r="H89" s="5">
        <v>20231</v>
      </c>
      <c r="I89" s="3" t="s">
        <v>364</v>
      </c>
      <c r="J89" s="3" t="s">
        <v>278</v>
      </c>
      <c r="K89" s="3" t="s">
        <v>279</v>
      </c>
      <c r="L89" s="3" t="s">
        <v>307</v>
      </c>
      <c r="M89" s="3" t="s">
        <v>292</v>
      </c>
      <c r="N89" s="5">
        <v>500</v>
      </c>
      <c r="O89" s="5">
        <v>10</v>
      </c>
      <c r="P89" s="3" t="s">
        <v>365</v>
      </c>
      <c r="Q89" s="3" t="s">
        <v>366</v>
      </c>
      <c r="R89" s="3" t="s">
        <v>367</v>
      </c>
      <c r="S89" s="2"/>
      <c r="T89" s="2"/>
      <c r="U89" s="457" t="s">
        <v>368</v>
      </c>
    </row>
    <row r="90" spans="1:21" ht="13.75" customHeight="1">
      <c r="A90" s="456" t="s">
        <v>611</v>
      </c>
      <c r="B90" s="3" t="s">
        <v>612</v>
      </c>
      <c r="C90" s="3" t="s">
        <v>274</v>
      </c>
      <c r="D90" s="5">
        <v>2022</v>
      </c>
      <c r="E90" s="3" t="s">
        <v>361</v>
      </c>
      <c r="F90" s="3" t="s">
        <v>362</v>
      </c>
      <c r="G90" s="3" t="s">
        <v>363</v>
      </c>
      <c r="H90" s="5">
        <v>20231</v>
      </c>
      <c r="I90" s="3" t="s">
        <v>364</v>
      </c>
      <c r="J90" s="3" t="s">
        <v>278</v>
      </c>
      <c r="K90" s="3" t="s">
        <v>279</v>
      </c>
      <c r="L90" s="3" t="s">
        <v>307</v>
      </c>
      <c r="M90" s="3" t="s">
        <v>292</v>
      </c>
      <c r="N90" s="5">
        <v>500</v>
      </c>
      <c r="O90" s="5">
        <v>10</v>
      </c>
      <c r="P90" s="3" t="s">
        <v>365</v>
      </c>
      <c r="Q90" s="3" t="s">
        <v>366</v>
      </c>
      <c r="R90" s="3" t="s">
        <v>367</v>
      </c>
      <c r="S90" s="2"/>
      <c r="T90" s="2"/>
      <c r="U90" s="457" t="s">
        <v>368</v>
      </c>
    </row>
    <row r="91" spans="1:21" ht="13.75" customHeight="1">
      <c r="A91" s="456" t="s">
        <v>613</v>
      </c>
      <c r="B91" s="3" t="s">
        <v>614</v>
      </c>
      <c r="C91" s="3" t="s">
        <v>274</v>
      </c>
      <c r="D91" s="5">
        <v>2022</v>
      </c>
      <c r="E91" s="3" t="s">
        <v>361</v>
      </c>
      <c r="F91" s="3" t="s">
        <v>362</v>
      </c>
      <c r="G91" s="3" t="s">
        <v>363</v>
      </c>
      <c r="H91" s="5">
        <v>20231</v>
      </c>
      <c r="I91" s="3" t="s">
        <v>364</v>
      </c>
      <c r="J91" s="3" t="s">
        <v>278</v>
      </c>
      <c r="K91" s="3" t="s">
        <v>279</v>
      </c>
      <c r="L91" s="3" t="s">
        <v>307</v>
      </c>
      <c r="M91" s="3" t="s">
        <v>292</v>
      </c>
      <c r="N91" s="5">
        <v>500</v>
      </c>
      <c r="O91" s="5">
        <v>10</v>
      </c>
      <c r="P91" s="3" t="s">
        <v>365</v>
      </c>
      <c r="Q91" s="3" t="s">
        <v>366</v>
      </c>
      <c r="R91" s="3" t="s">
        <v>367</v>
      </c>
      <c r="S91" s="2"/>
      <c r="T91" s="2"/>
      <c r="U91" s="457" t="s">
        <v>368</v>
      </c>
    </row>
    <row r="92" spans="1:21" ht="13.75" customHeight="1">
      <c r="A92" s="456" t="s">
        <v>615</v>
      </c>
      <c r="B92" s="3" t="s">
        <v>616</v>
      </c>
      <c r="C92" s="3" t="s">
        <v>274</v>
      </c>
      <c r="D92" s="5">
        <v>2022</v>
      </c>
      <c r="E92" s="3" t="s">
        <v>361</v>
      </c>
      <c r="F92" s="3" t="s">
        <v>362</v>
      </c>
      <c r="G92" s="3" t="s">
        <v>363</v>
      </c>
      <c r="H92" s="5">
        <v>20231</v>
      </c>
      <c r="I92" s="3" t="s">
        <v>364</v>
      </c>
      <c r="J92" s="3" t="s">
        <v>278</v>
      </c>
      <c r="K92" s="3" t="s">
        <v>279</v>
      </c>
      <c r="L92" s="3" t="s">
        <v>307</v>
      </c>
      <c r="M92" s="3" t="s">
        <v>292</v>
      </c>
      <c r="N92" s="5">
        <v>500</v>
      </c>
      <c r="O92" s="5">
        <v>10</v>
      </c>
      <c r="P92" s="3" t="s">
        <v>365</v>
      </c>
      <c r="Q92" s="3" t="s">
        <v>366</v>
      </c>
      <c r="R92" s="3" t="s">
        <v>367</v>
      </c>
      <c r="S92" s="2"/>
      <c r="T92" s="2"/>
      <c r="U92" s="457" t="s">
        <v>368</v>
      </c>
    </row>
    <row r="93" spans="1:21" ht="13.75" customHeight="1">
      <c r="A93" s="456" t="s">
        <v>617</v>
      </c>
      <c r="B93" s="3" t="s">
        <v>618</v>
      </c>
      <c r="C93" s="3" t="s">
        <v>274</v>
      </c>
      <c r="D93" s="5">
        <v>2022</v>
      </c>
      <c r="E93" s="3" t="s">
        <v>361</v>
      </c>
      <c r="F93" s="3" t="s">
        <v>362</v>
      </c>
      <c r="G93" s="3" t="s">
        <v>363</v>
      </c>
      <c r="H93" s="5">
        <v>20231</v>
      </c>
      <c r="I93" s="3" t="s">
        <v>364</v>
      </c>
      <c r="J93" s="3" t="s">
        <v>278</v>
      </c>
      <c r="K93" s="3" t="s">
        <v>279</v>
      </c>
      <c r="L93" s="3" t="s">
        <v>307</v>
      </c>
      <c r="M93" s="3" t="s">
        <v>292</v>
      </c>
      <c r="N93" s="5">
        <v>500</v>
      </c>
      <c r="O93" s="5">
        <v>10</v>
      </c>
      <c r="P93" s="3" t="s">
        <v>365</v>
      </c>
      <c r="Q93" s="3" t="s">
        <v>366</v>
      </c>
      <c r="R93" s="3" t="s">
        <v>367</v>
      </c>
      <c r="S93" s="2"/>
      <c r="T93" s="2"/>
      <c r="U93" s="457" t="s">
        <v>368</v>
      </c>
    </row>
    <row r="94" spans="1:21" ht="13.75" customHeight="1">
      <c r="A94" s="456" t="s">
        <v>619</v>
      </c>
      <c r="B94" s="3" t="s">
        <v>620</v>
      </c>
      <c r="C94" s="3" t="s">
        <v>274</v>
      </c>
      <c r="D94" s="5">
        <v>2022</v>
      </c>
      <c r="E94" s="3" t="s">
        <v>361</v>
      </c>
      <c r="F94" s="3" t="s">
        <v>362</v>
      </c>
      <c r="G94" s="3" t="s">
        <v>363</v>
      </c>
      <c r="H94" s="5">
        <v>20231</v>
      </c>
      <c r="I94" s="3" t="s">
        <v>364</v>
      </c>
      <c r="J94" s="3" t="s">
        <v>278</v>
      </c>
      <c r="K94" s="3" t="s">
        <v>279</v>
      </c>
      <c r="L94" s="3" t="s">
        <v>307</v>
      </c>
      <c r="M94" s="3" t="s">
        <v>292</v>
      </c>
      <c r="N94" s="5">
        <v>500</v>
      </c>
      <c r="O94" s="5">
        <v>10</v>
      </c>
      <c r="P94" s="3" t="s">
        <v>365</v>
      </c>
      <c r="Q94" s="3" t="s">
        <v>366</v>
      </c>
      <c r="R94" s="3" t="s">
        <v>367</v>
      </c>
      <c r="S94" s="2"/>
      <c r="T94" s="2"/>
      <c r="U94" s="457" t="s">
        <v>368</v>
      </c>
    </row>
    <row r="95" spans="1:21" ht="13.75" customHeight="1">
      <c r="A95" s="456" t="s">
        <v>621</v>
      </c>
      <c r="B95" s="3" t="s">
        <v>622</v>
      </c>
      <c r="C95" s="3" t="s">
        <v>274</v>
      </c>
      <c r="D95" s="5">
        <v>2022</v>
      </c>
      <c r="E95" s="3" t="s">
        <v>361</v>
      </c>
      <c r="F95" s="3" t="s">
        <v>362</v>
      </c>
      <c r="G95" s="3" t="s">
        <v>363</v>
      </c>
      <c r="H95" s="5">
        <v>20231</v>
      </c>
      <c r="I95" s="3" t="s">
        <v>364</v>
      </c>
      <c r="J95" s="3" t="s">
        <v>278</v>
      </c>
      <c r="K95" s="3" t="s">
        <v>279</v>
      </c>
      <c r="L95" s="3" t="s">
        <v>307</v>
      </c>
      <c r="M95" s="3" t="s">
        <v>292</v>
      </c>
      <c r="N95" s="5">
        <v>500</v>
      </c>
      <c r="O95" s="5">
        <v>10</v>
      </c>
      <c r="P95" s="3" t="s">
        <v>365</v>
      </c>
      <c r="Q95" s="3" t="s">
        <v>366</v>
      </c>
      <c r="R95" s="3" t="s">
        <v>367</v>
      </c>
      <c r="S95" s="2"/>
      <c r="T95" s="2"/>
      <c r="U95" s="457" t="s">
        <v>368</v>
      </c>
    </row>
    <row r="96" spans="1:21" ht="13.75" customHeight="1">
      <c r="A96" s="456" t="s">
        <v>623</v>
      </c>
      <c r="B96" s="3" t="s">
        <v>624</v>
      </c>
      <c r="C96" s="3" t="s">
        <v>274</v>
      </c>
      <c r="D96" s="5">
        <v>2022</v>
      </c>
      <c r="E96" s="3" t="s">
        <v>361</v>
      </c>
      <c r="F96" s="3" t="s">
        <v>362</v>
      </c>
      <c r="G96" s="3" t="s">
        <v>363</v>
      </c>
      <c r="H96" s="5">
        <v>20231</v>
      </c>
      <c r="I96" s="3" t="s">
        <v>364</v>
      </c>
      <c r="J96" s="3" t="s">
        <v>278</v>
      </c>
      <c r="K96" s="3" t="s">
        <v>279</v>
      </c>
      <c r="L96" s="3" t="s">
        <v>307</v>
      </c>
      <c r="M96" s="3" t="s">
        <v>292</v>
      </c>
      <c r="N96" s="5">
        <v>500</v>
      </c>
      <c r="O96" s="5">
        <v>10</v>
      </c>
      <c r="P96" s="3" t="s">
        <v>365</v>
      </c>
      <c r="Q96" s="3" t="s">
        <v>366</v>
      </c>
      <c r="R96" s="3" t="s">
        <v>367</v>
      </c>
      <c r="S96" s="2"/>
      <c r="T96" s="2"/>
      <c r="U96" s="457" t="s">
        <v>368</v>
      </c>
    </row>
    <row r="97" spans="1:21" ht="13.75" customHeight="1">
      <c r="A97" s="456" t="s">
        <v>625</v>
      </c>
      <c r="B97" s="3" t="s">
        <v>626</v>
      </c>
      <c r="C97" s="3" t="s">
        <v>274</v>
      </c>
      <c r="D97" s="5">
        <v>2022</v>
      </c>
      <c r="E97" s="3" t="s">
        <v>361</v>
      </c>
      <c r="F97" s="3" t="s">
        <v>362</v>
      </c>
      <c r="G97" s="3" t="s">
        <v>363</v>
      </c>
      <c r="H97" s="5">
        <v>20231</v>
      </c>
      <c r="I97" s="3" t="s">
        <v>364</v>
      </c>
      <c r="J97" s="3" t="s">
        <v>278</v>
      </c>
      <c r="K97" s="3" t="s">
        <v>279</v>
      </c>
      <c r="L97" s="3" t="s">
        <v>307</v>
      </c>
      <c r="M97" s="3" t="s">
        <v>292</v>
      </c>
      <c r="N97" s="5">
        <v>500</v>
      </c>
      <c r="O97" s="5">
        <v>10</v>
      </c>
      <c r="P97" s="3" t="s">
        <v>365</v>
      </c>
      <c r="Q97" s="3" t="s">
        <v>366</v>
      </c>
      <c r="R97" s="3" t="s">
        <v>367</v>
      </c>
      <c r="S97" s="2"/>
      <c r="T97" s="2"/>
      <c r="U97" s="457" t="s">
        <v>368</v>
      </c>
    </row>
    <row r="98" spans="1:21" ht="13.75" customHeight="1">
      <c r="A98" s="456" t="s">
        <v>627</v>
      </c>
      <c r="B98" s="3" t="s">
        <v>628</v>
      </c>
      <c r="C98" s="3" t="s">
        <v>274</v>
      </c>
      <c r="D98" s="5">
        <v>2022</v>
      </c>
      <c r="E98" s="3" t="s">
        <v>361</v>
      </c>
      <c r="F98" s="3" t="s">
        <v>362</v>
      </c>
      <c r="G98" s="3" t="s">
        <v>363</v>
      </c>
      <c r="H98" s="5">
        <v>20231</v>
      </c>
      <c r="I98" s="3" t="s">
        <v>364</v>
      </c>
      <c r="J98" s="3" t="s">
        <v>278</v>
      </c>
      <c r="K98" s="3" t="s">
        <v>279</v>
      </c>
      <c r="L98" s="3" t="s">
        <v>307</v>
      </c>
      <c r="M98" s="3" t="s">
        <v>292</v>
      </c>
      <c r="N98" s="5">
        <v>500</v>
      </c>
      <c r="O98" s="5">
        <v>10</v>
      </c>
      <c r="P98" s="3" t="s">
        <v>365</v>
      </c>
      <c r="Q98" s="3" t="s">
        <v>366</v>
      </c>
      <c r="R98" s="3" t="s">
        <v>367</v>
      </c>
      <c r="S98" s="2"/>
      <c r="T98" s="2"/>
      <c r="U98" s="457" t="s">
        <v>368</v>
      </c>
    </row>
    <row r="99" spans="1:21" ht="13.75" customHeight="1">
      <c r="A99" s="456" t="s">
        <v>629</v>
      </c>
      <c r="B99" s="3" t="s">
        <v>630</v>
      </c>
      <c r="C99" s="3" t="s">
        <v>274</v>
      </c>
      <c r="D99" s="5">
        <v>2022</v>
      </c>
      <c r="E99" s="3" t="s">
        <v>361</v>
      </c>
      <c r="F99" s="3" t="s">
        <v>362</v>
      </c>
      <c r="G99" s="3" t="s">
        <v>363</v>
      </c>
      <c r="H99" s="5">
        <v>20231</v>
      </c>
      <c r="I99" s="3" t="s">
        <v>364</v>
      </c>
      <c r="J99" s="3" t="s">
        <v>278</v>
      </c>
      <c r="K99" s="3" t="s">
        <v>279</v>
      </c>
      <c r="L99" s="3" t="s">
        <v>307</v>
      </c>
      <c r="M99" s="3" t="s">
        <v>292</v>
      </c>
      <c r="N99" s="5">
        <v>500</v>
      </c>
      <c r="O99" s="5">
        <v>10</v>
      </c>
      <c r="P99" s="3" t="s">
        <v>365</v>
      </c>
      <c r="Q99" s="3" t="s">
        <v>366</v>
      </c>
      <c r="R99" s="3" t="s">
        <v>367</v>
      </c>
      <c r="S99" s="2"/>
      <c r="T99" s="2"/>
      <c r="U99" s="457" t="s">
        <v>368</v>
      </c>
    </row>
    <row r="100" spans="1:21" ht="13.75" customHeight="1">
      <c r="A100" s="456" t="s">
        <v>631</v>
      </c>
      <c r="B100" s="3" t="s">
        <v>632</v>
      </c>
      <c r="C100" s="3" t="s">
        <v>274</v>
      </c>
      <c r="D100" s="5">
        <v>2022</v>
      </c>
      <c r="E100" s="3" t="s">
        <v>361</v>
      </c>
      <c r="F100" s="3" t="s">
        <v>362</v>
      </c>
      <c r="G100" s="3" t="s">
        <v>363</v>
      </c>
      <c r="H100" s="5">
        <v>20231</v>
      </c>
      <c r="I100" s="3" t="s">
        <v>364</v>
      </c>
      <c r="J100" s="3" t="s">
        <v>278</v>
      </c>
      <c r="K100" s="3" t="s">
        <v>279</v>
      </c>
      <c r="L100" s="3" t="s">
        <v>307</v>
      </c>
      <c r="M100" s="3" t="s">
        <v>292</v>
      </c>
      <c r="N100" s="5">
        <v>500</v>
      </c>
      <c r="O100" s="5">
        <v>10</v>
      </c>
      <c r="P100" s="3" t="s">
        <v>365</v>
      </c>
      <c r="Q100" s="3" t="s">
        <v>366</v>
      </c>
      <c r="R100" s="3" t="s">
        <v>367</v>
      </c>
      <c r="S100" s="2"/>
      <c r="T100" s="2"/>
      <c r="U100" s="457" t="s">
        <v>368</v>
      </c>
    </row>
    <row r="101" spans="1:21" ht="13.75" customHeight="1">
      <c r="A101" s="456" t="s">
        <v>633</v>
      </c>
      <c r="B101" s="3" t="s">
        <v>634</v>
      </c>
      <c r="C101" s="3" t="s">
        <v>274</v>
      </c>
      <c r="D101" s="5">
        <v>2022</v>
      </c>
      <c r="E101" s="3" t="s">
        <v>361</v>
      </c>
      <c r="F101" s="3" t="s">
        <v>362</v>
      </c>
      <c r="G101" s="3" t="s">
        <v>363</v>
      </c>
      <c r="H101" s="5">
        <v>20231</v>
      </c>
      <c r="I101" s="3" t="s">
        <v>364</v>
      </c>
      <c r="J101" s="3" t="s">
        <v>278</v>
      </c>
      <c r="K101" s="3" t="s">
        <v>279</v>
      </c>
      <c r="L101" s="3" t="s">
        <v>307</v>
      </c>
      <c r="M101" s="3" t="s">
        <v>292</v>
      </c>
      <c r="N101" s="5">
        <v>500</v>
      </c>
      <c r="O101" s="5">
        <v>10</v>
      </c>
      <c r="P101" s="3" t="s">
        <v>365</v>
      </c>
      <c r="Q101" s="3" t="s">
        <v>366</v>
      </c>
      <c r="R101" s="3" t="s">
        <v>367</v>
      </c>
      <c r="S101" s="2"/>
      <c r="T101" s="2"/>
      <c r="U101" s="457" t="s">
        <v>368</v>
      </c>
    </row>
    <row r="102" spans="1:21" ht="13.75" customHeight="1">
      <c r="A102" s="456" t="s">
        <v>635</v>
      </c>
      <c r="B102" s="3" t="s">
        <v>636</v>
      </c>
      <c r="C102" s="3" t="s">
        <v>274</v>
      </c>
      <c r="D102" s="5">
        <v>2022</v>
      </c>
      <c r="E102" s="3" t="s">
        <v>361</v>
      </c>
      <c r="F102" s="3" t="s">
        <v>362</v>
      </c>
      <c r="G102" s="3" t="s">
        <v>363</v>
      </c>
      <c r="H102" s="5">
        <v>20231</v>
      </c>
      <c r="I102" s="3" t="s">
        <v>364</v>
      </c>
      <c r="J102" s="3" t="s">
        <v>278</v>
      </c>
      <c r="K102" s="3" t="s">
        <v>279</v>
      </c>
      <c r="L102" s="3" t="s">
        <v>307</v>
      </c>
      <c r="M102" s="3" t="s">
        <v>292</v>
      </c>
      <c r="N102" s="5">
        <v>500</v>
      </c>
      <c r="O102" s="5">
        <v>10</v>
      </c>
      <c r="P102" s="3" t="s">
        <v>365</v>
      </c>
      <c r="Q102" s="3" t="s">
        <v>366</v>
      </c>
      <c r="R102" s="3" t="s">
        <v>367</v>
      </c>
      <c r="S102" s="2"/>
      <c r="T102" s="2"/>
      <c r="U102" s="457" t="s">
        <v>368</v>
      </c>
    </row>
    <row r="103" spans="1:21" ht="13.75" customHeight="1">
      <c r="A103" s="456" t="s">
        <v>637</v>
      </c>
      <c r="B103" s="3" t="s">
        <v>638</v>
      </c>
      <c r="C103" s="3" t="s">
        <v>274</v>
      </c>
      <c r="D103" s="5">
        <v>2022</v>
      </c>
      <c r="E103" s="3" t="s">
        <v>361</v>
      </c>
      <c r="F103" s="3" t="s">
        <v>362</v>
      </c>
      <c r="G103" s="3" t="s">
        <v>363</v>
      </c>
      <c r="H103" s="5">
        <v>20231</v>
      </c>
      <c r="I103" s="3" t="s">
        <v>364</v>
      </c>
      <c r="J103" s="3" t="s">
        <v>278</v>
      </c>
      <c r="K103" s="3" t="s">
        <v>279</v>
      </c>
      <c r="L103" s="3" t="s">
        <v>307</v>
      </c>
      <c r="M103" s="3" t="s">
        <v>292</v>
      </c>
      <c r="N103" s="5">
        <v>500</v>
      </c>
      <c r="O103" s="5">
        <v>10</v>
      </c>
      <c r="P103" s="3" t="s">
        <v>365</v>
      </c>
      <c r="Q103" s="3" t="s">
        <v>366</v>
      </c>
      <c r="R103" s="3" t="s">
        <v>367</v>
      </c>
      <c r="S103" s="2"/>
      <c r="T103" s="2"/>
      <c r="U103" s="457" t="s">
        <v>368</v>
      </c>
    </row>
    <row r="104" spans="1:21" ht="13.75" customHeight="1">
      <c r="A104" s="456" t="s">
        <v>639</v>
      </c>
      <c r="B104" s="3" t="s">
        <v>640</v>
      </c>
      <c r="C104" s="3" t="s">
        <v>274</v>
      </c>
      <c r="D104" s="5">
        <v>2022</v>
      </c>
      <c r="E104" s="3" t="s">
        <v>361</v>
      </c>
      <c r="F104" s="3" t="s">
        <v>362</v>
      </c>
      <c r="G104" s="3" t="s">
        <v>363</v>
      </c>
      <c r="H104" s="5">
        <v>20231</v>
      </c>
      <c r="I104" s="3" t="s">
        <v>364</v>
      </c>
      <c r="J104" s="3" t="s">
        <v>278</v>
      </c>
      <c r="K104" s="3" t="s">
        <v>279</v>
      </c>
      <c r="L104" s="3" t="s">
        <v>307</v>
      </c>
      <c r="M104" s="3" t="s">
        <v>292</v>
      </c>
      <c r="N104" s="5">
        <v>500</v>
      </c>
      <c r="O104" s="5">
        <v>10</v>
      </c>
      <c r="P104" s="3" t="s">
        <v>365</v>
      </c>
      <c r="Q104" s="3" t="s">
        <v>366</v>
      </c>
      <c r="R104" s="3" t="s">
        <v>367</v>
      </c>
      <c r="S104" s="2"/>
      <c r="T104" s="2"/>
      <c r="U104" s="457" t="s">
        <v>368</v>
      </c>
    </row>
    <row r="105" spans="1:21" ht="13.75" customHeight="1">
      <c r="A105" s="456" t="s">
        <v>641</v>
      </c>
      <c r="B105" s="3" t="s">
        <v>642</v>
      </c>
      <c r="C105" s="3" t="s">
        <v>274</v>
      </c>
      <c r="D105" s="5">
        <v>2022</v>
      </c>
      <c r="E105" s="3" t="s">
        <v>361</v>
      </c>
      <c r="F105" s="3" t="s">
        <v>362</v>
      </c>
      <c r="G105" s="3" t="s">
        <v>363</v>
      </c>
      <c r="H105" s="5">
        <v>20231</v>
      </c>
      <c r="I105" s="3" t="s">
        <v>364</v>
      </c>
      <c r="J105" s="3" t="s">
        <v>278</v>
      </c>
      <c r="K105" s="3" t="s">
        <v>279</v>
      </c>
      <c r="L105" s="3" t="s">
        <v>307</v>
      </c>
      <c r="M105" s="3" t="s">
        <v>292</v>
      </c>
      <c r="N105" s="5">
        <v>500</v>
      </c>
      <c r="O105" s="5">
        <v>10</v>
      </c>
      <c r="P105" s="3" t="s">
        <v>365</v>
      </c>
      <c r="Q105" s="3" t="s">
        <v>388</v>
      </c>
      <c r="R105" s="3" t="s">
        <v>389</v>
      </c>
      <c r="S105" s="2"/>
      <c r="T105" s="2"/>
      <c r="U105" s="457" t="s">
        <v>368</v>
      </c>
    </row>
    <row r="106" spans="1:21" ht="13.75" customHeight="1">
      <c r="A106" s="456" t="s">
        <v>643</v>
      </c>
      <c r="B106" s="3" t="s">
        <v>644</v>
      </c>
      <c r="C106" s="3" t="s">
        <v>274</v>
      </c>
      <c r="D106" s="5">
        <v>2022</v>
      </c>
      <c r="E106" s="3" t="s">
        <v>361</v>
      </c>
      <c r="F106" s="3" t="s">
        <v>362</v>
      </c>
      <c r="G106" s="3" t="s">
        <v>363</v>
      </c>
      <c r="H106" s="5">
        <v>20231</v>
      </c>
      <c r="I106" s="3" t="s">
        <v>364</v>
      </c>
      <c r="J106" s="3" t="s">
        <v>278</v>
      </c>
      <c r="K106" s="3" t="s">
        <v>279</v>
      </c>
      <c r="L106" s="3" t="s">
        <v>307</v>
      </c>
      <c r="M106" s="3" t="s">
        <v>292</v>
      </c>
      <c r="N106" s="5">
        <v>500</v>
      </c>
      <c r="O106" s="5">
        <v>10</v>
      </c>
      <c r="P106" s="3" t="s">
        <v>365</v>
      </c>
      <c r="Q106" s="3" t="s">
        <v>366</v>
      </c>
      <c r="R106" s="3" t="s">
        <v>367</v>
      </c>
      <c r="S106" s="2"/>
      <c r="T106" s="2"/>
      <c r="U106" s="457" t="s">
        <v>368</v>
      </c>
    </row>
    <row r="107" spans="1:21" ht="13.75" customHeight="1">
      <c r="A107" s="456" t="s">
        <v>645</v>
      </c>
      <c r="B107" s="3" t="s">
        <v>646</v>
      </c>
      <c r="C107" s="3" t="s">
        <v>274</v>
      </c>
      <c r="D107" s="5">
        <v>2022</v>
      </c>
      <c r="E107" s="3" t="s">
        <v>361</v>
      </c>
      <c r="F107" s="3" t="s">
        <v>362</v>
      </c>
      <c r="G107" s="3" t="s">
        <v>363</v>
      </c>
      <c r="H107" s="5">
        <v>20231</v>
      </c>
      <c r="I107" s="3" t="s">
        <v>364</v>
      </c>
      <c r="J107" s="3" t="s">
        <v>278</v>
      </c>
      <c r="K107" s="3" t="s">
        <v>279</v>
      </c>
      <c r="L107" s="3" t="s">
        <v>307</v>
      </c>
      <c r="M107" s="3" t="s">
        <v>292</v>
      </c>
      <c r="N107" s="5">
        <v>500</v>
      </c>
      <c r="O107" s="5">
        <v>10</v>
      </c>
      <c r="P107" s="3" t="s">
        <v>365</v>
      </c>
      <c r="Q107" s="3" t="s">
        <v>366</v>
      </c>
      <c r="R107" s="3" t="s">
        <v>367</v>
      </c>
      <c r="S107" s="2"/>
      <c r="T107" s="2"/>
      <c r="U107" s="457" t="s">
        <v>368</v>
      </c>
    </row>
    <row r="108" spans="1:21" ht="13.75" customHeight="1">
      <c r="A108" s="456" t="s">
        <v>647</v>
      </c>
      <c r="B108" s="3" t="s">
        <v>648</v>
      </c>
      <c r="C108" s="3" t="s">
        <v>274</v>
      </c>
      <c r="D108" s="5">
        <v>2022</v>
      </c>
      <c r="E108" s="3" t="s">
        <v>361</v>
      </c>
      <c r="F108" s="3" t="s">
        <v>362</v>
      </c>
      <c r="G108" s="3" t="s">
        <v>363</v>
      </c>
      <c r="H108" s="5">
        <v>20231</v>
      </c>
      <c r="I108" s="3" t="s">
        <v>364</v>
      </c>
      <c r="J108" s="3" t="s">
        <v>278</v>
      </c>
      <c r="K108" s="3" t="s">
        <v>279</v>
      </c>
      <c r="L108" s="3" t="s">
        <v>307</v>
      </c>
      <c r="M108" s="3" t="s">
        <v>292</v>
      </c>
      <c r="N108" s="5">
        <v>500</v>
      </c>
      <c r="O108" s="5">
        <v>10</v>
      </c>
      <c r="P108" s="3" t="s">
        <v>365</v>
      </c>
      <c r="Q108" s="3" t="s">
        <v>366</v>
      </c>
      <c r="R108" s="3" t="s">
        <v>367</v>
      </c>
      <c r="S108" s="2"/>
      <c r="T108" s="2"/>
      <c r="U108" s="457" t="s">
        <v>368</v>
      </c>
    </row>
    <row r="109" spans="1:21" ht="13.75" customHeight="1">
      <c r="A109" s="456" t="s">
        <v>649</v>
      </c>
      <c r="B109" s="3" t="s">
        <v>650</v>
      </c>
      <c r="C109" s="3" t="s">
        <v>274</v>
      </c>
      <c r="D109" s="5">
        <v>2022</v>
      </c>
      <c r="E109" s="3" t="s">
        <v>361</v>
      </c>
      <c r="F109" s="3" t="s">
        <v>362</v>
      </c>
      <c r="G109" s="3" t="s">
        <v>363</v>
      </c>
      <c r="H109" s="5">
        <v>20231</v>
      </c>
      <c r="I109" s="3" t="s">
        <v>364</v>
      </c>
      <c r="J109" s="3" t="s">
        <v>278</v>
      </c>
      <c r="K109" s="3" t="s">
        <v>279</v>
      </c>
      <c r="L109" s="3" t="s">
        <v>307</v>
      </c>
      <c r="M109" s="3" t="s">
        <v>292</v>
      </c>
      <c r="N109" s="5">
        <v>500</v>
      </c>
      <c r="O109" s="5">
        <v>10</v>
      </c>
      <c r="P109" s="3" t="s">
        <v>365</v>
      </c>
      <c r="Q109" s="3" t="s">
        <v>366</v>
      </c>
      <c r="R109" s="3" t="s">
        <v>367</v>
      </c>
      <c r="S109" s="2"/>
      <c r="T109" s="2"/>
      <c r="U109" s="457" t="s">
        <v>368</v>
      </c>
    </row>
    <row r="110" spans="1:21" ht="13.75" customHeight="1">
      <c r="A110" s="456" t="s">
        <v>651</v>
      </c>
      <c r="B110" s="3" t="s">
        <v>652</v>
      </c>
      <c r="C110" s="3" t="s">
        <v>274</v>
      </c>
      <c r="D110" s="5">
        <v>2022</v>
      </c>
      <c r="E110" s="3" t="s">
        <v>361</v>
      </c>
      <c r="F110" s="3" t="s">
        <v>362</v>
      </c>
      <c r="G110" s="3" t="s">
        <v>363</v>
      </c>
      <c r="H110" s="5">
        <v>20231</v>
      </c>
      <c r="I110" s="3" t="s">
        <v>364</v>
      </c>
      <c r="J110" s="3" t="s">
        <v>278</v>
      </c>
      <c r="K110" s="3" t="s">
        <v>279</v>
      </c>
      <c r="L110" s="3" t="s">
        <v>307</v>
      </c>
      <c r="M110" s="3" t="s">
        <v>292</v>
      </c>
      <c r="N110" s="5">
        <v>500</v>
      </c>
      <c r="O110" s="5">
        <v>10</v>
      </c>
      <c r="P110" s="3" t="s">
        <v>365</v>
      </c>
      <c r="Q110" s="3" t="s">
        <v>366</v>
      </c>
      <c r="R110" s="3" t="s">
        <v>367</v>
      </c>
      <c r="S110" s="2"/>
      <c r="T110" s="2"/>
      <c r="U110" s="457" t="s">
        <v>368</v>
      </c>
    </row>
    <row r="111" spans="1:21" ht="13.75" customHeight="1">
      <c r="A111" s="456" t="s">
        <v>653</v>
      </c>
      <c r="B111" s="3" t="s">
        <v>654</v>
      </c>
      <c r="C111" s="3" t="s">
        <v>274</v>
      </c>
      <c r="D111" s="5">
        <v>2022</v>
      </c>
      <c r="E111" s="3" t="s">
        <v>505</v>
      </c>
      <c r="F111" s="3" t="s">
        <v>506</v>
      </c>
      <c r="G111" s="3" t="s">
        <v>506</v>
      </c>
      <c r="H111" s="5">
        <v>20231</v>
      </c>
      <c r="I111" s="2"/>
      <c r="J111" s="3" t="s">
        <v>278</v>
      </c>
      <c r="K111" s="3" t="s">
        <v>332</v>
      </c>
      <c r="L111" s="3" t="s">
        <v>291</v>
      </c>
      <c r="M111" s="3" t="s">
        <v>292</v>
      </c>
      <c r="N111" s="5">
        <v>50</v>
      </c>
      <c r="O111" s="5">
        <v>4</v>
      </c>
      <c r="P111" s="2"/>
      <c r="Q111" s="3" t="s">
        <v>507</v>
      </c>
      <c r="R111" s="3" t="s">
        <v>508</v>
      </c>
      <c r="S111" s="2"/>
      <c r="T111" s="2"/>
      <c r="U111" s="457" t="s">
        <v>440</v>
      </c>
    </row>
    <row r="112" spans="1:21" ht="13.75" customHeight="1">
      <c r="A112" s="456" t="s">
        <v>655</v>
      </c>
      <c r="B112" s="3" t="s">
        <v>656</v>
      </c>
      <c r="C112" s="3" t="s">
        <v>274</v>
      </c>
      <c r="D112" s="5">
        <v>2022</v>
      </c>
      <c r="E112" s="3" t="s">
        <v>361</v>
      </c>
      <c r="F112" s="3" t="s">
        <v>362</v>
      </c>
      <c r="G112" s="3" t="s">
        <v>363</v>
      </c>
      <c r="H112" s="5">
        <v>20231</v>
      </c>
      <c r="I112" s="3" t="s">
        <v>364</v>
      </c>
      <c r="J112" s="3" t="s">
        <v>278</v>
      </c>
      <c r="K112" s="3" t="s">
        <v>279</v>
      </c>
      <c r="L112" s="3" t="s">
        <v>307</v>
      </c>
      <c r="M112" s="3" t="s">
        <v>292</v>
      </c>
      <c r="N112" s="5">
        <v>500</v>
      </c>
      <c r="O112" s="5">
        <v>10</v>
      </c>
      <c r="P112" s="3" t="s">
        <v>365</v>
      </c>
      <c r="Q112" s="3" t="s">
        <v>366</v>
      </c>
      <c r="R112" s="3" t="s">
        <v>367</v>
      </c>
      <c r="S112" s="2"/>
      <c r="T112" s="2"/>
      <c r="U112" s="457" t="s">
        <v>368</v>
      </c>
    </row>
    <row r="113" spans="1:21" ht="13.75" customHeight="1">
      <c r="A113" s="456" t="s">
        <v>657</v>
      </c>
      <c r="B113" s="3" t="s">
        <v>658</v>
      </c>
      <c r="C113" s="3" t="s">
        <v>274</v>
      </c>
      <c r="D113" s="5">
        <v>2022</v>
      </c>
      <c r="E113" s="3" t="s">
        <v>361</v>
      </c>
      <c r="F113" s="3" t="s">
        <v>362</v>
      </c>
      <c r="G113" s="3" t="s">
        <v>363</v>
      </c>
      <c r="H113" s="5">
        <v>20231</v>
      </c>
      <c r="I113" s="3" t="s">
        <v>364</v>
      </c>
      <c r="J113" s="3" t="s">
        <v>278</v>
      </c>
      <c r="K113" s="3" t="s">
        <v>279</v>
      </c>
      <c r="L113" s="3" t="s">
        <v>307</v>
      </c>
      <c r="M113" s="3" t="s">
        <v>292</v>
      </c>
      <c r="N113" s="5">
        <v>500</v>
      </c>
      <c r="O113" s="5">
        <v>10</v>
      </c>
      <c r="P113" s="3" t="s">
        <v>365</v>
      </c>
      <c r="Q113" s="3" t="s">
        <v>366</v>
      </c>
      <c r="R113" s="3" t="s">
        <v>367</v>
      </c>
      <c r="S113" s="2"/>
      <c r="T113" s="2"/>
      <c r="U113" s="457" t="s">
        <v>368</v>
      </c>
    </row>
    <row r="114" spans="1:21" ht="13.75" customHeight="1">
      <c r="A114" s="456" t="s">
        <v>659</v>
      </c>
      <c r="B114" s="3" t="s">
        <v>660</v>
      </c>
      <c r="C114" s="3" t="s">
        <v>274</v>
      </c>
      <c r="D114" s="5">
        <v>2022</v>
      </c>
      <c r="E114" s="3" t="s">
        <v>361</v>
      </c>
      <c r="F114" s="3" t="s">
        <v>362</v>
      </c>
      <c r="G114" s="3" t="s">
        <v>363</v>
      </c>
      <c r="H114" s="5">
        <v>20231</v>
      </c>
      <c r="I114" s="3" t="s">
        <v>364</v>
      </c>
      <c r="J114" s="3" t="s">
        <v>278</v>
      </c>
      <c r="K114" s="3" t="s">
        <v>279</v>
      </c>
      <c r="L114" s="3" t="s">
        <v>307</v>
      </c>
      <c r="M114" s="3" t="s">
        <v>292</v>
      </c>
      <c r="N114" s="5">
        <v>500</v>
      </c>
      <c r="O114" s="5">
        <v>10</v>
      </c>
      <c r="P114" s="3" t="s">
        <v>365</v>
      </c>
      <c r="Q114" s="3" t="s">
        <v>366</v>
      </c>
      <c r="R114" s="3" t="s">
        <v>367</v>
      </c>
      <c r="S114" s="2"/>
      <c r="T114" s="2"/>
      <c r="U114" s="457" t="s">
        <v>368</v>
      </c>
    </row>
    <row r="115" spans="1:21" ht="13.75" customHeight="1">
      <c r="A115" s="456" t="s">
        <v>661</v>
      </c>
      <c r="B115" s="3" t="s">
        <v>662</v>
      </c>
      <c r="C115" s="3" t="s">
        <v>274</v>
      </c>
      <c r="D115" s="5">
        <v>2022</v>
      </c>
      <c r="E115" s="3" t="s">
        <v>361</v>
      </c>
      <c r="F115" s="3" t="s">
        <v>362</v>
      </c>
      <c r="G115" s="3" t="s">
        <v>363</v>
      </c>
      <c r="H115" s="5">
        <v>20231</v>
      </c>
      <c r="I115" s="3" t="s">
        <v>364</v>
      </c>
      <c r="J115" s="3" t="s">
        <v>278</v>
      </c>
      <c r="K115" s="3" t="s">
        <v>279</v>
      </c>
      <c r="L115" s="3" t="s">
        <v>307</v>
      </c>
      <c r="M115" s="3" t="s">
        <v>292</v>
      </c>
      <c r="N115" s="5">
        <v>500</v>
      </c>
      <c r="O115" s="5">
        <v>10</v>
      </c>
      <c r="P115" s="3" t="s">
        <v>365</v>
      </c>
      <c r="Q115" s="3" t="s">
        <v>366</v>
      </c>
      <c r="R115" s="3" t="s">
        <v>367</v>
      </c>
      <c r="S115" s="2"/>
      <c r="T115" s="2"/>
      <c r="U115" s="457" t="s">
        <v>368</v>
      </c>
    </row>
    <row r="116" spans="1:21" ht="13.75" customHeight="1">
      <c r="A116" s="456" t="s">
        <v>663</v>
      </c>
      <c r="B116" s="3" t="s">
        <v>664</v>
      </c>
      <c r="C116" s="3" t="s">
        <v>274</v>
      </c>
      <c r="D116" s="5">
        <v>2022</v>
      </c>
      <c r="E116" s="3" t="s">
        <v>361</v>
      </c>
      <c r="F116" s="3" t="s">
        <v>362</v>
      </c>
      <c r="G116" s="3" t="s">
        <v>363</v>
      </c>
      <c r="H116" s="5">
        <v>20231</v>
      </c>
      <c r="I116" s="3" t="s">
        <v>364</v>
      </c>
      <c r="J116" s="3" t="s">
        <v>278</v>
      </c>
      <c r="K116" s="3" t="s">
        <v>279</v>
      </c>
      <c r="L116" s="3" t="s">
        <v>307</v>
      </c>
      <c r="M116" s="3" t="s">
        <v>292</v>
      </c>
      <c r="N116" s="5">
        <v>500</v>
      </c>
      <c r="O116" s="5">
        <v>10</v>
      </c>
      <c r="P116" s="3" t="s">
        <v>365</v>
      </c>
      <c r="Q116" s="3" t="s">
        <v>366</v>
      </c>
      <c r="R116" s="3" t="s">
        <v>367</v>
      </c>
      <c r="S116" s="2"/>
      <c r="T116" s="2"/>
      <c r="U116" s="457" t="s">
        <v>368</v>
      </c>
    </row>
    <row r="117" spans="1:21" ht="13.75" customHeight="1">
      <c r="A117" s="456" t="s">
        <v>665</v>
      </c>
      <c r="B117" s="3" t="s">
        <v>666</v>
      </c>
      <c r="C117" s="3" t="s">
        <v>274</v>
      </c>
      <c r="D117" s="5">
        <v>2022</v>
      </c>
      <c r="E117" s="3" t="s">
        <v>361</v>
      </c>
      <c r="F117" s="3" t="s">
        <v>362</v>
      </c>
      <c r="G117" s="3" t="s">
        <v>363</v>
      </c>
      <c r="H117" s="5">
        <v>20231</v>
      </c>
      <c r="I117" s="3" t="s">
        <v>364</v>
      </c>
      <c r="J117" s="3" t="s">
        <v>278</v>
      </c>
      <c r="K117" s="3" t="s">
        <v>279</v>
      </c>
      <c r="L117" s="3" t="s">
        <v>307</v>
      </c>
      <c r="M117" s="3" t="s">
        <v>292</v>
      </c>
      <c r="N117" s="5">
        <v>500</v>
      </c>
      <c r="O117" s="5">
        <v>10</v>
      </c>
      <c r="P117" s="3" t="s">
        <v>365</v>
      </c>
      <c r="Q117" s="3" t="s">
        <v>366</v>
      </c>
      <c r="R117" s="3" t="s">
        <v>367</v>
      </c>
      <c r="S117" s="2"/>
      <c r="T117" s="2"/>
      <c r="U117" s="457" t="s">
        <v>368</v>
      </c>
    </row>
    <row r="118" spans="1:21" ht="13.75" customHeight="1">
      <c r="A118" s="456" t="s">
        <v>667</v>
      </c>
      <c r="B118" s="3" t="s">
        <v>668</v>
      </c>
      <c r="C118" s="3" t="s">
        <v>274</v>
      </c>
      <c r="D118" s="5">
        <v>2022</v>
      </c>
      <c r="E118" s="3" t="s">
        <v>361</v>
      </c>
      <c r="F118" s="3" t="s">
        <v>362</v>
      </c>
      <c r="G118" s="3" t="s">
        <v>363</v>
      </c>
      <c r="H118" s="5">
        <v>20231</v>
      </c>
      <c r="I118" s="3" t="s">
        <v>364</v>
      </c>
      <c r="J118" s="3" t="s">
        <v>278</v>
      </c>
      <c r="K118" s="3" t="s">
        <v>279</v>
      </c>
      <c r="L118" s="3" t="s">
        <v>307</v>
      </c>
      <c r="M118" s="3" t="s">
        <v>292</v>
      </c>
      <c r="N118" s="5">
        <v>500</v>
      </c>
      <c r="O118" s="5">
        <v>10</v>
      </c>
      <c r="P118" s="3" t="s">
        <v>365</v>
      </c>
      <c r="Q118" s="3" t="s">
        <v>366</v>
      </c>
      <c r="R118" s="3" t="s">
        <v>367</v>
      </c>
      <c r="S118" s="2"/>
      <c r="T118" s="2"/>
      <c r="U118" s="457" t="s">
        <v>368</v>
      </c>
    </row>
    <row r="119" spans="1:21" ht="13.75" customHeight="1">
      <c r="A119" s="456" t="s">
        <v>669</v>
      </c>
      <c r="B119" s="3" t="s">
        <v>670</v>
      </c>
      <c r="C119" s="3" t="s">
        <v>274</v>
      </c>
      <c r="D119" s="5">
        <v>2022</v>
      </c>
      <c r="E119" s="3" t="s">
        <v>361</v>
      </c>
      <c r="F119" s="3" t="s">
        <v>362</v>
      </c>
      <c r="G119" s="3" t="s">
        <v>363</v>
      </c>
      <c r="H119" s="5">
        <v>20231</v>
      </c>
      <c r="I119" s="3" t="s">
        <v>364</v>
      </c>
      <c r="J119" s="3" t="s">
        <v>278</v>
      </c>
      <c r="K119" s="3" t="s">
        <v>279</v>
      </c>
      <c r="L119" s="3" t="s">
        <v>307</v>
      </c>
      <c r="M119" s="3" t="s">
        <v>292</v>
      </c>
      <c r="N119" s="5">
        <v>500</v>
      </c>
      <c r="O119" s="5">
        <v>10</v>
      </c>
      <c r="P119" s="3" t="s">
        <v>365</v>
      </c>
      <c r="Q119" s="3" t="s">
        <v>366</v>
      </c>
      <c r="R119" s="3" t="s">
        <v>367</v>
      </c>
      <c r="S119" s="2"/>
      <c r="T119" s="2"/>
      <c r="U119" s="457" t="s">
        <v>368</v>
      </c>
    </row>
    <row r="120" spans="1:21" ht="13.75" customHeight="1">
      <c r="A120" s="456" t="s">
        <v>671</v>
      </c>
      <c r="B120" s="3" t="s">
        <v>672</v>
      </c>
      <c r="C120" s="3" t="s">
        <v>274</v>
      </c>
      <c r="D120" s="5">
        <v>2022</v>
      </c>
      <c r="E120" s="3" t="s">
        <v>361</v>
      </c>
      <c r="F120" s="3" t="s">
        <v>362</v>
      </c>
      <c r="G120" s="3" t="s">
        <v>363</v>
      </c>
      <c r="H120" s="5">
        <v>20231</v>
      </c>
      <c r="I120" s="3" t="s">
        <v>364</v>
      </c>
      <c r="J120" s="3" t="s">
        <v>278</v>
      </c>
      <c r="K120" s="3" t="s">
        <v>279</v>
      </c>
      <c r="L120" s="3" t="s">
        <v>307</v>
      </c>
      <c r="M120" s="3" t="s">
        <v>292</v>
      </c>
      <c r="N120" s="5">
        <v>500</v>
      </c>
      <c r="O120" s="5">
        <v>10</v>
      </c>
      <c r="P120" s="3" t="s">
        <v>365</v>
      </c>
      <c r="Q120" s="3" t="s">
        <v>366</v>
      </c>
      <c r="R120" s="3" t="s">
        <v>367</v>
      </c>
      <c r="S120" s="2"/>
      <c r="T120" s="2"/>
      <c r="U120" s="457" t="s">
        <v>368</v>
      </c>
    </row>
    <row r="121" spans="1:21" ht="13.75" customHeight="1">
      <c r="A121" s="456" t="s">
        <v>673</v>
      </c>
      <c r="B121" s="3" t="s">
        <v>674</v>
      </c>
      <c r="C121" s="3" t="s">
        <v>274</v>
      </c>
      <c r="D121" s="5">
        <v>2022</v>
      </c>
      <c r="E121" s="3" t="s">
        <v>361</v>
      </c>
      <c r="F121" s="3" t="s">
        <v>362</v>
      </c>
      <c r="G121" s="3" t="s">
        <v>363</v>
      </c>
      <c r="H121" s="5">
        <v>20231</v>
      </c>
      <c r="I121" s="3" t="s">
        <v>364</v>
      </c>
      <c r="J121" s="3" t="s">
        <v>278</v>
      </c>
      <c r="K121" s="3" t="s">
        <v>279</v>
      </c>
      <c r="L121" s="3" t="s">
        <v>307</v>
      </c>
      <c r="M121" s="3" t="s">
        <v>292</v>
      </c>
      <c r="N121" s="5">
        <v>500</v>
      </c>
      <c r="O121" s="5">
        <v>10</v>
      </c>
      <c r="P121" s="3" t="s">
        <v>365</v>
      </c>
      <c r="Q121" s="3" t="s">
        <v>366</v>
      </c>
      <c r="R121" s="3" t="s">
        <v>367</v>
      </c>
      <c r="S121" s="2"/>
      <c r="T121" s="2"/>
      <c r="U121" s="457" t="s">
        <v>368</v>
      </c>
    </row>
    <row r="122" spans="1:21" ht="13.75" customHeight="1">
      <c r="A122" s="456" t="s">
        <v>675</v>
      </c>
      <c r="B122" s="3" t="s">
        <v>676</v>
      </c>
      <c r="C122" s="3" t="s">
        <v>274</v>
      </c>
      <c r="D122" s="5">
        <v>2022</v>
      </c>
      <c r="E122" s="3" t="s">
        <v>361</v>
      </c>
      <c r="F122" s="3" t="s">
        <v>362</v>
      </c>
      <c r="G122" s="3" t="s">
        <v>363</v>
      </c>
      <c r="H122" s="5">
        <v>20231</v>
      </c>
      <c r="I122" s="3" t="s">
        <v>364</v>
      </c>
      <c r="J122" s="3" t="s">
        <v>278</v>
      </c>
      <c r="K122" s="3" t="s">
        <v>279</v>
      </c>
      <c r="L122" s="3" t="s">
        <v>307</v>
      </c>
      <c r="M122" s="3" t="s">
        <v>292</v>
      </c>
      <c r="N122" s="5">
        <v>500</v>
      </c>
      <c r="O122" s="5">
        <v>10</v>
      </c>
      <c r="P122" s="3" t="s">
        <v>365</v>
      </c>
      <c r="Q122" s="3" t="s">
        <v>366</v>
      </c>
      <c r="R122" s="3" t="s">
        <v>367</v>
      </c>
      <c r="S122" s="2"/>
      <c r="T122" s="2"/>
      <c r="U122" s="457" t="s">
        <v>368</v>
      </c>
    </row>
    <row r="123" spans="1:21" ht="13.75" customHeight="1">
      <c r="A123" s="456" t="s">
        <v>677</v>
      </c>
      <c r="B123" s="3" t="s">
        <v>678</v>
      </c>
      <c r="C123" s="3" t="s">
        <v>274</v>
      </c>
      <c r="D123" s="5">
        <v>2022</v>
      </c>
      <c r="E123" s="3" t="s">
        <v>361</v>
      </c>
      <c r="F123" s="3" t="s">
        <v>362</v>
      </c>
      <c r="G123" s="3" t="s">
        <v>363</v>
      </c>
      <c r="H123" s="5">
        <v>20231</v>
      </c>
      <c r="I123" s="3" t="s">
        <v>364</v>
      </c>
      <c r="J123" s="3" t="s">
        <v>278</v>
      </c>
      <c r="K123" s="3" t="s">
        <v>279</v>
      </c>
      <c r="L123" s="3" t="s">
        <v>307</v>
      </c>
      <c r="M123" s="3" t="s">
        <v>292</v>
      </c>
      <c r="N123" s="5">
        <v>500</v>
      </c>
      <c r="O123" s="5">
        <v>10</v>
      </c>
      <c r="P123" s="3" t="s">
        <v>365</v>
      </c>
      <c r="Q123" s="3" t="s">
        <v>366</v>
      </c>
      <c r="R123" s="3" t="s">
        <v>367</v>
      </c>
      <c r="S123" s="2"/>
      <c r="T123" s="2"/>
      <c r="U123" s="457" t="s">
        <v>368</v>
      </c>
    </row>
    <row r="124" spans="1:21" ht="13.75" customHeight="1">
      <c r="A124" s="456" t="s">
        <v>679</v>
      </c>
      <c r="B124" s="3" t="s">
        <v>680</v>
      </c>
      <c r="C124" s="3" t="s">
        <v>274</v>
      </c>
      <c r="D124" s="5">
        <v>2022</v>
      </c>
      <c r="E124" s="3" t="s">
        <v>361</v>
      </c>
      <c r="F124" s="3" t="s">
        <v>362</v>
      </c>
      <c r="G124" s="3" t="s">
        <v>363</v>
      </c>
      <c r="H124" s="5">
        <v>20231</v>
      </c>
      <c r="I124" s="3" t="s">
        <v>364</v>
      </c>
      <c r="J124" s="3" t="s">
        <v>278</v>
      </c>
      <c r="K124" s="3" t="s">
        <v>279</v>
      </c>
      <c r="L124" s="3" t="s">
        <v>307</v>
      </c>
      <c r="M124" s="3" t="s">
        <v>292</v>
      </c>
      <c r="N124" s="5">
        <v>500</v>
      </c>
      <c r="O124" s="5">
        <v>10</v>
      </c>
      <c r="P124" s="3" t="s">
        <v>365</v>
      </c>
      <c r="Q124" s="3" t="s">
        <v>366</v>
      </c>
      <c r="R124" s="3" t="s">
        <v>367</v>
      </c>
      <c r="S124" s="2"/>
      <c r="T124" s="2"/>
      <c r="U124" s="457" t="s">
        <v>368</v>
      </c>
    </row>
    <row r="125" spans="1:21" ht="13.75" customHeight="1">
      <c r="A125" s="456" t="s">
        <v>681</v>
      </c>
      <c r="B125" s="3" t="s">
        <v>682</v>
      </c>
      <c r="C125" s="3" t="s">
        <v>274</v>
      </c>
      <c r="D125" s="5">
        <v>2022</v>
      </c>
      <c r="E125" s="3" t="s">
        <v>361</v>
      </c>
      <c r="F125" s="3" t="s">
        <v>362</v>
      </c>
      <c r="G125" s="3" t="s">
        <v>363</v>
      </c>
      <c r="H125" s="5">
        <v>20231</v>
      </c>
      <c r="I125" s="3" t="s">
        <v>364</v>
      </c>
      <c r="J125" s="3" t="s">
        <v>278</v>
      </c>
      <c r="K125" s="3" t="s">
        <v>279</v>
      </c>
      <c r="L125" s="3" t="s">
        <v>307</v>
      </c>
      <c r="M125" s="3" t="s">
        <v>292</v>
      </c>
      <c r="N125" s="5">
        <v>500</v>
      </c>
      <c r="O125" s="5">
        <v>10</v>
      </c>
      <c r="P125" s="3" t="s">
        <v>365</v>
      </c>
      <c r="Q125" s="3" t="s">
        <v>366</v>
      </c>
      <c r="R125" s="3" t="s">
        <v>367</v>
      </c>
      <c r="S125" s="2"/>
      <c r="T125" s="2"/>
      <c r="U125" s="457" t="s">
        <v>368</v>
      </c>
    </row>
    <row r="126" spans="1:21" ht="13.75" customHeight="1">
      <c r="A126" s="456" t="s">
        <v>683</v>
      </c>
      <c r="B126" s="3" t="s">
        <v>684</v>
      </c>
      <c r="C126" s="3" t="s">
        <v>274</v>
      </c>
      <c r="D126" s="5">
        <v>2022</v>
      </c>
      <c r="E126" s="3" t="s">
        <v>361</v>
      </c>
      <c r="F126" s="3" t="s">
        <v>362</v>
      </c>
      <c r="G126" s="3" t="s">
        <v>363</v>
      </c>
      <c r="H126" s="5">
        <v>20231</v>
      </c>
      <c r="I126" s="3" t="s">
        <v>364</v>
      </c>
      <c r="J126" s="3" t="s">
        <v>278</v>
      </c>
      <c r="K126" s="3" t="s">
        <v>279</v>
      </c>
      <c r="L126" s="3" t="s">
        <v>307</v>
      </c>
      <c r="M126" s="3" t="s">
        <v>292</v>
      </c>
      <c r="N126" s="5">
        <v>500</v>
      </c>
      <c r="O126" s="5">
        <v>10</v>
      </c>
      <c r="P126" s="3" t="s">
        <v>365</v>
      </c>
      <c r="Q126" s="3" t="s">
        <v>366</v>
      </c>
      <c r="R126" s="3" t="s">
        <v>367</v>
      </c>
      <c r="S126" s="2"/>
      <c r="T126" s="2"/>
      <c r="U126" s="457" t="s">
        <v>368</v>
      </c>
    </row>
    <row r="127" spans="1:21" ht="13.75" customHeight="1">
      <c r="A127" s="456" t="s">
        <v>685</v>
      </c>
      <c r="B127" s="3" t="s">
        <v>686</v>
      </c>
      <c r="C127" s="3" t="s">
        <v>274</v>
      </c>
      <c r="D127" s="5">
        <v>2022</v>
      </c>
      <c r="E127" s="3" t="s">
        <v>505</v>
      </c>
      <c r="F127" s="3" t="s">
        <v>506</v>
      </c>
      <c r="G127" s="3" t="s">
        <v>506</v>
      </c>
      <c r="H127" s="5">
        <v>20231</v>
      </c>
      <c r="I127" s="2"/>
      <c r="J127" s="3" t="s">
        <v>278</v>
      </c>
      <c r="K127" s="3" t="s">
        <v>332</v>
      </c>
      <c r="L127" s="3" t="s">
        <v>291</v>
      </c>
      <c r="M127" s="3" t="s">
        <v>292</v>
      </c>
      <c r="N127" s="5">
        <v>50</v>
      </c>
      <c r="O127" s="5">
        <v>4</v>
      </c>
      <c r="P127" s="2"/>
      <c r="Q127" s="3" t="s">
        <v>507</v>
      </c>
      <c r="R127" s="3" t="s">
        <v>508</v>
      </c>
      <c r="S127" s="2"/>
      <c r="T127" s="2"/>
      <c r="U127" s="457" t="s">
        <v>440</v>
      </c>
    </row>
    <row r="128" spans="1:21" ht="13.75" customHeight="1">
      <c r="A128" s="456" t="s">
        <v>685</v>
      </c>
      <c r="B128" s="3" t="s">
        <v>686</v>
      </c>
      <c r="C128" s="3" t="s">
        <v>274</v>
      </c>
      <c r="D128" s="5">
        <v>2022</v>
      </c>
      <c r="E128" s="3" t="s">
        <v>361</v>
      </c>
      <c r="F128" s="3" t="s">
        <v>362</v>
      </c>
      <c r="G128" s="3" t="s">
        <v>363</v>
      </c>
      <c r="H128" s="5">
        <v>20231</v>
      </c>
      <c r="I128" s="3" t="s">
        <v>364</v>
      </c>
      <c r="J128" s="3" t="s">
        <v>278</v>
      </c>
      <c r="K128" s="3" t="s">
        <v>279</v>
      </c>
      <c r="L128" s="3" t="s">
        <v>307</v>
      </c>
      <c r="M128" s="3" t="s">
        <v>292</v>
      </c>
      <c r="N128" s="5">
        <v>500</v>
      </c>
      <c r="O128" s="5">
        <v>10</v>
      </c>
      <c r="P128" s="3" t="s">
        <v>365</v>
      </c>
      <c r="Q128" s="3" t="s">
        <v>366</v>
      </c>
      <c r="R128" s="3" t="s">
        <v>367</v>
      </c>
      <c r="S128" s="2"/>
      <c r="T128" s="2"/>
      <c r="U128" s="457" t="s">
        <v>368</v>
      </c>
    </row>
    <row r="129" spans="1:21" ht="13.75" customHeight="1">
      <c r="A129" s="456" t="s">
        <v>687</v>
      </c>
      <c r="B129" s="3" t="s">
        <v>688</v>
      </c>
      <c r="C129" s="3" t="s">
        <v>274</v>
      </c>
      <c r="D129" s="5">
        <v>2022</v>
      </c>
      <c r="E129" s="3" t="s">
        <v>361</v>
      </c>
      <c r="F129" s="3" t="s">
        <v>362</v>
      </c>
      <c r="G129" s="3" t="s">
        <v>363</v>
      </c>
      <c r="H129" s="5">
        <v>20231</v>
      </c>
      <c r="I129" s="3" t="s">
        <v>364</v>
      </c>
      <c r="J129" s="3" t="s">
        <v>278</v>
      </c>
      <c r="K129" s="3" t="s">
        <v>279</v>
      </c>
      <c r="L129" s="3" t="s">
        <v>307</v>
      </c>
      <c r="M129" s="3" t="s">
        <v>292</v>
      </c>
      <c r="N129" s="5">
        <v>500</v>
      </c>
      <c r="O129" s="5">
        <v>10</v>
      </c>
      <c r="P129" s="3" t="s">
        <v>365</v>
      </c>
      <c r="Q129" s="3" t="s">
        <v>366</v>
      </c>
      <c r="R129" s="3" t="s">
        <v>367</v>
      </c>
      <c r="S129" s="2"/>
      <c r="T129" s="2"/>
      <c r="U129" s="457" t="s">
        <v>368</v>
      </c>
    </row>
    <row r="130" spans="1:21" ht="13.75" customHeight="1">
      <c r="A130" s="456" t="s">
        <v>689</v>
      </c>
      <c r="B130" s="3" t="s">
        <v>690</v>
      </c>
      <c r="C130" s="3" t="s">
        <v>274</v>
      </c>
      <c r="D130" s="5">
        <v>2022</v>
      </c>
      <c r="E130" s="3" t="s">
        <v>361</v>
      </c>
      <c r="F130" s="3" t="s">
        <v>362</v>
      </c>
      <c r="G130" s="3" t="s">
        <v>363</v>
      </c>
      <c r="H130" s="5">
        <v>20231</v>
      </c>
      <c r="I130" s="3" t="s">
        <v>364</v>
      </c>
      <c r="J130" s="3" t="s">
        <v>278</v>
      </c>
      <c r="K130" s="3" t="s">
        <v>279</v>
      </c>
      <c r="L130" s="3" t="s">
        <v>307</v>
      </c>
      <c r="M130" s="3" t="s">
        <v>292</v>
      </c>
      <c r="N130" s="5">
        <v>500</v>
      </c>
      <c r="O130" s="5">
        <v>10</v>
      </c>
      <c r="P130" s="3" t="s">
        <v>365</v>
      </c>
      <c r="Q130" s="3" t="s">
        <v>366</v>
      </c>
      <c r="R130" s="3" t="s">
        <v>367</v>
      </c>
      <c r="S130" s="2"/>
      <c r="T130" s="2"/>
      <c r="U130" s="457" t="s">
        <v>368</v>
      </c>
    </row>
    <row r="131" spans="1:21" ht="13.75" customHeight="1">
      <c r="A131" s="456" t="s">
        <v>691</v>
      </c>
      <c r="B131" s="3" t="s">
        <v>692</v>
      </c>
      <c r="C131" s="3" t="s">
        <v>274</v>
      </c>
      <c r="D131" s="5">
        <v>2022</v>
      </c>
      <c r="E131" s="3" t="s">
        <v>361</v>
      </c>
      <c r="F131" s="3" t="s">
        <v>362</v>
      </c>
      <c r="G131" s="3" t="s">
        <v>363</v>
      </c>
      <c r="H131" s="5">
        <v>20231</v>
      </c>
      <c r="I131" s="3" t="s">
        <v>364</v>
      </c>
      <c r="J131" s="3" t="s">
        <v>278</v>
      </c>
      <c r="K131" s="3" t="s">
        <v>279</v>
      </c>
      <c r="L131" s="3" t="s">
        <v>307</v>
      </c>
      <c r="M131" s="3" t="s">
        <v>292</v>
      </c>
      <c r="N131" s="5">
        <v>500</v>
      </c>
      <c r="O131" s="5">
        <v>10</v>
      </c>
      <c r="P131" s="3" t="s">
        <v>365</v>
      </c>
      <c r="Q131" s="3" t="s">
        <v>366</v>
      </c>
      <c r="R131" s="3" t="s">
        <v>367</v>
      </c>
      <c r="S131" s="2"/>
      <c r="T131" s="2"/>
      <c r="U131" s="457" t="s">
        <v>368</v>
      </c>
    </row>
    <row r="132" spans="1:21" ht="13.75" customHeight="1">
      <c r="A132" s="456" t="s">
        <v>693</v>
      </c>
      <c r="B132" s="3" t="s">
        <v>694</v>
      </c>
      <c r="C132" s="3" t="s">
        <v>274</v>
      </c>
      <c r="D132" s="5">
        <v>2022</v>
      </c>
      <c r="E132" s="3" t="s">
        <v>361</v>
      </c>
      <c r="F132" s="3" t="s">
        <v>362</v>
      </c>
      <c r="G132" s="3" t="s">
        <v>363</v>
      </c>
      <c r="H132" s="5">
        <v>20231</v>
      </c>
      <c r="I132" s="3" t="s">
        <v>364</v>
      </c>
      <c r="J132" s="3" t="s">
        <v>278</v>
      </c>
      <c r="K132" s="3" t="s">
        <v>279</v>
      </c>
      <c r="L132" s="3" t="s">
        <v>307</v>
      </c>
      <c r="M132" s="3" t="s">
        <v>292</v>
      </c>
      <c r="N132" s="5">
        <v>500</v>
      </c>
      <c r="O132" s="5">
        <v>10</v>
      </c>
      <c r="P132" s="3" t="s">
        <v>365</v>
      </c>
      <c r="Q132" s="3" t="s">
        <v>366</v>
      </c>
      <c r="R132" s="3" t="s">
        <v>367</v>
      </c>
      <c r="S132" s="2"/>
      <c r="T132" s="2"/>
      <c r="U132" s="457" t="s">
        <v>368</v>
      </c>
    </row>
    <row r="133" spans="1:21" ht="13.75" customHeight="1">
      <c r="A133" s="456" t="s">
        <v>695</v>
      </c>
      <c r="B133" s="3" t="s">
        <v>696</v>
      </c>
      <c r="C133" s="3" t="s">
        <v>274</v>
      </c>
      <c r="D133" s="5">
        <v>2022</v>
      </c>
      <c r="E133" s="3" t="s">
        <v>361</v>
      </c>
      <c r="F133" s="3" t="s">
        <v>362</v>
      </c>
      <c r="G133" s="3" t="s">
        <v>363</v>
      </c>
      <c r="H133" s="5">
        <v>20231</v>
      </c>
      <c r="I133" s="3" t="s">
        <v>364</v>
      </c>
      <c r="J133" s="3" t="s">
        <v>278</v>
      </c>
      <c r="K133" s="3" t="s">
        <v>279</v>
      </c>
      <c r="L133" s="3" t="s">
        <v>307</v>
      </c>
      <c r="M133" s="3" t="s">
        <v>292</v>
      </c>
      <c r="N133" s="5">
        <v>500</v>
      </c>
      <c r="O133" s="5">
        <v>10</v>
      </c>
      <c r="P133" s="3" t="s">
        <v>365</v>
      </c>
      <c r="Q133" s="3" t="s">
        <v>366</v>
      </c>
      <c r="R133" s="3" t="s">
        <v>367</v>
      </c>
      <c r="S133" s="2"/>
      <c r="T133" s="2"/>
      <c r="U133" s="457" t="s">
        <v>368</v>
      </c>
    </row>
    <row r="134" spans="1:21" ht="13.75" customHeight="1">
      <c r="A134" s="456" t="s">
        <v>697</v>
      </c>
      <c r="B134" s="3" t="s">
        <v>698</v>
      </c>
      <c r="C134" s="3" t="s">
        <v>274</v>
      </c>
      <c r="D134" s="5">
        <v>2022</v>
      </c>
      <c r="E134" s="3" t="s">
        <v>361</v>
      </c>
      <c r="F134" s="3" t="s">
        <v>362</v>
      </c>
      <c r="G134" s="3" t="s">
        <v>363</v>
      </c>
      <c r="H134" s="5">
        <v>20231</v>
      </c>
      <c r="I134" s="3" t="s">
        <v>364</v>
      </c>
      <c r="J134" s="3" t="s">
        <v>278</v>
      </c>
      <c r="K134" s="3" t="s">
        <v>279</v>
      </c>
      <c r="L134" s="3" t="s">
        <v>307</v>
      </c>
      <c r="M134" s="3" t="s">
        <v>292</v>
      </c>
      <c r="N134" s="5">
        <v>500</v>
      </c>
      <c r="O134" s="5">
        <v>10</v>
      </c>
      <c r="P134" s="3" t="s">
        <v>365</v>
      </c>
      <c r="Q134" s="3" t="s">
        <v>366</v>
      </c>
      <c r="R134" s="3" t="s">
        <v>367</v>
      </c>
      <c r="S134" s="2"/>
      <c r="T134" s="2"/>
      <c r="U134" s="457" t="s">
        <v>368</v>
      </c>
    </row>
    <row r="135" spans="1:21" ht="13.75" customHeight="1">
      <c r="A135" s="456" t="s">
        <v>699</v>
      </c>
      <c r="B135" s="3" t="s">
        <v>700</v>
      </c>
      <c r="C135" s="3" t="s">
        <v>274</v>
      </c>
      <c r="D135" s="5">
        <v>2022</v>
      </c>
      <c r="E135" s="3" t="s">
        <v>361</v>
      </c>
      <c r="F135" s="3" t="s">
        <v>362</v>
      </c>
      <c r="G135" s="3" t="s">
        <v>363</v>
      </c>
      <c r="H135" s="5">
        <v>20231</v>
      </c>
      <c r="I135" s="3" t="s">
        <v>364</v>
      </c>
      <c r="J135" s="3" t="s">
        <v>278</v>
      </c>
      <c r="K135" s="3" t="s">
        <v>279</v>
      </c>
      <c r="L135" s="3" t="s">
        <v>307</v>
      </c>
      <c r="M135" s="3" t="s">
        <v>292</v>
      </c>
      <c r="N135" s="5">
        <v>500</v>
      </c>
      <c r="O135" s="5">
        <v>10</v>
      </c>
      <c r="P135" s="3" t="s">
        <v>365</v>
      </c>
      <c r="Q135" s="3" t="s">
        <v>366</v>
      </c>
      <c r="R135" s="3" t="s">
        <v>367</v>
      </c>
      <c r="S135" s="2"/>
      <c r="T135" s="2"/>
      <c r="U135" s="457" t="s">
        <v>368</v>
      </c>
    </row>
    <row r="136" spans="1:21" ht="13.75" customHeight="1">
      <c r="A136" s="456" t="s">
        <v>701</v>
      </c>
      <c r="B136" s="3" t="s">
        <v>702</v>
      </c>
      <c r="C136" s="3" t="s">
        <v>274</v>
      </c>
      <c r="D136" s="5">
        <v>2022</v>
      </c>
      <c r="E136" s="3" t="s">
        <v>361</v>
      </c>
      <c r="F136" s="3" t="s">
        <v>362</v>
      </c>
      <c r="G136" s="3" t="s">
        <v>363</v>
      </c>
      <c r="H136" s="5">
        <v>20231</v>
      </c>
      <c r="I136" s="3" t="s">
        <v>364</v>
      </c>
      <c r="J136" s="3" t="s">
        <v>278</v>
      </c>
      <c r="K136" s="3" t="s">
        <v>279</v>
      </c>
      <c r="L136" s="3" t="s">
        <v>307</v>
      </c>
      <c r="M136" s="3" t="s">
        <v>292</v>
      </c>
      <c r="N136" s="5">
        <v>500</v>
      </c>
      <c r="O136" s="5">
        <v>10</v>
      </c>
      <c r="P136" s="3" t="s">
        <v>365</v>
      </c>
      <c r="Q136" s="3" t="s">
        <v>366</v>
      </c>
      <c r="R136" s="3" t="s">
        <v>367</v>
      </c>
      <c r="S136" s="2"/>
      <c r="T136" s="2"/>
      <c r="U136" s="457" t="s">
        <v>368</v>
      </c>
    </row>
    <row r="137" spans="1:21" ht="13.75" customHeight="1">
      <c r="A137" s="456" t="s">
        <v>703</v>
      </c>
      <c r="B137" s="3" t="s">
        <v>704</v>
      </c>
      <c r="C137" s="3" t="s">
        <v>274</v>
      </c>
      <c r="D137" s="5">
        <v>2022</v>
      </c>
      <c r="E137" s="3" t="s">
        <v>361</v>
      </c>
      <c r="F137" s="3" t="s">
        <v>362</v>
      </c>
      <c r="G137" s="3" t="s">
        <v>363</v>
      </c>
      <c r="H137" s="5">
        <v>20231</v>
      </c>
      <c r="I137" s="3" t="s">
        <v>364</v>
      </c>
      <c r="J137" s="3" t="s">
        <v>278</v>
      </c>
      <c r="K137" s="3" t="s">
        <v>279</v>
      </c>
      <c r="L137" s="3" t="s">
        <v>307</v>
      </c>
      <c r="M137" s="3" t="s">
        <v>292</v>
      </c>
      <c r="N137" s="5">
        <v>500</v>
      </c>
      <c r="O137" s="5">
        <v>10</v>
      </c>
      <c r="P137" s="3" t="s">
        <v>365</v>
      </c>
      <c r="Q137" s="3" t="s">
        <v>366</v>
      </c>
      <c r="R137" s="3" t="s">
        <v>367</v>
      </c>
      <c r="S137" s="2"/>
      <c r="T137" s="2"/>
      <c r="U137" s="457" t="s">
        <v>368</v>
      </c>
    </row>
    <row r="138" spans="1:21" ht="13.75" customHeight="1">
      <c r="A138" s="456" t="s">
        <v>705</v>
      </c>
      <c r="B138" s="3" t="s">
        <v>706</v>
      </c>
      <c r="C138" s="3" t="s">
        <v>274</v>
      </c>
      <c r="D138" s="5">
        <v>2022</v>
      </c>
      <c r="E138" s="3" t="s">
        <v>361</v>
      </c>
      <c r="F138" s="3" t="s">
        <v>362</v>
      </c>
      <c r="G138" s="3" t="s">
        <v>363</v>
      </c>
      <c r="H138" s="5">
        <v>20231</v>
      </c>
      <c r="I138" s="3" t="s">
        <v>364</v>
      </c>
      <c r="J138" s="3" t="s">
        <v>278</v>
      </c>
      <c r="K138" s="3" t="s">
        <v>279</v>
      </c>
      <c r="L138" s="3" t="s">
        <v>307</v>
      </c>
      <c r="M138" s="3" t="s">
        <v>292</v>
      </c>
      <c r="N138" s="5">
        <v>500</v>
      </c>
      <c r="O138" s="5">
        <v>10</v>
      </c>
      <c r="P138" s="3" t="s">
        <v>365</v>
      </c>
      <c r="Q138" s="3" t="s">
        <v>366</v>
      </c>
      <c r="R138" s="3" t="s">
        <v>367</v>
      </c>
      <c r="S138" s="2"/>
      <c r="T138" s="2"/>
      <c r="U138" s="457" t="s">
        <v>368</v>
      </c>
    </row>
    <row r="139" spans="1:21" ht="13.75" customHeight="1">
      <c r="A139" s="456" t="s">
        <v>707</v>
      </c>
      <c r="B139" s="3" t="s">
        <v>708</v>
      </c>
      <c r="C139" s="3" t="s">
        <v>274</v>
      </c>
      <c r="D139" s="5">
        <v>2022</v>
      </c>
      <c r="E139" s="3" t="s">
        <v>361</v>
      </c>
      <c r="F139" s="3" t="s">
        <v>362</v>
      </c>
      <c r="G139" s="3" t="s">
        <v>363</v>
      </c>
      <c r="H139" s="5">
        <v>20231</v>
      </c>
      <c r="I139" s="3" t="s">
        <v>364</v>
      </c>
      <c r="J139" s="3" t="s">
        <v>278</v>
      </c>
      <c r="K139" s="3" t="s">
        <v>279</v>
      </c>
      <c r="L139" s="3" t="s">
        <v>307</v>
      </c>
      <c r="M139" s="3" t="s">
        <v>292</v>
      </c>
      <c r="N139" s="5">
        <v>500</v>
      </c>
      <c r="O139" s="5">
        <v>10</v>
      </c>
      <c r="P139" s="3" t="s">
        <v>365</v>
      </c>
      <c r="Q139" s="3" t="s">
        <v>366</v>
      </c>
      <c r="R139" s="3" t="s">
        <v>367</v>
      </c>
      <c r="S139" s="2"/>
      <c r="T139" s="2"/>
      <c r="U139" s="457" t="s">
        <v>368</v>
      </c>
    </row>
    <row r="140" spans="1:21" ht="13.75" customHeight="1">
      <c r="A140" s="456" t="s">
        <v>709</v>
      </c>
      <c r="B140" s="3" t="s">
        <v>710</v>
      </c>
      <c r="C140" s="3" t="s">
        <v>274</v>
      </c>
      <c r="D140" s="5">
        <v>2022</v>
      </c>
      <c r="E140" s="3" t="s">
        <v>361</v>
      </c>
      <c r="F140" s="3" t="s">
        <v>362</v>
      </c>
      <c r="G140" s="3" t="s">
        <v>363</v>
      </c>
      <c r="H140" s="5">
        <v>20231</v>
      </c>
      <c r="I140" s="3" t="s">
        <v>364</v>
      </c>
      <c r="J140" s="3" t="s">
        <v>278</v>
      </c>
      <c r="K140" s="3" t="s">
        <v>279</v>
      </c>
      <c r="L140" s="3" t="s">
        <v>307</v>
      </c>
      <c r="M140" s="3" t="s">
        <v>292</v>
      </c>
      <c r="N140" s="5">
        <v>500</v>
      </c>
      <c r="O140" s="5">
        <v>10</v>
      </c>
      <c r="P140" s="3" t="s">
        <v>365</v>
      </c>
      <c r="Q140" s="3" t="s">
        <v>366</v>
      </c>
      <c r="R140" s="3" t="s">
        <v>367</v>
      </c>
      <c r="S140" s="2"/>
      <c r="T140" s="2"/>
      <c r="U140" s="457" t="s">
        <v>368</v>
      </c>
    </row>
    <row r="141" spans="1:21" ht="13.75" customHeight="1">
      <c r="A141" s="456" t="s">
        <v>711</v>
      </c>
      <c r="B141" s="3" t="s">
        <v>712</v>
      </c>
      <c r="C141" s="3" t="s">
        <v>274</v>
      </c>
      <c r="D141" s="5">
        <v>2022</v>
      </c>
      <c r="E141" s="3" t="s">
        <v>361</v>
      </c>
      <c r="F141" s="3" t="s">
        <v>362</v>
      </c>
      <c r="G141" s="3" t="s">
        <v>363</v>
      </c>
      <c r="H141" s="5">
        <v>20231</v>
      </c>
      <c r="I141" s="3" t="s">
        <v>364</v>
      </c>
      <c r="J141" s="3" t="s">
        <v>278</v>
      </c>
      <c r="K141" s="3" t="s">
        <v>279</v>
      </c>
      <c r="L141" s="3" t="s">
        <v>307</v>
      </c>
      <c r="M141" s="3" t="s">
        <v>292</v>
      </c>
      <c r="N141" s="5">
        <v>500</v>
      </c>
      <c r="O141" s="5">
        <v>10</v>
      </c>
      <c r="P141" s="3" t="s">
        <v>365</v>
      </c>
      <c r="Q141" s="3" t="s">
        <v>366</v>
      </c>
      <c r="R141" s="3" t="s">
        <v>367</v>
      </c>
      <c r="S141" s="2"/>
      <c r="T141" s="2"/>
      <c r="U141" s="457" t="s">
        <v>368</v>
      </c>
    </row>
    <row r="142" spans="1:21" ht="13.75" customHeight="1">
      <c r="A142" s="456" t="s">
        <v>713</v>
      </c>
      <c r="B142" s="3" t="s">
        <v>714</v>
      </c>
      <c r="C142" s="3" t="s">
        <v>274</v>
      </c>
      <c r="D142" s="5">
        <v>2022</v>
      </c>
      <c r="E142" s="3" t="s">
        <v>361</v>
      </c>
      <c r="F142" s="3" t="s">
        <v>362</v>
      </c>
      <c r="G142" s="3" t="s">
        <v>363</v>
      </c>
      <c r="H142" s="5">
        <v>20231</v>
      </c>
      <c r="I142" s="3" t="s">
        <v>364</v>
      </c>
      <c r="J142" s="3" t="s">
        <v>278</v>
      </c>
      <c r="K142" s="3" t="s">
        <v>279</v>
      </c>
      <c r="L142" s="3" t="s">
        <v>307</v>
      </c>
      <c r="M142" s="3" t="s">
        <v>292</v>
      </c>
      <c r="N142" s="5">
        <v>500</v>
      </c>
      <c r="O142" s="5">
        <v>10</v>
      </c>
      <c r="P142" s="3" t="s">
        <v>365</v>
      </c>
      <c r="Q142" s="3" t="s">
        <v>366</v>
      </c>
      <c r="R142" s="3" t="s">
        <v>367</v>
      </c>
      <c r="S142" s="2"/>
      <c r="T142" s="2"/>
      <c r="U142" s="457" t="s">
        <v>368</v>
      </c>
    </row>
    <row r="143" spans="1:21" ht="13.75" customHeight="1">
      <c r="A143" s="456" t="s">
        <v>715</v>
      </c>
      <c r="B143" s="3" t="s">
        <v>716</v>
      </c>
      <c r="C143" s="3" t="s">
        <v>274</v>
      </c>
      <c r="D143" s="5">
        <v>2022</v>
      </c>
      <c r="E143" s="3" t="s">
        <v>361</v>
      </c>
      <c r="F143" s="3" t="s">
        <v>362</v>
      </c>
      <c r="G143" s="3" t="s">
        <v>363</v>
      </c>
      <c r="H143" s="5">
        <v>20231</v>
      </c>
      <c r="I143" s="3" t="s">
        <v>364</v>
      </c>
      <c r="J143" s="3" t="s">
        <v>278</v>
      </c>
      <c r="K143" s="3" t="s">
        <v>279</v>
      </c>
      <c r="L143" s="3" t="s">
        <v>307</v>
      </c>
      <c r="M143" s="3" t="s">
        <v>292</v>
      </c>
      <c r="N143" s="5">
        <v>500</v>
      </c>
      <c r="O143" s="5">
        <v>10</v>
      </c>
      <c r="P143" s="3" t="s">
        <v>365</v>
      </c>
      <c r="Q143" s="3" t="s">
        <v>366</v>
      </c>
      <c r="R143" s="3" t="s">
        <v>367</v>
      </c>
      <c r="S143" s="2"/>
      <c r="T143" s="2"/>
      <c r="U143" s="457" t="s">
        <v>368</v>
      </c>
    </row>
    <row r="144" spans="1:21" ht="13.75" customHeight="1">
      <c r="A144" s="456" t="s">
        <v>717</v>
      </c>
      <c r="B144" s="3" t="s">
        <v>718</v>
      </c>
      <c r="C144" s="3" t="s">
        <v>274</v>
      </c>
      <c r="D144" s="5">
        <v>2022</v>
      </c>
      <c r="E144" s="3" t="s">
        <v>361</v>
      </c>
      <c r="F144" s="3" t="s">
        <v>362</v>
      </c>
      <c r="G144" s="3" t="s">
        <v>363</v>
      </c>
      <c r="H144" s="5">
        <v>20231</v>
      </c>
      <c r="I144" s="3" t="s">
        <v>364</v>
      </c>
      <c r="J144" s="3" t="s">
        <v>278</v>
      </c>
      <c r="K144" s="3" t="s">
        <v>279</v>
      </c>
      <c r="L144" s="3" t="s">
        <v>307</v>
      </c>
      <c r="M144" s="3" t="s">
        <v>292</v>
      </c>
      <c r="N144" s="5">
        <v>500</v>
      </c>
      <c r="O144" s="5">
        <v>10</v>
      </c>
      <c r="P144" s="3" t="s">
        <v>365</v>
      </c>
      <c r="Q144" s="3" t="s">
        <v>366</v>
      </c>
      <c r="R144" s="3" t="s">
        <v>367</v>
      </c>
      <c r="S144" s="2"/>
      <c r="T144" s="2"/>
      <c r="U144" s="457" t="s">
        <v>368</v>
      </c>
    </row>
    <row r="145" spans="1:21" ht="13.75" customHeight="1">
      <c r="A145" s="456" t="s">
        <v>719</v>
      </c>
      <c r="B145" s="3" t="s">
        <v>720</v>
      </c>
      <c r="C145" s="3" t="s">
        <v>274</v>
      </c>
      <c r="D145" s="5">
        <v>2022</v>
      </c>
      <c r="E145" s="3" t="s">
        <v>361</v>
      </c>
      <c r="F145" s="3" t="s">
        <v>362</v>
      </c>
      <c r="G145" s="3" t="s">
        <v>363</v>
      </c>
      <c r="H145" s="5">
        <v>20231</v>
      </c>
      <c r="I145" s="3" t="s">
        <v>364</v>
      </c>
      <c r="J145" s="3" t="s">
        <v>278</v>
      </c>
      <c r="K145" s="3" t="s">
        <v>279</v>
      </c>
      <c r="L145" s="3" t="s">
        <v>307</v>
      </c>
      <c r="M145" s="3" t="s">
        <v>292</v>
      </c>
      <c r="N145" s="5">
        <v>500</v>
      </c>
      <c r="O145" s="5">
        <v>10</v>
      </c>
      <c r="P145" s="3" t="s">
        <v>365</v>
      </c>
      <c r="Q145" s="3" t="s">
        <v>366</v>
      </c>
      <c r="R145" s="3" t="s">
        <v>367</v>
      </c>
      <c r="S145" s="2"/>
      <c r="T145" s="2"/>
      <c r="U145" s="457" t="s">
        <v>368</v>
      </c>
    </row>
    <row r="146" spans="1:21" ht="13.75" customHeight="1">
      <c r="A146" s="456" t="s">
        <v>721</v>
      </c>
      <c r="B146" s="3" t="s">
        <v>722</v>
      </c>
      <c r="C146" s="3" t="s">
        <v>274</v>
      </c>
      <c r="D146" s="5">
        <v>2022</v>
      </c>
      <c r="E146" s="3" t="s">
        <v>361</v>
      </c>
      <c r="F146" s="3" t="s">
        <v>362</v>
      </c>
      <c r="G146" s="3" t="s">
        <v>363</v>
      </c>
      <c r="H146" s="5">
        <v>20231</v>
      </c>
      <c r="I146" s="3" t="s">
        <v>364</v>
      </c>
      <c r="J146" s="3" t="s">
        <v>278</v>
      </c>
      <c r="K146" s="3" t="s">
        <v>279</v>
      </c>
      <c r="L146" s="3" t="s">
        <v>307</v>
      </c>
      <c r="M146" s="3" t="s">
        <v>292</v>
      </c>
      <c r="N146" s="5">
        <v>500</v>
      </c>
      <c r="O146" s="5">
        <v>10</v>
      </c>
      <c r="P146" s="3" t="s">
        <v>365</v>
      </c>
      <c r="Q146" s="3" t="s">
        <v>366</v>
      </c>
      <c r="R146" s="3" t="s">
        <v>367</v>
      </c>
      <c r="S146" s="2"/>
      <c r="T146" s="2"/>
      <c r="U146" s="457" t="s">
        <v>368</v>
      </c>
    </row>
    <row r="147" spans="1:21" ht="13.75" customHeight="1">
      <c r="A147" s="456" t="s">
        <v>723</v>
      </c>
      <c r="B147" s="3" t="s">
        <v>724</v>
      </c>
      <c r="C147" s="3" t="s">
        <v>274</v>
      </c>
      <c r="D147" s="5">
        <v>2022</v>
      </c>
      <c r="E147" s="3" t="s">
        <v>361</v>
      </c>
      <c r="F147" s="3" t="s">
        <v>362</v>
      </c>
      <c r="G147" s="3" t="s">
        <v>363</v>
      </c>
      <c r="H147" s="5">
        <v>20231</v>
      </c>
      <c r="I147" s="3" t="s">
        <v>364</v>
      </c>
      <c r="J147" s="3" t="s">
        <v>278</v>
      </c>
      <c r="K147" s="3" t="s">
        <v>279</v>
      </c>
      <c r="L147" s="3" t="s">
        <v>307</v>
      </c>
      <c r="M147" s="3" t="s">
        <v>292</v>
      </c>
      <c r="N147" s="5">
        <v>500</v>
      </c>
      <c r="O147" s="5">
        <v>10</v>
      </c>
      <c r="P147" s="3" t="s">
        <v>365</v>
      </c>
      <c r="Q147" s="3" t="s">
        <v>366</v>
      </c>
      <c r="R147" s="3" t="s">
        <v>367</v>
      </c>
      <c r="S147" s="2"/>
      <c r="T147" s="2"/>
      <c r="U147" s="457" t="s">
        <v>368</v>
      </c>
    </row>
    <row r="148" spans="1:21" ht="13.75" customHeight="1">
      <c r="A148" s="456" t="s">
        <v>725</v>
      </c>
      <c r="B148" s="3" t="s">
        <v>726</v>
      </c>
      <c r="C148" s="3" t="s">
        <v>274</v>
      </c>
      <c r="D148" s="5">
        <v>2022</v>
      </c>
      <c r="E148" s="3" t="s">
        <v>361</v>
      </c>
      <c r="F148" s="3" t="s">
        <v>362</v>
      </c>
      <c r="G148" s="3" t="s">
        <v>363</v>
      </c>
      <c r="H148" s="5">
        <v>20231</v>
      </c>
      <c r="I148" s="3" t="s">
        <v>364</v>
      </c>
      <c r="J148" s="3" t="s">
        <v>278</v>
      </c>
      <c r="K148" s="3" t="s">
        <v>279</v>
      </c>
      <c r="L148" s="3" t="s">
        <v>307</v>
      </c>
      <c r="M148" s="3" t="s">
        <v>292</v>
      </c>
      <c r="N148" s="5">
        <v>500</v>
      </c>
      <c r="O148" s="5">
        <v>10</v>
      </c>
      <c r="P148" s="3" t="s">
        <v>365</v>
      </c>
      <c r="Q148" s="3" t="s">
        <v>366</v>
      </c>
      <c r="R148" s="3" t="s">
        <v>367</v>
      </c>
      <c r="S148" s="2"/>
      <c r="T148" s="2"/>
      <c r="U148" s="457" t="s">
        <v>368</v>
      </c>
    </row>
    <row r="149" spans="1:21" ht="13.75" customHeight="1">
      <c r="A149" s="456" t="s">
        <v>727</v>
      </c>
      <c r="B149" s="3" t="s">
        <v>728</v>
      </c>
      <c r="C149" s="3" t="s">
        <v>274</v>
      </c>
      <c r="D149" s="5">
        <v>2022</v>
      </c>
      <c r="E149" s="3" t="s">
        <v>361</v>
      </c>
      <c r="F149" s="3" t="s">
        <v>362</v>
      </c>
      <c r="G149" s="3" t="s">
        <v>363</v>
      </c>
      <c r="H149" s="5">
        <v>20231</v>
      </c>
      <c r="I149" s="3" t="s">
        <v>364</v>
      </c>
      <c r="J149" s="3" t="s">
        <v>278</v>
      </c>
      <c r="K149" s="3" t="s">
        <v>279</v>
      </c>
      <c r="L149" s="3" t="s">
        <v>307</v>
      </c>
      <c r="M149" s="3" t="s">
        <v>292</v>
      </c>
      <c r="N149" s="5">
        <v>500</v>
      </c>
      <c r="O149" s="5">
        <v>10</v>
      </c>
      <c r="P149" s="3" t="s">
        <v>365</v>
      </c>
      <c r="Q149" s="3" t="s">
        <v>366</v>
      </c>
      <c r="R149" s="3" t="s">
        <v>367</v>
      </c>
      <c r="S149" s="2"/>
      <c r="T149" s="2"/>
      <c r="U149" s="457" t="s">
        <v>368</v>
      </c>
    </row>
    <row r="150" spans="1:21" ht="13.75" customHeight="1">
      <c r="A150" s="456" t="s">
        <v>729</v>
      </c>
      <c r="B150" s="3" t="s">
        <v>730</v>
      </c>
      <c r="C150" s="3" t="s">
        <v>274</v>
      </c>
      <c r="D150" s="5">
        <v>2022</v>
      </c>
      <c r="E150" s="3" t="s">
        <v>361</v>
      </c>
      <c r="F150" s="3" t="s">
        <v>362</v>
      </c>
      <c r="G150" s="3" t="s">
        <v>363</v>
      </c>
      <c r="H150" s="5">
        <v>20231</v>
      </c>
      <c r="I150" s="3" t="s">
        <v>364</v>
      </c>
      <c r="J150" s="3" t="s">
        <v>278</v>
      </c>
      <c r="K150" s="3" t="s">
        <v>279</v>
      </c>
      <c r="L150" s="3" t="s">
        <v>307</v>
      </c>
      <c r="M150" s="3" t="s">
        <v>292</v>
      </c>
      <c r="N150" s="5">
        <v>500</v>
      </c>
      <c r="O150" s="5">
        <v>10</v>
      </c>
      <c r="P150" s="3" t="s">
        <v>365</v>
      </c>
      <c r="Q150" s="3" t="s">
        <v>366</v>
      </c>
      <c r="R150" s="3" t="s">
        <v>367</v>
      </c>
      <c r="S150" s="2"/>
      <c r="T150" s="2"/>
      <c r="U150" s="457" t="s">
        <v>368</v>
      </c>
    </row>
    <row r="151" spans="1:21" ht="13.75" customHeight="1">
      <c r="A151" s="456" t="s">
        <v>731</v>
      </c>
      <c r="B151" s="3" t="s">
        <v>732</v>
      </c>
      <c r="C151" s="3" t="s">
        <v>274</v>
      </c>
      <c r="D151" s="5">
        <v>2022</v>
      </c>
      <c r="E151" s="3" t="s">
        <v>361</v>
      </c>
      <c r="F151" s="3" t="s">
        <v>362</v>
      </c>
      <c r="G151" s="3" t="s">
        <v>363</v>
      </c>
      <c r="H151" s="5">
        <v>20231</v>
      </c>
      <c r="I151" s="3" t="s">
        <v>364</v>
      </c>
      <c r="J151" s="3" t="s">
        <v>278</v>
      </c>
      <c r="K151" s="3" t="s">
        <v>279</v>
      </c>
      <c r="L151" s="3" t="s">
        <v>307</v>
      </c>
      <c r="M151" s="3" t="s">
        <v>292</v>
      </c>
      <c r="N151" s="5">
        <v>500</v>
      </c>
      <c r="O151" s="5">
        <v>10</v>
      </c>
      <c r="P151" s="3" t="s">
        <v>365</v>
      </c>
      <c r="Q151" s="3" t="s">
        <v>366</v>
      </c>
      <c r="R151" s="3" t="s">
        <v>367</v>
      </c>
      <c r="S151" s="2"/>
      <c r="T151" s="2"/>
      <c r="U151" s="457" t="s">
        <v>368</v>
      </c>
    </row>
    <row r="152" spans="1:21" ht="13.75" customHeight="1">
      <c r="A152" s="456" t="s">
        <v>733</v>
      </c>
      <c r="B152" s="3" t="s">
        <v>734</v>
      </c>
      <c r="C152" s="3" t="s">
        <v>274</v>
      </c>
      <c r="D152" s="5">
        <v>2022</v>
      </c>
      <c r="E152" s="3" t="s">
        <v>361</v>
      </c>
      <c r="F152" s="3" t="s">
        <v>362</v>
      </c>
      <c r="G152" s="3" t="s">
        <v>363</v>
      </c>
      <c r="H152" s="5">
        <v>20231</v>
      </c>
      <c r="I152" s="3" t="s">
        <v>364</v>
      </c>
      <c r="J152" s="3" t="s">
        <v>278</v>
      </c>
      <c r="K152" s="3" t="s">
        <v>279</v>
      </c>
      <c r="L152" s="3" t="s">
        <v>307</v>
      </c>
      <c r="M152" s="3" t="s">
        <v>292</v>
      </c>
      <c r="N152" s="5">
        <v>500</v>
      </c>
      <c r="O152" s="5">
        <v>10</v>
      </c>
      <c r="P152" s="3" t="s">
        <v>365</v>
      </c>
      <c r="Q152" s="3" t="s">
        <v>366</v>
      </c>
      <c r="R152" s="3" t="s">
        <v>367</v>
      </c>
      <c r="S152" s="2"/>
      <c r="T152" s="2"/>
      <c r="U152" s="457" t="s">
        <v>368</v>
      </c>
    </row>
    <row r="153" spans="1:21" ht="13.75" customHeight="1">
      <c r="A153" s="456" t="s">
        <v>735</v>
      </c>
      <c r="B153" s="3" t="s">
        <v>736</v>
      </c>
      <c r="C153" s="3" t="s">
        <v>274</v>
      </c>
      <c r="D153" s="5">
        <v>2022</v>
      </c>
      <c r="E153" s="3" t="s">
        <v>361</v>
      </c>
      <c r="F153" s="3" t="s">
        <v>362</v>
      </c>
      <c r="G153" s="3" t="s">
        <v>363</v>
      </c>
      <c r="H153" s="5">
        <v>20231</v>
      </c>
      <c r="I153" s="3" t="s">
        <v>364</v>
      </c>
      <c r="J153" s="3" t="s">
        <v>278</v>
      </c>
      <c r="K153" s="3" t="s">
        <v>279</v>
      </c>
      <c r="L153" s="3" t="s">
        <v>307</v>
      </c>
      <c r="M153" s="3" t="s">
        <v>292</v>
      </c>
      <c r="N153" s="5">
        <v>500</v>
      </c>
      <c r="O153" s="5">
        <v>10</v>
      </c>
      <c r="P153" s="3" t="s">
        <v>365</v>
      </c>
      <c r="Q153" s="3" t="s">
        <v>366</v>
      </c>
      <c r="R153" s="3" t="s">
        <v>367</v>
      </c>
      <c r="S153" s="2"/>
      <c r="T153" s="2"/>
      <c r="U153" s="457" t="s">
        <v>368</v>
      </c>
    </row>
    <row r="154" spans="1:21" ht="13.75" customHeight="1">
      <c r="A154" s="456" t="s">
        <v>737</v>
      </c>
      <c r="B154" s="3" t="s">
        <v>738</v>
      </c>
      <c r="C154" s="3" t="s">
        <v>274</v>
      </c>
      <c r="D154" s="5">
        <v>2022</v>
      </c>
      <c r="E154" s="3" t="s">
        <v>361</v>
      </c>
      <c r="F154" s="3" t="s">
        <v>362</v>
      </c>
      <c r="G154" s="3" t="s">
        <v>363</v>
      </c>
      <c r="H154" s="5">
        <v>20231</v>
      </c>
      <c r="I154" s="3" t="s">
        <v>364</v>
      </c>
      <c r="J154" s="3" t="s">
        <v>278</v>
      </c>
      <c r="K154" s="3" t="s">
        <v>279</v>
      </c>
      <c r="L154" s="3" t="s">
        <v>307</v>
      </c>
      <c r="M154" s="3" t="s">
        <v>292</v>
      </c>
      <c r="N154" s="5">
        <v>500</v>
      </c>
      <c r="O154" s="5">
        <v>10</v>
      </c>
      <c r="P154" s="3" t="s">
        <v>365</v>
      </c>
      <c r="Q154" s="3" t="s">
        <v>366</v>
      </c>
      <c r="R154" s="3" t="s">
        <v>367</v>
      </c>
      <c r="S154" s="2"/>
      <c r="T154" s="2"/>
      <c r="U154" s="457" t="s">
        <v>368</v>
      </c>
    </row>
    <row r="155" spans="1:21" ht="13.75" customHeight="1">
      <c r="A155" s="456" t="s">
        <v>739</v>
      </c>
      <c r="B155" s="3" t="s">
        <v>740</v>
      </c>
      <c r="C155" s="3" t="s">
        <v>274</v>
      </c>
      <c r="D155" s="5">
        <v>2022</v>
      </c>
      <c r="E155" s="3" t="s">
        <v>361</v>
      </c>
      <c r="F155" s="3" t="s">
        <v>362</v>
      </c>
      <c r="G155" s="3" t="s">
        <v>363</v>
      </c>
      <c r="H155" s="5">
        <v>20231</v>
      </c>
      <c r="I155" s="3" t="s">
        <v>364</v>
      </c>
      <c r="J155" s="3" t="s">
        <v>278</v>
      </c>
      <c r="K155" s="3" t="s">
        <v>279</v>
      </c>
      <c r="L155" s="3" t="s">
        <v>307</v>
      </c>
      <c r="M155" s="3" t="s">
        <v>292</v>
      </c>
      <c r="N155" s="5">
        <v>500</v>
      </c>
      <c r="O155" s="5">
        <v>10</v>
      </c>
      <c r="P155" s="3" t="s">
        <v>365</v>
      </c>
      <c r="Q155" s="3" t="s">
        <v>366</v>
      </c>
      <c r="R155" s="3" t="s">
        <v>367</v>
      </c>
      <c r="S155" s="2"/>
      <c r="T155" s="2"/>
      <c r="U155" s="457" t="s">
        <v>368</v>
      </c>
    </row>
    <row r="156" spans="1:21" ht="13.75" customHeight="1">
      <c r="A156" s="456" t="s">
        <v>741</v>
      </c>
      <c r="B156" s="3" t="s">
        <v>742</v>
      </c>
      <c r="C156" s="3" t="s">
        <v>274</v>
      </c>
      <c r="D156" s="5">
        <v>2022</v>
      </c>
      <c r="E156" s="3" t="s">
        <v>361</v>
      </c>
      <c r="F156" s="3" t="s">
        <v>362</v>
      </c>
      <c r="G156" s="3" t="s">
        <v>363</v>
      </c>
      <c r="H156" s="5">
        <v>20231</v>
      </c>
      <c r="I156" s="3" t="s">
        <v>364</v>
      </c>
      <c r="J156" s="3" t="s">
        <v>278</v>
      </c>
      <c r="K156" s="3" t="s">
        <v>279</v>
      </c>
      <c r="L156" s="3" t="s">
        <v>307</v>
      </c>
      <c r="M156" s="3" t="s">
        <v>292</v>
      </c>
      <c r="N156" s="5">
        <v>500</v>
      </c>
      <c r="O156" s="5">
        <v>10</v>
      </c>
      <c r="P156" s="3" t="s">
        <v>365</v>
      </c>
      <c r="Q156" s="3" t="s">
        <v>366</v>
      </c>
      <c r="R156" s="3" t="s">
        <v>367</v>
      </c>
      <c r="S156" s="2"/>
      <c r="T156" s="2"/>
      <c r="U156" s="457" t="s">
        <v>368</v>
      </c>
    </row>
    <row r="157" spans="1:21" ht="13.75" customHeight="1">
      <c r="A157" s="456" t="s">
        <v>743</v>
      </c>
      <c r="B157" s="3" t="s">
        <v>744</v>
      </c>
      <c r="C157" s="3" t="s">
        <v>274</v>
      </c>
      <c r="D157" s="5">
        <v>2022</v>
      </c>
      <c r="E157" s="3" t="s">
        <v>361</v>
      </c>
      <c r="F157" s="3" t="s">
        <v>362</v>
      </c>
      <c r="G157" s="3" t="s">
        <v>363</v>
      </c>
      <c r="H157" s="5">
        <v>20231</v>
      </c>
      <c r="I157" s="3" t="s">
        <v>364</v>
      </c>
      <c r="J157" s="3" t="s">
        <v>278</v>
      </c>
      <c r="K157" s="3" t="s">
        <v>279</v>
      </c>
      <c r="L157" s="3" t="s">
        <v>307</v>
      </c>
      <c r="M157" s="3" t="s">
        <v>292</v>
      </c>
      <c r="N157" s="5">
        <v>500</v>
      </c>
      <c r="O157" s="5">
        <v>10</v>
      </c>
      <c r="P157" s="3" t="s">
        <v>365</v>
      </c>
      <c r="Q157" s="3" t="s">
        <v>366</v>
      </c>
      <c r="R157" s="3" t="s">
        <v>367</v>
      </c>
      <c r="S157" s="2"/>
      <c r="T157" s="2"/>
      <c r="U157" s="457" t="s">
        <v>368</v>
      </c>
    </row>
    <row r="158" spans="1:21" ht="13.75" customHeight="1">
      <c r="A158" s="456" t="s">
        <v>745</v>
      </c>
      <c r="B158" s="3" t="s">
        <v>746</v>
      </c>
      <c r="C158" s="3" t="s">
        <v>274</v>
      </c>
      <c r="D158" s="5">
        <v>2022</v>
      </c>
      <c r="E158" s="3" t="s">
        <v>361</v>
      </c>
      <c r="F158" s="3" t="s">
        <v>362</v>
      </c>
      <c r="G158" s="3" t="s">
        <v>363</v>
      </c>
      <c r="H158" s="5">
        <v>20231</v>
      </c>
      <c r="I158" s="3" t="s">
        <v>364</v>
      </c>
      <c r="J158" s="3" t="s">
        <v>278</v>
      </c>
      <c r="K158" s="3" t="s">
        <v>279</v>
      </c>
      <c r="L158" s="3" t="s">
        <v>307</v>
      </c>
      <c r="M158" s="3" t="s">
        <v>292</v>
      </c>
      <c r="N158" s="5">
        <v>500</v>
      </c>
      <c r="O158" s="5">
        <v>10</v>
      </c>
      <c r="P158" s="3" t="s">
        <v>365</v>
      </c>
      <c r="Q158" s="3" t="s">
        <v>366</v>
      </c>
      <c r="R158" s="3" t="s">
        <v>367</v>
      </c>
      <c r="S158" s="2"/>
      <c r="T158" s="2"/>
      <c r="U158" s="457" t="s">
        <v>368</v>
      </c>
    </row>
    <row r="159" spans="1:21" ht="13.75" customHeight="1">
      <c r="A159" s="456" t="s">
        <v>747</v>
      </c>
      <c r="B159" s="3" t="s">
        <v>748</v>
      </c>
      <c r="C159" s="3" t="s">
        <v>274</v>
      </c>
      <c r="D159" s="5">
        <v>2022</v>
      </c>
      <c r="E159" s="3" t="s">
        <v>361</v>
      </c>
      <c r="F159" s="3" t="s">
        <v>362</v>
      </c>
      <c r="G159" s="3" t="s">
        <v>363</v>
      </c>
      <c r="H159" s="5">
        <v>20231</v>
      </c>
      <c r="I159" s="3" t="s">
        <v>364</v>
      </c>
      <c r="J159" s="3" t="s">
        <v>278</v>
      </c>
      <c r="K159" s="3" t="s">
        <v>279</v>
      </c>
      <c r="L159" s="3" t="s">
        <v>307</v>
      </c>
      <c r="M159" s="3" t="s">
        <v>292</v>
      </c>
      <c r="N159" s="5">
        <v>500</v>
      </c>
      <c r="O159" s="5">
        <v>10</v>
      </c>
      <c r="P159" s="3" t="s">
        <v>365</v>
      </c>
      <c r="Q159" s="3" t="s">
        <v>366</v>
      </c>
      <c r="R159" s="3" t="s">
        <v>367</v>
      </c>
      <c r="S159" s="2"/>
      <c r="T159" s="2"/>
      <c r="U159" s="457" t="s">
        <v>368</v>
      </c>
    </row>
    <row r="160" spans="1:21" ht="13.75" customHeight="1">
      <c r="A160" s="456" t="s">
        <v>749</v>
      </c>
      <c r="B160" s="3" t="s">
        <v>750</v>
      </c>
      <c r="C160" s="3" t="s">
        <v>274</v>
      </c>
      <c r="D160" s="5">
        <v>2022</v>
      </c>
      <c r="E160" s="3" t="s">
        <v>361</v>
      </c>
      <c r="F160" s="3" t="s">
        <v>362</v>
      </c>
      <c r="G160" s="3" t="s">
        <v>363</v>
      </c>
      <c r="H160" s="5">
        <v>20231</v>
      </c>
      <c r="I160" s="3" t="s">
        <v>364</v>
      </c>
      <c r="J160" s="3" t="s">
        <v>278</v>
      </c>
      <c r="K160" s="3" t="s">
        <v>279</v>
      </c>
      <c r="L160" s="3" t="s">
        <v>307</v>
      </c>
      <c r="M160" s="3" t="s">
        <v>292</v>
      </c>
      <c r="N160" s="5">
        <v>500</v>
      </c>
      <c r="O160" s="5">
        <v>10</v>
      </c>
      <c r="P160" s="3" t="s">
        <v>365</v>
      </c>
      <c r="Q160" s="3" t="s">
        <v>366</v>
      </c>
      <c r="R160" s="3" t="s">
        <v>367</v>
      </c>
      <c r="S160" s="2"/>
      <c r="T160" s="2"/>
      <c r="U160" s="457" t="s">
        <v>368</v>
      </c>
    </row>
    <row r="161" spans="1:21" ht="13.75" customHeight="1">
      <c r="A161" s="456" t="s">
        <v>751</v>
      </c>
      <c r="B161" s="3" t="s">
        <v>752</v>
      </c>
      <c r="C161" s="3" t="s">
        <v>274</v>
      </c>
      <c r="D161" s="5">
        <v>2022</v>
      </c>
      <c r="E161" s="3" t="s">
        <v>361</v>
      </c>
      <c r="F161" s="3" t="s">
        <v>362</v>
      </c>
      <c r="G161" s="3" t="s">
        <v>363</v>
      </c>
      <c r="H161" s="5">
        <v>20231</v>
      </c>
      <c r="I161" s="3" t="s">
        <v>364</v>
      </c>
      <c r="J161" s="3" t="s">
        <v>278</v>
      </c>
      <c r="K161" s="3" t="s">
        <v>279</v>
      </c>
      <c r="L161" s="3" t="s">
        <v>307</v>
      </c>
      <c r="M161" s="3" t="s">
        <v>292</v>
      </c>
      <c r="N161" s="5">
        <v>500</v>
      </c>
      <c r="O161" s="5">
        <v>10</v>
      </c>
      <c r="P161" s="3" t="s">
        <v>365</v>
      </c>
      <c r="Q161" s="3" t="s">
        <v>366</v>
      </c>
      <c r="R161" s="3" t="s">
        <v>367</v>
      </c>
      <c r="S161" s="2"/>
      <c r="T161" s="2"/>
      <c r="U161" s="457" t="s">
        <v>368</v>
      </c>
    </row>
    <row r="162" spans="1:21" ht="13.75" customHeight="1">
      <c r="A162" s="456" t="s">
        <v>753</v>
      </c>
      <c r="B162" s="3" t="s">
        <v>754</v>
      </c>
      <c r="C162" s="3" t="s">
        <v>274</v>
      </c>
      <c r="D162" s="5">
        <v>2022</v>
      </c>
      <c r="E162" s="3" t="s">
        <v>361</v>
      </c>
      <c r="F162" s="3" t="s">
        <v>362</v>
      </c>
      <c r="G162" s="3" t="s">
        <v>363</v>
      </c>
      <c r="H162" s="5">
        <v>20231</v>
      </c>
      <c r="I162" s="3" t="s">
        <v>364</v>
      </c>
      <c r="J162" s="3" t="s">
        <v>278</v>
      </c>
      <c r="K162" s="3" t="s">
        <v>279</v>
      </c>
      <c r="L162" s="3" t="s">
        <v>307</v>
      </c>
      <c r="M162" s="3" t="s">
        <v>292</v>
      </c>
      <c r="N162" s="5">
        <v>500</v>
      </c>
      <c r="O162" s="5">
        <v>10</v>
      </c>
      <c r="P162" s="3" t="s">
        <v>365</v>
      </c>
      <c r="Q162" s="3" t="s">
        <v>366</v>
      </c>
      <c r="R162" s="3" t="s">
        <v>367</v>
      </c>
      <c r="S162" s="2"/>
      <c r="T162" s="2"/>
      <c r="U162" s="457" t="s">
        <v>368</v>
      </c>
    </row>
    <row r="163" spans="1:21" ht="13.75" customHeight="1">
      <c r="A163" s="456" t="s">
        <v>755</v>
      </c>
      <c r="B163" s="3" t="s">
        <v>756</v>
      </c>
      <c r="C163" s="3" t="s">
        <v>274</v>
      </c>
      <c r="D163" s="5">
        <v>2022</v>
      </c>
      <c r="E163" s="3" t="s">
        <v>361</v>
      </c>
      <c r="F163" s="3" t="s">
        <v>362</v>
      </c>
      <c r="G163" s="3" t="s">
        <v>363</v>
      </c>
      <c r="H163" s="5">
        <v>20231</v>
      </c>
      <c r="I163" s="3" t="s">
        <v>364</v>
      </c>
      <c r="J163" s="3" t="s">
        <v>278</v>
      </c>
      <c r="K163" s="3" t="s">
        <v>279</v>
      </c>
      <c r="L163" s="3" t="s">
        <v>307</v>
      </c>
      <c r="M163" s="3" t="s">
        <v>292</v>
      </c>
      <c r="N163" s="5">
        <v>500</v>
      </c>
      <c r="O163" s="5">
        <v>10</v>
      </c>
      <c r="P163" s="3" t="s">
        <v>365</v>
      </c>
      <c r="Q163" s="3" t="s">
        <v>366</v>
      </c>
      <c r="R163" s="3" t="s">
        <v>367</v>
      </c>
      <c r="S163" s="2"/>
      <c r="T163" s="2"/>
      <c r="U163" s="457" t="s">
        <v>368</v>
      </c>
    </row>
    <row r="164" spans="1:21" ht="13.75" customHeight="1">
      <c r="A164" s="456" t="s">
        <v>757</v>
      </c>
      <c r="B164" s="3" t="s">
        <v>758</v>
      </c>
      <c r="C164" s="3" t="s">
        <v>274</v>
      </c>
      <c r="D164" s="5">
        <v>2022</v>
      </c>
      <c r="E164" s="3" t="s">
        <v>759</v>
      </c>
      <c r="F164" s="3" t="s">
        <v>760</v>
      </c>
      <c r="G164" s="3" t="s">
        <v>760</v>
      </c>
      <c r="H164" s="5">
        <v>20222</v>
      </c>
      <c r="I164" s="3" t="s">
        <v>761</v>
      </c>
      <c r="J164" s="3" t="s">
        <v>278</v>
      </c>
      <c r="K164" s="3" t="s">
        <v>332</v>
      </c>
      <c r="L164" s="3" t="s">
        <v>438</v>
      </c>
      <c r="M164" s="3" t="s">
        <v>292</v>
      </c>
      <c r="N164" s="5">
        <v>45</v>
      </c>
      <c r="O164" s="5">
        <v>10</v>
      </c>
      <c r="P164" s="3" t="s">
        <v>762</v>
      </c>
      <c r="Q164" s="3" t="s">
        <v>763</v>
      </c>
      <c r="R164" s="2"/>
      <c r="S164" s="2"/>
      <c r="T164" s="2"/>
      <c r="U164" s="457" t="s">
        <v>764</v>
      </c>
    </row>
    <row r="165" spans="1:21" ht="13.75" customHeight="1">
      <c r="A165" s="456" t="s">
        <v>765</v>
      </c>
      <c r="B165" s="3" t="s">
        <v>766</v>
      </c>
      <c r="C165" s="3" t="s">
        <v>274</v>
      </c>
      <c r="D165" s="5">
        <v>2022</v>
      </c>
      <c r="E165" s="3" t="s">
        <v>759</v>
      </c>
      <c r="F165" s="3" t="s">
        <v>760</v>
      </c>
      <c r="G165" s="3" t="s">
        <v>760</v>
      </c>
      <c r="H165" s="5">
        <v>20222</v>
      </c>
      <c r="I165" s="3" t="s">
        <v>761</v>
      </c>
      <c r="J165" s="3" t="s">
        <v>278</v>
      </c>
      <c r="K165" s="3" t="s">
        <v>332</v>
      </c>
      <c r="L165" s="3" t="s">
        <v>438</v>
      </c>
      <c r="M165" s="3" t="s">
        <v>292</v>
      </c>
      <c r="N165" s="5">
        <v>33</v>
      </c>
      <c r="O165" s="5">
        <v>10</v>
      </c>
      <c r="P165" s="3" t="s">
        <v>762</v>
      </c>
      <c r="Q165" s="3" t="s">
        <v>767</v>
      </c>
      <c r="R165" s="2"/>
      <c r="S165" s="2"/>
      <c r="T165" s="2"/>
      <c r="U165" s="457" t="s">
        <v>764</v>
      </c>
    </row>
    <row r="166" spans="1:21" ht="13.75" customHeight="1">
      <c r="A166" s="456" t="s">
        <v>768</v>
      </c>
      <c r="B166" s="3" t="s">
        <v>769</v>
      </c>
      <c r="C166" s="3" t="s">
        <v>274</v>
      </c>
      <c r="D166" s="5">
        <v>2023</v>
      </c>
      <c r="E166" s="3" t="s">
        <v>361</v>
      </c>
      <c r="F166" s="3" t="s">
        <v>362</v>
      </c>
      <c r="G166" s="3" t="s">
        <v>363</v>
      </c>
      <c r="H166" s="5">
        <v>20231</v>
      </c>
      <c r="I166" s="3" t="s">
        <v>364</v>
      </c>
      <c r="J166" s="3" t="s">
        <v>278</v>
      </c>
      <c r="K166" s="3" t="s">
        <v>279</v>
      </c>
      <c r="L166" s="3" t="s">
        <v>307</v>
      </c>
      <c r="M166" s="3" t="s">
        <v>292</v>
      </c>
      <c r="N166" s="5">
        <v>500</v>
      </c>
      <c r="O166" s="5">
        <v>10</v>
      </c>
      <c r="P166" s="3" t="s">
        <v>365</v>
      </c>
      <c r="Q166" s="3" t="s">
        <v>366</v>
      </c>
      <c r="R166" s="3" t="s">
        <v>367</v>
      </c>
      <c r="S166" s="2"/>
      <c r="T166" s="2"/>
      <c r="U166" s="457" t="s">
        <v>368</v>
      </c>
    </row>
    <row r="167" spans="1:21" ht="13.75" customHeight="1">
      <c r="A167" s="456" t="s">
        <v>770</v>
      </c>
      <c r="B167" s="3" t="s">
        <v>771</v>
      </c>
      <c r="C167" s="3" t="s">
        <v>274</v>
      </c>
      <c r="D167" s="5">
        <v>2023</v>
      </c>
      <c r="E167" s="3" t="s">
        <v>361</v>
      </c>
      <c r="F167" s="3" t="s">
        <v>362</v>
      </c>
      <c r="G167" s="3" t="s">
        <v>363</v>
      </c>
      <c r="H167" s="5">
        <v>20231</v>
      </c>
      <c r="I167" s="3" t="s">
        <v>364</v>
      </c>
      <c r="J167" s="3" t="s">
        <v>278</v>
      </c>
      <c r="K167" s="3" t="s">
        <v>279</v>
      </c>
      <c r="L167" s="3" t="s">
        <v>307</v>
      </c>
      <c r="M167" s="3" t="s">
        <v>292</v>
      </c>
      <c r="N167" s="5">
        <v>500</v>
      </c>
      <c r="O167" s="5">
        <v>10</v>
      </c>
      <c r="P167" s="3" t="s">
        <v>365</v>
      </c>
      <c r="Q167" s="3" t="s">
        <v>366</v>
      </c>
      <c r="R167" s="3" t="s">
        <v>367</v>
      </c>
      <c r="S167" s="2"/>
      <c r="T167" s="2"/>
      <c r="U167" s="457" t="s">
        <v>368</v>
      </c>
    </row>
    <row r="168" spans="1:21" ht="13.75" customHeight="1">
      <c r="A168" s="456" t="s">
        <v>772</v>
      </c>
      <c r="B168" s="3" t="s">
        <v>773</v>
      </c>
      <c r="C168" s="3" t="s">
        <v>274</v>
      </c>
      <c r="D168" s="5">
        <v>2023</v>
      </c>
      <c r="E168" s="3" t="s">
        <v>774</v>
      </c>
      <c r="F168" s="3" t="s">
        <v>775</v>
      </c>
      <c r="G168" s="3" t="s">
        <v>775</v>
      </c>
      <c r="H168" s="5">
        <v>20231</v>
      </c>
      <c r="I168" s="3" t="s">
        <v>776</v>
      </c>
      <c r="J168" s="3" t="s">
        <v>278</v>
      </c>
      <c r="K168" s="3" t="s">
        <v>279</v>
      </c>
      <c r="L168" s="3" t="s">
        <v>291</v>
      </c>
      <c r="M168" s="3" t="s">
        <v>292</v>
      </c>
      <c r="N168" s="5">
        <v>60</v>
      </c>
      <c r="O168" s="5">
        <v>5</v>
      </c>
      <c r="P168" s="2"/>
      <c r="Q168" s="3" t="s">
        <v>777</v>
      </c>
      <c r="R168" s="2"/>
      <c r="S168" s="2"/>
      <c r="T168" s="2"/>
      <c r="U168" s="457" t="s">
        <v>778</v>
      </c>
    </row>
    <row r="169" spans="1:21" ht="13.75" customHeight="1">
      <c r="A169" s="456" t="s">
        <v>779</v>
      </c>
      <c r="B169" s="3" t="s">
        <v>780</v>
      </c>
      <c r="C169" s="3" t="s">
        <v>274</v>
      </c>
      <c r="D169" s="5">
        <v>2023</v>
      </c>
      <c r="E169" s="3" t="s">
        <v>361</v>
      </c>
      <c r="F169" s="3" t="s">
        <v>362</v>
      </c>
      <c r="G169" s="3" t="s">
        <v>363</v>
      </c>
      <c r="H169" s="5">
        <v>20231</v>
      </c>
      <c r="I169" s="3" t="s">
        <v>364</v>
      </c>
      <c r="J169" s="3" t="s">
        <v>278</v>
      </c>
      <c r="K169" s="3" t="s">
        <v>279</v>
      </c>
      <c r="L169" s="3" t="s">
        <v>307</v>
      </c>
      <c r="M169" s="3" t="s">
        <v>292</v>
      </c>
      <c r="N169" s="5">
        <v>500</v>
      </c>
      <c r="O169" s="5">
        <v>10</v>
      </c>
      <c r="P169" s="3" t="s">
        <v>365</v>
      </c>
      <c r="Q169" s="3" t="s">
        <v>366</v>
      </c>
      <c r="R169" s="3" t="s">
        <v>367</v>
      </c>
      <c r="S169" s="2"/>
      <c r="T169" s="2"/>
      <c r="U169" s="457" t="s">
        <v>368</v>
      </c>
    </row>
    <row r="170" spans="1:21" ht="13.75" customHeight="1">
      <c r="A170" s="456" t="s">
        <v>781</v>
      </c>
      <c r="B170" s="3" t="s">
        <v>782</v>
      </c>
      <c r="C170" s="3" t="s">
        <v>274</v>
      </c>
      <c r="D170" s="5">
        <v>2023</v>
      </c>
      <c r="E170" s="3" t="s">
        <v>361</v>
      </c>
      <c r="F170" s="3" t="s">
        <v>362</v>
      </c>
      <c r="G170" s="3" t="s">
        <v>363</v>
      </c>
      <c r="H170" s="5">
        <v>20231</v>
      </c>
      <c r="I170" s="3" t="s">
        <v>364</v>
      </c>
      <c r="J170" s="3" t="s">
        <v>278</v>
      </c>
      <c r="K170" s="3" t="s">
        <v>279</v>
      </c>
      <c r="L170" s="3" t="s">
        <v>307</v>
      </c>
      <c r="M170" s="3" t="s">
        <v>292</v>
      </c>
      <c r="N170" s="5">
        <v>500</v>
      </c>
      <c r="O170" s="5">
        <v>10</v>
      </c>
      <c r="P170" s="3" t="s">
        <v>365</v>
      </c>
      <c r="Q170" s="3" t="s">
        <v>366</v>
      </c>
      <c r="R170" s="3" t="s">
        <v>367</v>
      </c>
      <c r="S170" s="2"/>
      <c r="T170" s="2"/>
      <c r="U170" s="457" t="s">
        <v>368</v>
      </c>
    </row>
    <row r="171" spans="1:21" ht="13.75" customHeight="1">
      <c r="A171" s="456" t="s">
        <v>783</v>
      </c>
      <c r="B171" s="3" t="s">
        <v>784</v>
      </c>
      <c r="C171" s="3" t="s">
        <v>274</v>
      </c>
      <c r="D171" s="5">
        <v>2023</v>
      </c>
      <c r="E171" s="3" t="s">
        <v>361</v>
      </c>
      <c r="F171" s="3" t="s">
        <v>362</v>
      </c>
      <c r="G171" s="3" t="s">
        <v>363</v>
      </c>
      <c r="H171" s="5">
        <v>20231</v>
      </c>
      <c r="I171" s="3" t="s">
        <v>364</v>
      </c>
      <c r="J171" s="3" t="s">
        <v>278</v>
      </c>
      <c r="K171" s="3" t="s">
        <v>279</v>
      </c>
      <c r="L171" s="3" t="s">
        <v>307</v>
      </c>
      <c r="M171" s="3" t="s">
        <v>292</v>
      </c>
      <c r="N171" s="5">
        <v>500</v>
      </c>
      <c r="O171" s="5">
        <v>10</v>
      </c>
      <c r="P171" s="3" t="s">
        <v>365</v>
      </c>
      <c r="Q171" s="3" t="s">
        <v>366</v>
      </c>
      <c r="R171" s="3" t="s">
        <v>367</v>
      </c>
      <c r="S171" s="2"/>
      <c r="T171" s="2"/>
      <c r="U171" s="457" t="s">
        <v>368</v>
      </c>
    </row>
    <row r="172" spans="1:21" ht="13.75" customHeight="1">
      <c r="A172" s="456" t="s">
        <v>785</v>
      </c>
      <c r="B172" s="3" t="s">
        <v>786</v>
      </c>
      <c r="C172" s="3" t="s">
        <v>274</v>
      </c>
      <c r="D172" s="5">
        <v>2023</v>
      </c>
      <c r="E172" s="3" t="s">
        <v>361</v>
      </c>
      <c r="F172" s="3" t="s">
        <v>362</v>
      </c>
      <c r="G172" s="3" t="s">
        <v>363</v>
      </c>
      <c r="H172" s="5">
        <v>20231</v>
      </c>
      <c r="I172" s="3" t="s">
        <v>364</v>
      </c>
      <c r="J172" s="3" t="s">
        <v>278</v>
      </c>
      <c r="K172" s="3" t="s">
        <v>279</v>
      </c>
      <c r="L172" s="3" t="s">
        <v>307</v>
      </c>
      <c r="M172" s="3" t="s">
        <v>292</v>
      </c>
      <c r="N172" s="5">
        <v>500</v>
      </c>
      <c r="O172" s="5">
        <v>10</v>
      </c>
      <c r="P172" s="3" t="s">
        <v>365</v>
      </c>
      <c r="Q172" s="3" t="s">
        <v>366</v>
      </c>
      <c r="R172" s="3" t="s">
        <v>367</v>
      </c>
      <c r="S172" s="2"/>
      <c r="T172" s="2"/>
      <c r="U172" s="457" t="s">
        <v>368</v>
      </c>
    </row>
    <row r="173" spans="1:21" ht="13.75" customHeight="1">
      <c r="A173" s="456" t="s">
        <v>787</v>
      </c>
      <c r="B173" s="3" t="s">
        <v>788</v>
      </c>
      <c r="C173" s="3" t="s">
        <v>274</v>
      </c>
      <c r="D173" s="5">
        <v>2023</v>
      </c>
      <c r="E173" s="3" t="s">
        <v>361</v>
      </c>
      <c r="F173" s="3" t="s">
        <v>362</v>
      </c>
      <c r="G173" s="3" t="s">
        <v>363</v>
      </c>
      <c r="H173" s="5">
        <v>20231</v>
      </c>
      <c r="I173" s="3" t="s">
        <v>364</v>
      </c>
      <c r="J173" s="3" t="s">
        <v>278</v>
      </c>
      <c r="K173" s="3" t="s">
        <v>279</v>
      </c>
      <c r="L173" s="3" t="s">
        <v>307</v>
      </c>
      <c r="M173" s="3" t="s">
        <v>292</v>
      </c>
      <c r="N173" s="5">
        <v>500</v>
      </c>
      <c r="O173" s="5">
        <v>10</v>
      </c>
      <c r="P173" s="3" t="s">
        <v>365</v>
      </c>
      <c r="Q173" s="3" t="s">
        <v>366</v>
      </c>
      <c r="R173" s="3" t="s">
        <v>367</v>
      </c>
      <c r="S173" s="2"/>
      <c r="T173" s="2"/>
      <c r="U173" s="457" t="s">
        <v>368</v>
      </c>
    </row>
    <row r="174" spans="1:21" ht="13.75" customHeight="1">
      <c r="A174" s="456" t="s">
        <v>789</v>
      </c>
      <c r="B174" s="3" t="s">
        <v>790</v>
      </c>
      <c r="C174" s="3" t="s">
        <v>274</v>
      </c>
      <c r="D174" s="5">
        <v>2023</v>
      </c>
      <c r="E174" s="3" t="s">
        <v>361</v>
      </c>
      <c r="F174" s="3" t="s">
        <v>362</v>
      </c>
      <c r="G174" s="3" t="s">
        <v>363</v>
      </c>
      <c r="H174" s="5">
        <v>20231</v>
      </c>
      <c r="I174" s="3" t="s">
        <v>364</v>
      </c>
      <c r="J174" s="3" t="s">
        <v>278</v>
      </c>
      <c r="K174" s="3" t="s">
        <v>279</v>
      </c>
      <c r="L174" s="3" t="s">
        <v>307</v>
      </c>
      <c r="M174" s="3" t="s">
        <v>292</v>
      </c>
      <c r="N174" s="5">
        <v>500</v>
      </c>
      <c r="O174" s="5">
        <v>10</v>
      </c>
      <c r="P174" s="3" t="s">
        <v>365</v>
      </c>
      <c r="Q174" s="3" t="s">
        <v>366</v>
      </c>
      <c r="R174" s="3" t="s">
        <v>367</v>
      </c>
      <c r="S174" s="2"/>
      <c r="T174" s="2"/>
      <c r="U174" s="457" t="s">
        <v>368</v>
      </c>
    </row>
    <row r="175" spans="1:21" ht="13.75" customHeight="1">
      <c r="A175" s="456" t="s">
        <v>791</v>
      </c>
      <c r="B175" s="3" t="s">
        <v>792</v>
      </c>
      <c r="C175" s="3" t="s">
        <v>274</v>
      </c>
      <c r="D175" s="5">
        <v>2023</v>
      </c>
      <c r="E175" s="3" t="s">
        <v>361</v>
      </c>
      <c r="F175" s="3" t="s">
        <v>362</v>
      </c>
      <c r="G175" s="3" t="s">
        <v>363</v>
      </c>
      <c r="H175" s="5">
        <v>20231</v>
      </c>
      <c r="I175" s="3" t="s">
        <v>364</v>
      </c>
      <c r="J175" s="3" t="s">
        <v>278</v>
      </c>
      <c r="K175" s="3" t="s">
        <v>279</v>
      </c>
      <c r="L175" s="3" t="s">
        <v>307</v>
      </c>
      <c r="M175" s="3" t="s">
        <v>292</v>
      </c>
      <c r="N175" s="5">
        <v>500</v>
      </c>
      <c r="O175" s="5">
        <v>10</v>
      </c>
      <c r="P175" s="3" t="s">
        <v>365</v>
      </c>
      <c r="Q175" s="3" t="s">
        <v>366</v>
      </c>
      <c r="R175" s="3" t="s">
        <v>367</v>
      </c>
      <c r="S175" s="2"/>
      <c r="T175" s="2"/>
      <c r="U175" s="457" t="s">
        <v>368</v>
      </c>
    </row>
    <row r="176" spans="1:21" ht="13.75" customHeight="1">
      <c r="A176" s="456" t="s">
        <v>793</v>
      </c>
      <c r="B176" s="3" t="s">
        <v>794</v>
      </c>
      <c r="C176" s="3" t="s">
        <v>274</v>
      </c>
      <c r="D176" s="5">
        <v>2023</v>
      </c>
      <c r="E176" s="3" t="s">
        <v>361</v>
      </c>
      <c r="F176" s="3" t="s">
        <v>362</v>
      </c>
      <c r="G176" s="3" t="s">
        <v>363</v>
      </c>
      <c r="H176" s="5">
        <v>20231</v>
      </c>
      <c r="I176" s="3" t="s">
        <v>364</v>
      </c>
      <c r="J176" s="3" t="s">
        <v>278</v>
      </c>
      <c r="K176" s="3" t="s">
        <v>279</v>
      </c>
      <c r="L176" s="3" t="s">
        <v>307</v>
      </c>
      <c r="M176" s="3" t="s">
        <v>292</v>
      </c>
      <c r="N176" s="5">
        <v>500</v>
      </c>
      <c r="O176" s="5">
        <v>10</v>
      </c>
      <c r="P176" s="3" t="s">
        <v>365</v>
      </c>
      <c r="Q176" s="3" t="s">
        <v>366</v>
      </c>
      <c r="R176" s="3" t="s">
        <v>367</v>
      </c>
      <c r="S176" s="2"/>
      <c r="T176" s="2"/>
      <c r="U176" s="457" t="s">
        <v>368</v>
      </c>
    </row>
    <row r="177" spans="1:21" ht="13.75" customHeight="1">
      <c r="A177" s="456" t="s">
        <v>795</v>
      </c>
      <c r="B177" s="3" t="s">
        <v>796</v>
      </c>
      <c r="C177" s="3" t="s">
        <v>274</v>
      </c>
      <c r="D177" s="5">
        <v>2023</v>
      </c>
      <c r="E177" s="3" t="s">
        <v>361</v>
      </c>
      <c r="F177" s="3" t="s">
        <v>362</v>
      </c>
      <c r="G177" s="3" t="s">
        <v>363</v>
      </c>
      <c r="H177" s="5">
        <v>20231</v>
      </c>
      <c r="I177" s="3" t="s">
        <v>364</v>
      </c>
      <c r="J177" s="3" t="s">
        <v>278</v>
      </c>
      <c r="K177" s="3" t="s">
        <v>279</v>
      </c>
      <c r="L177" s="3" t="s">
        <v>307</v>
      </c>
      <c r="M177" s="3" t="s">
        <v>292</v>
      </c>
      <c r="N177" s="5">
        <v>500</v>
      </c>
      <c r="O177" s="5">
        <v>10</v>
      </c>
      <c r="P177" s="3" t="s">
        <v>365</v>
      </c>
      <c r="Q177" s="3" t="s">
        <v>366</v>
      </c>
      <c r="R177" s="3" t="s">
        <v>367</v>
      </c>
      <c r="S177" s="2"/>
      <c r="T177" s="2"/>
      <c r="U177" s="457" t="s">
        <v>368</v>
      </c>
    </row>
    <row r="178" spans="1:21" ht="13.75" customHeight="1">
      <c r="A178" s="456" t="s">
        <v>797</v>
      </c>
      <c r="B178" s="3" t="s">
        <v>798</v>
      </c>
      <c r="C178" s="3" t="s">
        <v>274</v>
      </c>
      <c r="D178" s="5">
        <v>2023</v>
      </c>
      <c r="E178" s="3" t="s">
        <v>361</v>
      </c>
      <c r="F178" s="3" t="s">
        <v>362</v>
      </c>
      <c r="G178" s="3" t="s">
        <v>363</v>
      </c>
      <c r="H178" s="5">
        <v>20231</v>
      </c>
      <c r="I178" s="3" t="s">
        <v>364</v>
      </c>
      <c r="J178" s="3" t="s">
        <v>278</v>
      </c>
      <c r="K178" s="3" t="s">
        <v>279</v>
      </c>
      <c r="L178" s="3" t="s">
        <v>307</v>
      </c>
      <c r="M178" s="3" t="s">
        <v>292</v>
      </c>
      <c r="N178" s="5">
        <v>500</v>
      </c>
      <c r="O178" s="5">
        <v>10</v>
      </c>
      <c r="P178" s="3" t="s">
        <v>365</v>
      </c>
      <c r="Q178" s="3" t="s">
        <v>366</v>
      </c>
      <c r="R178" s="3" t="s">
        <v>367</v>
      </c>
      <c r="S178" s="2"/>
      <c r="T178" s="2"/>
      <c r="U178" s="457" t="s">
        <v>368</v>
      </c>
    </row>
    <row r="179" spans="1:21" ht="13.75" customHeight="1">
      <c r="A179" s="456" t="s">
        <v>799</v>
      </c>
      <c r="B179" s="3" t="s">
        <v>800</v>
      </c>
      <c r="C179" s="3" t="s">
        <v>274</v>
      </c>
      <c r="D179" s="5">
        <v>2023</v>
      </c>
      <c r="E179" s="3" t="s">
        <v>361</v>
      </c>
      <c r="F179" s="3" t="s">
        <v>362</v>
      </c>
      <c r="G179" s="3" t="s">
        <v>363</v>
      </c>
      <c r="H179" s="5">
        <v>20231</v>
      </c>
      <c r="I179" s="3" t="s">
        <v>364</v>
      </c>
      <c r="J179" s="3" t="s">
        <v>278</v>
      </c>
      <c r="K179" s="3" t="s">
        <v>279</v>
      </c>
      <c r="L179" s="3" t="s">
        <v>307</v>
      </c>
      <c r="M179" s="3" t="s">
        <v>292</v>
      </c>
      <c r="N179" s="5">
        <v>500</v>
      </c>
      <c r="O179" s="5">
        <v>10</v>
      </c>
      <c r="P179" s="3" t="s">
        <v>365</v>
      </c>
      <c r="Q179" s="3" t="s">
        <v>366</v>
      </c>
      <c r="R179" s="3" t="s">
        <v>367</v>
      </c>
      <c r="S179" s="2"/>
      <c r="T179" s="2"/>
      <c r="U179" s="457" t="s">
        <v>368</v>
      </c>
    </row>
    <row r="180" spans="1:21" ht="13.75" customHeight="1">
      <c r="A180" s="456" t="s">
        <v>801</v>
      </c>
      <c r="B180" s="3" t="s">
        <v>802</v>
      </c>
      <c r="C180" s="3" t="s">
        <v>274</v>
      </c>
      <c r="D180" s="5">
        <v>2023</v>
      </c>
      <c r="E180" s="3" t="s">
        <v>361</v>
      </c>
      <c r="F180" s="3" t="s">
        <v>362</v>
      </c>
      <c r="G180" s="3" t="s">
        <v>363</v>
      </c>
      <c r="H180" s="5">
        <v>20231</v>
      </c>
      <c r="I180" s="3" t="s">
        <v>364</v>
      </c>
      <c r="J180" s="3" t="s">
        <v>278</v>
      </c>
      <c r="K180" s="3" t="s">
        <v>279</v>
      </c>
      <c r="L180" s="3" t="s">
        <v>307</v>
      </c>
      <c r="M180" s="3" t="s">
        <v>292</v>
      </c>
      <c r="N180" s="5">
        <v>500</v>
      </c>
      <c r="O180" s="5">
        <v>10</v>
      </c>
      <c r="P180" s="3" t="s">
        <v>365</v>
      </c>
      <c r="Q180" s="3" t="s">
        <v>366</v>
      </c>
      <c r="R180" s="3" t="s">
        <v>367</v>
      </c>
      <c r="S180" s="2"/>
      <c r="T180" s="2"/>
      <c r="U180" s="457" t="s">
        <v>368</v>
      </c>
    </row>
    <row r="181" spans="1:21" ht="13.75" customHeight="1">
      <c r="A181" s="456" t="s">
        <v>803</v>
      </c>
      <c r="B181" s="3" t="s">
        <v>804</v>
      </c>
      <c r="C181" s="3" t="s">
        <v>274</v>
      </c>
      <c r="D181" s="5">
        <v>2023</v>
      </c>
      <c r="E181" s="3" t="s">
        <v>361</v>
      </c>
      <c r="F181" s="3" t="s">
        <v>362</v>
      </c>
      <c r="G181" s="3" t="s">
        <v>363</v>
      </c>
      <c r="H181" s="5">
        <v>20231</v>
      </c>
      <c r="I181" s="3" t="s">
        <v>364</v>
      </c>
      <c r="J181" s="3" t="s">
        <v>278</v>
      </c>
      <c r="K181" s="3" t="s">
        <v>279</v>
      </c>
      <c r="L181" s="3" t="s">
        <v>307</v>
      </c>
      <c r="M181" s="3" t="s">
        <v>292</v>
      </c>
      <c r="N181" s="5">
        <v>500</v>
      </c>
      <c r="O181" s="5">
        <v>10</v>
      </c>
      <c r="P181" s="3" t="s">
        <v>365</v>
      </c>
      <c r="Q181" s="3" t="s">
        <v>366</v>
      </c>
      <c r="R181" s="3" t="s">
        <v>367</v>
      </c>
      <c r="S181" s="2"/>
      <c r="T181" s="2"/>
      <c r="U181" s="457" t="s">
        <v>368</v>
      </c>
    </row>
    <row r="182" spans="1:21" ht="13.75" customHeight="1">
      <c r="A182" s="456" t="s">
        <v>805</v>
      </c>
      <c r="B182" s="3" t="s">
        <v>806</v>
      </c>
      <c r="C182" s="3" t="s">
        <v>274</v>
      </c>
      <c r="D182" s="5">
        <v>2023</v>
      </c>
      <c r="E182" s="3" t="s">
        <v>361</v>
      </c>
      <c r="F182" s="3" t="s">
        <v>362</v>
      </c>
      <c r="G182" s="3" t="s">
        <v>363</v>
      </c>
      <c r="H182" s="5">
        <v>20231</v>
      </c>
      <c r="I182" s="3" t="s">
        <v>364</v>
      </c>
      <c r="J182" s="3" t="s">
        <v>278</v>
      </c>
      <c r="K182" s="3" t="s">
        <v>279</v>
      </c>
      <c r="L182" s="3" t="s">
        <v>307</v>
      </c>
      <c r="M182" s="3" t="s">
        <v>292</v>
      </c>
      <c r="N182" s="5">
        <v>500</v>
      </c>
      <c r="O182" s="5">
        <v>10</v>
      </c>
      <c r="P182" s="3" t="s">
        <v>365</v>
      </c>
      <c r="Q182" s="3" t="s">
        <v>366</v>
      </c>
      <c r="R182" s="3" t="s">
        <v>367</v>
      </c>
      <c r="S182" s="2"/>
      <c r="T182" s="2"/>
      <c r="U182" s="457" t="s">
        <v>368</v>
      </c>
    </row>
    <row r="183" spans="1:21" ht="13.75" customHeight="1">
      <c r="A183" s="456" t="s">
        <v>807</v>
      </c>
      <c r="B183" s="3" t="s">
        <v>808</v>
      </c>
      <c r="C183" s="3" t="s">
        <v>274</v>
      </c>
      <c r="D183" s="5">
        <v>2023</v>
      </c>
      <c r="E183" s="3" t="s">
        <v>361</v>
      </c>
      <c r="F183" s="3" t="s">
        <v>362</v>
      </c>
      <c r="G183" s="3" t="s">
        <v>363</v>
      </c>
      <c r="H183" s="5">
        <v>20231</v>
      </c>
      <c r="I183" s="3" t="s">
        <v>364</v>
      </c>
      <c r="J183" s="3" t="s">
        <v>278</v>
      </c>
      <c r="K183" s="3" t="s">
        <v>279</v>
      </c>
      <c r="L183" s="3" t="s">
        <v>307</v>
      </c>
      <c r="M183" s="3" t="s">
        <v>292</v>
      </c>
      <c r="N183" s="5">
        <v>500</v>
      </c>
      <c r="O183" s="5">
        <v>10</v>
      </c>
      <c r="P183" s="3" t="s">
        <v>365</v>
      </c>
      <c r="Q183" s="3" t="s">
        <v>366</v>
      </c>
      <c r="R183" s="3" t="s">
        <v>367</v>
      </c>
      <c r="S183" s="2"/>
      <c r="T183" s="2"/>
      <c r="U183" s="457" t="s">
        <v>368</v>
      </c>
    </row>
    <row r="184" spans="1:21" ht="13.75" customHeight="1">
      <c r="A184" s="456" t="s">
        <v>809</v>
      </c>
      <c r="B184" s="3" t="s">
        <v>810</v>
      </c>
      <c r="C184" s="3" t="s">
        <v>274</v>
      </c>
      <c r="D184" s="5">
        <v>2023</v>
      </c>
      <c r="E184" s="3" t="s">
        <v>361</v>
      </c>
      <c r="F184" s="3" t="s">
        <v>362</v>
      </c>
      <c r="G184" s="3" t="s">
        <v>363</v>
      </c>
      <c r="H184" s="5">
        <v>20231</v>
      </c>
      <c r="I184" s="3" t="s">
        <v>364</v>
      </c>
      <c r="J184" s="3" t="s">
        <v>278</v>
      </c>
      <c r="K184" s="3" t="s">
        <v>279</v>
      </c>
      <c r="L184" s="3" t="s">
        <v>307</v>
      </c>
      <c r="M184" s="3" t="s">
        <v>292</v>
      </c>
      <c r="N184" s="5">
        <v>500</v>
      </c>
      <c r="O184" s="5">
        <v>10</v>
      </c>
      <c r="P184" s="3" t="s">
        <v>365</v>
      </c>
      <c r="Q184" s="3" t="s">
        <v>366</v>
      </c>
      <c r="R184" s="3" t="s">
        <v>367</v>
      </c>
      <c r="S184" s="2"/>
      <c r="T184" s="2"/>
      <c r="U184" s="457" t="s">
        <v>368</v>
      </c>
    </row>
    <row r="185" spans="1:21" ht="13.75" customHeight="1">
      <c r="A185" s="456" t="s">
        <v>811</v>
      </c>
      <c r="B185" s="3" t="s">
        <v>812</v>
      </c>
      <c r="C185" s="3" t="s">
        <v>274</v>
      </c>
      <c r="D185" s="5">
        <v>2023</v>
      </c>
      <c r="E185" s="3" t="s">
        <v>361</v>
      </c>
      <c r="F185" s="3" t="s">
        <v>362</v>
      </c>
      <c r="G185" s="3" t="s">
        <v>363</v>
      </c>
      <c r="H185" s="5">
        <v>20231</v>
      </c>
      <c r="I185" s="3" t="s">
        <v>364</v>
      </c>
      <c r="J185" s="3" t="s">
        <v>278</v>
      </c>
      <c r="K185" s="3" t="s">
        <v>279</v>
      </c>
      <c r="L185" s="3" t="s">
        <v>307</v>
      </c>
      <c r="M185" s="3" t="s">
        <v>292</v>
      </c>
      <c r="N185" s="5">
        <v>500</v>
      </c>
      <c r="O185" s="5">
        <v>10</v>
      </c>
      <c r="P185" s="3" t="s">
        <v>365</v>
      </c>
      <c r="Q185" s="3" t="s">
        <v>366</v>
      </c>
      <c r="R185" s="3" t="s">
        <v>367</v>
      </c>
      <c r="S185" s="2"/>
      <c r="T185" s="2"/>
      <c r="U185" s="457" t="s">
        <v>368</v>
      </c>
    </row>
    <row r="186" spans="1:21" ht="13.75" customHeight="1">
      <c r="A186" s="456" t="s">
        <v>813</v>
      </c>
      <c r="B186" s="3" t="s">
        <v>814</v>
      </c>
      <c r="C186" s="3" t="s">
        <v>274</v>
      </c>
      <c r="D186" s="5">
        <v>2023</v>
      </c>
      <c r="E186" s="3" t="s">
        <v>361</v>
      </c>
      <c r="F186" s="3" t="s">
        <v>362</v>
      </c>
      <c r="G186" s="3" t="s">
        <v>363</v>
      </c>
      <c r="H186" s="5">
        <v>20231</v>
      </c>
      <c r="I186" s="3" t="s">
        <v>364</v>
      </c>
      <c r="J186" s="3" t="s">
        <v>278</v>
      </c>
      <c r="K186" s="3" t="s">
        <v>279</v>
      </c>
      <c r="L186" s="3" t="s">
        <v>307</v>
      </c>
      <c r="M186" s="3" t="s">
        <v>292</v>
      </c>
      <c r="N186" s="5">
        <v>500</v>
      </c>
      <c r="O186" s="5">
        <v>10</v>
      </c>
      <c r="P186" s="3" t="s">
        <v>365</v>
      </c>
      <c r="Q186" s="3" t="s">
        <v>366</v>
      </c>
      <c r="R186" s="3" t="s">
        <v>367</v>
      </c>
      <c r="S186" s="2"/>
      <c r="T186" s="2"/>
      <c r="U186" s="457" t="s">
        <v>368</v>
      </c>
    </row>
    <row r="187" spans="1:21" ht="13.75" customHeight="1">
      <c r="A187" s="456" t="s">
        <v>815</v>
      </c>
      <c r="B187" s="3" t="s">
        <v>816</v>
      </c>
      <c r="C187" s="3" t="s">
        <v>274</v>
      </c>
      <c r="D187" s="5">
        <v>2023</v>
      </c>
      <c r="E187" s="3" t="s">
        <v>361</v>
      </c>
      <c r="F187" s="3" t="s">
        <v>362</v>
      </c>
      <c r="G187" s="3" t="s">
        <v>363</v>
      </c>
      <c r="H187" s="5">
        <v>20231</v>
      </c>
      <c r="I187" s="3" t="s">
        <v>364</v>
      </c>
      <c r="J187" s="3" t="s">
        <v>278</v>
      </c>
      <c r="K187" s="3" t="s">
        <v>279</v>
      </c>
      <c r="L187" s="3" t="s">
        <v>307</v>
      </c>
      <c r="M187" s="3" t="s">
        <v>292</v>
      </c>
      <c r="N187" s="5">
        <v>500</v>
      </c>
      <c r="O187" s="5">
        <v>10</v>
      </c>
      <c r="P187" s="3" t="s">
        <v>365</v>
      </c>
      <c r="Q187" s="3" t="s">
        <v>366</v>
      </c>
      <c r="R187" s="3" t="s">
        <v>367</v>
      </c>
      <c r="S187" s="2"/>
      <c r="T187" s="2"/>
      <c r="U187" s="457" t="s">
        <v>368</v>
      </c>
    </row>
    <row r="188" spans="1:21" ht="13.75" customHeight="1">
      <c r="A188" s="456" t="s">
        <v>817</v>
      </c>
      <c r="B188" s="3" t="s">
        <v>818</v>
      </c>
      <c r="C188" s="3" t="s">
        <v>274</v>
      </c>
      <c r="D188" s="5">
        <v>2023</v>
      </c>
      <c r="E188" s="3" t="s">
        <v>361</v>
      </c>
      <c r="F188" s="3" t="s">
        <v>362</v>
      </c>
      <c r="G188" s="3" t="s">
        <v>363</v>
      </c>
      <c r="H188" s="5">
        <v>20231</v>
      </c>
      <c r="I188" s="3" t="s">
        <v>364</v>
      </c>
      <c r="J188" s="3" t="s">
        <v>278</v>
      </c>
      <c r="K188" s="3" t="s">
        <v>279</v>
      </c>
      <c r="L188" s="3" t="s">
        <v>307</v>
      </c>
      <c r="M188" s="3" t="s">
        <v>292</v>
      </c>
      <c r="N188" s="5">
        <v>500</v>
      </c>
      <c r="O188" s="5">
        <v>10</v>
      </c>
      <c r="P188" s="3" t="s">
        <v>365</v>
      </c>
      <c r="Q188" s="3" t="s">
        <v>366</v>
      </c>
      <c r="R188" s="3" t="s">
        <v>367</v>
      </c>
      <c r="S188" s="2"/>
      <c r="T188" s="2"/>
      <c r="U188" s="457" t="s">
        <v>368</v>
      </c>
    </row>
    <row r="189" spans="1:21" ht="13.75" customHeight="1">
      <c r="A189" s="456" t="s">
        <v>819</v>
      </c>
      <c r="B189" s="3" t="s">
        <v>820</v>
      </c>
      <c r="C189" s="3" t="s">
        <v>274</v>
      </c>
      <c r="D189" s="5">
        <v>2023</v>
      </c>
      <c r="E189" s="3" t="s">
        <v>361</v>
      </c>
      <c r="F189" s="3" t="s">
        <v>362</v>
      </c>
      <c r="G189" s="3" t="s">
        <v>363</v>
      </c>
      <c r="H189" s="5">
        <v>20231</v>
      </c>
      <c r="I189" s="3" t="s">
        <v>364</v>
      </c>
      <c r="J189" s="3" t="s">
        <v>278</v>
      </c>
      <c r="K189" s="3" t="s">
        <v>279</v>
      </c>
      <c r="L189" s="3" t="s">
        <v>307</v>
      </c>
      <c r="M189" s="3" t="s">
        <v>292</v>
      </c>
      <c r="N189" s="5">
        <v>500</v>
      </c>
      <c r="O189" s="5">
        <v>10</v>
      </c>
      <c r="P189" s="3" t="s">
        <v>365</v>
      </c>
      <c r="Q189" s="3" t="s">
        <v>366</v>
      </c>
      <c r="R189" s="3" t="s">
        <v>367</v>
      </c>
      <c r="S189" s="2"/>
      <c r="T189" s="2"/>
      <c r="U189" s="457" t="s">
        <v>368</v>
      </c>
    </row>
    <row r="190" spans="1:21" ht="13.75" customHeight="1">
      <c r="A190" s="456" t="s">
        <v>821</v>
      </c>
      <c r="B190" s="3" t="s">
        <v>822</v>
      </c>
      <c r="C190" s="3" t="s">
        <v>274</v>
      </c>
      <c r="D190" s="5">
        <v>2023</v>
      </c>
      <c r="E190" s="3" t="s">
        <v>361</v>
      </c>
      <c r="F190" s="3" t="s">
        <v>362</v>
      </c>
      <c r="G190" s="3" t="s">
        <v>363</v>
      </c>
      <c r="H190" s="5">
        <v>20231</v>
      </c>
      <c r="I190" s="3" t="s">
        <v>364</v>
      </c>
      <c r="J190" s="3" t="s">
        <v>278</v>
      </c>
      <c r="K190" s="3" t="s">
        <v>279</v>
      </c>
      <c r="L190" s="3" t="s">
        <v>307</v>
      </c>
      <c r="M190" s="3" t="s">
        <v>292</v>
      </c>
      <c r="N190" s="5">
        <v>500</v>
      </c>
      <c r="O190" s="5">
        <v>10</v>
      </c>
      <c r="P190" s="3" t="s">
        <v>365</v>
      </c>
      <c r="Q190" s="3" t="s">
        <v>366</v>
      </c>
      <c r="R190" s="3" t="s">
        <v>367</v>
      </c>
      <c r="S190" s="2"/>
      <c r="T190" s="2"/>
      <c r="U190" s="457" t="s">
        <v>368</v>
      </c>
    </row>
    <row r="191" spans="1:21" ht="13.75" customHeight="1">
      <c r="A191" s="456" t="s">
        <v>823</v>
      </c>
      <c r="B191" s="3" t="s">
        <v>824</v>
      </c>
      <c r="C191" s="3" t="s">
        <v>274</v>
      </c>
      <c r="D191" s="5">
        <v>2023</v>
      </c>
      <c r="E191" s="3" t="s">
        <v>361</v>
      </c>
      <c r="F191" s="3" t="s">
        <v>362</v>
      </c>
      <c r="G191" s="3" t="s">
        <v>363</v>
      </c>
      <c r="H191" s="5">
        <v>20231</v>
      </c>
      <c r="I191" s="3" t="s">
        <v>364</v>
      </c>
      <c r="J191" s="3" t="s">
        <v>278</v>
      </c>
      <c r="K191" s="3" t="s">
        <v>279</v>
      </c>
      <c r="L191" s="3" t="s">
        <v>307</v>
      </c>
      <c r="M191" s="3" t="s">
        <v>292</v>
      </c>
      <c r="N191" s="5">
        <v>500</v>
      </c>
      <c r="O191" s="5">
        <v>10</v>
      </c>
      <c r="P191" s="3" t="s">
        <v>365</v>
      </c>
      <c r="Q191" s="3" t="s">
        <v>366</v>
      </c>
      <c r="R191" s="3" t="s">
        <v>367</v>
      </c>
      <c r="S191" s="2"/>
      <c r="T191" s="2"/>
      <c r="U191" s="457" t="s">
        <v>368</v>
      </c>
    </row>
    <row r="192" spans="1:21" ht="13.75" customHeight="1">
      <c r="A192" s="456" t="s">
        <v>825</v>
      </c>
      <c r="B192" s="3" t="s">
        <v>826</v>
      </c>
      <c r="C192" s="3" t="s">
        <v>274</v>
      </c>
      <c r="D192" s="5">
        <v>2023</v>
      </c>
      <c r="E192" s="3" t="s">
        <v>361</v>
      </c>
      <c r="F192" s="3" t="s">
        <v>362</v>
      </c>
      <c r="G192" s="3" t="s">
        <v>363</v>
      </c>
      <c r="H192" s="5">
        <v>20231</v>
      </c>
      <c r="I192" s="3" t="s">
        <v>364</v>
      </c>
      <c r="J192" s="3" t="s">
        <v>278</v>
      </c>
      <c r="K192" s="3" t="s">
        <v>279</v>
      </c>
      <c r="L192" s="3" t="s">
        <v>307</v>
      </c>
      <c r="M192" s="3" t="s">
        <v>292</v>
      </c>
      <c r="N192" s="5">
        <v>500</v>
      </c>
      <c r="O192" s="5">
        <v>10</v>
      </c>
      <c r="P192" s="3" t="s">
        <v>365</v>
      </c>
      <c r="Q192" s="3" t="s">
        <v>366</v>
      </c>
      <c r="R192" s="3" t="s">
        <v>367</v>
      </c>
      <c r="S192" s="2"/>
      <c r="T192" s="2"/>
      <c r="U192" s="457" t="s">
        <v>368</v>
      </c>
    </row>
    <row r="193" spans="1:21" ht="13.75" customHeight="1">
      <c r="A193" s="456" t="s">
        <v>827</v>
      </c>
      <c r="B193" s="3" t="s">
        <v>828</v>
      </c>
      <c r="C193" s="3" t="s">
        <v>274</v>
      </c>
      <c r="D193" s="5">
        <v>2023</v>
      </c>
      <c r="E193" s="3" t="s">
        <v>361</v>
      </c>
      <c r="F193" s="3" t="s">
        <v>362</v>
      </c>
      <c r="G193" s="3" t="s">
        <v>363</v>
      </c>
      <c r="H193" s="5">
        <v>20231</v>
      </c>
      <c r="I193" s="3" t="s">
        <v>364</v>
      </c>
      <c r="J193" s="3" t="s">
        <v>278</v>
      </c>
      <c r="K193" s="3" t="s">
        <v>279</v>
      </c>
      <c r="L193" s="3" t="s">
        <v>307</v>
      </c>
      <c r="M193" s="3" t="s">
        <v>292</v>
      </c>
      <c r="N193" s="5">
        <v>500</v>
      </c>
      <c r="O193" s="5">
        <v>10</v>
      </c>
      <c r="P193" s="3" t="s">
        <v>365</v>
      </c>
      <c r="Q193" s="3" t="s">
        <v>366</v>
      </c>
      <c r="R193" s="3" t="s">
        <v>367</v>
      </c>
      <c r="S193" s="2"/>
      <c r="T193" s="2"/>
      <c r="U193" s="457" t="s">
        <v>368</v>
      </c>
    </row>
    <row r="194" spans="1:21" ht="13.75" customHeight="1">
      <c r="A194" s="456" t="s">
        <v>829</v>
      </c>
      <c r="B194" s="3" t="s">
        <v>830</v>
      </c>
      <c r="C194" s="3" t="s">
        <v>274</v>
      </c>
      <c r="D194" s="5">
        <v>2023</v>
      </c>
      <c r="E194" s="3" t="s">
        <v>361</v>
      </c>
      <c r="F194" s="3" t="s">
        <v>362</v>
      </c>
      <c r="G194" s="3" t="s">
        <v>363</v>
      </c>
      <c r="H194" s="5">
        <v>20231</v>
      </c>
      <c r="I194" s="3" t="s">
        <v>364</v>
      </c>
      <c r="J194" s="3" t="s">
        <v>278</v>
      </c>
      <c r="K194" s="3" t="s">
        <v>279</v>
      </c>
      <c r="L194" s="3" t="s">
        <v>307</v>
      </c>
      <c r="M194" s="3" t="s">
        <v>292</v>
      </c>
      <c r="N194" s="5">
        <v>500</v>
      </c>
      <c r="O194" s="5">
        <v>10</v>
      </c>
      <c r="P194" s="3" t="s">
        <v>365</v>
      </c>
      <c r="Q194" s="3" t="s">
        <v>366</v>
      </c>
      <c r="R194" s="3" t="s">
        <v>367</v>
      </c>
      <c r="S194" s="2"/>
      <c r="T194" s="2"/>
      <c r="U194" s="457" t="s">
        <v>368</v>
      </c>
    </row>
    <row r="195" spans="1:21" ht="13.75" customHeight="1">
      <c r="A195" s="456" t="s">
        <v>831</v>
      </c>
      <c r="B195" s="3" t="s">
        <v>832</v>
      </c>
      <c r="C195" s="3" t="s">
        <v>274</v>
      </c>
      <c r="D195" s="5">
        <v>2023</v>
      </c>
      <c r="E195" s="3" t="s">
        <v>361</v>
      </c>
      <c r="F195" s="3" t="s">
        <v>362</v>
      </c>
      <c r="G195" s="3" t="s">
        <v>363</v>
      </c>
      <c r="H195" s="5">
        <v>20231</v>
      </c>
      <c r="I195" s="3" t="s">
        <v>364</v>
      </c>
      <c r="J195" s="3" t="s">
        <v>278</v>
      </c>
      <c r="K195" s="3" t="s">
        <v>279</v>
      </c>
      <c r="L195" s="3" t="s">
        <v>307</v>
      </c>
      <c r="M195" s="3" t="s">
        <v>292</v>
      </c>
      <c r="N195" s="5">
        <v>500</v>
      </c>
      <c r="O195" s="5">
        <v>10</v>
      </c>
      <c r="P195" s="3" t="s">
        <v>365</v>
      </c>
      <c r="Q195" s="3" t="s">
        <v>366</v>
      </c>
      <c r="R195" s="3" t="s">
        <v>367</v>
      </c>
      <c r="S195" s="2"/>
      <c r="T195" s="2"/>
      <c r="U195" s="457" t="s">
        <v>368</v>
      </c>
    </row>
    <row r="196" spans="1:21" ht="13.75" customHeight="1">
      <c r="A196" s="456" t="s">
        <v>833</v>
      </c>
      <c r="B196" s="3" t="s">
        <v>834</v>
      </c>
      <c r="C196" s="3" t="s">
        <v>274</v>
      </c>
      <c r="D196" s="5">
        <v>2023</v>
      </c>
      <c r="E196" s="3" t="s">
        <v>361</v>
      </c>
      <c r="F196" s="3" t="s">
        <v>362</v>
      </c>
      <c r="G196" s="3" t="s">
        <v>363</v>
      </c>
      <c r="H196" s="5">
        <v>20231</v>
      </c>
      <c r="I196" s="3" t="s">
        <v>364</v>
      </c>
      <c r="J196" s="3" t="s">
        <v>278</v>
      </c>
      <c r="K196" s="3" t="s">
        <v>279</v>
      </c>
      <c r="L196" s="3" t="s">
        <v>307</v>
      </c>
      <c r="M196" s="3" t="s">
        <v>292</v>
      </c>
      <c r="N196" s="5">
        <v>500</v>
      </c>
      <c r="O196" s="5">
        <v>10</v>
      </c>
      <c r="P196" s="3" t="s">
        <v>365</v>
      </c>
      <c r="Q196" s="3" t="s">
        <v>366</v>
      </c>
      <c r="R196" s="3" t="s">
        <v>367</v>
      </c>
      <c r="S196" s="2"/>
      <c r="T196" s="2"/>
      <c r="U196" s="457" t="s">
        <v>368</v>
      </c>
    </row>
    <row r="197" spans="1:21" ht="13.75" customHeight="1">
      <c r="A197" s="456" t="s">
        <v>835</v>
      </c>
      <c r="B197" s="3" t="s">
        <v>836</v>
      </c>
      <c r="C197" s="3" t="s">
        <v>274</v>
      </c>
      <c r="D197" s="5">
        <v>2023</v>
      </c>
      <c r="E197" s="3" t="s">
        <v>361</v>
      </c>
      <c r="F197" s="3" t="s">
        <v>362</v>
      </c>
      <c r="G197" s="3" t="s">
        <v>363</v>
      </c>
      <c r="H197" s="5">
        <v>20231</v>
      </c>
      <c r="I197" s="3" t="s">
        <v>364</v>
      </c>
      <c r="J197" s="3" t="s">
        <v>278</v>
      </c>
      <c r="K197" s="3" t="s">
        <v>279</v>
      </c>
      <c r="L197" s="3" t="s">
        <v>307</v>
      </c>
      <c r="M197" s="3" t="s">
        <v>292</v>
      </c>
      <c r="N197" s="5">
        <v>500</v>
      </c>
      <c r="O197" s="5">
        <v>10</v>
      </c>
      <c r="P197" s="3" t="s">
        <v>365</v>
      </c>
      <c r="Q197" s="3" t="s">
        <v>366</v>
      </c>
      <c r="R197" s="3" t="s">
        <v>367</v>
      </c>
      <c r="S197" s="2"/>
      <c r="T197" s="2"/>
      <c r="U197" s="457" t="s">
        <v>368</v>
      </c>
    </row>
    <row r="198" spans="1:21" ht="13.75" customHeight="1">
      <c r="A198" s="456" t="s">
        <v>837</v>
      </c>
      <c r="B198" s="3" t="s">
        <v>838</v>
      </c>
      <c r="C198" s="3" t="s">
        <v>274</v>
      </c>
      <c r="D198" s="5">
        <v>2023</v>
      </c>
      <c r="E198" s="3" t="s">
        <v>361</v>
      </c>
      <c r="F198" s="3" t="s">
        <v>362</v>
      </c>
      <c r="G198" s="3" t="s">
        <v>363</v>
      </c>
      <c r="H198" s="5">
        <v>20231</v>
      </c>
      <c r="I198" s="3" t="s">
        <v>364</v>
      </c>
      <c r="J198" s="3" t="s">
        <v>278</v>
      </c>
      <c r="K198" s="3" t="s">
        <v>279</v>
      </c>
      <c r="L198" s="3" t="s">
        <v>307</v>
      </c>
      <c r="M198" s="3" t="s">
        <v>292</v>
      </c>
      <c r="N198" s="5">
        <v>500</v>
      </c>
      <c r="O198" s="5">
        <v>10</v>
      </c>
      <c r="P198" s="3" t="s">
        <v>365</v>
      </c>
      <c r="Q198" s="3" t="s">
        <v>366</v>
      </c>
      <c r="R198" s="3" t="s">
        <v>367</v>
      </c>
      <c r="S198" s="2"/>
      <c r="T198" s="2"/>
      <c r="U198" s="457" t="s">
        <v>368</v>
      </c>
    </row>
    <row r="199" spans="1:21" ht="13.75" customHeight="1">
      <c r="A199" s="456" t="s">
        <v>839</v>
      </c>
      <c r="B199" s="3" t="s">
        <v>840</v>
      </c>
      <c r="C199" s="3" t="s">
        <v>274</v>
      </c>
      <c r="D199" s="5">
        <v>2023</v>
      </c>
      <c r="E199" s="3" t="s">
        <v>361</v>
      </c>
      <c r="F199" s="3" t="s">
        <v>362</v>
      </c>
      <c r="G199" s="3" t="s">
        <v>363</v>
      </c>
      <c r="H199" s="5">
        <v>20231</v>
      </c>
      <c r="I199" s="3" t="s">
        <v>364</v>
      </c>
      <c r="J199" s="3" t="s">
        <v>278</v>
      </c>
      <c r="K199" s="3" t="s">
        <v>279</v>
      </c>
      <c r="L199" s="3" t="s">
        <v>307</v>
      </c>
      <c r="M199" s="3" t="s">
        <v>292</v>
      </c>
      <c r="N199" s="5">
        <v>500</v>
      </c>
      <c r="O199" s="5">
        <v>10</v>
      </c>
      <c r="P199" s="3" t="s">
        <v>365</v>
      </c>
      <c r="Q199" s="3" t="s">
        <v>366</v>
      </c>
      <c r="R199" s="3" t="s">
        <v>367</v>
      </c>
      <c r="S199" s="2"/>
      <c r="T199" s="2"/>
      <c r="U199" s="457" t="s">
        <v>368</v>
      </c>
    </row>
    <row r="200" spans="1:21" ht="13.75" customHeight="1">
      <c r="A200" s="456" t="s">
        <v>841</v>
      </c>
      <c r="B200" s="3" t="s">
        <v>842</v>
      </c>
      <c r="C200" s="3" t="s">
        <v>274</v>
      </c>
      <c r="D200" s="5">
        <v>2023</v>
      </c>
      <c r="E200" s="3" t="s">
        <v>361</v>
      </c>
      <c r="F200" s="3" t="s">
        <v>362</v>
      </c>
      <c r="G200" s="3" t="s">
        <v>363</v>
      </c>
      <c r="H200" s="5">
        <v>20231</v>
      </c>
      <c r="I200" s="3" t="s">
        <v>364</v>
      </c>
      <c r="J200" s="3" t="s">
        <v>278</v>
      </c>
      <c r="K200" s="3" t="s">
        <v>279</v>
      </c>
      <c r="L200" s="3" t="s">
        <v>307</v>
      </c>
      <c r="M200" s="3" t="s">
        <v>292</v>
      </c>
      <c r="N200" s="5">
        <v>500</v>
      </c>
      <c r="O200" s="5">
        <v>10</v>
      </c>
      <c r="P200" s="3" t="s">
        <v>365</v>
      </c>
      <c r="Q200" s="3" t="s">
        <v>366</v>
      </c>
      <c r="R200" s="3" t="s">
        <v>367</v>
      </c>
      <c r="S200" s="2"/>
      <c r="T200" s="2"/>
      <c r="U200" s="457" t="s">
        <v>368</v>
      </c>
    </row>
    <row r="201" spans="1:21" ht="13.75" customHeight="1">
      <c r="A201" s="456" t="s">
        <v>843</v>
      </c>
      <c r="B201" s="3" t="s">
        <v>844</v>
      </c>
      <c r="C201" s="3" t="s">
        <v>274</v>
      </c>
      <c r="D201" s="5">
        <v>2023</v>
      </c>
      <c r="E201" s="3" t="s">
        <v>361</v>
      </c>
      <c r="F201" s="3" t="s">
        <v>362</v>
      </c>
      <c r="G201" s="3" t="s">
        <v>363</v>
      </c>
      <c r="H201" s="5">
        <v>20231</v>
      </c>
      <c r="I201" s="3" t="s">
        <v>364</v>
      </c>
      <c r="J201" s="3" t="s">
        <v>278</v>
      </c>
      <c r="K201" s="3" t="s">
        <v>279</v>
      </c>
      <c r="L201" s="3" t="s">
        <v>307</v>
      </c>
      <c r="M201" s="3" t="s">
        <v>292</v>
      </c>
      <c r="N201" s="5">
        <v>500</v>
      </c>
      <c r="O201" s="5">
        <v>10</v>
      </c>
      <c r="P201" s="3" t="s">
        <v>365</v>
      </c>
      <c r="Q201" s="3" t="s">
        <v>366</v>
      </c>
      <c r="R201" s="3" t="s">
        <v>367</v>
      </c>
      <c r="S201" s="2"/>
      <c r="T201" s="2"/>
      <c r="U201" s="457" t="s">
        <v>368</v>
      </c>
    </row>
    <row r="202" spans="1:21" ht="13.75" customHeight="1">
      <c r="A202" s="456" t="s">
        <v>845</v>
      </c>
      <c r="B202" s="3" t="s">
        <v>846</v>
      </c>
      <c r="C202" s="3" t="s">
        <v>274</v>
      </c>
      <c r="D202" s="5">
        <v>2023</v>
      </c>
      <c r="E202" s="3" t="s">
        <v>361</v>
      </c>
      <c r="F202" s="3" t="s">
        <v>362</v>
      </c>
      <c r="G202" s="3" t="s">
        <v>363</v>
      </c>
      <c r="H202" s="5">
        <v>20231</v>
      </c>
      <c r="I202" s="3" t="s">
        <v>364</v>
      </c>
      <c r="J202" s="3" t="s">
        <v>278</v>
      </c>
      <c r="K202" s="3" t="s">
        <v>279</v>
      </c>
      <c r="L202" s="3" t="s">
        <v>307</v>
      </c>
      <c r="M202" s="3" t="s">
        <v>292</v>
      </c>
      <c r="N202" s="5">
        <v>500</v>
      </c>
      <c r="O202" s="5">
        <v>10</v>
      </c>
      <c r="P202" s="3" t="s">
        <v>365</v>
      </c>
      <c r="Q202" s="3" t="s">
        <v>366</v>
      </c>
      <c r="R202" s="3" t="s">
        <v>367</v>
      </c>
      <c r="S202" s="2"/>
      <c r="T202" s="2"/>
      <c r="U202" s="457" t="s">
        <v>368</v>
      </c>
    </row>
    <row r="203" spans="1:21" ht="13.75" customHeight="1">
      <c r="A203" s="456" t="s">
        <v>847</v>
      </c>
      <c r="B203" s="3" t="s">
        <v>848</v>
      </c>
      <c r="C203" s="3" t="s">
        <v>274</v>
      </c>
      <c r="D203" s="5">
        <v>2023</v>
      </c>
      <c r="E203" s="3" t="s">
        <v>361</v>
      </c>
      <c r="F203" s="3" t="s">
        <v>362</v>
      </c>
      <c r="G203" s="3" t="s">
        <v>363</v>
      </c>
      <c r="H203" s="5">
        <v>20231</v>
      </c>
      <c r="I203" s="3" t="s">
        <v>364</v>
      </c>
      <c r="J203" s="3" t="s">
        <v>278</v>
      </c>
      <c r="K203" s="3" t="s">
        <v>279</v>
      </c>
      <c r="L203" s="3" t="s">
        <v>307</v>
      </c>
      <c r="M203" s="3" t="s">
        <v>292</v>
      </c>
      <c r="N203" s="5">
        <v>500</v>
      </c>
      <c r="O203" s="5">
        <v>10</v>
      </c>
      <c r="P203" s="3" t="s">
        <v>365</v>
      </c>
      <c r="Q203" s="3" t="s">
        <v>366</v>
      </c>
      <c r="R203" s="3" t="s">
        <v>367</v>
      </c>
      <c r="S203" s="2"/>
      <c r="T203" s="2"/>
      <c r="U203" s="457" t="s">
        <v>368</v>
      </c>
    </row>
    <row r="204" spans="1:21" ht="13.75" customHeight="1">
      <c r="A204" s="456" t="s">
        <v>849</v>
      </c>
      <c r="B204" s="3" t="s">
        <v>850</v>
      </c>
      <c r="C204" s="3" t="s">
        <v>274</v>
      </c>
      <c r="D204" s="5">
        <v>2023</v>
      </c>
      <c r="E204" s="3" t="s">
        <v>361</v>
      </c>
      <c r="F204" s="3" t="s">
        <v>362</v>
      </c>
      <c r="G204" s="3" t="s">
        <v>363</v>
      </c>
      <c r="H204" s="5">
        <v>20231</v>
      </c>
      <c r="I204" s="3" t="s">
        <v>364</v>
      </c>
      <c r="J204" s="3" t="s">
        <v>278</v>
      </c>
      <c r="K204" s="3" t="s">
        <v>279</v>
      </c>
      <c r="L204" s="3" t="s">
        <v>307</v>
      </c>
      <c r="M204" s="3" t="s">
        <v>292</v>
      </c>
      <c r="N204" s="5">
        <v>500</v>
      </c>
      <c r="O204" s="5">
        <v>10</v>
      </c>
      <c r="P204" s="3" t="s">
        <v>365</v>
      </c>
      <c r="Q204" s="3" t="s">
        <v>366</v>
      </c>
      <c r="R204" s="3" t="s">
        <v>367</v>
      </c>
      <c r="S204" s="2"/>
      <c r="T204" s="2"/>
      <c r="U204" s="457" t="s">
        <v>368</v>
      </c>
    </row>
    <row r="205" spans="1:21" ht="13.75" customHeight="1">
      <c r="A205" s="456" t="s">
        <v>851</v>
      </c>
      <c r="B205" s="3" t="s">
        <v>852</v>
      </c>
      <c r="C205" s="3" t="s">
        <v>274</v>
      </c>
      <c r="D205" s="5">
        <v>2023</v>
      </c>
      <c r="E205" s="3" t="s">
        <v>361</v>
      </c>
      <c r="F205" s="3" t="s">
        <v>362</v>
      </c>
      <c r="G205" s="3" t="s">
        <v>363</v>
      </c>
      <c r="H205" s="5">
        <v>20231</v>
      </c>
      <c r="I205" s="3" t="s">
        <v>364</v>
      </c>
      <c r="J205" s="3" t="s">
        <v>278</v>
      </c>
      <c r="K205" s="3" t="s">
        <v>279</v>
      </c>
      <c r="L205" s="3" t="s">
        <v>307</v>
      </c>
      <c r="M205" s="3" t="s">
        <v>292</v>
      </c>
      <c r="N205" s="5">
        <v>500</v>
      </c>
      <c r="O205" s="5">
        <v>10</v>
      </c>
      <c r="P205" s="3" t="s">
        <v>365</v>
      </c>
      <c r="Q205" s="3" t="s">
        <v>366</v>
      </c>
      <c r="R205" s="3" t="s">
        <v>367</v>
      </c>
      <c r="S205" s="2"/>
      <c r="T205" s="2"/>
      <c r="U205" s="457" t="s">
        <v>368</v>
      </c>
    </row>
    <row r="206" spans="1:21" ht="13.75" customHeight="1">
      <c r="A206" s="456" t="s">
        <v>853</v>
      </c>
      <c r="B206" s="3" t="s">
        <v>854</v>
      </c>
      <c r="C206" s="3" t="s">
        <v>274</v>
      </c>
      <c r="D206" s="5">
        <v>2023</v>
      </c>
      <c r="E206" s="3" t="s">
        <v>361</v>
      </c>
      <c r="F206" s="3" t="s">
        <v>362</v>
      </c>
      <c r="G206" s="3" t="s">
        <v>363</v>
      </c>
      <c r="H206" s="5">
        <v>20231</v>
      </c>
      <c r="I206" s="3" t="s">
        <v>364</v>
      </c>
      <c r="J206" s="3" t="s">
        <v>278</v>
      </c>
      <c r="K206" s="3" t="s">
        <v>279</v>
      </c>
      <c r="L206" s="3" t="s">
        <v>307</v>
      </c>
      <c r="M206" s="3" t="s">
        <v>292</v>
      </c>
      <c r="N206" s="5">
        <v>500</v>
      </c>
      <c r="O206" s="5">
        <v>10</v>
      </c>
      <c r="P206" s="3" t="s">
        <v>365</v>
      </c>
      <c r="Q206" s="3" t="s">
        <v>366</v>
      </c>
      <c r="R206" s="3" t="s">
        <v>367</v>
      </c>
      <c r="S206" s="2"/>
      <c r="T206" s="2"/>
      <c r="U206" s="457" t="s">
        <v>368</v>
      </c>
    </row>
    <row r="207" spans="1:21" ht="13.75" customHeight="1">
      <c r="A207" s="456" t="s">
        <v>855</v>
      </c>
      <c r="B207" s="3" t="s">
        <v>856</v>
      </c>
      <c r="C207" s="3" t="s">
        <v>274</v>
      </c>
      <c r="D207" s="5">
        <v>2023</v>
      </c>
      <c r="E207" s="3" t="s">
        <v>361</v>
      </c>
      <c r="F207" s="3" t="s">
        <v>362</v>
      </c>
      <c r="G207" s="3" t="s">
        <v>363</v>
      </c>
      <c r="H207" s="5">
        <v>20231</v>
      </c>
      <c r="I207" s="3" t="s">
        <v>364</v>
      </c>
      <c r="J207" s="3" t="s">
        <v>278</v>
      </c>
      <c r="K207" s="3" t="s">
        <v>279</v>
      </c>
      <c r="L207" s="3" t="s">
        <v>307</v>
      </c>
      <c r="M207" s="3" t="s">
        <v>292</v>
      </c>
      <c r="N207" s="5">
        <v>500</v>
      </c>
      <c r="O207" s="5">
        <v>10</v>
      </c>
      <c r="P207" s="3" t="s">
        <v>365</v>
      </c>
      <c r="Q207" s="3" t="s">
        <v>366</v>
      </c>
      <c r="R207" s="3" t="s">
        <v>367</v>
      </c>
      <c r="S207" s="2"/>
      <c r="T207" s="2"/>
      <c r="U207" s="457" t="s">
        <v>368</v>
      </c>
    </row>
    <row r="208" spans="1:21" ht="13.75" customHeight="1">
      <c r="A208" s="456" t="s">
        <v>857</v>
      </c>
      <c r="B208" s="3" t="s">
        <v>858</v>
      </c>
      <c r="C208" s="3" t="s">
        <v>274</v>
      </c>
      <c r="D208" s="5">
        <v>2023</v>
      </c>
      <c r="E208" s="3" t="s">
        <v>361</v>
      </c>
      <c r="F208" s="3" t="s">
        <v>362</v>
      </c>
      <c r="G208" s="3" t="s">
        <v>363</v>
      </c>
      <c r="H208" s="5">
        <v>20231</v>
      </c>
      <c r="I208" s="3" t="s">
        <v>364</v>
      </c>
      <c r="J208" s="3" t="s">
        <v>278</v>
      </c>
      <c r="K208" s="3" t="s">
        <v>279</v>
      </c>
      <c r="L208" s="3" t="s">
        <v>307</v>
      </c>
      <c r="M208" s="3" t="s">
        <v>292</v>
      </c>
      <c r="N208" s="5">
        <v>500</v>
      </c>
      <c r="O208" s="5">
        <v>10</v>
      </c>
      <c r="P208" s="3" t="s">
        <v>365</v>
      </c>
      <c r="Q208" s="3" t="s">
        <v>366</v>
      </c>
      <c r="R208" s="3" t="s">
        <v>367</v>
      </c>
      <c r="S208" s="2"/>
      <c r="T208" s="2"/>
      <c r="U208" s="457" t="s">
        <v>368</v>
      </c>
    </row>
    <row r="209" spans="1:21" ht="13.75" customHeight="1">
      <c r="A209" s="456" t="s">
        <v>859</v>
      </c>
      <c r="B209" s="3" t="s">
        <v>860</v>
      </c>
      <c r="C209" s="3" t="s">
        <v>274</v>
      </c>
      <c r="D209" s="5">
        <v>2023</v>
      </c>
      <c r="E209" s="3" t="s">
        <v>361</v>
      </c>
      <c r="F209" s="3" t="s">
        <v>362</v>
      </c>
      <c r="G209" s="3" t="s">
        <v>363</v>
      </c>
      <c r="H209" s="5">
        <v>20231</v>
      </c>
      <c r="I209" s="3" t="s">
        <v>364</v>
      </c>
      <c r="J209" s="3" t="s">
        <v>278</v>
      </c>
      <c r="K209" s="3" t="s">
        <v>279</v>
      </c>
      <c r="L209" s="3" t="s">
        <v>307</v>
      </c>
      <c r="M209" s="3" t="s">
        <v>292</v>
      </c>
      <c r="N209" s="5">
        <v>500</v>
      </c>
      <c r="O209" s="5">
        <v>10</v>
      </c>
      <c r="P209" s="3" t="s">
        <v>365</v>
      </c>
      <c r="Q209" s="3" t="s">
        <v>366</v>
      </c>
      <c r="R209" s="3" t="s">
        <v>367</v>
      </c>
      <c r="S209" s="2"/>
      <c r="T209" s="2"/>
      <c r="U209" s="457" t="s">
        <v>368</v>
      </c>
    </row>
    <row r="210" spans="1:21" ht="13.75" customHeight="1">
      <c r="A210" s="456" t="s">
        <v>861</v>
      </c>
      <c r="B210" s="3" t="s">
        <v>862</v>
      </c>
      <c r="C210" s="3" t="s">
        <v>274</v>
      </c>
      <c r="D210" s="5">
        <v>2023</v>
      </c>
      <c r="E210" s="3" t="s">
        <v>361</v>
      </c>
      <c r="F210" s="3" t="s">
        <v>362</v>
      </c>
      <c r="G210" s="3" t="s">
        <v>363</v>
      </c>
      <c r="H210" s="5">
        <v>20231</v>
      </c>
      <c r="I210" s="3" t="s">
        <v>364</v>
      </c>
      <c r="J210" s="3" t="s">
        <v>278</v>
      </c>
      <c r="K210" s="3" t="s">
        <v>279</v>
      </c>
      <c r="L210" s="3" t="s">
        <v>307</v>
      </c>
      <c r="M210" s="3" t="s">
        <v>292</v>
      </c>
      <c r="N210" s="5">
        <v>500</v>
      </c>
      <c r="O210" s="5">
        <v>10</v>
      </c>
      <c r="P210" s="3" t="s">
        <v>365</v>
      </c>
      <c r="Q210" s="3" t="s">
        <v>366</v>
      </c>
      <c r="R210" s="3" t="s">
        <v>367</v>
      </c>
      <c r="S210" s="2"/>
      <c r="T210" s="2"/>
      <c r="U210" s="457" t="s">
        <v>368</v>
      </c>
    </row>
    <row r="211" spans="1:21" ht="13.75" customHeight="1">
      <c r="A211" s="456" t="s">
        <v>863</v>
      </c>
      <c r="B211" s="3" t="s">
        <v>864</v>
      </c>
      <c r="C211" s="3" t="s">
        <v>274</v>
      </c>
      <c r="D211" s="5">
        <v>2023</v>
      </c>
      <c r="E211" s="3" t="s">
        <v>361</v>
      </c>
      <c r="F211" s="3" t="s">
        <v>362</v>
      </c>
      <c r="G211" s="3" t="s">
        <v>363</v>
      </c>
      <c r="H211" s="5">
        <v>20231</v>
      </c>
      <c r="I211" s="3" t="s">
        <v>364</v>
      </c>
      <c r="J211" s="3" t="s">
        <v>278</v>
      </c>
      <c r="K211" s="3" t="s">
        <v>279</v>
      </c>
      <c r="L211" s="3" t="s">
        <v>307</v>
      </c>
      <c r="M211" s="3" t="s">
        <v>292</v>
      </c>
      <c r="N211" s="5">
        <v>500</v>
      </c>
      <c r="O211" s="5">
        <v>10</v>
      </c>
      <c r="P211" s="3" t="s">
        <v>365</v>
      </c>
      <c r="Q211" s="3" t="s">
        <v>366</v>
      </c>
      <c r="R211" s="3" t="s">
        <v>367</v>
      </c>
      <c r="S211" s="2"/>
      <c r="T211" s="2"/>
      <c r="U211" s="457" t="s">
        <v>368</v>
      </c>
    </row>
    <row r="212" spans="1:21" ht="13.75" customHeight="1">
      <c r="A212" s="456" t="s">
        <v>865</v>
      </c>
      <c r="B212" s="3" t="s">
        <v>866</v>
      </c>
      <c r="C212" s="3" t="s">
        <v>274</v>
      </c>
      <c r="D212" s="5">
        <v>2023</v>
      </c>
      <c r="E212" s="3" t="s">
        <v>361</v>
      </c>
      <c r="F212" s="3" t="s">
        <v>362</v>
      </c>
      <c r="G212" s="3" t="s">
        <v>363</v>
      </c>
      <c r="H212" s="5">
        <v>20231</v>
      </c>
      <c r="I212" s="3" t="s">
        <v>364</v>
      </c>
      <c r="J212" s="3" t="s">
        <v>278</v>
      </c>
      <c r="K212" s="3" t="s">
        <v>279</v>
      </c>
      <c r="L212" s="3" t="s">
        <v>307</v>
      </c>
      <c r="M212" s="3" t="s">
        <v>292</v>
      </c>
      <c r="N212" s="5">
        <v>500</v>
      </c>
      <c r="O212" s="5">
        <v>10</v>
      </c>
      <c r="P212" s="3" t="s">
        <v>365</v>
      </c>
      <c r="Q212" s="3" t="s">
        <v>366</v>
      </c>
      <c r="R212" s="3" t="s">
        <v>367</v>
      </c>
      <c r="S212" s="2"/>
      <c r="T212" s="2"/>
      <c r="U212" s="457" t="s">
        <v>368</v>
      </c>
    </row>
    <row r="213" spans="1:21" ht="13.75" customHeight="1">
      <c r="A213" s="456" t="s">
        <v>867</v>
      </c>
      <c r="B213" s="3" t="s">
        <v>868</v>
      </c>
      <c r="C213" s="3" t="s">
        <v>274</v>
      </c>
      <c r="D213" s="5">
        <v>2023</v>
      </c>
      <c r="E213" s="3" t="s">
        <v>361</v>
      </c>
      <c r="F213" s="3" t="s">
        <v>362</v>
      </c>
      <c r="G213" s="3" t="s">
        <v>363</v>
      </c>
      <c r="H213" s="5">
        <v>20231</v>
      </c>
      <c r="I213" s="3" t="s">
        <v>364</v>
      </c>
      <c r="J213" s="3" t="s">
        <v>278</v>
      </c>
      <c r="K213" s="3" t="s">
        <v>279</v>
      </c>
      <c r="L213" s="3" t="s">
        <v>307</v>
      </c>
      <c r="M213" s="3" t="s">
        <v>292</v>
      </c>
      <c r="N213" s="5">
        <v>500</v>
      </c>
      <c r="O213" s="5">
        <v>10</v>
      </c>
      <c r="P213" s="3" t="s">
        <v>365</v>
      </c>
      <c r="Q213" s="3" t="s">
        <v>366</v>
      </c>
      <c r="R213" s="3" t="s">
        <v>367</v>
      </c>
      <c r="S213" s="2"/>
      <c r="T213" s="2"/>
      <c r="U213" s="457" t="s">
        <v>368</v>
      </c>
    </row>
    <row r="214" spans="1:21" ht="13.75" customHeight="1">
      <c r="A214" s="456" t="s">
        <v>869</v>
      </c>
      <c r="B214" s="3" t="s">
        <v>870</v>
      </c>
      <c r="C214" s="3" t="s">
        <v>274</v>
      </c>
      <c r="D214" s="5">
        <v>2023</v>
      </c>
      <c r="E214" s="3" t="s">
        <v>361</v>
      </c>
      <c r="F214" s="3" t="s">
        <v>362</v>
      </c>
      <c r="G214" s="3" t="s">
        <v>363</v>
      </c>
      <c r="H214" s="5">
        <v>20231</v>
      </c>
      <c r="I214" s="3" t="s">
        <v>364</v>
      </c>
      <c r="J214" s="3" t="s">
        <v>278</v>
      </c>
      <c r="K214" s="3" t="s">
        <v>279</v>
      </c>
      <c r="L214" s="3" t="s">
        <v>307</v>
      </c>
      <c r="M214" s="3" t="s">
        <v>292</v>
      </c>
      <c r="N214" s="5">
        <v>500</v>
      </c>
      <c r="O214" s="5">
        <v>10</v>
      </c>
      <c r="P214" s="3" t="s">
        <v>365</v>
      </c>
      <c r="Q214" s="3" t="s">
        <v>366</v>
      </c>
      <c r="R214" s="3" t="s">
        <v>367</v>
      </c>
      <c r="S214" s="2"/>
      <c r="T214" s="2"/>
      <c r="U214" s="457" t="s">
        <v>368</v>
      </c>
    </row>
    <row r="215" spans="1:21" ht="13.75" customHeight="1">
      <c r="A215" s="456" t="s">
        <v>871</v>
      </c>
      <c r="B215" s="3" t="s">
        <v>872</v>
      </c>
      <c r="C215" s="3" t="s">
        <v>274</v>
      </c>
      <c r="D215" s="5">
        <v>2023</v>
      </c>
      <c r="E215" s="3" t="s">
        <v>361</v>
      </c>
      <c r="F215" s="3" t="s">
        <v>362</v>
      </c>
      <c r="G215" s="3" t="s">
        <v>363</v>
      </c>
      <c r="H215" s="5">
        <v>20231</v>
      </c>
      <c r="I215" s="3" t="s">
        <v>364</v>
      </c>
      <c r="J215" s="3" t="s">
        <v>278</v>
      </c>
      <c r="K215" s="3" t="s">
        <v>279</v>
      </c>
      <c r="L215" s="3" t="s">
        <v>307</v>
      </c>
      <c r="M215" s="3" t="s">
        <v>292</v>
      </c>
      <c r="N215" s="5">
        <v>500</v>
      </c>
      <c r="O215" s="5">
        <v>10</v>
      </c>
      <c r="P215" s="3" t="s">
        <v>365</v>
      </c>
      <c r="Q215" s="3" t="s">
        <v>366</v>
      </c>
      <c r="R215" s="3" t="s">
        <v>367</v>
      </c>
      <c r="S215" s="2"/>
      <c r="T215" s="2"/>
      <c r="U215" s="457" t="s">
        <v>368</v>
      </c>
    </row>
    <row r="216" spans="1:21" ht="13.75" customHeight="1">
      <c r="A216" s="456" t="s">
        <v>873</v>
      </c>
      <c r="B216" s="3" t="s">
        <v>874</v>
      </c>
      <c r="C216" s="3" t="s">
        <v>274</v>
      </c>
      <c r="D216" s="5">
        <v>2023</v>
      </c>
      <c r="E216" s="3" t="s">
        <v>361</v>
      </c>
      <c r="F216" s="3" t="s">
        <v>362</v>
      </c>
      <c r="G216" s="3" t="s">
        <v>363</v>
      </c>
      <c r="H216" s="5">
        <v>20231</v>
      </c>
      <c r="I216" s="3" t="s">
        <v>364</v>
      </c>
      <c r="J216" s="3" t="s">
        <v>278</v>
      </c>
      <c r="K216" s="3" t="s">
        <v>279</v>
      </c>
      <c r="L216" s="3" t="s">
        <v>307</v>
      </c>
      <c r="M216" s="3" t="s">
        <v>292</v>
      </c>
      <c r="N216" s="5">
        <v>500</v>
      </c>
      <c r="O216" s="5">
        <v>10</v>
      </c>
      <c r="P216" s="3" t="s">
        <v>365</v>
      </c>
      <c r="Q216" s="3" t="s">
        <v>366</v>
      </c>
      <c r="R216" s="3" t="s">
        <v>367</v>
      </c>
      <c r="S216" s="2"/>
      <c r="T216" s="2"/>
      <c r="U216" s="457" t="s">
        <v>368</v>
      </c>
    </row>
    <row r="217" spans="1:21" ht="13.75" customHeight="1">
      <c r="A217" s="456" t="s">
        <v>875</v>
      </c>
      <c r="B217" s="3" t="s">
        <v>876</v>
      </c>
      <c r="C217" s="3" t="s">
        <v>274</v>
      </c>
      <c r="D217" s="5">
        <v>2023</v>
      </c>
      <c r="E217" s="3" t="s">
        <v>505</v>
      </c>
      <c r="F217" s="3" t="s">
        <v>506</v>
      </c>
      <c r="G217" s="3" t="s">
        <v>506</v>
      </c>
      <c r="H217" s="5">
        <v>20231</v>
      </c>
      <c r="I217" s="2"/>
      <c r="J217" s="3" t="s">
        <v>278</v>
      </c>
      <c r="K217" s="3" t="s">
        <v>332</v>
      </c>
      <c r="L217" s="3" t="s">
        <v>291</v>
      </c>
      <c r="M217" s="3" t="s">
        <v>292</v>
      </c>
      <c r="N217" s="5">
        <v>50</v>
      </c>
      <c r="O217" s="5">
        <v>4</v>
      </c>
      <c r="P217" s="2"/>
      <c r="Q217" s="3" t="s">
        <v>507</v>
      </c>
      <c r="R217" s="3" t="s">
        <v>508</v>
      </c>
      <c r="S217" s="2"/>
      <c r="T217" s="2"/>
      <c r="U217" s="457" t="s">
        <v>440</v>
      </c>
    </row>
    <row r="218" spans="1:21" ht="13.75" customHeight="1">
      <c r="A218" s="456" t="s">
        <v>877</v>
      </c>
      <c r="B218" s="3" t="s">
        <v>878</v>
      </c>
      <c r="C218" s="3" t="s">
        <v>274</v>
      </c>
      <c r="D218" s="5">
        <v>2023</v>
      </c>
      <c r="E218" s="3" t="s">
        <v>361</v>
      </c>
      <c r="F218" s="3" t="s">
        <v>362</v>
      </c>
      <c r="G218" s="3" t="s">
        <v>363</v>
      </c>
      <c r="H218" s="5">
        <v>20231</v>
      </c>
      <c r="I218" s="3" t="s">
        <v>364</v>
      </c>
      <c r="J218" s="3" t="s">
        <v>278</v>
      </c>
      <c r="K218" s="3" t="s">
        <v>279</v>
      </c>
      <c r="L218" s="3" t="s">
        <v>307</v>
      </c>
      <c r="M218" s="3" t="s">
        <v>292</v>
      </c>
      <c r="N218" s="5">
        <v>500</v>
      </c>
      <c r="O218" s="5">
        <v>10</v>
      </c>
      <c r="P218" s="3" t="s">
        <v>365</v>
      </c>
      <c r="Q218" s="3" t="s">
        <v>366</v>
      </c>
      <c r="R218" s="3" t="s">
        <v>367</v>
      </c>
      <c r="S218" s="2"/>
      <c r="T218" s="2"/>
      <c r="U218" s="457" t="s">
        <v>368</v>
      </c>
    </row>
    <row r="219" spans="1:21" ht="13.75" customHeight="1">
      <c r="A219" s="456" t="s">
        <v>879</v>
      </c>
      <c r="B219" s="3" t="s">
        <v>880</v>
      </c>
      <c r="C219" s="3" t="s">
        <v>274</v>
      </c>
      <c r="D219" s="5">
        <v>2023</v>
      </c>
      <c r="E219" s="3" t="s">
        <v>361</v>
      </c>
      <c r="F219" s="3" t="s">
        <v>362</v>
      </c>
      <c r="G219" s="3" t="s">
        <v>363</v>
      </c>
      <c r="H219" s="5">
        <v>20231</v>
      </c>
      <c r="I219" s="3" t="s">
        <v>364</v>
      </c>
      <c r="J219" s="3" t="s">
        <v>278</v>
      </c>
      <c r="K219" s="3" t="s">
        <v>279</v>
      </c>
      <c r="L219" s="3" t="s">
        <v>307</v>
      </c>
      <c r="M219" s="3" t="s">
        <v>292</v>
      </c>
      <c r="N219" s="5">
        <v>500</v>
      </c>
      <c r="O219" s="5">
        <v>10</v>
      </c>
      <c r="P219" s="3" t="s">
        <v>365</v>
      </c>
      <c r="Q219" s="3" t="s">
        <v>366</v>
      </c>
      <c r="R219" s="3" t="s">
        <v>367</v>
      </c>
      <c r="S219" s="2"/>
      <c r="T219" s="2"/>
      <c r="U219" s="457" t="s">
        <v>368</v>
      </c>
    </row>
    <row r="220" spans="1:21" ht="13.75" customHeight="1">
      <c r="A220" s="456" t="s">
        <v>881</v>
      </c>
      <c r="B220" s="3" t="s">
        <v>882</v>
      </c>
      <c r="C220" s="3" t="s">
        <v>274</v>
      </c>
      <c r="D220" s="5">
        <v>2023</v>
      </c>
      <c r="E220" s="3" t="s">
        <v>361</v>
      </c>
      <c r="F220" s="3" t="s">
        <v>362</v>
      </c>
      <c r="G220" s="3" t="s">
        <v>363</v>
      </c>
      <c r="H220" s="5">
        <v>20231</v>
      </c>
      <c r="I220" s="3" t="s">
        <v>364</v>
      </c>
      <c r="J220" s="3" t="s">
        <v>278</v>
      </c>
      <c r="K220" s="3" t="s">
        <v>279</v>
      </c>
      <c r="L220" s="3" t="s">
        <v>307</v>
      </c>
      <c r="M220" s="3" t="s">
        <v>292</v>
      </c>
      <c r="N220" s="5">
        <v>500</v>
      </c>
      <c r="O220" s="5">
        <v>10</v>
      </c>
      <c r="P220" s="3" t="s">
        <v>365</v>
      </c>
      <c r="Q220" s="3" t="s">
        <v>366</v>
      </c>
      <c r="R220" s="3" t="s">
        <v>367</v>
      </c>
      <c r="S220" s="2"/>
      <c r="T220" s="2"/>
      <c r="U220" s="457" t="s">
        <v>368</v>
      </c>
    </row>
    <row r="221" spans="1:21" ht="13.75" customHeight="1">
      <c r="A221" s="456" t="s">
        <v>883</v>
      </c>
      <c r="B221" s="3" t="s">
        <v>884</v>
      </c>
      <c r="C221" s="3" t="s">
        <v>274</v>
      </c>
      <c r="D221" s="5">
        <v>2023</v>
      </c>
      <c r="E221" s="3" t="s">
        <v>361</v>
      </c>
      <c r="F221" s="3" t="s">
        <v>362</v>
      </c>
      <c r="G221" s="3" t="s">
        <v>363</v>
      </c>
      <c r="H221" s="5">
        <v>20231</v>
      </c>
      <c r="I221" s="3" t="s">
        <v>364</v>
      </c>
      <c r="J221" s="3" t="s">
        <v>278</v>
      </c>
      <c r="K221" s="3" t="s">
        <v>279</v>
      </c>
      <c r="L221" s="3" t="s">
        <v>307</v>
      </c>
      <c r="M221" s="3" t="s">
        <v>292</v>
      </c>
      <c r="N221" s="5">
        <v>500</v>
      </c>
      <c r="O221" s="5">
        <v>10</v>
      </c>
      <c r="P221" s="3" t="s">
        <v>365</v>
      </c>
      <c r="Q221" s="3" t="s">
        <v>366</v>
      </c>
      <c r="R221" s="3" t="s">
        <v>367</v>
      </c>
      <c r="S221" s="2"/>
      <c r="T221" s="2"/>
      <c r="U221" s="457" t="s">
        <v>368</v>
      </c>
    </row>
    <row r="222" spans="1:21" ht="13.75" customHeight="1">
      <c r="A222" s="456" t="s">
        <v>885</v>
      </c>
      <c r="B222" s="3" t="s">
        <v>886</v>
      </c>
      <c r="C222" s="3" t="s">
        <v>274</v>
      </c>
      <c r="D222" s="5">
        <v>2023</v>
      </c>
      <c r="E222" s="3" t="s">
        <v>361</v>
      </c>
      <c r="F222" s="3" t="s">
        <v>362</v>
      </c>
      <c r="G222" s="3" t="s">
        <v>363</v>
      </c>
      <c r="H222" s="5">
        <v>20231</v>
      </c>
      <c r="I222" s="3" t="s">
        <v>364</v>
      </c>
      <c r="J222" s="3" t="s">
        <v>278</v>
      </c>
      <c r="K222" s="3" t="s">
        <v>279</v>
      </c>
      <c r="L222" s="3" t="s">
        <v>307</v>
      </c>
      <c r="M222" s="3" t="s">
        <v>292</v>
      </c>
      <c r="N222" s="5">
        <v>500</v>
      </c>
      <c r="O222" s="5">
        <v>10</v>
      </c>
      <c r="P222" s="3" t="s">
        <v>365</v>
      </c>
      <c r="Q222" s="3" t="s">
        <v>366</v>
      </c>
      <c r="R222" s="3" t="s">
        <v>367</v>
      </c>
      <c r="S222" s="2"/>
      <c r="T222" s="2"/>
      <c r="U222" s="457" t="s">
        <v>368</v>
      </c>
    </row>
    <row r="223" spans="1:21" ht="13.75" customHeight="1">
      <c r="A223" s="456" t="s">
        <v>887</v>
      </c>
      <c r="B223" s="3" t="s">
        <v>888</v>
      </c>
      <c r="C223" s="3" t="s">
        <v>274</v>
      </c>
      <c r="D223" s="5">
        <v>2023</v>
      </c>
      <c r="E223" s="3" t="s">
        <v>361</v>
      </c>
      <c r="F223" s="3" t="s">
        <v>362</v>
      </c>
      <c r="G223" s="3" t="s">
        <v>363</v>
      </c>
      <c r="H223" s="5">
        <v>20231</v>
      </c>
      <c r="I223" s="3" t="s">
        <v>364</v>
      </c>
      <c r="J223" s="3" t="s">
        <v>278</v>
      </c>
      <c r="K223" s="3" t="s">
        <v>279</v>
      </c>
      <c r="L223" s="3" t="s">
        <v>307</v>
      </c>
      <c r="M223" s="3" t="s">
        <v>292</v>
      </c>
      <c r="N223" s="5">
        <v>500</v>
      </c>
      <c r="O223" s="5">
        <v>10</v>
      </c>
      <c r="P223" s="3" t="s">
        <v>365</v>
      </c>
      <c r="Q223" s="3" t="s">
        <v>366</v>
      </c>
      <c r="R223" s="3" t="s">
        <v>367</v>
      </c>
      <c r="S223" s="2"/>
      <c r="T223" s="2"/>
      <c r="U223" s="457" t="s">
        <v>368</v>
      </c>
    </row>
    <row r="224" spans="1:21" ht="13.75" customHeight="1">
      <c r="A224" s="456" t="s">
        <v>889</v>
      </c>
      <c r="B224" s="3" t="s">
        <v>890</v>
      </c>
      <c r="C224" s="3" t="s">
        <v>274</v>
      </c>
      <c r="D224" s="5">
        <v>2023</v>
      </c>
      <c r="E224" s="3" t="s">
        <v>361</v>
      </c>
      <c r="F224" s="3" t="s">
        <v>362</v>
      </c>
      <c r="G224" s="3" t="s">
        <v>363</v>
      </c>
      <c r="H224" s="5">
        <v>20231</v>
      </c>
      <c r="I224" s="3" t="s">
        <v>364</v>
      </c>
      <c r="J224" s="3" t="s">
        <v>278</v>
      </c>
      <c r="K224" s="3" t="s">
        <v>279</v>
      </c>
      <c r="L224" s="3" t="s">
        <v>307</v>
      </c>
      <c r="M224" s="3" t="s">
        <v>292</v>
      </c>
      <c r="N224" s="5">
        <v>500</v>
      </c>
      <c r="O224" s="5">
        <v>10</v>
      </c>
      <c r="P224" s="3" t="s">
        <v>365</v>
      </c>
      <c r="Q224" s="3" t="s">
        <v>366</v>
      </c>
      <c r="R224" s="3" t="s">
        <v>367</v>
      </c>
      <c r="S224" s="2"/>
      <c r="T224" s="2"/>
      <c r="U224" s="457" t="s">
        <v>368</v>
      </c>
    </row>
    <row r="225" spans="1:21" ht="13.75" customHeight="1">
      <c r="A225" s="456" t="s">
        <v>891</v>
      </c>
      <c r="B225" s="3" t="s">
        <v>892</v>
      </c>
      <c r="C225" s="3" t="s">
        <v>274</v>
      </c>
      <c r="D225" s="5">
        <v>2023</v>
      </c>
      <c r="E225" s="3" t="s">
        <v>361</v>
      </c>
      <c r="F225" s="3" t="s">
        <v>362</v>
      </c>
      <c r="G225" s="3" t="s">
        <v>363</v>
      </c>
      <c r="H225" s="5">
        <v>20231</v>
      </c>
      <c r="I225" s="3" t="s">
        <v>364</v>
      </c>
      <c r="J225" s="3" t="s">
        <v>278</v>
      </c>
      <c r="K225" s="3" t="s">
        <v>279</v>
      </c>
      <c r="L225" s="3" t="s">
        <v>307</v>
      </c>
      <c r="M225" s="3" t="s">
        <v>292</v>
      </c>
      <c r="N225" s="5">
        <v>500</v>
      </c>
      <c r="O225" s="5">
        <v>10</v>
      </c>
      <c r="P225" s="3" t="s">
        <v>365</v>
      </c>
      <c r="Q225" s="3" t="s">
        <v>366</v>
      </c>
      <c r="R225" s="3" t="s">
        <v>367</v>
      </c>
      <c r="S225" s="2"/>
      <c r="T225" s="2"/>
      <c r="U225" s="457" t="s">
        <v>368</v>
      </c>
    </row>
    <row r="226" spans="1:21" ht="13.75" customHeight="1">
      <c r="A226" s="456" t="s">
        <v>893</v>
      </c>
      <c r="B226" s="3" t="s">
        <v>894</v>
      </c>
      <c r="C226" s="3" t="s">
        <v>274</v>
      </c>
      <c r="D226" s="5">
        <v>2023</v>
      </c>
      <c r="E226" s="3" t="s">
        <v>361</v>
      </c>
      <c r="F226" s="3" t="s">
        <v>362</v>
      </c>
      <c r="G226" s="3" t="s">
        <v>363</v>
      </c>
      <c r="H226" s="5">
        <v>20231</v>
      </c>
      <c r="I226" s="3" t="s">
        <v>364</v>
      </c>
      <c r="J226" s="3" t="s">
        <v>278</v>
      </c>
      <c r="K226" s="3" t="s">
        <v>279</v>
      </c>
      <c r="L226" s="3" t="s">
        <v>307</v>
      </c>
      <c r="M226" s="3" t="s">
        <v>292</v>
      </c>
      <c r="N226" s="5">
        <v>500</v>
      </c>
      <c r="O226" s="5">
        <v>10</v>
      </c>
      <c r="P226" s="3" t="s">
        <v>365</v>
      </c>
      <c r="Q226" s="3" t="s">
        <v>366</v>
      </c>
      <c r="R226" s="3" t="s">
        <v>367</v>
      </c>
      <c r="S226" s="2"/>
      <c r="T226" s="2"/>
      <c r="U226" s="457" t="s">
        <v>368</v>
      </c>
    </row>
    <row r="227" spans="1:21" ht="13.75" customHeight="1">
      <c r="A227" s="456" t="s">
        <v>895</v>
      </c>
      <c r="B227" s="3" t="s">
        <v>896</v>
      </c>
      <c r="C227" s="3" t="s">
        <v>274</v>
      </c>
      <c r="D227" s="5">
        <v>2023</v>
      </c>
      <c r="E227" s="3" t="s">
        <v>361</v>
      </c>
      <c r="F227" s="3" t="s">
        <v>362</v>
      </c>
      <c r="G227" s="3" t="s">
        <v>363</v>
      </c>
      <c r="H227" s="5">
        <v>20231</v>
      </c>
      <c r="I227" s="3" t="s">
        <v>364</v>
      </c>
      <c r="J227" s="3" t="s">
        <v>278</v>
      </c>
      <c r="K227" s="3" t="s">
        <v>279</v>
      </c>
      <c r="L227" s="3" t="s">
        <v>307</v>
      </c>
      <c r="M227" s="3" t="s">
        <v>292</v>
      </c>
      <c r="N227" s="5">
        <v>500</v>
      </c>
      <c r="O227" s="5">
        <v>10</v>
      </c>
      <c r="P227" s="3" t="s">
        <v>365</v>
      </c>
      <c r="Q227" s="3" t="s">
        <v>366</v>
      </c>
      <c r="R227" s="3" t="s">
        <v>367</v>
      </c>
      <c r="S227" s="2"/>
      <c r="T227" s="2"/>
      <c r="U227" s="457" t="s">
        <v>368</v>
      </c>
    </row>
    <row r="228" spans="1:21" ht="13.75" customHeight="1">
      <c r="A228" s="456" t="s">
        <v>897</v>
      </c>
      <c r="B228" s="3" t="s">
        <v>898</v>
      </c>
      <c r="C228" s="3" t="s">
        <v>274</v>
      </c>
      <c r="D228" s="5">
        <v>2023</v>
      </c>
      <c r="E228" s="3" t="s">
        <v>361</v>
      </c>
      <c r="F228" s="3" t="s">
        <v>362</v>
      </c>
      <c r="G228" s="3" t="s">
        <v>363</v>
      </c>
      <c r="H228" s="5">
        <v>20231</v>
      </c>
      <c r="I228" s="3" t="s">
        <v>364</v>
      </c>
      <c r="J228" s="3" t="s">
        <v>278</v>
      </c>
      <c r="K228" s="3" t="s">
        <v>279</v>
      </c>
      <c r="L228" s="3" t="s">
        <v>307</v>
      </c>
      <c r="M228" s="3" t="s">
        <v>292</v>
      </c>
      <c r="N228" s="5">
        <v>500</v>
      </c>
      <c r="O228" s="5">
        <v>10</v>
      </c>
      <c r="P228" s="3" t="s">
        <v>365</v>
      </c>
      <c r="Q228" s="3" t="s">
        <v>366</v>
      </c>
      <c r="R228" s="3" t="s">
        <v>367</v>
      </c>
      <c r="S228" s="2"/>
      <c r="T228" s="2"/>
      <c r="U228" s="457" t="s">
        <v>368</v>
      </c>
    </row>
    <row r="229" spans="1:21" ht="13.75" customHeight="1">
      <c r="A229" s="456" t="s">
        <v>899</v>
      </c>
      <c r="B229" s="3" t="s">
        <v>900</v>
      </c>
      <c r="C229" s="3" t="s">
        <v>274</v>
      </c>
      <c r="D229" s="5">
        <v>2023</v>
      </c>
      <c r="E229" s="3" t="s">
        <v>361</v>
      </c>
      <c r="F229" s="3" t="s">
        <v>362</v>
      </c>
      <c r="G229" s="3" t="s">
        <v>363</v>
      </c>
      <c r="H229" s="5">
        <v>20231</v>
      </c>
      <c r="I229" s="3" t="s">
        <v>364</v>
      </c>
      <c r="J229" s="3" t="s">
        <v>278</v>
      </c>
      <c r="K229" s="3" t="s">
        <v>279</v>
      </c>
      <c r="L229" s="3" t="s">
        <v>307</v>
      </c>
      <c r="M229" s="3" t="s">
        <v>292</v>
      </c>
      <c r="N229" s="5">
        <v>500</v>
      </c>
      <c r="O229" s="5">
        <v>10</v>
      </c>
      <c r="P229" s="3" t="s">
        <v>365</v>
      </c>
      <c r="Q229" s="3" t="s">
        <v>366</v>
      </c>
      <c r="R229" s="3" t="s">
        <v>367</v>
      </c>
      <c r="S229" s="2"/>
      <c r="T229" s="2"/>
      <c r="U229" s="457" t="s">
        <v>368</v>
      </c>
    </row>
    <row r="230" spans="1:21" ht="13.75" customHeight="1">
      <c r="A230" s="456" t="s">
        <v>901</v>
      </c>
      <c r="B230" s="3" t="s">
        <v>902</v>
      </c>
      <c r="C230" s="3" t="s">
        <v>274</v>
      </c>
      <c r="D230" s="5">
        <v>2023</v>
      </c>
      <c r="E230" s="3" t="s">
        <v>361</v>
      </c>
      <c r="F230" s="3" t="s">
        <v>362</v>
      </c>
      <c r="G230" s="3" t="s">
        <v>363</v>
      </c>
      <c r="H230" s="5">
        <v>20231</v>
      </c>
      <c r="I230" s="3" t="s">
        <v>364</v>
      </c>
      <c r="J230" s="3" t="s">
        <v>278</v>
      </c>
      <c r="K230" s="3" t="s">
        <v>279</v>
      </c>
      <c r="L230" s="3" t="s">
        <v>307</v>
      </c>
      <c r="M230" s="3" t="s">
        <v>292</v>
      </c>
      <c r="N230" s="5">
        <v>500</v>
      </c>
      <c r="O230" s="5">
        <v>10</v>
      </c>
      <c r="P230" s="3" t="s">
        <v>365</v>
      </c>
      <c r="Q230" s="3" t="s">
        <v>366</v>
      </c>
      <c r="R230" s="3" t="s">
        <v>367</v>
      </c>
      <c r="S230" s="2"/>
      <c r="T230" s="2"/>
      <c r="U230" s="457" t="s">
        <v>368</v>
      </c>
    </row>
    <row r="231" spans="1:21" ht="13.75" customHeight="1">
      <c r="A231" s="456" t="s">
        <v>903</v>
      </c>
      <c r="B231" s="3" t="s">
        <v>904</v>
      </c>
      <c r="C231" s="3" t="s">
        <v>274</v>
      </c>
      <c r="D231" s="5">
        <v>2023</v>
      </c>
      <c r="E231" s="3" t="s">
        <v>361</v>
      </c>
      <c r="F231" s="3" t="s">
        <v>362</v>
      </c>
      <c r="G231" s="3" t="s">
        <v>363</v>
      </c>
      <c r="H231" s="5">
        <v>20231</v>
      </c>
      <c r="I231" s="3" t="s">
        <v>364</v>
      </c>
      <c r="J231" s="3" t="s">
        <v>278</v>
      </c>
      <c r="K231" s="3" t="s">
        <v>279</v>
      </c>
      <c r="L231" s="3" t="s">
        <v>307</v>
      </c>
      <c r="M231" s="3" t="s">
        <v>292</v>
      </c>
      <c r="N231" s="5">
        <v>500</v>
      </c>
      <c r="O231" s="5">
        <v>10</v>
      </c>
      <c r="P231" s="3" t="s">
        <v>365</v>
      </c>
      <c r="Q231" s="3" t="s">
        <v>366</v>
      </c>
      <c r="R231" s="3" t="s">
        <v>367</v>
      </c>
      <c r="S231" s="2"/>
      <c r="T231" s="2"/>
      <c r="U231" s="457" t="s">
        <v>368</v>
      </c>
    </row>
    <row r="232" spans="1:21" ht="13.75" customHeight="1">
      <c r="A232" s="456" t="s">
        <v>905</v>
      </c>
      <c r="B232" s="3" t="s">
        <v>906</v>
      </c>
      <c r="C232" s="3" t="s">
        <v>274</v>
      </c>
      <c r="D232" s="5">
        <v>2023</v>
      </c>
      <c r="E232" s="3" t="s">
        <v>361</v>
      </c>
      <c r="F232" s="3" t="s">
        <v>362</v>
      </c>
      <c r="G232" s="3" t="s">
        <v>363</v>
      </c>
      <c r="H232" s="5">
        <v>20231</v>
      </c>
      <c r="I232" s="3" t="s">
        <v>364</v>
      </c>
      <c r="J232" s="3" t="s">
        <v>278</v>
      </c>
      <c r="K232" s="3" t="s">
        <v>279</v>
      </c>
      <c r="L232" s="3" t="s">
        <v>307</v>
      </c>
      <c r="M232" s="3" t="s">
        <v>292</v>
      </c>
      <c r="N232" s="5">
        <v>500</v>
      </c>
      <c r="O232" s="5">
        <v>10</v>
      </c>
      <c r="P232" s="3" t="s">
        <v>365</v>
      </c>
      <c r="Q232" s="3" t="s">
        <v>366</v>
      </c>
      <c r="R232" s="3" t="s">
        <v>367</v>
      </c>
      <c r="S232" s="2"/>
      <c r="T232" s="2"/>
      <c r="U232" s="457" t="s">
        <v>368</v>
      </c>
    </row>
    <row r="233" spans="1:21" ht="13.75" customHeight="1">
      <c r="A233" s="456" t="s">
        <v>907</v>
      </c>
      <c r="B233" s="3" t="s">
        <v>908</v>
      </c>
      <c r="C233" s="3" t="s">
        <v>274</v>
      </c>
      <c r="D233" s="5">
        <v>2023</v>
      </c>
      <c r="E233" s="3" t="s">
        <v>361</v>
      </c>
      <c r="F233" s="3" t="s">
        <v>362</v>
      </c>
      <c r="G233" s="3" t="s">
        <v>363</v>
      </c>
      <c r="H233" s="5">
        <v>20231</v>
      </c>
      <c r="I233" s="3" t="s">
        <v>364</v>
      </c>
      <c r="J233" s="3" t="s">
        <v>278</v>
      </c>
      <c r="K233" s="3" t="s">
        <v>279</v>
      </c>
      <c r="L233" s="3" t="s">
        <v>307</v>
      </c>
      <c r="M233" s="3" t="s">
        <v>292</v>
      </c>
      <c r="N233" s="5">
        <v>500</v>
      </c>
      <c r="O233" s="5">
        <v>10</v>
      </c>
      <c r="P233" s="3" t="s">
        <v>365</v>
      </c>
      <c r="Q233" s="3" t="s">
        <v>366</v>
      </c>
      <c r="R233" s="3" t="s">
        <v>367</v>
      </c>
      <c r="S233" s="2"/>
      <c r="T233" s="2"/>
      <c r="U233" s="457" t="s">
        <v>368</v>
      </c>
    </row>
    <row r="234" spans="1:21" ht="13.75" customHeight="1">
      <c r="A234" s="456" t="s">
        <v>909</v>
      </c>
      <c r="B234" s="3" t="s">
        <v>910</v>
      </c>
      <c r="C234" s="3" t="s">
        <v>274</v>
      </c>
      <c r="D234" s="5">
        <v>2023</v>
      </c>
      <c r="E234" s="3" t="s">
        <v>361</v>
      </c>
      <c r="F234" s="3" t="s">
        <v>362</v>
      </c>
      <c r="G234" s="3" t="s">
        <v>363</v>
      </c>
      <c r="H234" s="5">
        <v>20231</v>
      </c>
      <c r="I234" s="3" t="s">
        <v>364</v>
      </c>
      <c r="J234" s="3" t="s">
        <v>278</v>
      </c>
      <c r="K234" s="3" t="s">
        <v>279</v>
      </c>
      <c r="L234" s="3" t="s">
        <v>307</v>
      </c>
      <c r="M234" s="3" t="s">
        <v>292</v>
      </c>
      <c r="N234" s="5">
        <v>500</v>
      </c>
      <c r="O234" s="5">
        <v>10</v>
      </c>
      <c r="P234" s="3" t="s">
        <v>365</v>
      </c>
      <c r="Q234" s="3" t="s">
        <v>366</v>
      </c>
      <c r="R234" s="3" t="s">
        <v>367</v>
      </c>
      <c r="S234" s="2"/>
      <c r="T234" s="2"/>
      <c r="U234" s="457" t="s">
        <v>368</v>
      </c>
    </row>
    <row r="235" spans="1:21" ht="13.75" customHeight="1">
      <c r="A235" s="456" t="s">
        <v>911</v>
      </c>
      <c r="B235" s="3" t="s">
        <v>912</v>
      </c>
      <c r="C235" s="3" t="s">
        <v>274</v>
      </c>
      <c r="D235" s="5">
        <v>2023</v>
      </c>
      <c r="E235" s="3" t="s">
        <v>361</v>
      </c>
      <c r="F235" s="3" t="s">
        <v>362</v>
      </c>
      <c r="G235" s="3" t="s">
        <v>363</v>
      </c>
      <c r="H235" s="5">
        <v>20231</v>
      </c>
      <c r="I235" s="3" t="s">
        <v>364</v>
      </c>
      <c r="J235" s="3" t="s">
        <v>278</v>
      </c>
      <c r="K235" s="3" t="s">
        <v>279</v>
      </c>
      <c r="L235" s="3" t="s">
        <v>307</v>
      </c>
      <c r="M235" s="3" t="s">
        <v>292</v>
      </c>
      <c r="N235" s="5">
        <v>500</v>
      </c>
      <c r="O235" s="5">
        <v>10</v>
      </c>
      <c r="P235" s="3" t="s">
        <v>365</v>
      </c>
      <c r="Q235" s="3" t="s">
        <v>366</v>
      </c>
      <c r="R235" s="3" t="s">
        <v>367</v>
      </c>
      <c r="S235" s="2"/>
      <c r="T235" s="2"/>
      <c r="U235" s="457" t="s">
        <v>368</v>
      </c>
    </row>
    <row r="236" spans="1:21" ht="13.75" customHeight="1">
      <c r="A236" s="456" t="s">
        <v>913</v>
      </c>
      <c r="B236" s="3" t="s">
        <v>914</v>
      </c>
      <c r="C236" s="3" t="s">
        <v>274</v>
      </c>
      <c r="D236" s="5">
        <v>2023</v>
      </c>
      <c r="E236" s="3" t="s">
        <v>361</v>
      </c>
      <c r="F236" s="3" t="s">
        <v>362</v>
      </c>
      <c r="G236" s="3" t="s">
        <v>363</v>
      </c>
      <c r="H236" s="5">
        <v>20231</v>
      </c>
      <c r="I236" s="3" t="s">
        <v>364</v>
      </c>
      <c r="J236" s="3" t="s">
        <v>278</v>
      </c>
      <c r="K236" s="3" t="s">
        <v>279</v>
      </c>
      <c r="L236" s="3" t="s">
        <v>307</v>
      </c>
      <c r="M236" s="3" t="s">
        <v>292</v>
      </c>
      <c r="N236" s="5">
        <v>500</v>
      </c>
      <c r="O236" s="5">
        <v>10</v>
      </c>
      <c r="P236" s="3" t="s">
        <v>365</v>
      </c>
      <c r="Q236" s="3" t="s">
        <v>366</v>
      </c>
      <c r="R236" s="3" t="s">
        <v>367</v>
      </c>
      <c r="S236" s="2"/>
      <c r="T236" s="2"/>
      <c r="U236" s="457" t="s">
        <v>368</v>
      </c>
    </row>
    <row r="237" spans="1:21" ht="13.75" customHeight="1">
      <c r="A237" s="456" t="s">
        <v>915</v>
      </c>
      <c r="B237" s="3" t="s">
        <v>916</v>
      </c>
      <c r="C237" s="3" t="s">
        <v>274</v>
      </c>
      <c r="D237" s="5">
        <v>2023</v>
      </c>
      <c r="E237" s="3" t="s">
        <v>361</v>
      </c>
      <c r="F237" s="3" t="s">
        <v>362</v>
      </c>
      <c r="G237" s="3" t="s">
        <v>363</v>
      </c>
      <c r="H237" s="5">
        <v>20231</v>
      </c>
      <c r="I237" s="3" t="s">
        <v>364</v>
      </c>
      <c r="J237" s="3" t="s">
        <v>278</v>
      </c>
      <c r="K237" s="3" t="s">
        <v>279</v>
      </c>
      <c r="L237" s="3" t="s">
        <v>307</v>
      </c>
      <c r="M237" s="3" t="s">
        <v>292</v>
      </c>
      <c r="N237" s="5">
        <v>500</v>
      </c>
      <c r="O237" s="5">
        <v>10</v>
      </c>
      <c r="P237" s="3" t="s">
        <v>365</v>
      </c>
      <c r="Q237" s="3" t="s">
        <v>366</v>
      </c>
      <c r="R237" s="3" t="s">
        <v>367</v>
      </c>
      <c r="S237" s="2"/>
      <c r="T237" s="2"/>
      <c r="U237" s="457" t="s">
        <v>368</v>
      </c>
    </row>
    <row r="238" spans="1:21" ht="13.75" customHeight="1">
      <c r="A238" s="456" t="s">
        <v>917</v>
      </c>
      <c r="B238" s="3" t="s">
        <v>918</v>
      </c>
      <c r="C238" s="3" t="s">
        <v>274</v>
      </c>
      <c r="D238" s="5">
        <v>2023</v>
      </c>
      <c r="E238" s="3" t="s">
        <v>361</v>
      </c>
      <c r="F238" s="3" t="s">
        <v>362</v>
      </c>
      <c r="G238" s="3" t="s">
        <v>363</v>
      </c>
      <c r="H238" s="5">
        <v>20231</v>
      </c>
      <c r="I238" s="3" t="s">
        <v>364</v>
      </c>
      <c r="J238" s="3" t="s">
        <v>278</v>
      </c>
      <c r="K238" s="3" t="s">
        <v>279</v>
      </c>
      <c r="L238" s="3" t="s">
        <v>307</v>
      </c>
      <c r="M238" s="3" t="s">
        <v>292</v>
      </c>
      <c r="N238" s="5">
        <v>500</v>
      </c>
      <c r="O238" s="5">
        <v>10</v>
      </c>
      <c r="P238" s="3" t="s">
        <v>365</v>
      </c>
      <c r="Q238" s="3" t="s">
        <v>366</v>
      </c>
      <c r="R238" s="3" t="s">
        <v>367</v>
      </c>
      <c r="S238" s="2"/>
      <c r="T238" s="2"/>
      <c r="U238" s="457" t="s">
        <v>368</v>
      </c>
    </row>
    <row r="239" spans="1:21" ht="13.75" customHeight="1">
      <c r="A239" s="456" t="s">
        <v>919</v>
      </c>
      <c r="B239" s="3" t="s">
        <v>920</v>
      </c>
      <c r="C239" s="3" t="s">
        <v>274</v>
      </c>
      <c r="D239" s="5">
        <v>2023</v>
      </c>
      <c r="E239" s="3" t="s">
        <v>361</v>
      </c>
      <c r="F239" s="3" t="s">
        <v>362</v>
      </c>
      <c r="G239" s="3" t="s">
        <v>363</v>
      </c>
      <c r="H239" s="5">
        <v>20231</v>
      </c>
      <c r="I239" s="3" t="s">
        <v>364</v>
      </c>
      <c r="J239" s="3" t="s">
        <v>278</v>
      </c>
      <c r="K239" s="3" t="s">
        <v>279</v>
      </c>
      <c r="L239" s="3" t="s">
        <v>307</v>
      </c>
      <c r="M239" s="3" t="s">
        <v>292</v>
      </c>
      <c r="N239" s="5">
        <v>500</v>
      </c>
      <c r="O239" s="5">
        <v>10</v>
      </c>
      <c r="P239" s="3" t="s">
        <v>365</v>
      </c>
      <c r="Q239" s="3" t="s">
        <v>366</v>
      </c>
      <c r="R239" s="3" t="s">
        <v>367</v>
      </c>
      <c r="S239" s="2"/>
      <c r="T239" s="2"/>
      <c r="U239" s="457" t="s">
        <v>368</v>
      </c>
    </row>
    <row r="240" spans="1:21" ht="13.75" customHeight="1">
      <c r="A240" s="456" t="s">
        <v>921</v>
      </c>
      <c r="B240" s="3" t="s">
        <v>922</v>
      </c>
      <c r="C240" s="3" t="s">
        <v>274</v>
      </c>
      <c r="D240" s="5">
        <v>2023</v>
      </c>
      <c r="E240" s="3" t="s">
        <v>361</v>
      </c>
      <c r="F240" s="3" t="s">
        <v>362</v>
      </c>
      <c r="G240" s="3" t="s">
        <v>363</v>
      </c>
      <c r="H240" s="5">
        <v>20231</v>
      </c>
      <c r="I240" s="3" t="s">
        <v>364</v>
      </c>
      <c r="J240" s="3" t="s">
        <v>278</v>
      </c>
      <c r="K240" s="3" t="s">
        <v>279</v>
      </c>
      <c r="L240" s="3" t="s">
        <v>307</v>
      </c>
      <c r="M240" s="3" t="s">
        <v>292</v>
      </c>
      <c r="N240" s="5">
        <v>500</v>
      </c>
      <c r="O240" s="5">
        <v>10</v>
      </c>
      <c r="P240" s="3" t="s">
        <v>365</v>
      </c>
      <c r="Q240" s="3" t="s">
        <v>366</v>
      </c>
      <c r="R240" s="3" t="s">
        <v>367</v>
      </c>
      <c r="S240" s="2"/>
      <c r="T240" s="2"/>
      <c r="U240" s="457" t="s">
        <v>368</v>
      </c>
    </row>
    <row r="241" spans="1:21" ht="13.75" customHeight="1">
      <c r="A241" s="456" t="s">
        <v>923</v>
      </c>
      <c r="B241" s="3" t="s">
        <v>924</v>
      </c>
      <c r="C241" s="3" t="s">
        <v>274</v>
      </c>
      <c r="D241" s="5">
        <v>2023</v>
      </c>
      <c r="E241" s="3" t="s">
        <v>361</v>
      </c>
      <c r="F241" s="3" t="s">
        <v>362</v>
      </c>
      <c r="G241" s="3" t="s">
        <v>363</v>
      </c>
      <c r="H241" s="5">
        <v>20231</v>
      </c>
      <c r="I241" s="3" t="s">
        <v>364</v>
      </c>
      <c r="J241" s="3" t="s">
        <v>278</v>
      </c>
      <c r="K241" s="3" t="s">
        <v>279</v>
      </c>
      <c r="L241" s="3" t="s">
        <v>307</v>
      </c>
      <c r="M241" s="3" t="s">
        <v>292</v>
      </c>
      <c r="N241" s="5">
        <v>500</v>
      </c>
      <c r="O241" s="5">
        <v>10</v>
      </c>
      <c r="P241" s="3" t="s">
        <v>365</v>
      </c>
      <c r="Q241" s="3" t="s">
        <v>366</v>
      </c>
      <c r="R241" s="3" t="s">
        <v>367</v>
      </c>
      <c r="S241" s="2"/>
      <c r="T241" s="2"/>
      <c r="U241" s="457" t="s">
        <v>368</v>
      </c>
    </row>
    <row r="242" spans="1:21" ht="13.75" customHeight="1">
      <c r="A242" s="456" t="s">
        <v>925</v>
      </c>
      <c r="B242" s="3" t="s">
        <v>926</v>
      </c>
      <c r="C242" s="3" t="s">
        <v>274</v>
      </c>
      <c r="D242" s="5">
        <v>2023</v>
      </c>
      <c r="E242" s="3" t="s">
        <v>361</v>
      </c>
      <c r="F242" s="3" t="s">
        <v>362</v>
      </c>
      <c r="G242" s="3" t="s">
        <v>363</v>
      </c>
      <c r="H242" s="5">
        <v>20231</v>
      </c>
      <c r="I242" s="3" t="s">
        <v>364</v>
      </c>
      <c r="J242" s="3" t="s">
        <v>278</v>
      </c>
      <c r="K242" s="3" t="s">
        <v>279</v>
      </c>
      <c r="L242" s="3" t="s">
        <v>307</v>
      </c>
      <c r="M242" s="3" t="s">
        <v>292</v>
      </c>
      <c r="N242" s="5">
        <v>500</v>
      </c>
      <c r="O242" s="5">
        <v>10</v>
      </c>
      <c r="P242" s="3" t="s">
        <v>365</v>
      </c>
      <c r="Q242" s="3" t="s">
        <v>366</v>
      </c>
      <c r="R242" s="3" t="s">
        <v>367</v>
      </c>
      <c r="S242" s="2"/>
      <c r="T242" s="2"/>
      <c r="U242" s="457" t="s">
        <v>368</v>
      </c>
    </row>
    <row r="243" spans="1:21" ht="13.75" customHeight="1">
      <c r="A243" s="456" t="s">
        <v>927</v>
      </c>
      <c r="B243" s="3" t="s">
        <v>928</v>
      </c>
      <c r="C243" s="3" t="s">
        <v>274</v>
      </c>
      <c r="D243" s="5">
        <v>2023</v>
      </c>
      <c r="E243" s="3" t="s">
        <v>361</v>
      </c>
      <c r="F243" s="3" t="s">
        <v>362</v>
      </c>
      <c r="G243" s="3" t="s">
        <v>363</v>
      </c>
      <c r="H243" s="5">
        <v>20231</v>
      </c>
      <c r="I243" s="3" t="s">
        <v>364</v>
      </c>
      <c r="J243" s="3" t="s">
        <v>278</v>
      </c>
      <c r="K243" s="3" t="s">
        <v>279</v>
      </c>
      <c r="L243" s="3" t="s">
        <v>307</v>
      </c>
      <c r="M243" s="3" t="s">
        <v>292</v>
      </c>
      <c r="N243" s="5">
        <v>500</v>
      </c>
      <c r="O243" s="5">
        <v>10</v>
      </c>
      <c r="P243" s="3" t="s">
        <v>365</v>
      </c>
      <c r="Q243" s="3" t="s">
        <v>366</v>
      </c>
      <c r="R243" s="3" t="s">
        <v>367</v>
      </c>
      <c r="S243" s="2"/>
      <c r="T243" s="2"/>
      <c r="U243" s="457" t="s">
        <v>368</v>
      </c>
    </row>
    <row r="244" spans="1:21" ht="13.75" customHeight="1">
      <c r="A244" s="456" t="s">
        <v>929</v>
      </c>
      <c r="B244" s="3" t="s">
        <v>930</v>
      </c>
      <c r="C244" s="3" t="s">
        <v>274</v>
      </c>
      <c r="D244" s="5">
        <v>2023</v>
      </c>
      <c r="E244" s="3" t="s">
        <v>361</v>
      </c>
      <c r="F244" s="3" t="s">
        <v>362</v>
      </c>
      <c r="G244" s="3" t="s">
        <v>363</v>
      </c>
      <c r="H244" s="5">
        <v>20231</v>
      </c>
      <c r="I244" s="3" t="s">
        <v>364</v>
      </c>
      <c r="J244" s="3" t="s">
        <v>278</v>
      </c>
      <c r="K244" s="3" t="s">
        <v>279</v>
      </c>
      <c r="L244" s="3" t="s">
        <v>307</v>
      </c>
      <c r="M244" s="3" t="s">
        <v>292</v>
      </c>
      <c r="N244" s="5">
        <v>500</v>
      </c>
      <c r="O244" s="5">
        <v>10</v>
      </c>
      <c r="P244" s="3" t="s">
        <v>365</v>
      </c>
      <c r="Q244" s="3" t="s">
        <v>366</v>
      </c>
      <c r="R244" s="3" t="s">
        <v>367</v>
      </c>
      <c r="S244" s="2"/>
      <c r="T244" s="2"/>
      <c r="U244" s="457" t="s">
        <v>368</v>
      </c>
    </row>
    <row r="245" spans="1:21" ht="13.75" customHeight="1">
      <c r="A245" s="456" t="s">
        <v>931</v>
      </c>
      <c r="B245" s="3" t="s">
        <v>932</v>
      </c>
      <c r="C245" s="3" t="s">
        <v>274</v>
      </c>
      <c r="D245" s="5">
        <v>2023</v>
      </c>
      <c r="E245" s="3" t="s">
        <v>361</v>
      </c>
      <c r="F245" s="3" t="s">
        <v>362</v>
      </c>
      <c r="G245" s="3" t="s">
        <v>363</v>
      </c>
      <c r="H245" s="5">
        <v>20231</v>
      </c>
      <c r="I245" s="3" t="s">
        <v>364</v>
      </c>
      <c r="J245" s="3" t="s">
        <v>278</v>
      </c>
      <c r="K245" s="3" t="s">
        <v>279</v>
      </c>
      <c r="L245" s="3" t="s">
        <v>307</v>
      </c>
      <c r="M245" s="3" t="s">
        <v>292</v>
      </c>
      <c r="N245" s="5">
        <v>500</v>
      </c>
      <c r="O245" s="5">
        <v>10</v>
      </c>
      <c r="P245" s="3" t="s">
        <v>365</v>
      </c>
      <c r="Q245" s="3" t="s">
        <v>366</v>
      </c>
      <c r="R245" s="3" t="s">
        <v>367</v>
      </c>
      <c r="S245" s="2"/>
      <c r="T245" s="2"/>
      <c r="U245" s="457" t="s">
        <v>368</v>
      </c>
    </row>
    <row r="246" spans="1:21" ht="13.75" customHeight="1">
      <c r="A246" s="456" t="s">
        <v>933</v>
      </c>
      <c r="B246" s="3" t="s">
        <v>934</v>
      </c>
      <c r="C246" s="3" t="s">
        <v>274</v>
      </c>
      <c r="D246" s="5">
        <v>2023</v>
      </c>
      <c r="E246" s="3" t="s">
        <v>361</v>
      </c>
      <c r="F246" s="3" t="s">
        <v>362</v>
      </c>
      <c r="G246" s="3" t="s">
        <v>363</v>
      </c>
      <c r="H246" s="5">
        <v>20231</v>
      </c>
      <c r="I246" s="3" t="s">
        <v>364</v>
      </c>
      <c r="J246" s="3" t="s">
        <v>278</v>
      </c>
      <c r="K246" s="3" t="s">
        <v>279</v>
      </c>
      <c r="L246" s="3" t="s">
        <v>307</v>
      </c>
      <c r="M246" s="3" t="s">
        <v>292</v>
      </c>
      <c r="N246" s="5">
        <v>500</v>
      </c>
      <c r="O246" s="5">
        <v>10</v>
      </c>
      <c r="P246" s="3" t="s">
        <v>365</v>
      </c>
      <c r="Q246" s="3" t="s">
        <v>366</v>
      </c>
      <c r="R246" s="3" t="s">
        <v>367</v>
      </c>
      <c r="S246" s="2"/>
      <c r="T246" s="2"/>
      <c r="U246" s="457" t="s">
        <v>368</v>
      </c>
    </row>
    <row r="247" spans="1:21" ht="13.75" customHeight="1">
      <c r="A247" s="456" t="s">
        <v>935</v>
      </c>
      <c r="B247" s="3" t="s">
        <v>936</v>
      </c>
      <c r="C247" s="3" t="s">
        <v>274</v>
      </c>
      <c r="D247" s="5">
        <v>2023</v>
      </c>
      <c r="E247" s="3" t="s">
        <v>361</v>
      </c>
      <c r="F247" s="3" t="s">
        <v>362</v>
      </c>
      <c r="G247" s="3" t="s">
        <v>363</v>
      </c>
      <c r="H247" s="5">
        <v>20231</v>
      </c>
      <c r="I247" s="3" t="s">
        <v>364</v>
      </c>
      <c r="J247" s="3" t="s">
        <v>278</v>
      </c>
      <c r="K247" s="3" t="s">
        <v>279</v>
      </c>
      <c r="L247" s="3" t="s">
        <v>307</v>
      </c>
      <c r="M247" s="3" t="s">
        <v>292</v>
      </c>
      <c r="N247" s="5">
        <v>500</v>
      </c>
      <c r="O247" s="5">
        <v>10</v>
      </c>
      <c r="P247" s="3" t="s">
        <v>365</v>
      </c>
      <c r="Q247" s="3" t="s">
        <v>366</v>
      </c>
      <c r="R247" s="3" t="s">
        <v>367</v>
      </c>
      <c r="S247" s="2"/>
      <c r="T247" s="2"/>
      <c r="U247" s="457" t="s">
        <v>368</v>
      </c>
    </row>
    <row r="248" spans="1:21" ht="13.75" customHeight="1">
      <c r="A248" s="456" t="s">
        <v>937</v>
      </c>
      <c r="B248" s="3" t="s">
        <v>938</v>
      </c>
      <c r="C248" s="3" t="s">
        <v>274</v>
      </c>
      <c r="D248" s="5">
        <v>2023</v>
      </c>
      <c r="E248" s="3" t="s">
        <v>361</v>
      </c>
      <c r="F248" s="3" t="s">
        <v>362</v>
      </c>
      <c r="G248" s="3" t="s">
        <v>363</v>
      </c>
      <c r="H248" s="5">
        <v>20231</v>
      </c>
      <c r="I248" s="3" t="s">
        <v>364</v>
      </c>
      <c r="J248" s="3" t="s">
        <v>278</v>
      </c>
      <c r="K248" s="3" t="s">
        <v>279</v>
      </c>
      <c r="L248" s="3" t="s">
        <v>307</v>
      </c>
      <c r="M248" s="3" t="s">
        <v>292</v>
      </c>
      <c r="N248" s="5">
        <v>500</v>
      </c>
      <c r="O248" s="5">
        <v>10</v>
      </c>
      <c r="P248" s="3" t="s">
        <v>365</v>
      </c>
      <c r="Q248" s="3" t="s">
        <v>366</v>
      </c>
      <c r="R248" s="3" t="s">
        <v>367</v>
      </c>
      <c r="S248" s="2"/>
      <c r="T248" s="2"/>
      <c r="U248" s="457" t="s">
        <v>368</v>
      </c>
    </row>
    <row r="249" spans="1:21" ht="13.75" customHeight="1">
      <c r="A249" s="456" t="s">
        <v>939</v>
      </c>
      <c r="B249" s="3" t="s">
        <v>940</v>
      </c>
      <c r="C249" s="3" t="s">
        <v>274</v>
      </c>
      <c r="D249" s="5">
        <v>2023</v>
      </c>
      <c r="E249" s="3" t="s">
        <v>361</v>
      </c>
      <c r="F249" s="3" t="s">
        <v>362</v>
      </c>
      <c r="G249" s="3" t="s">
        <v>363</v>
      </c>
      <c r="H249" s="5">
        <v>20231</v>
      </c>
      <c r="I249" s="3" t="s">
        <v>364</v>
      </c>
      <c r="J249" s="3" t="s">
        <v>278</v>
      </c>
      <c r="K249" s="3" t="s">
        <v>279</v>
      </c>
      <c r="L249" s="3" t="s">
        <v>307</v>
      </c>
      <c r="M249" s="3" t="s">
        <v>292</v>
      </c>
      <c r="N249" s="5">
        <v>500</v>
      </c>
      <c r="O249" s="5">
        <v>10</v>
      </c>
      <c r="P249" s="3" t="s">
        <v>365</v>
      </c>
      <c r="Q249" s="3" t="s">
        <v>366</v>
      </c>
      <c r="R249" s="3" t="s">
        <v>367</v>
      </c>
      <c r="S249" s="2"/>
      <c r="T249" s="2"/>
      <c r="U249" s="457" t="s">
        <v>368</v>
      </c>
    </row>
    <row r="250" spans="1:21" ht="13.75" customHeight="1">
      <c r="A250" s="456" t="s">
        <v>941</v>
      </c>
      <c r="B250" s="3" t="s">
        <v>942</v>
      </c>
      <c r="C250" s="3" t="s">
        <v>274</v>
      </c>
      <c r="D250" s="5">
        <v>2023</v>
      </c>
      <c r="E250" s="3" t="s">
        <v>361</v>
      </c>
      <c r="F250" s="3" t="s">
        <v>362</v>
      </c>
      <c r="G250" s="3" t="s">
        <v>363</v>
      </c>
      <c r="H250" s="5">
        <v>20231</v>
      </c>
      <c r="I250" s="3" t="s">
        <v>364</v>
      </c>
      <c r="J250" s="3" t="s">
        <v>278</v>
      </c>
      <c r="K250" s="3" t="s">
        <v>279</v>
      </c>
      <c r="L250" s="3" t="s">
        <v>307</v>
      </c>
      <c r="M250" s="3" t="s">
        <v>292</v>
      </c>
      <c r="N250" s="5">
        <v>500</v>
      </c>
      <c r="O250" s="5">
        <v>10</v>
      </c>
      <c r="P250" s="3" t="s">
        <v>365</v>
      </c>
      <c r="Q250" s="3" t="s">
        <v>366</v>
      </c>
      <c r="R250" s="3" t="s">
        <v>367</v>
      </c>
      <c r="S250" s="2"/>
      <c r="T250" s="2"/>
      <c r="U250" s="457" t="s">
        <v>368</v>
      </c>
    </row>
    <row r="251" spans="1:21" ht="13.75" customHeight="1">
      <c r="A251" s="456" t="s">
        <v>943</v>
      </c>
      <c r="B251" s="3" t="s">
        <v>944</v>
      </c>
      <c r="C251" s="3" t="s">
        <v>274</v>
      </c>
      <c r="D251" s="5">
        <v>2023</v>
      </c>
      <c r="E251" s="3" t="s">
        <v>361</v>
      </c>
      <c r="F251" s="3" t="s">
        <v>362</v>
      </c>
      <c r="G251" s="3" t="s">
        <v>363</v>
      </c>
      <c r="H251" s="5">
        <v>20231</v>
      </c>
      <c r="I251" s="3" t="s">
        <v>364</v>
      </c>
      <c r="J251" s="3" t="s">
        <v>278</v>
      </c>
      <c r="K251" s="3" t="s">
        <v>279</v>
      </c>
      <c r="L251" s="3" t="s">
        <v>307</v>
      </c>
      <c r="M251" s="3" t="s">
        <v>292</v>
      </c>
      <c r="N251" s="5">
        <v>500</v>
      </c>
      <c r="O251" s="5">
        <v>10</v>
      </c>
      <c r="P251" s="3" t="s">
        <v>365</v>
      </c>
      <c r="Q251" s="3" t="s">
        <v>366</v>
      </c>
      <c r="R251" s="3" t="s">
        <v>367</v>
      </c>
      <c r="S251" s="2"/>
      <c r="T251" s="2"/>
      <c r="U251" s="457" t="s">
        <v>368</v>
      </c>
    </row>
    <row r="252" spans="1:21" ht="13.75" customHeight="1">
      <c r="A252" s="456" t="s">
        <v>945</v>
      </c>
      <c r="B252" s="3" t="s">
        <v>946</v>
      </c>
      <c r="C252" s="3" t="s">
        <v>274</v>
      </c>
      <c r="D252" s="5">
        <v>2023</v>
      </c>
      <c r="E252" s="3" t="s">
        <v>361</v>
      </c>
      <c r="F252" s="3" t="s">
        <v>362</v>
      </c>
      <c r="G252" s="3" t="s">
        <v>363</v>
      </c>
      <c r="H252" s="5">
        <v>20231</v>
      </c>
      <c r="I252" s="3" t="s">
        <v>364</v>
      </c>
      <c r="J252" s="3" t="s">
        <v>278</v>
      </c>
      <c r="K252" s="3" t="s">
        <v>279</v>
      </c>
      <c r="L252" s="3" t="s">
        <v>307</v>
      </c>
      <c r="M252" s="3" t="s">
        <v>292</v>
      </c>
      <c r="N252" s="5">
        <v>500</v>
      </c>
      <c r="O252" s="5">
        <v>10</v>
      </c>
      <c r="P252" s="3" t="s">
        <v>365</v>
      </c>
      <c r="Q252" s="3" t="s">
        <v>366</v>
      </c>
      <c r="R252" s="3" t="s">
        <v>367</v>
      </c>
      <c r="S252" s="2"/>
      <c r="T252" s="2"/>
      <c r="U252" s="457" t="s">
        <v>368</v>
      </c>
    </row>
    <row r="253" spans="1:21" ht="13.75" customHeight="1">
      <c r="A253" s="456" t="s">
        <v>947</v>
      </c>
      <c r="B253" s="3" t="s">
        <v>948</v>
      </c>
      <c r="C253" s="3" t="s">
        <v>274</v>
      </c>
      <c r="D253" s="5">
        <v>2023</v>
      </c>
      <c r="E253" s="3" t="s">
        <v>361</v>
      </c>
      <c r="F253" s="3" t="s">
        <v>362</v>
      </c>
      <c r="G253" s="3" t="s">
        <v>363</v>
      </c>
      <c r="H253" s="5">
        <v>20231</v>
      </c>
      <c r="I253" s="3" t="s">
        <v>364</v>
      </c>
      <c r="J253" s="3" t="s">
        <v>278</v>
      </c>
      <c r="K253" s="3" t="s">
        <v>279</v>
      </c>
      <c r="L253" s="3" t="s">
        <v>307</v>
      </c>
      <c r="M253" s="3" t="s">
        <v>292</v>
      </c>
      <c r="N253" s="5">
        <v>500</v>
      </c>
      <c r="O253" s="5">
        <v>10</v>
      </c>
      <c r="P253" s="3" t="s">
        <v>365</v>
      </c>
      <c r="Q253" s="3" t="s">
        <v>366</v>
      </c>
      <c r="R253" s="3" t="s">
        <v>367</v>
      </c>
      <c r="S253" s="2"/>
      <c r="T253" s="2"/>
      <c r="U253" s="457" t="s">
        <v>368</v>
      </c>
    </row>
    <row r="254" spans="1:21" ht="13.75" customHeight="1">
      <c r="A254" s="456" t="s">
        <v>949</v>
      </c>
      <c r="B254" s="3" t="s">
        <v>950</v>
      </c>
      <c r="C254" s="3" t="s">
        <v>274</v>
      </c>
      <c r="D254" s="5">
        <v>2023</v>
      </c>
      <c r="E254" s="3" t="s">
        <v>361</v>
      </c>
      <c r="F254" s="3" t="s">
        <v>362</v>
      </c>
      <c r="G254" s="3" t="s">
        <v>363</v>
      </c>
      <c r="H254" s="5">
        <v>20231</v>
      </c>
      <c r="I254" s="3" t="s">
        <v>364</v>
      </c>
      <c r="J254" s="3" t="s">
        <v>278</v>
      </c>
      <c r="K254" s="3" t="s">
        <v>279</v>
      </c>
      <c r="L254" s="3" t="s">
        <v>307</v>
      </c>
      <c r="M254" s="3" t="s">
        <v>292</v>
      </c>
      <c r="N254" s="5">
        <v>500</v>
      </c>
      <c r="O254" s="5">
        <v>10</v>
      </c>
      <c r="P254" s="3" t="s">
        <v>365</v>
      </c>
      <c r="Q254" s="3" t="s">
        <v>366</v>
      </c>
      <c r="R254" s="3" t="s">
        <v>367</v>
      </c>
      <c r="S254" s="2"/>
      <c r="T254" s="2"/>
      <c r="U254" s="457" t="s">
        <v>368</v>
      </c>
    </row>
    <row r="255" spans="1:21" ht="13.75" customHeight="1">
      <c r="A255" s="456" t="s">
        <v>951</v>
      </c>
      <c r="B255" s="3" t="s">
        <v>952</v>
      </c>
      <c r="C255" s="3" t="s">
        <v>274</v>
      </c>
      <c r="D255" s="5">
        <v>2023</v>
      </c>
      <c r="E255" s="3" t="s">
        <v>361</v>
      </c>
      <c r="F255" s="3" t="s">
        <v>362</v>
      </c>
      <c r="G255" s="3" t="s">
        <v>363</v>
      </c>
      <c r="H255" s="5">
        <v>20231</v>
      </c>
      <c r="I255" s="3" t="s">
        <v>364</v>
      </c>
      <c r="J255" s="3" t="s">
        <v>278</v>
      </c>
      <c r="K255" s="3" t="s">
        <v>279</v>
      </c>
      <c r="L255" s="3" t="s">
        <v>307</v>
      </c>
      <c r="M255" s="3" t="s">
        <v>292</v>
      </c>
      <c r="N255" s="5">
        <v>500</v>
      </c>
      <c r="O255" s="5">
        <v>10</v>
      </c>
      <c r="P255" s="3" t="s">
        <v>365</v>
      </c>
      <c r="Q255" s="3" t="s">
        <v>366</v>
      </c>
      <c r="R255" s="3" t="s">
        <v>367</v>
      </c>
      <c r="S255" s="2"/>
      <c r="T255" s="2"/>
      <c r="U255" s="457" t="s">
        <v>368</v>
      </c>
    </row>
    <row r="256" spans="1:21" ht="13.75" customHeight="1">
      <c r="A256" s="456" t="s">
        <v>953</v>
      </c>
      <c r="B256" s="3" t="s">
        <v>954</v>
      </c>
      <c r="C256" s="3" t="s">
        <v>274</v>
      </c>
      <c r="D256" s="5">
        <v>2023</v>
      </c>
      <c r="E256" s="3" t="s">
        <v>361</v>
      </c>
      <c r="F256" s="3" t="s">
        <v>362</v>
      </c>
      <c r="G256" s="3" t="s">
        <v>363</v>
      </c>
      <c r="H256" s="5">
        <v>20231</v>
      </c>
      <c r="I256" s="3" t="s">
        <v>364</v>
      </c>
      <c r="J256" s="3" t="s">
        <v>278</v>
      </c>
      <c r="K256" s="3" t="s">
        <v>279</v>
      </c>
      <c r="L256" s="3" t="s">
        <v>307</v>
      </c>
      <c r="M256" s="3" t="s">
        <v>292</v>
      </c>
      <c r="N256" s="5">
        <v>500</v>
      </c>
      <c r="O256" s="5">
        <v>10</v>
      </c>
      <c r="P256" s="3" t="s">
        <v>365</v>
      </c>
      <c r="Q256" s="3" t="s">
        <v>366</v>
      </c>
      <c r="R256" s="3" t="s">
        <v>367</v>
      </c>
      <c r="S256" s="2"/>
      <c r="T256" s="2"/>
      <c r="U256" s="457" t="s">
        <v>368</v>
      </c>
    </row>
    <row r="257" spans="1:21" ht="13.75" customHeight="1">
      <c r="A257" s="456" t="s">
        <v>955</v>
      </c>
      <c r="B257" s="3" t="s">
        <v>956</v>
      </c>
      <c r="C257" s="3" t="s">
        <v>957</v>
      </c>
      <c r="D257" s="5">
        <v>2022</v>
      </c>
      <c r="E257" s="3" t="s">
        <v>958</v>
      </c>
      <c r="F257" s="3" t="s">
        <v>959</v>
      </c>
      <c r="G257" s="3" t="s">
        <v>959</v>
      </c>
      <c r="H257" s="5">
        <v>20222</v>
      </c>
      <c r="I257" s="3" t="s">
        <v>960</v>
      </c>
      <c r="J257" s="3" t="s">
        <v>278</v>
      </c>
      <c r="K257" s="3" t="s">
        <v>279</v>
      </c>
      <c r="L257" s="3" t="s">
        <v>291</v>
      </c>
      <c r="M257" s="3" t="s">
        <v>292</v>
      </c>
      <c r="N257" s="5">
        <v>50</v>
      </c>
      <c r="O257" s="5">
        <v>5</v>
      </c>
      <c r="P257" s="2"/>
      <c r="Q257" s="3" t="s">
        <v>961</v>
      </c>
      <c r="R257" s="3" t="s">
        <v>962</v>
      </c>
      <c r="S257" s="2"/>
      <c r="T257" s="2"/>
      <c r="U257" s="457" t="s">
        <v>963</v>
      </c>
    </row>
    <row r="258" spans="1:21" ht="13.75" customHeight="1">
      <c r="A258" s="456" t="s">
        <v>964</v>
      </c>
      <c r="B258" s="3" t="s">
        <v>965</v>
      </c>
      <c r="C258" s="3" t="s">
        <v>966</v>
      </c>
      <c r="D258" s="5">
        <v>2020</v>
      </c>
      <c r="E258" s="3" t="s">
        <v>418</v>
      </c>
      <c r="F258" s="3" t="s">
        <v>419</v>
      </c>
      <c r="G258" s="3" t="s">
        <v>419</v>
      </c>
      <c r="H258" s="5">
        <v>20231</v>
      </c>
      <c r="I258" s="3" t="s">
        <v>420</v>
      </c>
      <c r="J258" s="3" t="s">
        <v>278</v>
      </c>
      <c r="K258" s="3" t="s">
        <v>279</v>
      </c>
      <c r="L258" s="3" t="s">
        <v>291</v>
      </c>
      <c r="M258" s="3" t="s">
        <v>292</v>
      </c>
      <c r="N258" s="5">
        <v>250</v>
      </c>
      <c r="O258" s="5">
        <v>4</v>
      </c>
      <c r="P258" s="2"/>
      <c r="Q258" s="3" t="s">
        <v>421</v>
      </c>
      <c r="R258" s="3" t="s">
        <v>422</v>
      </c>
      <c r="S258" s="2"/>
      <c r="T258" s="2"/>
      <c r="U258" s="457" t="s">
        <v>423</v>
      </c>
    </row>
    <row r="259" spans="1:21" ht="13.75" customHeight="1">
      <c r="A259" s="456" t="s">
        <v>967</v>
      </c>
      <c r="B259" s="3" t="s">
        <v>968</v>
      </c>
      <c r="C259" s="3" t="s">
        <v>966</v>
      </c>
      <c r="D259" s="5">
        <v>2020</v>
      </c>
      <c r="E259" s="3" t="s">
        <v>418</v>
      </c>
      <c r="F259" s="3" t="s">
        <v>419</v>
      </c>
      <c r="G259" s="3" t="s">
        <v>419</v>
      </c>
      <c r="H259" s="5">
        <v>20231</v>
      </c>
      <c r="I259" s="3" t="s">
        <v>420</v>
      </c>
      <c r="J259" s="3" t="s">
        <v>278</v>
      </c>
      <c r="K259" s="3" t="s">
        <v>279</v>
      </c>
      <c r="L259" s="3" t="s">
        <v>291</v>
      </c>
      <c r="M259" s="3" t="s">
        <v>292</v>
      </c>
      <c r="N259" s="5">
        <v>250</v>
      </c>
      <c r="O259" s="5">
        <v>4</v>
      </c>
      <c r="P259" s="2"/>
      <c r="Q259" s="3" t="s">
        <v>421</v>
      </c>
      <c r="R259" s="3" t="s">
        <v>422</v>
      </c>
      <c r="S259" s="2"/>
      <c r="T259" s="2"/>
      <c r="U259" s="457" t="s">
        <v>423</v>
      </c>
    </row>
    <row r="260" spans="1:21" ht="13.75" customHeight="1">
      <c r="A260" s="456" t="s">
        <v>969</v>
      </c>
      <c r="B260" s="3" t="s">
        <v>970</v>
      </c>
      <c r="C260" s="3" t="s">
        <v>966</v>
      </c>
      <c r="D260" s="5">
        <v>2020</v>
      </c>
      <c r="E260" s="3" t="s">
        <v>971</v>
      </c>
      <c r="F260" s="3" t="s">
        <v>972</v>
      </c>
      <c r="G260" s="3" t="s">
        <v>972</v>
      </c>
      <c r="H260" s="5">
        <v>20221</v>
      </c>
      <c r="I260" s="2"/>
      <c r="J260" s="3" t="s">
        <v>278</v>
      </c>
      <c r="K260" s="3" t="s">
        <v>348</v>
      </c>
      <c r="L260" s="3" t="s">
        <v>280</v>
      </c>
      <c r="M260" s="3" t="s">
        <v>292</v>
      </c>
      <c r="N260" s="5">
        <v>1</v>
      </c>
      <c r="O260" s="5">
        <v>30</v>
      </c>
      <c r="P260" s="3" t="s">
        <v>973</v>
      </c>
      <c r="Q260" s="3" t="s">
        <v>974</v>
      </c>
      <c r="R260" s="2"/>
      <c r="S260" s="3" t="s">
        <v>975</v>
      </c>
      <c r="T260" s="2"/>
      <c r="U260" s="457" t="s">
        <v>976</v>
      </c>
    </row>
    <row r="261" spans="1:21" ht="39.75" customHeight="1">
      <c r="A261" s="456" t="s">
        <v>969</v>
      </c>
      <c r="B261" s="3" t="s">
        <v>970</v>
      </c>
      <c r="C261" s="3" t="s">
        <v>966</v>
      </c>
      <c r="D261" s="5">
        <v>2020</v>
      </c>
      <c r="E261" s="3" t="s">
        <v>977</v>
      </c>
      <c r="F261" s="3" t="s">
        <v>978</v>
      </c>
      <c r="G261" s="3" t="s">
        <v>978</v>
      </c>
      <c r="H261" s="5">
        <v>20222</v>
      </c>
      <c r="I261" s="227" t="s">
        <v>979</v>
      </c>
      <c r="J261" s="3" t="s">
        <v>278</v>
      </c>
      <c r="K261" s="3" t="s">
        <v>374</v>
      </c>
      <c r="L261" s="3" t="s">
        <v>280</v>
      </c>
      <c r="M261" s="3" t="s">
        <v>281</v>
      </c>
      <c r="N261" s="5">
        <v>2</v>
      </c>
      <c r="O261" s="5">
        <v>48</v>
      </c>
      <c r="P261" s="2"/>
      <c r="Q261" s="3" t="s">
        <v>980</v>
      </c>
      <c r="R261" s="2"/>
      <c r="S261" s="2"/>
      <c r="T261" s="2"/>
      <c r="U261" s="457" t="s">
        <v>981</v>
      </c>
    </row>
    <row r="262" spans="1:21" ht="13.75" customHeight="1">
      <c r="A262" s="456" t="s">
        <v>982</v>
      </c>
      <c r="B262" s="3" t="s">
        <v>983</v>
      </c>
      <c r="C262" s="3" t="s">
        <v>966</v>
      </c>
      <c r="D262" s="5">
        <v>2023</v>
      </c>
      <c r="E262" s="3" t="s">
        <v>505</v>
      </c>
      <c r="F262" s="3" t="s">
        <v>506</v>
      </c>
      <c r="G262" s="3" t="s">
        <v>506</v>
      </c>
      <c r="H262" s="5">
        <v>20231</v>
      </c>
      <c r="I262" s="2"/>
      <c r="J262" s="3" t="s">
        <v>278</v>
      </c>
      <c r="K262" s="3" t="s">
        <v>332</v>
      </c>
      <c r="L262" s="3" t="s">
        <v>291</v>
      </c>
      <c r="M262" s="3" t="s">
        <v>292</v>
      </c>
      <c r="N262" s="5">
        <v>50</v>
      </c>
      <c r="O262" s="5">
        <v>4</v>
      </c>
      <c r="P262" s="2"/>
      <c r="Q262" s="3" t="s">
        <v>507</v>
      </c>
      <c r="R262" s="3" t="s">
        <v>508</v>
      </c>
      <c r="S262" s="2"/>
      <c r="T262" s="2"/>
      <c r="U262" s="457" t="s">
        <v>440</v>
      </c>
    </row>
    <row r="263" spans="1:21" ht="13.75" customHeight="1">
      <c r="A263" s="456" t="s">
        <v>984</v>
      </c>
      <c r="B263" s="3" t="s">
        <v>985</v>
      </c>
      <c r="C263" s="3" t="s">
        <v>986</v>
      </c>
      <c r="D263" s="5">
        <v>2020</v>
      </c>
      <c r="E263" s="3" t="s">
        <v>987</v>
      </c>
      <c r="F263" s="3" t="s">
        <v>988</v>
      </c>
      <c r="G263" s="3" t="s">
        <v>988</v>
      </c>
      <c r="H263" s="5">
        <v>20221</v>
      </c>
      <c r="I263" s="3" t="s">
        <v>989</v>
      </c>
      <c r="J263" s="3" t="s">
        <v>278</v>
      </c>
      <c r="K263" s="3" t="s">
        <v>279</v>
      </c>
      <c r="L263" s="3" t="s">
        <v>291</v>
      </c>
      <c r="M263" s="3" t="s">
        <v>292</v>
      </c>
      <c r="N263" s="5">
        <v>28</v>
      </c>
      <c r="O263" s="5">
        <v>5</v>
      </c>
      <c r="P263" s="2"/>
      <c r="Q263" s="3" t="s">
        <v>990</v>
      </c>
      <c r="R263" s="3" t="s">
        <v>991</v>
      </c>
      <c r="S263" s="2"/>
      <c r="T263" s="2"/>
      <c r="U263" s="457" t="s">
        <v>992</v>
      </c>
    </row>
    <row r="264" spans="1:21" ht="13.75" customHeight="1">
      <c r="A264" s="456" t="s">
        <v>984</v>
      </c>
      <c r="B264" s="3" t="s">
        <v>985</v>
      </c>
      <c r="C264" s="3" t="s">
        <v>986</v>
      </c>
      <c r="D264" s="5">
        <v>2020</v>
      </c>
      <c r="E264" s="3" t="s">
        <v>993</v>
      </c>
      <c r="F264" s="3" t="s">
        <v>994</v>
      </c>
      <c r="G264" s="3" t="s">
        <v>994</v>
      </c>
      <c r="H264" s="5">
        <v>20222</v>
      </c>
      <c r="I264" s="2"/>
      <c r="J264" s="3" t="s">
        <v>278</v>
      </c>
      <c r="K264" s="3" t="s">
        <v>279</v>
      </c>
      <c r="L264" s="3" t="s">
        <v>291</v>
      </c>
      <c r="M264" s="3" t="s">
        <v>292</v>
      </c>
      <c r="N264" s="5">
        <v>28</v>
      </c>
      <c r="O264" s="5">
        <v>5</v>
      </c>
      <c r="P264" s="2"/>
      <c r="Q264" s="3" t="s">
        <v>995</v>
      </c>
      <c r="R264" s="2"/>
      <c r="S264" s="2"/>
      <c r="T264" s="2"/>
      <c r="U264" s="457" t="s">
        <v>992</v>
      </c>
    </row>
    <row r="265" spans="1:21" ht="13.75" customHeight="1">
      <c r="A265" s="456" t="s">
        <v>996</v>
      </c>
      <c r="B265" s="3" t="s">
        <v>997</v>
      </c>
      <c r="C265" s="3" t="s">
        <v>986</v>
      </c>
      <c r="D265" s="5">
        <v>2020</v>
      </c>
      <c r="E265" s="3" t="s">
        <v>998</v>
      </c>
      <c r="F265" s="3" t="s">
        <v>999</v>
      </c>
      <c r="G265" s="3" t="s">
        <v>999</v>
      </c>
      <c r="H265" s="5">
        <v>20221</v>
      </c>
      <c r="I265" s="3" t="s">
        <v>1000</v>
      </c>
      <c r="J265" s="3" t="s">
        <v>278</v>
      </c>
      <c r="K265" s="3" t="s">
        <v>279</v>
      </c>
      <c r="L265" s="3" t="s">
        <v>291</v>
      </c>
      <c r="M265" s="3" t="s">
        <v>292</v>
      </c>
      <c r="N265" s="5">
        <v>1</v>
      </c>
      <c r="O265" s="5">
        <v>5</v>
      </c>
      <c r="P265" s="2"/>
      <c r="Q265" s="3" t="s">
        <v>1001</v>
      </c>
      <c r="R265" s="2"/>
      <c r="S265" s="2"/>
      <c r="T265" s="2"/>
      <c r="U265" s="457" t="s">
        <v>1002</v>
      </c>
    </row>
    <row r="266" spans="1:21" ht="13.75" customHeight="1">
      <c r="A266" s="456" t="s">
        <v>1003</v>
      </c>
      <c r="B266" s="3" t="s">
        <v>1004</v>
      </c>
      <c r="C266" s="3" t="s">
        <v>986</v>
      </c>
      <c r="D266" s="5">
        <v>2020</v>
      </c>
      <c r="E266" s="3" t="s">
        <v>1005</v>
      </c>
      <c r="F266" s="3" t="s">
        <v>1006</v>
      </c>
      <c r="G266" s="3" t="s">
        <v>1006</v>
      </c>
      <c r="H266" s="5">
        <v>20221</v>
      </c>
      <c r="I266" s="3" t="s">
        <v>1007</v>
      </c>
      <c r="J266" s="3" t="s">
        <v>278</v>
      </c>
      <c r="K266" s="3" t="s">
        <v>279</v>
      </c>
      <c r="L266" s="3" t="s">
        <v>280</v>
      </c>
      <c r="M266" s="3" t="s">
        <v>292</v>
      </c>
      <c r="N266" s="5">
        <v>1</v>
      </c>
      <c r="O266" s="5">
        <v>15</v>
      </c>
      <c r="P266" s="2"/>
      <c r="Q266" s="3" t="s">
        <v>1008</v>
      </c>
      <c r="R266" s="3" t="s">
        <v>1009</v>
      </c>
      <c r="S266" s="2"/>
      <c r="T266" s="2"/>
      <c r="U266" s="457" t="s">
        <v>1010</v>
      </c>
    </row>
    <row r="267" spans="1:21" ht="13.75" customHeight="1">
      <c r="A267" s="456" t="s">
        <v>1003</v>
      </c>
      <c r="B267" s="3" t="s">
        <v>1004</v>
      </c>
      <c r="C267" s="3" t="s">
        <v>986</v>
      </c>
      <c r="D267" s="5">
        <v>2020</v>
      </c>
      <c r="E267" s="3" t="s">
        <v>1011</v>
      </c>
      <c r="F267" s="3" t="s">
        <v>1012</v>
      </c>
      <c r="G267" s="3" t="s">
        <v>1012</v>
      </c>
      <c r="H267" s="5">
        <v>20221</v>
      </c>
      <c r="I267" s="3" t="s">
        <v>1013</v>
      </c>
      <c r="J267" s="3" t="s">
        <v>278</v>
      </c>
      <c r="K267" s="3" t="s">
        <v>279</v>
      </c>
      <c r="L267" s="3" t="s">
        <v>280</v>
      </c>
      <c r="M267" s="3" t="s">
        <v>292</v>
      </c>
      <c r="N267" s="5">
        <v>1</v>
      </c>
      <c r="O267" s="5">
        <v>15</v>
      </c>
      <c r="P267" s="2"/>
      <c r="Q267" s="3" t="s">
        <v>1014</v>
      </c>
      <c r="R267" s="3" t="s">
        <v>1015</v>
      </c>
      <c r="S267" s="2"/>
      <c r="T267" s="2"/>
      <c r="U267" s="457" t="s">
        <v>1010</v>
      </c>
    </row>
    <row r="268" spans="1:21" ht="13.75" customHeight="1">
      <c r="A268" s="456" t="s">
        <v>1016</v>
      </c>
      <c r="B268" s="3" t="s">
        <v>1017</v>
      </c>
      <c r="C268" s="3" t="s">
        <v>986</v>
      </c>
      <c r="D268" s="5">
        <v>2020</v>
      </c>
      <c r="E268" s="3" t="s">
        <v>1018</v>
      </c>
      <c r="F268" s="3" t="s">
        <v>1019</v>
      </c>
      <c r="G268" s="3" t="s">
        <v>1020</v>
      </c>
      <c r="H268" s="5">
        <v>20212</v>
      </c>
      <c r="I268" s="2"/>
      <c r="J268" s="3" t="s">
        <v>278</v>
      </c>
      <c r="K268" s="3" t="s">
        <v>279</v>
      </c>
      <c r="L268" s="3" t="s">
        <v>280</v>
      </c>
      <c r="M268" s="3" t="s">
        <v>281</v>
      </c>
      <c r="N268" s="5">
        <v>4</v>
      </c>
      <c r="O268" s="5">
        <v>15</v>
      </c>
      <c r="P268" s="2"/>
      <c r="Q268" s="3" t="s">
        <v>1021</v>
      </c>
      <c r="R268" s="2"/>
      <c r="S268" s="2"/>
      <c r="T268" s="2"/>
      <c r="U268" s="457" t="s">
        <v>1022</v>
      </c>
    </row>
    <row r="269" spans="1:21" ht="13.75" customHeight="1">
      <c r="A269" s="456" t="s">
        <v>1023</v>
      </c>
      <c r="B269" s="3" t="s">
        <v>1024</v>
      </c>
      <c r="C269" s="3" t="s">
        <v>986</v>
      </c>
      <c r="D269" s="5">
        <v>2021</v>
      </c>
      <c r="E269" s="3" t="s">
        <v>1025</v>
      </c>
      <c r="F269" s="3" t="s">
        <v>1026</v>
      </c>
      <c r="G269" s="3" t="s">
        <v>1026</v>
      </c>
      <c r="H269" s="5">
        <v>20222</v>
      </c>
      <c r="I269" s="3" t="s">
        <v>1027</v>
      </c>
      <c r="J269" s="3" t="s">
        <v>278</v>
      </c>
      <c r="K269" s="3" t="s">
        <v>374</v>
      </c>
      <c r="L269" s="3" t="s">
        <v>280</v>
      </c>
      <c r="M269" s="3" t="s">
        <v>292</v>
      </c>
      <c r="N269" s="5">
        <v>1</v>
      </c>
      <c r="O269" s="5">
        <v>32</v>
      </c>
      <c r="P269" s="2"/>
      <c r="Q269" s="2"/>
      <c r="R269" s="3" t="s">
        <v>1028</v>
      </c>
      <c r="S269" s="3" t="s">
        <v>1029</v>
      </c>
      <c r="T269" s="2"/>
      <c r="U269" s="457" t="s">
        <v>1030</v>
      </c>
    </row>
    <row r="270" spans="1:21" ht="13.75" customHeight="1">
      <c r="A270" s="456" t="s">
        <v>1031</v>
      </c>
      <c r="B270" s="3" t="s">
        <v>1032</v>
      </c>
      <c r="C270" s="3" t="s">
        <v>986</v>
      </c>
      <c r="D270" s="5">
        <v>2021</v>
      </c>
      <c r="E270" s="3" t="s">
        <v>1033</v>
      </c>
      <c r="F270" s="3" t="s">
        <v>1034</v>
      </c>
      <c r="G270" s="3" t="s">
        <v>1034</v>
      </c>
      <c r="H270" s="5">
        <v>20201</v>
      </c>
      <c r="I270" s="3" t="s">
        <v>1035</v>
      </c>
      <c r="J270" s="3" t="s">
        <v>278</v>
      </c>
      <c r="K270" s="3" t="s">
        <v>332</v>
      </c>
      <c r="L270" s="3" t="s">
        <v>291</v>
      </c>
      <c r="M270" s="3" t="s">
        <v>281</v>
      </c>
      <c r="N270" s="5">
        <v>15</v>
      </c>
      <c r="O270" s="5">
        <v>5</v>
      </c>
      <c r="P270" s="3" t="s">
        <v>1036</v>
      </c>
      <c r="Q270" s="3" t="s">
        <v>1037</v>
      </c>
      <c r="R270" s="2"/>
      <c r="S270" s="2"/>
      <c r="T270" s="2"/>
      <c r="U270" s="457" t="s">
        <v>1038</v>
      </c>
    </row>
    <row r="271" spans="1:21" ht="13.75" customHeight="1">
      <c r="A271" s="456" t="s">
        <v>1031</v>
      </c>
      <c r="B271" s="3" t="s">
        <v>1032</v>
      </c>
      <c r="C271" s="3" t="s">
        <v>986</v>
      </c>
      <c r="D271" s="5">
        <v>2021</v>
      </c>
      <c r="E271" s="3" t="s">
        <v>1039</v>
      </c>
      <c r="F271" s="3" t="s">
        <v>1040</v>
      </c>
      <c r="G271" s="3" t="s">
        <v>1041</v>
      </c>
      <c r="H271" s="5">
        <v>20211</v>
      </c>
      <c r="I271" s="3" t="s">
        <v>1042</v>
      </c>
      <c r="J271" s="3" t="s">
        <v>278</v>
      </c>
      <c r="K271" s="3" t="s">
        <v>332</v>
      </c>
      <c r="L271" s="3" t="s">
        <v>291</v>
      </c>
      <c r="M271" s="3" t="s">
        <v>281</v>
      </c>
      <c r="N271" s="5">
        <v>30</v>
      </c>
      <c r="O271" s="5">
        <v>5</v>
      </c>
      <c r="P271" s="3" t="s">
        <v>1036</v>
      </c>
      <c r="Q271" s="3" t="s">
        <v>1043</v>
      </c>
      <c r="R271" s="2"/>
      <c r="S271" s="2"/>
      <c r="T271" s="2"/>
      <c r="U271" s="457" t="s">
        <v>1038</v>
      </c>
    </row>
    <row r="272" spans="1:21" ht="13.75" customHeight="1">
      <c r="A272" s="456" t="s">
        <v>1031</v>
      </c>
      <c r="B272" s="3" t="s">
        <v>1032</v>
      </c>
      <c r="C272" s="3" t="s">
        <v>986</v>
      </c>
      <c r="D272" s="5">
        <v>2021</v>
      </c>
      <c r="E272" s="3" t="s">
        <v>1044</v>
      </c>
      <c r="F272" s="3" t="s">
        <v>1045</v>
      </c>
      <c r="G272" s="3" t="s">
        <v>1045</v>
      </c>
      <c r="H272" s="5">
        <v>20222</v>
      </c>
      <c r="I272" s="3" t="s">
        <v>1046</v>
      </c>
      <c r="J272" s="3" t="s">
        <v>278</v>
      </c>
      <c r="K272" s="3" t="s">
        <v>279</v>
      </c>
      <c r="L272" s="3" t="s">
        <v>438</v>
      </c>
      <c r="M272" s="3" t="s">
        <v>281</v>
      </c>
      <c r="N272" s="5">
        <v>80</v>
      </c>
      <c r="O272" s="5">
        <v>10</v>
      </c>
      <c r="P272" s="3" t="s">
        <v>1047</v>
      </c>
      <c r="Q272" s="3" t="s">
        <v>1048</v>
      </c>
      <c r="R272" s="2"/>
      <c r="S272" s="2"/>
      <c r="T272" s="2"/>
      <c r="U272" s="457" t="s">
        <v>1038</v>
      </c>
    </row>
    <row r="273" spans="1:21" ht="13.75" customHeight="1">
      <c r="A273" s="456" t="s">
        <v>1049</v>
      </c>
      <c r="B273" s="3" t="s">
        <v>1050</v>
      </c>
      <c r="C273" s="3" t="s">
        <v>986</v>
      </c>
      <c r="D273" s="5">
        <v>2021</v>
      </c>
      <c r="E273" s="3" t="s">
        <v>1051</v>
      </c>
      <c r="F273" s="3" t="s">
        <v>1020</v>
      </c>
      <c r="G273" s="3" t="s">
        <v>1020</v>
      </c>
      <c r="H273" s="5">
        <v>20221</v>
      </c>
      <c r="I273" s="3" t="s">
        <v>1052</v>
      </c>
      <c r="J273" s="3" t="s">
        <v>278</v>
      </c>
      <c r="K273" s="3" t="s">
        <v>279</v>
      </c>
      <c r="L273" s="3" t="s">
        <v>280</v>
      </c>
      <c r="M273" s="3" t="s">
        <v>281</v>
      </c>
      <c r="N273" s="5">
        <v>6</v>
      </c>
      <c r="O273" s="5">
        <v>15</v>
      </c>
      <c r="P273" s="2"/>
      <c r="Q273" s="3" t="s">
        <v>1053</v>
      </c>
      <c r="R273" s="2"/>
      <c r="S273" s="2"/>
      <c r="T273" s="2"/>
      <c r="U273" s="457" t="s">
        <v>1054</v>
      </c>
    </row>
    <row r="274" spans="1:21" ht="13.75" customHeight="1">
      <c r="A274" s="456" t="s">
        <v>1055</v>
      </c>
      <c r="B274" s="3" t="s">
        <v>1056</v>
      </c>
      <c r="C274" s="3" t="s">
        <v>986</v>
      </c>
      <c r="D274" s="5">
        <v>2021</v>
      </c>
      <c r="E274" s="3" t="s">
        <v>1057</v>
      </c>
      <c r="F274" s="3" t="s">
        <v>1058</v>
      </c>
      <c r="G274" s="3" t="s">
        <v>339</v>
      </c>
      <c r="H274" s="5">
        <v>20221</v>
      </c>
      <c r="I274" s="3" t="s">
        <v>1059</v>
      </c>
      <c r="J274" s="3" t="s">
        <v>278</v>
      </c>
      <c r="K274" s="3" t="s">
        <v>279</v>
      </c>
      <c r="L274" s="3" t="s">
        <v>280</v>
      </c>
      <c r="M274" s="3" t="s">
        <v>281</v>
      </c>
      <c r="N274" s="5">
        <v>3</v>
      </c>
      <c r="O274" s="5">
        <v>15</v>
      </c>
      <c r="P274" s="2"/>
      <c r="Q274" s="3" t="s">
        <v>1060</v>
      </c>
      <c r="R274" s="2"/>
      <c r="S274" s="2"/>
      <c r="T274" s="2"/>
      <c r="U274" s="457" t="s">
        <v>1054</v>
      </c>
    </row>
    <row r="275" spans="1:21" ht="13.75" customHeight="1">
      <c r="A275" s="456" t="s">
        <v>1061</v>
      </c>
      <c r="B275" s="3" t="s">
        <v>1062</v>
      </c>
      <c r="C275" s="3" t="s">
        <v>986</v>
      </c>
      <c r="D275" s="5">
        <v>2021</v>
      </c>
      <c r="E275" s="3" t="s">
        <v>1063</v>
      </c>
      <c r="F275" s="3" t="s">
        <v>305</v>
      </c>
      <c r="G275" s="3" t="s">
        <v>305</v>
      </c>
      <c r="H275" s="5">
        <v>20221</v>
      </c>
      <c r="I275" s="2"/>
      <c r="J275" s="3" t="s">
        <v>278</v>
      </c>
      <c r="K275" s="3" t="s">
        <v>279</v>
      </c>
      <c r="L275" s="3" t="s">
        <v>291</v>
      </c>
      <c r="M275" s="3" t="s">
        <v>292</v>
      </c>
      <c r="N275" s="5">
        <v>22</v>
      </c>
      <c r="O275" s="5">
        <v>5</v>
      </c>
      <c r="P275" s="2"/>
      <c r="Q275" s="3" t="s">
        <v>1064</v>
      </c>
      <c r="R275" s="2"/>
      <c r="S275" s="2"/>
      <c r="T275" s="2"/>
      <c r="U275" s="457" t="s">
        <v>1065</v>
      </c>
    </row>
    <row r="276" spans="1:21" ht="13.75" customHeight="1">
      <c r="A276" s="456" t="s">
        <v>1061</v>
      </c>
      <c r="B276" s="3" t="s">
        <v>1062</v>
      </c>
      <c r="C276" s="3" t="s">
        <v>986</v>
      </c>
      <c r="D276" s="5">
        <v>2021</v>
      </c>
      <c r="E276" s="3" t="s">
        <v>1066</v>
      </c>
      <c r="F276" s="3" t="s">
        <v>1067</v>
      </c>
      <c r="G276" s="3" t="s">
        <v>1067</v>
      </c>
      <c r="H276" s="5">
        <v>20222</v>
      </c>
      <c r="I276" s="3" t="s">
        <v>1068</v>
      </c>
      <c r="J276" s="3" t="s">
        <v>278</v>
      </c>
      <c r="K276" s="3" t="s">
        <v>279</v>
      </c>
      <c r="L276" s="3" t="s">
        <v>291</v>
      </c>
      <c r="M276" s="3" t="s">
        <v>292</v>
      </c>
      <c r="N276" s="5">
        <v>25</v>
      </c>
      <c r="O276" s="5">
        <v>5</v>
      </c>
      <c r="P276" s="2"/>
      <c r="Q276" s="3" t="s">
        <v>1069</v>
      </c>
      <c r="R276" s="2"/>
      <c r="S276" s="2"/>
      <c r="T276" s="2"/>
      <c r="U276" s="457" t="s">
        <v>1065</v>
      </c>
    </row>
    <row r="277" spans="1:21" ht="13.75" customHeight="1">
      <c r="A277" s="456" t="s">
        <v>1061</v>
      </c>
      <c r="B277" s="3" t="s">
        <v>1062</v>
      </c>
      <c r="C277" s="3" t="s">
        <v>986</v>
      </c>
      <c r="D277" s="5">
        <v>2021</v>
      </c>
      <c r="E277" s="3" t="s">
        <v>1070</v>
      </c>
      <c r="F277" s="3" t="s">
        <v>994</v>
      </c>
      <c r="G277" s="3" t="s">
        <v>994</v>
      </c>
      <c r="H277" s="5">
        <v>20222</v>
      </c>
      <c r="I277" s="3" t="s">
        <v>1071</v>
      </c>
      <c r="J277" s="3" t="s">
        <v>278</v>
      </c>
      <c r="K277" s="3" t="s">
        <v>279</v>
      </c>
      <c r="L277" s="3" t="s">
        <v>291</v>
      </c>
      <c r="M277" s="3" t="s">
        <v>292</v>
      </c>
      <c r="N277" s="5">
        <v>21</v>
      </c>
      <c r="O277" s="5">
        <v>5</v>
      </c>
      <c r="P277" s="2"/>
      <c r="Q277" s="3" t="s">
        <v>1072</v>
      </c>
      <c r="R277" s="2"/>
      <c r="S277" s="2"/>
      <c r="T277" s="2"/>
      <c r="U277" s="457" t="s">
        <v>1065</v>
      </c>
    </row>
    <row r="278" spans="1:21" ht="13.75" customHeight="1">
      <c r="A278" s="456" t="s">
        <v>1061</v>
      </c>
      <c r="B278" s="3" t="s">
        <v>1062</v>
      </c>
      <c r="C278" s="3" t="s">
        <v>986</v>
      </c>
      <c r="D278" s="5">
        <v>2021</v>
      </c>
      <c r="E278" s="3" t="s">
        <v>1073</v>
      </c>
      <c r="F278" s="3" t="s">
        <v>978</v>
      </c>
      <c r="G278" s="3" t="s">
        <v>978</v>
      </c>
      <c r="H278" s="5">
        <v>20222</v>
      </c>
      <c r="I278" s="3" t="s">
        <v>1074</v>
      </c>
      <c r="J278" s="3" t="s">
        <v>278</v>
      </c>
      <c r="K278" s="3" t="s">
        <v>279</v>
      </c>
      <c r="L278" s="3" t="s">
        <v>291</v>
      </c>
      <c r="M278" s="3" t="s">
        <v>292</v>
      </c>
      <c r="N278" s="5">
        <v>50</v>
      </c>
      <c r="O278" s="5">
        <v>5</v>
      </c>
      <c r="P278" s="2"/>
      <c r="Q278" s="3" t="s">
        <v>1075</v>
      </c>
      <c r="R278" s="2"/>
      <c r="S278" s="2"/>
      <c r="T278" s="2"/>
      <c r="U278" s="457" t="s">
        <v>1065</v>
      </c>
    </row>
    <row r="279" spans="1:21" ht="13.75" customHeight="1">
      <c r="A279" s="456" t="s">
        <v>1061</v>
      </c>
      <c r="B279" s="3" t="s">
        <v>1062</v>
      </c>
      <c r="C279" s="3" t="s">
        <v>986</v>
      </c>
      <c r="D279" s="5">
        <v>2021</v>
      </c>
      <c r="E279" s="3" t="s">
        <v>1076</v>
      </c>
      <c r="F279" s="3" t="s">
        <v>1077</v>
      </c>
      <c r="G279" s="3" t="s">
        <v>1077</v>
      </c>
      <c r="H279" s="5">
        <v>20222</v>
      </c>
      <c r="I279" s="3" t="s">
        <v>1078</v>
      </c>
      <c r="J279" s="3" t="s">
        <v>278</v>
      </c>
      <c r="K279" s="3" t="s">
        <v>279</v>
      </c>
      <c r="L279" s="3" t="s">
        <v>291</v>
      </c>
      <c r="M279" s="3" t="s">
        <v>292</v>
      </c>
      <c r="N279" s="5">
        <v>50</v>
      </c>
      <c r="O279" s="5">
        <v>5</v>
      </c>
      <c r="P279" s="2"/>
      <c r="Q279" s="3" t="s">
        <v>1079</v>
      </c>
      <c r="R279" s="2"/>
      <c r="S279" s="2"/>
      <c r="T279" s="2"/>
      <c r="U279" s="457" t="s">
        <v>1065</v>
      </c>
    </row>
    <row r="280" spans="1:21" ht="13.75" customHeight="1">
      <c r="A280" s="456" t="s">
        <v>1080</v>
      </c>
      <c r="B280" s="3" t="s">
        <v>1081</v>
      </c>
      <c r="C280" s="3" t="s">
        <v>986</v>
      </c>
      <c r="D280" s="5">
        <v>2021</v>
      </c>
      <c r="E280" s="3" t="s">
        <v>1082</v>
      </c>
      <c r="F280" s="3" t="s">
        <v>1083</v>
      </c>
      <c r="G280" s="3" t="s">
        <v>1083</v>
      </c>
      <c r="H280" s="5">
        <v>20221</v>
      </c>
      <c r="I280" s="3" t="s">
        <v>1084</v>
      </c>
      <c r="J280" s="3" t="s">
        <v>278</v>
      </c>
      <c r="K280" s="3" t="s">
        <v>279</v>
      </c>
      <c r="L280" s="3" t="s">
        <v>291</v>
      </c>
      <c r="M280" s="3" t="s">
        <v>292</v>
      </c>
      <c r="N280" s="5">
        <v>200</v>
      </c>
      <c r="O280" s="5">
        <v>5</v>
      </c>
      <c r="P280" s="2"/>
      <c r="Q280" s="3" t="s">
        <v>1085</v>
      </c>
      <c r="R280" s="3" t="s">
        <v>1086</v>
      </c>
      <c r="S280" s="2"/>
      <c r="T280" s="2"/>
      <c r="U280" s="457" t="s">
        <v>1087</v>
      </c>
    </row>
    <row r="281" spans="1:21" ht="13.75" customHeight="1">
      <c r="A281" s="456" t="s">
        <v>1088</v>
      </c>
      <c r="B281" s="3" t="s">
        <v>1089</v>
      </c>
      <c r="C281" s="3" t="s">
        <v>986</v>
      </c>
      <c r="D281" s="5">
        <v>2021</v>
      </c>
      <c r="E281" s="3" t="s">
        <v>1090</v>
      </c>
      <c r="F281" s="3" t="s">
        <v>1091</v>
      </c>
      <c r="G281" s="3" t="s">
        <v>1091</v>
      </c>
      <c r="H281" s="5">
        <v>20221</v>
      </c>
      <c r="I281" s="3" t="s">
        <v>1092</v>
      </c>
      <c r="J281" s="3" t="s">
        <v>278</v>
      </c>
      <c r="K281" s="3" t="s">
        <v>279</v>
      </c>
      <c r="L281" s="3" t="s">
        <v>280</v>
      </c>
      <c r="M281" s="3" t="s">
        <v>292</v>
      </c>
      <c r="N281" s="5">
        <v>1</v>
      </c>
      <c r="O281" s="5">
        <v>15</v>
      </c>
      <c r="P281" s="2"/>
      <c r="Q281" s="3" t="s">
        <v>1093</v>
      </c>
      <c r="R281" s="3" t="s">
        <v>1094</v>
      </c>
      <c r="S281" s="2"/>
      <c r="T281" s="2"/>
      <c r="U281" s="457" t="s">
        <v>1090</v>
      </c>
    </row>
    <row r="282" spans="1:21" ht="65.75" customHeight="1">
      <c r="A282" s="456" t="s">
        <v>1095</v>
      </c>
      <c r="B282" s="3" t="s">
        <v>1096</v>
      </c>
      <c r="C282" s="3" t="s">
        <v>986</v>
      </c>
      <c r="D282" s="5">
        <v>2021</v>
      </c>
      <c r="E282" s="3" t="s">
        <v>1097</v>
      </c>
      <c r="F282" s="3" t="s">
        <v>1098</v>
      </c>
      <c r="G282" s="3" t="s">
        <v>1098</v>
      </c>
      <c r="H282" s="5">
        <v>20221</v>
      </c>
      <c r="I282" s="227" t="s">
        <v>1099</v>
      </c>
      <c r="J282" s="3" t="s">
        <v>278</v>
      </c>
      <c r="K282" s="3" t="s">
        <v>279</v>
      </c>
      <c r="L282" s="3" t="s">
        <v>438</v>
      </c>
      <c r="M282" s="3" t="s">
        <v>292</v>
      </c>
      <c r="N282" s="5">
        <v>100</v>
      </c>
      <c r="O282" s="5">
        <v>10</v>
      </c>
      <c r="P282" s="3" t="s">
        <v>1100</v>
      </c>
      <c r="Q282" s="3" t="s">
        <v>1101</v>
      </c>
      <c r="R282" s="2"/>
      <c r="S282" s="2"/>
      <c r="T282" s="2"/>
      <c r="U282" s="457" t="s">
        <v>1102</v>
      </c>
    </row>
    <row r="283" spans="1:21" ht="13.75" customHeight="1">
      <c r="A283" s="456" t="s">
        <v>1103</v>
      </c>
      <c r="B283" s="3" t="s">
        <v>1104</v>
      </c>
      <c r="C283" s="3" t="s">
        <v>986</v>
      </c>
      <c r="D283" s="5">
        <v>2021</v>
      </c>
      <c r="E283" s="3" t="s">
        <v>1057</v>
      </c>
      <c r="F283" s="3" t="s">
        <v>339</v>
      </c>
      <c r="G283" s="3" t="s">
        <v>339</v>
      </c>
      <c r="H283" s="5">
        <v>20221</v>
      </c>
      <c r="I283" s="3" t="s">
        <v>1105</v>
      </c>
      <c r="J283" s="3" t="s">
        <v>278</v>
      </c>
      <c r="K283" s="3" t="s">
        <v>279</v>
      </c>
      <c r="L283" s="3" t="s">
        <v>280</v>
      </c>
      <c r="M283" s="3" t="s">
        <v>281</v>
      </c>
      <c r="N283" s="5">
        <v>0</v>
      </c>
      <c r="O283" s="5">
        <v>15</v>
      </c>
      <c r="P283" s="2"/>
      <c r="Q283" s="3" t="s">
        <v>1106</v>
      </c>
      <c r="R283" s="2"/>
      <c r="S283" s="2"/>
      <c r="T283" s="2"/>
      <c r="U283" s="457" t="s">
        <v>1054</v>
      </c>
    </row>
    <row r="284" spans="1:21" ht="13.75" customHeight="1">
      <c r="A284" s="456" t="s">
        <v>1107</v>
      </c>
      <c r="B284" s="3" t="s">
        <v>1108</v>
      </c>
      <c r="C284" s="3" t="s">
        <v>986</v>
      </c>
      <c r="D284" s="5">
        <v>2021</v>
      </c>
      <c r="E284" s="3" t="s">
        <v>1109</v>
      </c>
      <c r="F284" s="3" t="s">
        <v>1110</v>
      </c>
      <c r="G284" s="3" t="s">
        <v>1111</v>
      </c>
      <c r="H284" s="5">
        <v>20221</v>
      </c>
      <c r="I284" s="3" t="s">
        <v>1112</v>
      </c>
      <c r="J284" s="3" t="s">
        <v>278</v>
      </c>
      <c r="K284" s="3" t="s">
        <v>279</v>
      </c>
      <c r="L284" s="3" t="s">
        <v>438</v>
      </c>
      <c r="M284" s="3" t="s">
        <v>292</v>
      </c>
      <c r="N284" s="5">
        <v>1</v>
      </c>
      <c r="O284" s="5">
        <v>10</v>
      </c>
      <c r="P284" s="2"/>
      <c r="Q284" s="3" t="s">
        <v>1113</v>
      </c>
      <c r="R284" s="2"/>
      <c r="S284" s="2"/>
      <c r="T284" s="2"/>
      <c r="U284" s="457" t="s">
        <v>1114</v>
      </c>
    </row>
    <row r="285" spans="1:21" ht="13.75" customHeight="1">
      <c r="A285" s="456" t="s">
        <v>1115</v>
      </c>
      <c r="B285" s="3" t="s">
        <v>1116</v>
      </c>
      <c r="C285" s="3" t="s">
        <v>986</v>
      </c>
      <c r="D285" s="5">
        <v>2021</v>
      </c>
      <c r="E285" s="3" t="s">
        <v>1117</v>
      </c>
      <c r="F285" s="3" t="s">
        <v>298</v>
      </c>
      <c r="G285" s="3" t="s">
        <v>298</v>
      </c>
      <c r="H285" s="5">
        <v>20222</v>
      </c>
      <c r="I285" s="3" t="s">
        <v>1118</v>
      </c>
      <c r="J285" s="3" t="s">
        <v>278</v>
      </c>
      <c r="K285" s="3" t="s">
        <v>279</v>
      </c>
      <c r="L285" s="3" t="s">
        <v>291</v>
      </c>
      <c r="M285" s="3" t="s">
        <v>1119</v>
      </c>
      <c r="N285" s="5">
        <v>230</v>
      </c>
      <c r="O285" s="5">
        <v>10</v>
      </c>
      <c r="P285" s="3" t="s">
        <v>19</v>
      </c>
      <c r="Q285" s="3" t="s">
        <v>1120</v>
      </c>
      <c r="R285" s="3" t="s">
        <v>1121</v>
      </c>
      <c r="S285" s="2"/>
      <c r="T285" s="2"/>
      <c r="U285" s="457" t="s">
        <v>1122</v>
      </c>
    </row>
    <row r="286" spans="1:21" ht="13.75" customHeight="1">
      <c r="A286" s="456" t="s">
        <v>1115</v>
      </c>
      <c r="B286" s="3" t="s">
        <v>1116</v>
      </c>
      <c r="C286" s="3" t="s">
        <v>986</v>
      </c>
      <c r="D286" s="5">
        <v>2021</v>
      </c>
      <c r="E286" s="3" t="s">
        <v>1123</v>
      </c>
      <c r="F286" s="3" t="s">
        <v>1124</v>
      </c>
      <c r="G286" s="3" t="s">
        <v>1124</v>
      </c>
      <c r="H286" s="5">
        <v>20222</v>
      </c>
      <c r="I286" s="3" t="s">
        <v>1125</v>
      </c>
      <c r="J286" s="3" t="s">
        <v>278</v>
      </c>
      <c r="K286" s="3" t="s">
        <v>279</v>
      </c>
      <c r="L286" s="3" t="s">
        <v>291</v>
      </c>
      <c r="M286" s="3" t="s">
        <v>292</v>
      </c>
      <c r="N286" s="5">
        <v>100</v>
      </c>
      <c r="O286" s="5">
        <v>5</v>
      </c>
      <c r="P286" s="2"/>
      <c r="Q286" s="3" t="s">
        <v>1126</v>
      </c>
      <c r="R286" s="3" t="s">
        <v>1127</v>
      </c>
      <c r="S286" s="2"/>
      <c r="T286" s="2"/>
      <c r="U286" s="457" t="s">
        <v>1128</v>
      </c>
    </row>
    <row r="287" spans="1:21" ht="13.75" customHeight="1">
      <c r="A287" s="456" t="s">
        <v>1129</v>
      </c>
      <c r="B287" s="3" t="s">
        <v>1130</v>
      </c>
      <c r="C287" s="3" t="s">
        <v>986</v>
      </c>
      <c r="D287" s="5">
        <v>2021</v>
      </c>
      <c r="E287" s="3" t="s">
        <v>1131</v>
      </c>
      <c r="F287" s="3" t="s">
        <v>1132</v>
      </c>
      <c r="G287" s="3" t="s">
        <v>1132</v>
      </c>
      <c r="H287" s="5">
        <v>20222</v>
      </c>
      <c r="I287" s="3" t="s">
        <v>1133</v>
      </c>
      <c r="J287" s="3" t="s">
        <v>278</v>
      </c>
      <c r="K287" s="3" t="s">
        <v>348</v>
      </c>
      <c r="L287" s="3" t="s">
        <v>280</v>
      </c>
      <c r="M287" s="3" t="s">
        <v>292</v>
      </c>
      <c r="N287" s="5">
        <v>1000</v>
      </c>
      <c r="O287" s="5">
        <v>30</v>
      </c>
      <c r="P287" s="2"/>
      <c r="Q287" s="2"/>
      <c r="R287" s="2"/>
      <c r="S287" s="3" t="s">
        <v>1134</v>
      </c>
      <c r="T287" s="2"/>
      <c r="U287" s="457" t="s">
        <v>1131</v>
      </c>
    </row>
    <row r="288" spans="1:21" ht="39.75" customHeight="1">
      <c r="A288" s="456" t="s">
        <v>1135</v>
      </c>
      <c r="B288" s="3" t="s">
        <v>1136</v>
      </c>
      <c r="C288" s="3" t="s">
        <v>986</v>
      </c>
      <c r="D288" s="5">
        <v>2022</v>
      </c>
      <c r="E288" s="3" t="s">
        <v>1137</v>
      </c>
      <c r="F288" s="3" t="s">
        <v>1138</v>
      </c>
      <c r="G288" s="3" t="s">
        <v>1138</v>
      </c>
      <c r="H288" s="5">
        <v>20222</v>
      </c>
      <c r="I288" s="227" t="s">
        <v>1139</v>
      </c>
      <c r="J288" s="3" t="s">
        <v>278</v>
      </c>
      <c r="K288" s="3" t="s">
        <v>279</v>
      </c>
      <c r="L288" s="3" t="s">
        <v>291</v>
      </c>
      <c r="M288" s="3" t="s">
        <v>292</v>
      </c>
      <c r="N288" s="5">
        <v>40</v>
      </c>
      <c r="O288" s="5">
        <v>5</v>
      </c>
      <c r="P288" s="2"/>
      <c r="Q288" s="3" t="s">
        <v>1140</v>
      </c>
      <c r="R288" s="3" t="s">
        <v>1141</v>
      </c>
      <c r="S288" s="2"/>
      <c r="T288" s="2"/>
      <c r="U288" s="457" t="s">
        <v>1142</v>
      </c>
    </row>
    <row r="289" spans="1:21" ht="52.75" customHeight="1">
      <c r="A289" s="456" t="s">
        <v>1143</v>
      </c>
      <c r="B289" s="3" t="s">
        <v>1144</v>
      </c>
      <c r="C289" s="3" t="s">
        <v>986</v>
      </c>
      <c r="D289" s="5">
        <v>2022</v>
      </c>
      <c r="E289" s="3" t="s">
        <v>1145</v>
      </c>
      <c r="F289" s="3" t="s">
        <v>1146</v>
      </c>
      <c r="G289" s="3" t="s">
        <v>1146</v>
      </c>
      <c r="H289" s="5">
        <v>20231</v>
      </c>
      <c r="I289" s="227" t="s">
        <v>1147</v>
      </c>
      <c r="J289" s="3" t="s">
        <v>278</v>
      </c>
      <c r="K289" s="3" t="s">
        <v>279</v>
      </c>
      <c r="L289" s="3" t="s">
        <v>438</v>
      </c>
      <c r="M289" s="3" t="s">
        <v>292</v>
      </c>
      <c r="N289" s="5">
        <v>8</v>
      </c>
      <c r="O289" s="5">
        <v>10</v>
      </c>
      <c r="P289" s="2"/>
      <c r="Q289" s="3" t="s">
        <v>1148</v>
      </c>
      <c r="R289" s="2"/>
      <c r="S289" s="2"/>
      <c r="T289" s="2"/>
      <c r="U289" s="457" t="s">
        <v>1149</v>
      </c>
    </row>
    <row r="290" spans="1:21" ht="13.75" customHeight="1">
      <c r="A290" s="456" t="s">
        <v>1150</v>
      </c>
      <c r="B290" s="3" t="s">
        <v>1151</v>
      </c>
      <c r="C290" s="3" t="s">
        <v>986</v>
      </c>
      <c r="D290" s="5">
        <v>2022</v>
      </c>
      <c r="E290" s="3" t="s">
        <v>1152</v>
      </c>
      <c r="F290" s="3" t="s">
        <v>1153</v>
      </c>
      <c r="G290" s="3" t="s">
        <v>1153</v>
      </c>
      <c r="H290" s="5">
        <v>20222</v>
      </c>
      <c r="I290" s="2"/>
      <c r="J290" s="3" t="s">
        <v>278</v>
      </c>
      <c r="K290" s="3" t="s">
        <v>279</v>
      </c>
      <c r="L290" s="3" t="s">
        <v>438</v>
      </c>
      <c r="M290" s="3" t="s">
        <v>292</v>
      </c>
      <c r="N290" s="5">
        <v>20</v>
      </c>
      <c r="O290" s="5">
        <v>10</v>
      </c>
      <c r="P290" s="2"/>
      <c r="Q290" s="3" t="s">
        <v>1154</v>
      </c>
      <c r="R290" s="2"/>
      <c r="S290" s="2"/>
      <c r="T290" s="2"/>
      <c r="U290" s="457" t="s">
        <v>1155</v>
      </c>
    </row>
    <row r="291" spans="1:21" ht="13.75" customHeight="1">
      <c r="A291" s="456" t="s">
        <v>1156</v>
      </c>
      <c r="B291" s="3" t="s">
        <v>1157</v>
      </c>
      <c r="C291" s="3" t="s">
        <v>986</v>
      </c>
      <c r="D291" s="5">
        <v>2022</v>
      </c>
      <c r="E291" s="3" t="s">
        <v>1158</v>
      </c>
      <c r="F291" s="3" t="s">
        <v>1159</v>
      </c>
      <c r="G291" s="3" t="s">
        <v>1160</v>
      </c>
      <c r="H291" s="5">
        <v>20222</v>
      </c>
      <c r="I291" s="3" t="s">
        <v>1161</v>
      </c>
      <c r="J291" s="3" t="s">
        <v>278</v>
      </c>
      <c r="K291" s="3" t="s">
        <v>279</v>
      </c>
      <c r="L291" s="3" t="s">
        <v>438</v>
      </c>
      <c r="M291" s="3" t="s">
        <v>292</v>
      </c>
      <c r="N291" s="5">
        <v>40</v>
      </c>
      <c r="O291" s="5">
        <v>10</v>
      </c>
      <c r="P291" s="2"/>
      <c r="Q291" s="3" t="s">
        <v>1162</v>
      </c>
      <c r="R291" s="2"/>
      <c r="S291" s="2"/>
      <c r="T291" s="2"/>
      <c r="U291" s="457" t="s">
        <v>1163</v>
      </c>
    </row>
    <row r="292" spans="1:21" ht="26.75" customHeight="1">
      <c r="A292" s="456" t="s">
        <v>1156</v>
      </c>
      <c r="B292" s="3" t="s">
        <v>1157</v>
      </c>
      <c r="C292" s="3" t="s">
        <v>986</v>
      </c>
      <c r="D292" s="5">
        <v>2022</v>
      </c>
      <c r="E292" s="3" t="s">
        <v>1164</v>
      </c>
      <c r="F292" s="3" t="s">
        <v>411</v>
      </c>
      <c r="G292" s="3" t="s">
        <v>411</v>
      </c>
      <c r="H292" s="5">
        <v>20222</v>
      </c>
      <c r="I292" s="227" t="s">
        <v>1165</v>
      </c>
      <c r="J292" s="3" t="s">
        <v>278</v>
      </c>
      <c r="K292" s="3" t="s">
        <v>279</v>
      </c>
      <c r="L292" s="3" t="s">
        <v>438</v>
      </c>
      <c r="M292" s="3" t="s">
        <v>292</v>
      </c>
      <c r="N292" s="5">
        <v>150</v>
      </c>
      <c r="O292" s="5">
        <v>10</v>
      </c>
      <c r="P292" s="2"/>
      <c r="Q292" s="3" t="s">
        <v>1166</v>
      </c>
      <c r="R292" s="2"/>
      <c r="S292" s="2"/>
      <c r="T292" s="2"/>
      <c r="U292" s="457" t="s">
        <v>1167</v>
      </c>
    </row>
    <row r="293" spans="1:21" ht="13.75" customHeight="1">
      <c r="A293" s="456" t="s">
        <v>1156</v>
      </c>
      <c r="B293" s="3" t="s">
        <v>1157</v>
      </c>
      <c r="C293" s="3" t="s">
        <v>986</v>
      </c>
      <c r="D293" s="5">
        <v>2022</v>
      </c>
      <c r="E293" s="3" t="s">
        <v>1168</v>
      </c>
      <c r="F293" s="3" t="s">
        <v>1169</v>
      </c>
      <c r="G293" s="3" t="s">
        <v>1169</v>
      </c>
      <c r="H293" s="5">
        <v>20222</v>
      </c>
      <c r="I293" s="3" t="s">
        <v>1170</v>
      </c>
      <c r="J293" s="3" t="s">
        <v>278</v>
      </c>
      <c r="K293" s="3" t="s">
        <v>279</v>
      </c>
      <c r="L293" s="3" t="s">
        <v>438</v>
      </c>
      <c r="M293" s="3" t="s">
        <v>292</v>
      </c>
      <c r="N293" s="5">
        <v>80</v>
      </c>
      <c r="O293" s="5">
        <v>10</v>
      </c>
      <c r="P293" s="2"/>
      <c r="Q293" s="3" t="s">
        <v>1171</v>
      </c>
      <c r="R293" s="2"/>
      <c r="S293" s="2"/>
      <c r="T293" s="2"/>
      <c r="U293" s="457" t="s">
        <v>1172</v>
      </c>
    </row>
    <row r="294" spans="1:21" ht="26.75" customHeight="1">
      <c r="A294" s="456" t="s">
        <v>1156</v>
      </c>
      <c r="B294" s="3" t="s">
        <v>1157</v>
      </c>
      <c r="C294" s="3" t="s">
        <v>986</v>
      </c>
      <c r="D294" s="5">
        <v>2022</v>
      </c>
      <c r="E294" s="3" t="s">
        <v>1173</v>
      </c>
      <c r="F294" s="3" t="s">
        <v>1174</v>
      </c>
      <c r="G294" s="3" t="s">
        <v>1174</v>
      </c>
      <c r="H294" s="5">
        <v>20222</v>
      </c>
      <c r="I294" s="227" t="s">
        <v>1175</v>
      </c>
      <c r="J294" s="3" t="s">
        <v>278</v>
      </c>
      <c r="K294" s="3" t="s">
        <v>279</v>
      </c>
      <c r="L294" s="3" t="s">
        <v>438</v>
      </c>
      <c r="M294" s="3" t="s">
        <v>292</v>
      </c>
      <c r="N294" s="5">
        <v>40</v>
      </c>
      <c r="O294" s="5">
        <v>10</v>
      </c>
      <c r="P294" s="2"/>
      <c r="Q294" s="3" t="s">
        <v>1176</v>
      </c>
      <c r="R294" s="2"/>
      <c r="S294" s="2"/>
      <c r="T294" s="2"/>
      <c r="U294" s="457" t="s">
        <v>1177</v>
      </c>
    </row>
    <row r="295" spans="1:21" ht="39.75" customHeight="1">
      <c r="A295" s="456" t="s">
        <v>1156</v>
      </c>
      <c r="B295" s="3" t="s">
        <v>1157</v>
      </c>
      <c r="C295" s="3" t="s">
        <v>986</v>
      </c>
      <c r="D295" s="5">
        <v>2022</v>
      </c>
      <c r="E295" s="3" t="s">
        <v>1178</v>
      </c>
      <c r="F295" s="3" t="s">
        <v>1179</v>
      </c>
      <c r="G295" s="3" t="s">
        <v>1179</v>
      </c>
      <c r="H295" s="5">
        <v>20222</v>
      </c>
      <c r="I295" s="227" t="s">
        <v>1180</v>
      </c>
      <c r="J295" s="3" t="s">
        <v>278</v>
      </c>
      <c r="K295" s="3" t="s">
        <v>279</v>
      </c>
      <c r="L295" s="3" t="s">
        <v>438</v>
      </c>
      <c r="M295" s="3" t="s">
        <v>292</v>
      </c>
      <c r="N295" s="5">
        <v>150</v>
      </c>
      <c r="O295" s="5">
        <v>10</v>
      </c>
      <c r="P295" s="2"/>
      <c r="Q295" s="3" t="s">
        <v>1181</v>
      </c>
      <c r="R295" s="2"/>
      <c r="S295" s="2"/>
      <c r="T295" s="2"/>
      <c r="U295" s="457" t="s">
        <v>1182</v>
      </c>
    </row>
    <row r="296" spans="1:21" ht="13.75" customHeight="1">
      <c r="A296" s="456" t="s">
        <v>1183</v>
      </c>
      <c r="B296" s="3" t="s">
        <v>1184</v>
      </c>
      <c r="C296" s="3" t="s">
        <v>986</v>
      </c>
      <c r="D296" s="5">
        <v>2022</v>
      </c>
      <c r="E296" s="3" t="s">
        <v>1185</v>
      </c>
      <c r="F296" s="3" t="s">
        <v>1186</v>
      </c>
      <c r="G296" s="3" t="s">
        <v>959</v>
      </c>
      <c r="H296" s="5">
        <v>20222</v>
      </c>
      <c r="I296" s="3" t="s">
        <v>1187</v>
      </c>
      <c r="J296" s="3" t="s">
        <v>278</v>
      </c>
      <c r="K296" s="3" t="s">
        <v>279</v>
      </c>
      <c r="L296" s="3" t="s">
        <v>438</v>
      </c>
      <c r="M296" s="3" t="s">
        <v>292</v>
      </c>
      <c r="N296" s="5">
        <v>60</v>
      </c>
      <c r="O296" s="5">
        <v>10</v>
      </c>
      <c r="P296" s="2"/>
      <c r="Q296" s="3" t="s">
        <v>1188</v>
      </c>
      <c r="R296" s="2"/>
      <c r="S296" s="2"/>
      <c r="T296" s="2"/>
      <c r="U296" s="457" t="s">
        <v>1189</v>
      </c>
    </row>
    <row r="297" spans="1:21" ht="13.75" customHeight="1">
      <c r="A297" s="456" t="s">
        <v>1183</v>
      </c>
      <c r="B297" s="3" t="s">
        <v>1184</v>
      </c>
      <c r="C297" s="3" t="s">
        <v>986</v>
      </c>
      <c r="D297" s="5">
        <v>2022</v>
      </c>
      <c r="E297" s="3" t="s">
        <v>1190</v>
      </c>
      <c r="F297" s="3" t="s">
        <v>289</v>
      </c>
      <c r="G297" s="3" t="s">
        <v>289</v>
      </c>
      <c r="H297" s="5">
        <v>20222</v>
      </c>
      <c r="I297" s="3" t="s">
        <v>1191</v>
      </c>
      <c r="J297" s="3" t="s">
        <v>278</v>
      </c>
      <c r="K297" s="3" t="s">
        <v>279</v>
      </c>
      <c r="L297" s="3" t="s">
        <v>438</v>
      </c>
      <c r="M297" s="3" t="s">
        <v>292</v>
      </c>
      <c r="N297" s="5">
        <v>50</v>
      </c>
      <c r="O297" s="5">
        <v>10</v>
      </c>
      <c r="P297" s="2"/>
      <c r="Q297" s="3" t="s">
        <v>1192</v>
      </c>
      <c r="R297" s="2"/>
      <c r="S297" s="2"/>
      <c r="T297" s="2"/>
      <c r="U297" s="457" t="s">
        <v>1193</v>
      </c>
    </row>
    <row r="298" spans="1:21" ht="13.75" customHeight="1">
      <c r="A298" s="456" t="s">
        <v>1194</v>
      </c>
      <c r="B298" s="3" t="s">
        <v>1195</v>
      </c>
      <c r="C298" s="3" t="s">
        <v>986</v>
      </c>
      <c r="D298" s="5">
        <v>2023</v>
      </c>
      <c r="E298" s="3" t="s">
        <v>1196</v>
      </c>
      <c r="F298" s="3" t="s">
        <v>1197</v>
      </c>
      <c r="G298" s="3" t="s">
        <v>1197</v>
      </c>
      <c r="H298" s="5">
        <v>20231</v>
      </c>
      <c r="I298" s="3" t="s">
        <v>1198</v>
      </c>
      <c r="J298" s="3" t="s">
        <v>278</v>
      </c>
      <c r="K298" s="3" t="s">
        <v>279</v>
      </c>
      <c r="L298" s="3" t="s">
        <v>291</v>
      </c>
      <c r="M298" s="3" t="s">
        <v>292</v>
      </c>
      <c r="N298" s="5">
        <v>18</v>
      </c>
      <c r="O298" s="5">
        <v>10</v>
      </c>
      <c r="P298" s="3" t="s">
        <v>1199</v>
      </c>
      <c r="Q298" s="3" t="s">
        <v>1200</v>
      </c>
      <c r="R298" s="3" t="s">
        <v>1201</v>
      </c>
      <c r="S298" s="2"/>
      <c r="T298" s="2"/>
      <c r="U298" s="457" t="s">
        <v>1202</v>
      </c>
    </row>
    <row r="299" spans="1:21" ht="13.75" customHeight="1">
      <c r="A299" s="456" t="s">
        <v>1194</v>
      </c>
      <c r="B299" s="3" t="s">
        <v>1195</v>
      </c>
      <c r="C299" s="3" t="s">
        <v>986</v>
      </c>
      <c r="D299" s="5">
        <v>2023</v>
      </c>
      <c r="E299" s="3" t="s">
        <v>1203</v>
      </c>
      <c r="F299" s="3" t="s">
        <v>1204</v>
      </c>
      <c r="G299" s="3" t="s">
        <v>1204</v>
      </c>
      <c r="H299" s="5">
        <v>20231</v>
      </c>
      <c r="I299" s="3" t="s">
        <v>1205</v>
      </c>
      <c r="J299" s="3" t="s">
        <v>278</v>
      </c>
      <c r="K299" s="3" t="s">
        <v>279</v>
      </c>
      <c r="L299" s="3" t="s">
        <v>438</v>
      </c>
      <c r="M299" s="3" t="s">
        <v>292</v>
      </c>
      <c r="N299" s="5">
        <v>3</v>
      </c>
      <c r="O299" s="5">
        <v>10</v>
      </c>
      <c r="P299" s="3" t="s">
        <v>1206</v>
      </c>
      <c r="Q299" s="3" t="s">
        <v>1207</v>
      </c>
      <c r="R299" s="2"/>
      <c r="S299" s="2"/>
      <c r="T299" s="2"/>
      <c r="U299" s="457" t="s">
        <v>1208</v>
      </c>
    </row>
    <row r="300" spans="1:21" ht="13.75" customHeight="1">
      <c r="A300" s="456" t="s">
        <v>1194</v>
      </c>
      <c r="B300" s="3" t="s">
        <v>1195</v>
      </c>
      <c r="C300" s="3" t="s">
        <v>986</v>
      </c>
      <c r="D300" s="5">
        <v>2023</v>
      </c>
      <c r="E300" s="3" t="s">
        <v>1209</v>
      </c>
      <c r="F300" s="3" t="s">
        <v>1210</v>
      </c>
      <c r="G300" s="3" t="s">
        <v>1210</v>
      </c>
      <c r="H300" s="5">
        <v>20231</v>
      </c>
      <c r="I300" s="3" t="s">
        <v>1211</v>
      </c>
      <c r="J300" s="3" t="s">
        <v>278</v>
      </c>
      <c r="K300" s="3" t="s">
        <v>279</v>
      </c>
      <c r="L300" s="3" t="s">
        <v>438</v>
      </c>
      <c r="M300" s="3" t="s">
        <v>292</v>
      </c>
      <c r="N300" s="5">
        <v>50</v>
      </c>
      <c r="O300" s="5">
        <v>10</v>
      </c>
      <c r="P300" s="3" t="s">
        <v>1212</v>
      </c>
      <c r="Q300" s="3" t="s">
        <v>1213</v>
      </c>
      <c r="R300" s="2"/>
      <c r="S300" s="2"/>
      <c r="T300" s="2"/>
      <c r="U300" s="457" t="s">
        <v>1214</v>
      </c>
    </row>
    <row r="301" spans="1:21" ht="13.75" customHeight="1">
      <c r="A301" s="456" t="s">
        <v>1194</v>
      </c>
      <c r="B301" s="3" t="s">
        <v>1195</v>
      </c>
      <c r="C301" s="3" t="s">
        <v>986</v>
      </c>
      <c r="D301" s="5">
        <v>2023</v>
      </c>
      <c r="E301" s="3" t="s">
        <v>1215</v>
      </c>
      <c r="F301" s="3" t="s">
        <v>1216</v>
      </c>
      <c r="G301" s="3" t="s">
        <v>1216</v>
      </c>
      <c r="H301" s="5">
        <v>20231</v>
      </c>
      <c r="I301" s="3" t="s">
        <v>1217</v>
      </c>
      <c r="J301" s="3" t="s">
        <v>278</v>
      </c>
      <c r="K301" s="3" t="s">
        <v>332</v>
      </c>
      <c r="L301" s="3" t="s">
        <v>280</v>
      </c>
      <c r="M301" s="3" t="s">
        <v>292</v>
      </c>
      <c r="N301" s="5">
        <v>11</v>
      </c>
      <c r="O301" s="5">
        <v>15</v>
      </c>
      <c r="P301" s="3" t="s">
        <v>1218</v>
      </c>
      <c r="Q301" s="3" t="s">
        <v>1219</v>
      </c>
      <c r="R301" s="3" t="s">
        <v>1220</v>
      </c>
      <c r="S301" s="2"/>
      <c r="T301" s="2"/>
      <c r="U301" s="457" t="s">
        <v>1221</v>
      </c>
    </row>
    <row r="302" spans="1:21" ht="13.75" customHeight="1">
      <c r="A302" s="456" t="s">
        <v>1222</v>
      </c>
      <c r="B302" s="3" t="s">
        <v>1223</v>
      </c>
      <c r="C302" s="3" t="s">
        <v>1224</v>
      </c>
      <c r="D302" s="5">
        <v>2023</v>
      </c>
      <c r="E302" s="3" t="s">
        <v>361</v>
      </c>
      <c r="F302" s="3" t="s">
        <v>362</v>
      </c>
      <c r="G302" s="3" t="s">
        <v>363</v>
      </c>
      <c r="H302" s="5">
        <v>20231</v>
      </c>
      <c r="I302" s="3" t="s">
        <v>364</v>
      </c>
      <c r="J302" s="3" t="s">
        <v>278</v>
      </c>
      <c r="K302" s="3" t="s">
        <v>279</v>
      </c>
      <c r="L302" s="3" t="s">
        <v>307</v>
      </c>
      <c r="M302" s="3" t="s">
        <v>292</v>
      </c>
      <c r="N302" s="5">
        <v>500</v>
      </c>
      <c r="O302" s="5">
        <v>10</v>
      </c>
      <c r="P302" s="3" t="s">
        <v>365</v>
      </c>
      <c r="Q302" s="3" t="s">
        <v>388</v>
      </c>
      <c r="R302" s="3" t="s">
        <v>389</v>
      </c>
      <c r="S302" s="2"/>
      <c r="T302" s="2"/>
      <c r="U302" s="457" t="s">
        <v>368</v>
      </c>
    </row>
    <row r="303" spans="1:21" ht="13.75" customHeight="1">
      <c r="A303" s="456" t="s">
        <v>1225</v>
      </c>
      <c r="B303" s="3" t="s">
        <v>1226</v>
      </c>
      <c r="C303" s="3" t="s">
        <v>1227</v>
      </c>
      <c r="D303" s="5">
        <v>2019</v>
      </c>
      <c r="E303" s="3" t="s">
        <v>361</v>
      </c>
      <c r="F303" s="3" t="s">
        <v>362</v>
      </c>
      <c r="G303" s="3" t="s">
        <v>363</v>
      </c>
      <c r="H303" s="5">
        <v>20231</v>
      </c>
      <c r="I303" s="3" t="s">
        <v>364</v>
      </c>
      <c r="J303" s="3" t="s">
        <v>278</v>
      </c>
      <c r="K303" s="3" t="s">
        <v>279</v>
      </c>
      <c r="L303" s="3" t="s">
        <v>307</v>
      </c>
      <c r="M303" s="3" t="s">
        <v>292</v>
      </c>
      <c r="N303" s="5">
        <v>500</v>
      </c>
      <c r="O303" s="5">
        <v>10</v>
      </c>
      <c r="P303" s="3" t="s">
        <v>365</v>
      </c>
      <c r="Q303" s="3" t="s">
        <v>388</v>
      </c>
      <c r="R303" s="3" t="s">
        <v>389</v>
      </c>
      <c r="S303" s="2"/>
      <c r="T303" s="2"/>
      <c r="U303" s="457" t="s">
        <v>368</v>
      </c>
    </row>
    <row r="304" spans="1:21" ht="13.75" customHeight="1">
      <c r="A304" s="456" t="s">
        <v>1228</v>
      </c>
      <c r="B304" s="3" t="s">
        <v>1229</v>
      </c>
      <c r="C304" s="3" t="s">
        <v>1227</v>
      </c>
      <c r="D304" s="5">
        <v>2020</v>
      </c>
      <c r="E304" s="3" t="s">
        <v>361</v>
      </c>
      <c r="F304" s="3" t="s">
        <v>362</v>
      </c>
      <c r="G304" s="3" t="s">
        <v>363</v>
      </c>
      <c r="H304" s="5">
        <v>20231</v>
      </c>
      <c r="I304" s="3" t="s">
        <v>364</v>
      </c>
      <c r="J304" s="3" t="s">
        <v>278</v>
      </c>
      <c r="K304" s="3" t="s">
        <v>279</v>
      </c>
      <c r="L304" s="3" t="s">
        <v>307</v>
      </c>
      <c r="M304" s="3" t="s">
        <v>292</v>
      </c>
      <c r="N304" s="5">
        <v>500</v>
      </c>
      <c r="O304" s="5">
        <v>10</v>
      </c>
      <c r="P304" s="3" t="s">
        <v>365</v>
      </c>
      <c r="Q304" s="3" t="s">
        <v>388</v>
      </c>
      <c r="R304" s="3" t="s">
        <v>389</v>
      </c>
      <c r="S304" s="2"/>
      <c r="T304" s="2"/>
      <c r="U304" s="457" t="s">
        <v>368</v>
      </c>
    </row>
    <row r="305" spans="1:21" ht="13.75" customHeight="1">
      <c r="A305" s="456" t="s">
        <v>1230</v>
      </c>
      <c r="B305" s="3" t="s">
        <v>1231</v>
      </c>
      <c r="C305" s="3" t="s">
        <v>1227</v>
      </c>
      <c r="D305" s="5">
        <v>2020</v>
      </c>
      <c r="E305" s="3" t="s">
        <v>361</v>
      </c>
      <c r="F305" s="3" t="s">
        <v>362</v>
      </c>
      <c r="G305" s="3" t="s">
        <v>363</v>
      </c>
      <c r="H305" s="5">
        <v>20231</v>
      </c>
      <c r="I305" s="3" t="s">
        <v>364</v>
      </c>
      <c r="J305" s="3" t="s">
        <v>278</v>
      </c>
      <c r="K305" s="3" t="s">
        <v>279</v>
      </c>
      <c r="L305" s="3" t="s">
        <v>307</v>
      </c>
      <c r="M305" s="3" t="s">
        <v>292</v>
      </c>
      <c r="N305" s="5">
        <v>500</v>
      </c>
      <c r="O305" s="5">
        <v>10</v>
      </c>
      <c r="P305" s="3" t="s">
        <v>365</v>
      </c>
      <c r="Q305" s="3" t="s">
        <v>388</v>
      </c>
      <c r="R305" s="3" t="s">
        <v>389</v>
      </c>
      <c r="S305" s="2"/>
      <c r="T305" s="2"/>
      <c r="U305" s="457" t="s">
        <v>368</v>
      </c>
    </row>
    <row r="306" spans="1:21" ht="13.75" customHeight="1">
      <c r="A306" s="456" t="s">
        <v>1232</v>
      </c>
      <c r="B306" s="3" t="s">
        <v>1233</v>
      </c>
      <c r="C306" s="3" t="s">
        <v>1227</v>
      </c>
      <c r="D306" s="5">
        <v>2020</v>
      </c>
      <c r="E306" s="3" t="s">
        <v>361</v>
      </c>
      <c r="F306" s="3" t="s">
        <v>362</v>
      </c>
      <c r="G306" s="3" t="s">
        <v>363</v>
      </c>
      <c r="H306" s="5">
        <v>20231</v>
      </c>
      <c r="I306" s="3" t="s">
        <v>364</v>
      </c>
      <c r="J306" s="3" t="s">
        <v>278</v>
      </c>
      <c r="K306" s="3" t="s">
        <v>279</v>
      </c>
      <c r="L306" s="3" t="s">
        <v>307</v>
      </c>
      <c r="M306" s="3" t="s">
        <v>292</v>
      </c>
      <c r="N306" s="5">
        <v>500</v>
      </c>
      <c r="O306" s="5">
        <v>10</v>
      </c>
      <c r="P306" s="3" t="s">
        <v>365</v>
      </c>
      <c r="Q306" s="3" t="s">
        <v>388</v>
      </c>
      <c r="R306" s="3" t="s">
        <v>389</v>
      </c>
      <c r="S306" s="2"/>
      <c r="T306" s="2"/>
      <c r="U306" s="457" t="s">
        <v>368</v>
      </c>
    </row>
    <row r="307" spans="1:21" ht="13.75" customHeight="1">
      <c r="A307" s="456" t="s">
        <v>1234</v>
      </c>
      <c r="B307" s="3" t="s">
        <v>1235</v>
      </c>
      <c r="C307" s="3" t="s">
        <v>1227</v>
      </c>
      <c r="D307" s="5">
        <v>2020</v>
      </c>
      <c r="E307" s="3" t="s">
        <v>361</v>
      </c>
      <c r="F307" s="3" t="s">
        <v>362</v>
      </c>
      <c r="G307" s="3" t="s">
        <v>363</v>
      </c>
      <c r="H307" s="5">
        <v>20231</v>
      </c>
      <c r="I307" s="3" t="s">
        <v>364</v>
      </c>
      <c r="J307" s="3" t="s">
        <v>278</v>
      </c>
      <c r="K307" s="3" t="s">
        <v>279</v>
      </c>
      <c r="L307" s="3" t="s">
        <v>307</v>
      </c>
      <c r="M307" s="3" t="s">
        <v>292</v>
      </c>
      <c r="N307" s="5">
        <v>500</v>
      </c>
      <c r="O307" s="5">
        <v>10</v>
      </c>
      <c r="P307" s="3" t="s">
        <v>365</v>
      </c>
      <c r="Q307" s="3" t="s">
        <v>388</v>
      </c>
      <c r="R307" s="3" t="s">
        <v>389</v>
      </c>
      <c r="S307" s="2"/>
      <c r="T307" s="2"/>
      <c r="U307" s="457" t="s">
        <v>368</v>
      </c>
    </row>
    <row r="308" spans="1:21" ht="13.75" customHeight="1">
      <c r="A308" s="456" t="s">
        <v>1236</v>
      </c>
      <c r="B308" s="3" t="s">
        <v>1237</v>
      </c>
      <c r="C308" s="3" t="s">
        <v>1227</v>
      </c>
      <c r="D308" s="5">
        <v>2020</v>
      </c>
      <c r="E308" s="3" t="s">
        <v>1238</v>
      </c>
      <c r="F308" s="3" t="s">
        <v>1239</v>
      </c>
      <c r="G308" s="3" t="s">
        <v>1240</v>
      </c>
      <c r="H308" s="5">
        <v>20211</v>
      </c>
      <c r="I308" s="3" t="s">
        <v>1241</v>
      </c>
      <c r="J308" s="3" t="s">
        <v>278</v>
      </c>
      <c r="K308" s="3" t="s">
        <v>348</v>
      </c>
      <c r="L308" s="3" t="s">
        <v>307</v>
      </c>
      <c r="M308" s="3" t="s">
        <v>281</v>
      </c>
      <c r="N308" s="5">
        <v>200</v>
      </c>
      <c r="O308" s="5">
        <v>35</v>
      </c>
      <c r="P308" s="2"/>
      <c r="Q308" s="2"/>
      <c r="R308" s="2"/>
      <c r="S308" s="3" t="s">
        <v>1242</v>
      </c>
      <c r="T308" s="2"/>
      <c r="U308" s="457" t="s">
        <v>1243</v>
      </c>
    </row>
    <row r="309" spans="1:21" ht="13.75" customHeight="1">
      <c r="A309" s="456" t="s">
        <v>1236</v>
      </c>
      <c r="B309" s="3" t="s">
        <v>1237</v>
      </c>
      <c r="C309" s="3" t="s">
        <v>1227</v>
      </c>
      <c r="D309" s="5">
        <v>2020</v>
      </c>
      <c r="E309" s="3" t="s">
        <v>1244</v>
      </c>
      <c r="F309" s="3" t="s">
        <v>1245</v>
      </c>
      <c r="G309" s="3" t="s">
        <v>1246</v>
      </c>
      <c r="H309" s="5">
        <v>20222</v>
      </c>
      <c r="I309" s="3" t="s">
        <v>1247</v>
      </c>
      <c r="J309" s="3" t="s">
        <v>278</v>
      </c>
      <c r="K309" s="3" t="s">
        <v>348</v>
      </c>
      <c r="L309" s="3" t="s">
        <v>280</v>
      </c>
      <c r="M309" s="3" t="s">
        <v>292</v>
      </c>
      <c r="N309" s="5">
        <v>40</v>
      </c>
      <c r="O309" s="5">
        <v>30</v>
      </c>
      <c r="P309" s="2"/>
      <c r="Q309" s="2"/>
      <c r="R309" s="2"/>
      <c r="S309" s="3" t="s">
        <v>1248</v>
      </c>
      <c r="T309" s="2"/>
      <c r="U309" s="457" t="s">
        <v>469</v>
      </c>
    </row>
    <row r="310" spans="1:21" ht="13.75" customHeight="1">
      <c r="A310" s="456" t="s">
        <v>1236</v>
      </c>
      <c r="B310" s="3" t="s">
        <v>1237</v>
      </c>
      <c r="C310" s="3" t="s">
        <v>1227</v>
      </c>
      <c r="D310" s="5">
        <v>2020</v>
      </c>
      <c r="E310" s="3" t="s">
        <v>361</v>
      </c>
      <c r="F310" s="3" t="s">
        <v>362</v>
      </c>
      <c r="G310" s="3" t="s">
        <v>363</v>
      </c>
      <c r="H310" s="5">
        <v>20231</v>
      </c>
      <c r="I310" s="3" t="s">
        <v>364</v>
      </c>
      <c r="J310" s="3" t="s">
        <v>278</v>
      </c>
      <c r="K310" s="3" t="s">
        <v>279</v>
      </c>
      <c r="L310" s="3" t="s">
        <v>307</v>
      </c>
      <c r="M310" s="3" t="s">
        <v>292</v>
      </c>
      <c r="N310" s="5">
        <v>500</v>
      </c>
      <c r="O310" s="5">
        <v>10</v>
      </c>
      <c r="P310" s="3" t="s">
        <v>365</v>
      </c>
      <c r="Q310" s="3" t="s">
        <v>388</v>
      </c>
      <c r="R310" s="3" t="s">
        <v>389</v>
      </c>
      <c r="S310" s="2"/>
      <c r="T310" s="2"/>
      <c r="U310" s="457" t="s">
        <v>368</v>
      </c>
    </row>
    <row r="311" spans="1:21" ht="13.75" customHeight="1">
      <c r="A311" s="456" t="s">
        <v>1249</v>
      </c>
      <c r="B311" s="3" t="s">
        <v>1250</v>
      </c>
      <c r="C311" s="3" t="s">
        <v>1227</v>
      </c>
      <c r="D311" s="5">
        <v>2020</v>
      </c>
      <c r="E311" s="3" t="s">
        <v>361</v>
      </c>
      <c r="F311" s="3" t="s">
        <v>362</v>
      </c>
      <c r="G311" s="3" t="s">
        <v>363</v>
      </c>
      <c r="H311" s="5">
        <v>20231</v>
      </c>
      <c r="I311" s="3" t="s">
        <v>364</v>
      </c>
      <c r="J311" s="3" t="s">
        <v>278</v>
      </c>
      <c r="K311" s="3" t="s">
        <v>279</v>
      </c>
      <c r="L311" s="3" t="s">
        <v>307</v>
      </c>
      <c r="M311" s="3" t="s">
        <v>292</v>
      </c>
      <c r="N311" s="5">
        <v>500</v>
      </c>
      <c r="O311" s="5">
        <v>10</v>
      </c>
      <c r="P311" s="3" t="s">
        <v>365</v>
      </c>
      <c r="Q311" s="3" t="s">
        <v>388</v>
      </c>
      <c r="R311" s="3" t="s">
        <v>389</v>
      </c>
      <c r="S311" s="2"/>
      <c r="T311" s="2"/>
      <c r="U311" s="457" t="s">
        <v>368</v>
      </c>
    </row>
    <row r="312" spans="1:21" ht="13.75" customHeight="1">
      <c r="A312" s="456" t="s">
        <v>1251</v>
      </c>
      <c r="B312" s="3" t="s">
        <v>1252</v>
      </c>
      <c r="C312" s="3" t="s">
        <v>1227</v>
      </c>
      <c r="D312" s="5">
        <v>2021</v>
      </c>
      <c r="E312" s="3" t="s">
        <v>361</v>
      </c>
      <c r="F312" s="3" t="s">
        <v>362</v>
      </c>
      <c r="G312" s="3" t="s">
        <v>363</v>
      </c>
      <c r="H312" s="5">
        <v>20231</v>
      </c>
      <c r="I312" s="3" t="s">
        <v>364</v>
      </c>
      <c r="J312" s="3" t="s">
        <v>278</v>
      </c>
      <c r="K312" s="3" t="s">
        <v>279</v>
      </c>
      <c r="L312" s="3" t="s">
        <v>307</v>
      </c>
      <c r="M312" s="3" t="s">
        <v>292</v>
      </c>
      <c r="N312" s="5">
        <v>500</v>
      </c>
      <c r="O312" s="5">
        <v>10</v>
      </c>
      <c r="P312" s="3" t="s">
        <v>365</v>
      </c>
      <c r="Q312" s="3" t="s">
        <v>388</v>
      </c>
      <c r="R312" s="3" t="s">
        <v>389</v>
      </c>
      <c r="S312" s="2"/>
      <c r="T312" s="2"/>
      <c r="U312" s="457" t="s">
        <v>368</v>
      </c>
    </row>
    <row r="313" spans="1:21" ht="13.75" customHeight="1">
      <c r="A313" s="456" t="s">
        <v>1253</v>
      </c>
      <c r="B313" s="3" t="s">
        <v>1254</v>
      </c>
      <c r="C313" s="3" t="s">
        <v>1227</v>
      </c>
      <c r="D313" s="5">
        <v>2021</v>
      </c>
      <c r="E313" s="3" t="s">
        <v>361</v>
      </c>
      <c r="F313" s="3" t="s">
        <v>362</v>
      </c>
      <c r="G313" s="3" t="s">
        <v>363</v>
      </c>
      <c r="H313" s="5">
        <v>20231</v>
      </c>
      <c r="I313" s="3" t="s">
        <v>364</v>
      </c>
      <c r="J313" s="3" t="s">
        <v>278</v>
      </c>
      <c r="K313" s="3" t="s">
        <v>279</v>
      </c>
      <c r="L313" s="3" t="s">
        <v>307</v>
      </c>
      <c r="M313" s="3" t="s">
        <v>292</v>
      </c>
      <c r="N313" s="5">
        <v>500</v>
      </c>
      <c r="O313" s="5">
        <v>10</v>
      </c>
      <c r="P313" s="3" t="s">
        <v>365</v>
      </c>
      <c r="Q313" s="3" t="s">
        <v>388</v>
      </c>
      <c r="R313" s="3" t="s">
        <v>389</v>
      </c>
      <c r="S313" s="2"/>
      <c r="T313" s="2"/>
      <c r="U313" s="457" t="s">
        <v>368</v>
      </c>
    </row>
    <row r="314" spans="1:21" ht="13.75" customHeight="1">
      <c r="A314" s="456" t="s">
        <v>1255</v>
      </c>
      <c r="B314" s="3" t="s">
        <v>1256</v>
      </c>
      <c r="C314" s="3" t="s">
        <v>1227</v>
      </c>
      <c r="D314" s="5">
        <v>2021</v>
      </c>
      <c r="E314" s="3" t="s">
        <v>361</v>
      </c>
      <c r="F314" s="3" t="s">
        <v>362</v>
      </c>
      <c r="G314" s="3" t="s">
        <v>363</v>
      </c>
      <c r="H314" s="5">
        <v>20231</v>
      </c>
      <c r="I314" s="3" t="s">
        <v>364</v>
      </c>
      <c r="J314" s="3" t="s">
        <v>278</v>
      </c>
      <c r="K314" s="3" t="s">
        <v>279</v>
      </c>
      <c r="L314" s="3" t="s">
        <v>307</v>
      </c>
      <c r="M314" s="3" t="s">
        <v>292</v>
      </c>
      <c r="N314" s="5">
        <v>500</v>
      </c>
      <c r="O314" s="5">
        <v>10</v>
      </c>
      <c r="P314" s="3" t="s">
        <v>365</v>
      </c>
      <c r="Q314" s="3" t="s">
        <v>388</v>
      </c>
      <c r="R314" s="3" t="s">
        <v>389</v>
      </c>
      <c r="S314" s="2"/>
      <c r="T314" s="2"/>
      <c r="U314" s="457" t="s">
        <v>368</v>
      </c>
    </row>
    <row r="315" spans="1:21" ht="13.75" customHeight="1">
      <c r="A315" s="456" t="s">
        <v>1255</v>
      </c>
      <c r="B315" s="3" t="s">
        <v>1256</v>
      </c>
      <c r="C315" s="3" t="s">
        <v>1227</v>
      </c>
      <c r="D315" s="5">
        <v>2021</v>
      </c>
      <c r="E315" s="3" t="s">
        <v>1257</v>
      </c>
      <c r="F315" s="3" t="s">
        <v>1258</v>
      </c>
      <c r="G315" s="3" t="s">
        <v>1259</v>
      </c>
      <c r="H315" s="5">
        <v>20231</v>
      </c>
      <c r="I315" s="3" t="s">
        <v>1260</v>
      </c>
      <c r="J315" s="3" t="s">
        <v>278</v>
      </c>
      <c r="K315" s="3" t="s">
        <v>279</v>
      </c>
      <c r="L315" s="3" t="s">
        <v>307</v>
      </c>
      <c r="M315" s="3" t="s">
        <v>292</v>
      </c>
      <c r="N315" s="5">
        <v>70</v>
      </c>
      <c r="O315" s="5">
        <v>20</v>
      </c>
      <c r="P315" s="2"/>
      <c r="Q315" s="3" t="s">
        <v>1261</v>
      </c>
      <c r="R315" s="3" t="s">
        <v>1262</v>
      </c>
      <c r="S315" s="2"/>
      <c r="T315" s="2"/>
      <c r="U315" s="457" t="s">
        <v>1263</v>
      </c>
    </row>
    <row r="316" spans="1:21" ht="13.75" customHeight="1">
      <c r="A316" s="456" t="s">
        <v>1264</v>
      </c>
      <c r="B316" s="3" t="s">
        <v>1265</v>
      </c>
      <c r="C316" s="3" t="s">
        <v>1227</v>
      </c>
      <c r="D316" s="5">
        <v>2021</v>
      </c>
      <c r="E316" s="3" t="s">
        <v>361</v>
      </c>
      <c r="F316" s="3" t="s">
        <v>362</v>
      </c>
      <c r="G316" s="3" t="s">
        <v>363</v>
      </c>
      <c r="H316" s="5">
        <v>20231</v>
      </c>
      <c r="I316" s="3" t="s">
        <v>364</v>
      </c>
      <c r="J316" s="3" t="s">
        <v>278</v>
      </c>
      <c r="K316" s="3" t="s">
        <v>279</v>
      </c>
      <c r="L316" s="3" t="s">
        <v>307</v>
      </c>
      <c r="M316" s="3" t="s">
        <v>292</v>
      </c>
      <c r="N316" s="5">
        <v>500</v>
      </c>
      <c r="O316" s="5">
        <v>10</v>
      </c>
      <c r="P316" s="3" t="s">
        <v>365</v>
      </c>
      <c r="Q316" s="3" t="s">
        <v>388</v>
      </c>
      <c r="R316" s="3" t="s">
        <v>389</v>
      </c>
      <c r="S316" s="2"/>
      <c r="T316" s="2"/>
      <c r="U316" s="457" t="s">
        <v>368</v>
      </c>
    </row>
    <row r="317" spans="1:21" ht="13.75" customHeight="1">
      <c r="A317" s="456" t="s">
        <v>1266</v>
      </c>
      <c r="B317" s="3" t="s">
        <v>1267</v>
      </c>
      <c r="C317" s="3" t="s">
        <v>1227</v>
      </c>
      <c r="D317" s="5">
        <v>2021</v>
      </c>
      <c r="E317" s="3" t="s">
        <v>361</v>
      </c>
      <c r="F317" s="3" t="s">
        <v>362</v>
      </c>
      <c r="G317" s="3" t="s">
        <v>363</v>
      </c>
      <c r="H317" s="5">
        <v>20231</v>
      </c>
      <c r="I317" s="3" t="s">
        <v>364</v>
      </c>
      <c r="J317" s="3" t="s">
        <v>278</v>
      </c>
      <c r="K317" s="3" t="s">
        <v>279</v>
      </c>
      <c r="L317" s="3" t="s">
        <v>307</v>
      </c>
      <c r="M317" s="3" t="s">
        <v>292</v>
      </c>
      <c r="N317" s="5">
        <v>500</v>
      </c>
      <c r="O317" s="5">
        <v>10</v>
      </c>
      <c r="P317" s="3" t="s">
        <v>365</v>
      </c>
      <c r="Q317" s="3" t="s">
        <v>388</v>
      </c>
      <c r="R317" s="3" t="s">
        <v>389</v>
      </c>
      <c r="S317" s="2"/>
      <c r="T317" s="2"/>
      <c r="U317" s="457" t="s">
        <v>368</v>
      </c>
    </row>
    <row r="318" spans="1:21" ht="13.75" customHeight="1">
      <c r="A318" s="456" t="s">
        <v>1268</v>
      </c>
      <c r="B318" s="3" t="s">
        <v>1269</v>
      </c>
      <c r="C318" s="3" t="s">
        <v>1227</v>
      </c>
      <c r="D318" s="5">
        <v>2021</v>
      </c>
      <c r="E318" s="3" t="s">
        <v>361</v>
      </c>
      <c r="F318" s="3" t="s">
        <v>362</v>
      </c>
      <c r="G318" s="3" t="s">
        <v>363</v>
      </c>
      <c r="H318" s="5">
        <v>20231</v>
      </c>
      <c r="I318" s="3" t="s">
        <v>364</v>
      </c>
      <c r="J318" s="3" t="s">
        <v>278</v>
      </c>
      <c r="K318" s="3" t="s">
        <v>279</v>
      </c>
      <c r="L318" s="3" t="s">
        <v>307</v>
      </c>
      <c r="M318" s="3" t="s">
        <v>292</v>
      </c>
      <c r="N318" s="5">
        <v>500</v>
      </c>
      <c r="O318" s="5">
        <v>10</v>
      </c>
      <c r="P318" s="3" t="s">
        <v>365</v>
      </c>
      <c r="Q318" s="3" t="s">
        <v>388</v>
      </c>
      <c r="R318" s="3" t="s">
        <v>389</v>
      </c>
      <c r="S318" s="2"/>
      <c r="T318" s="2"/>
      <c r="U318" s="457" t="s">
        <v>368</v>
      </c>
    </row>
    <row r="319" spans="1:21" ht="13.75" customHeight="1">
      <c r="A319" s="456" t="s">
        <v>1270</v>
      </c>
      <c r="B319" s="3" t="s">
        <v>1271</v>
      </c>
      <c r="C319" s="3" t="s">
        <v>1227</v>
      </c>
      <c r="D319" s="5">
        <v>2021</v>
      </c>
      <c r="E319" s="3" t="s">
        <v>361</v>
      </c>
      <c r="F319" s="3" t="s">
        <v>362</v>
      </c>
      <c r="G319" s="3" t="s">
        <v>363</v>
      </c>
      <c r="H319" s="5">
        <v>20231</v>
      </c>
      <c r="I319" s="3" t="s">
        <v>364</v>
      </c>
      <c r="J319" s="3" t="s">
        <v>278</v>
      </c>
      <c r="K319" s="3" t="s">
        <v>279</v>
      </c>
      <c r="L319" s="3" t="s">
        <v>307</v>
      </c>
      <c r="M319" s="3" t="s">
        <v>292</v>
      </c>
      <c r="N319" s="5">
        <v>500</v>
      </c>
      <c r="O319" s="5">
        <v>10</v>
      </c>
      <c r="P319" s="3" t="s">
        <v>365</v>
      </c>
      <c r="Q319" s="3" t="s">
        <v>388</v>
      </c>
      <c r="R319" s="3" t="s">
        <v>389</v>
      </c>
      <c r="S319" s="2"/>
      <c r="T319" s="2"/>
      <c r="U319" s="457" t="s">
        <v>368</v>
      </c>
    </row>
    <row r="320" spans="1:21" ht="13.75" customHeight="1">
      <c r="A320" s="456" t="s">
        <v>1272</v>
      </c>
      <c r="B320" s="3" t="s">
        <v>1273</v>
      </c>
      <c r="C320" s="3" t="s">
        <v>1227</v>
      </c>
      <c r="D320" s="5">
        <v>2021</v>
      </c>
      <c r="E320" s="3" t="s">
        <v>361</v>
      </c>
      <c r="F320" s="3" t="s">
        <v>362</v>
      </c>
      <c r="G320" s="3" t="s">
        <v>363</v>
      </c>
      <c r="H320" s="5">
        <v>20231</v>
      </c>
      <c r="I320" s="3" t="s">
        <v>364</v>
      </c>
      <c r="J320" s="3" t="s">
        <v>278</v>
      </c>
      <c r="K320" s="3" t="s">
        <v>279</v>
      </c>
      <c r="L320" s="3" t="s">
        <v>307</v>
      </c>
      <c r="M320" s="3" t="s">
        <v>292</v>
      </c>
      <c r="N320" s="5">
        <v>500</v>
      </c>
      <c r="O320" s="5">
        <v>10</v>
      </c>
      <c r="P320" s="3" t="s">
        <v>365</v>
      </c>
      <c r="Q320" s="3" t="s">
        <v>388</v>
      </c>
      <c r="R320" s="3" t="s">
        <v>389</v>
      </c>
      <c r="S320" s="2"/>
      <c r="T320" s="2"/>
      <c r="U320" s="457" t="s">
        <v>368</v>
      </c>
    </row>
    <row r="321" spans="1:21" ht="13.75" customHeight="1">
      <c r="A321" s="456" t="s">
        <v>1274</v>
      </c>
      <c r="B321" s="3" t="s">
        <v>1275</v>
      </c>
      <c r="C321" s="3" t="s">
        <v>1227</v>
      </c>
      <c r="D321" s="5">
        <v>2021</v>
      </c>
      <c r="E321" s="3" t="s">
        <v>361</v>
      </c>
      <c r="F321" s="3" t="s">
        <v>362</v>
      </c>
      <c r="G321" s="3" t="s">
        <v>363</v>
      </c>
      <c r="H321" s="5">
        <v>20231</v>
      </c>
      <c r="I321" s="3" t="s">
        <v>364</v>
      </c>
      <c r="J321" s="3" t="s">
        <v>278</v>
      </c>
      <c r="K321" s="3" t="s">
        <v>279</v>
      </c>
      <c r="L321" s="3" t="s">
        <v>307</v>
      </c>
      <c r="M321" s="3" t="s">
        <v>292</v>
      </c>
      <c r="N321" s="5">
        <v>500</v>
      </c>
      <c r="O321" s="5">
        <v>10</v>
      </c>
      <c r="P321" s="3" t="s">
        <v>365</v>
      </c>
      <c r="Q321" s="3" t="s">
        <v>388</v>
      </c>
      <c r="R321" s="3" t="s">
        <v>389</v>
      </c>
      <c r="S321" s="2"/>
      <c r="T321" s="2"/>
      <c r="U321" s="457" t="s">
        <v>368</v>
      </c>
    </row>
    <row r="322" spans="1:21" ht="13.75" customHeight="1">
      <c r="A322" s="456" t="s">
        <v>1276</v>
      </c>
      <c r="B322" s="3" t="s">
        <v>1277</v>
      </c>
      <c r="C322" s="3" t="s">
        <v>1227</v>
      </c>
      <c r="D322" s="5">
        <v>2021</v>
      </c>
      <c r="E322" s="3" t="s">
        <v>361</v>
      </c>
      <c r="F322" s="3" t="s">
        <v>362</v>
      </c>
      <c r="G322" s="3" t="s">
        <v>363</v>
      </c>
      <c r="H322" s="5">
        <v>20231</v>
      </c>
      <c r="I322" s="3" t="s">
        <v>364</v>
      </c>
      <c r="J322" s="3" t="s">
        <v>278</v>
      </c>
      <c r="K322" s="3" t="s">
        <v>279</v>
      </c>
      <c r="L322" s="3" t="s">
        <v>307</v>
      </c>
      <c r="M322" s="3" t="s">
        <v>292</v>
      </c>
      <c r="N322" s="5">
        <v>500</v>
      </c>
      <c r="O322" s="5">
        <v>10</v>
      </c>
      <c r="P322" s="3" t="s">
        <v>365</v>
      </c>
      <c r="Q322" s="3" t="s">
        <v>388</v>
      </c>
      <c r="R322" s="3" t="s">
        <v>389</v>
      </c>
      <c r="S322" s="2"/>
      <c r="T322" s="2"/>
      <c r="U322" s="457" t="s">
        <v>368</v>
      </c>
    </row>
    <row r="323" spans="1:21" ht="13.75" customHeight="1">
      <c r="A323" s="456" t="s">
        <v>1278</v>
      </c>
      <c r="B323" s="3" t="s">
        <v>1279</v>
      </c>
      <c r="C323" s="3" t="s">
        <v>1227</v>
      </c>
      <c r="D323" s="5">
        <v>2021</v>
      </c>
      <c r="E323" s="3" t="s">
        <v>361</v>
      </c>
      <c r="F323" s="3" t="s">
        <v>362</v>
      </c>
      <c r="G323" s="3" t="s">
        <v>363</v>
      </c>
      <c r="H323" s="5">
        <v>20231</v>
      </c>
      <c r="I323" s="3" t="s">
        <v>364</v>
      </c>
      <c r="J323" s="3" t="s">
        <v>278</v>
      </c>
      <c r="K323" s="3" t="s">
        <v>279</v>
      </c>
      <c r="L323" s="3" t="s">
        <v>307</v>
      </c>
      <c r="M323" s="3" t="s">
        <v>292</v>
      </c>
      <c r="N323" s="5">
        <v>500</v>
      </c>
      <c r="O323" s="5">
        <v>10</v>
      </c>
      <c r="P323" s="3" t="s">
        <v>365</v>
      </c>
      <c r="Q323" s="3" t="s">
        <v>388</v>
      </c>
      <c r="R323" s="3" t="s">
        <v>389</v>
      </c>
      <c r="S323" s="2"/>
      <c r="T323" s="2"/>
      <c r="U323" s="457" t="s">
        <v>368</v>
      </c>
    </row>
    <row r="324" spans="1:21" ht="13.75" customHeight="1">
      <c r="A324" s="456" t="s">
        <v>1280</v>
      </c>
      <c r="B324" s="3" t="s">
        <v>1281</v>
      </c>
      <c r="C324" s="3" t="s">
        <v>1227</v>
      </c>
      <c r="D324" s="5">
        <v>2021</v>
      </c>
      <c r="E324" s="3" t="s">
        <v>361</v>
      </c>
      <c r="F324" s="3" t="s">
        <v>362</v>
      </c>
      <c r="G324" s="3" t="s">
        <v>363</v>
      </c>
      <c r="H324" s="5">
        <v>20231</v>
      </c>
      <c r="I324" s="3" t="s">
        <v>364</v>
      </c>
      <c r="J324" s="3" t="s">
        <v>278</v>
      </c>
      <c r="K324" s="3" t="s">
        <v>279</v>
      </c>
      <c r="L324" s="3" t="s">
        <v>307</v>
      </c>
      <c r="M324" s="3" t="s">
        <v>292</v>
      </c>
      <c r="N324" s="5">
        <v>500</v>
      </c>
      <c r="O324" s="5">
        <v>10</v>
      </c>
      <c r="P324" s="3" t="s">
        <v>365</v>
      </c>
      <c r="Q324" s="3" t="s">
        <v>388</v>
      </c>
      <c r="R324" s="3" t="s">
        <v>389</v>
      </c>
      <c r="S324" s="2"/>
      <c r="T324" s="2"/>
      <c r="U324" s="457" t="s">
        <v>368</v>
      </c>
    </row>
    <row r="325" spans="1:21" ht="13.75" customHeight="1">
      <c r="A325" s="456" t="s">
        <v>1282</v>
      </c>
      <c r="B325" s="3" t="s">
        <v>1283</v>
      </c>
      <c r="C325" s="3" t="s">
        <v>1227</v>
      </c>
      <c r="D325" s="5">
        <v>2022</v>
      </c>
      <c r="E325" s="3" t="s">
        <v>1284</v>
      </c>
      <c r="F325" s="3" t="s">
        <v>1285</v>
      </c>
      <c r="G325" s="3" t="s">
        <v>1285</v>
      </c>
      <c r="H325" s="5">
        <v>20222</v>
      </c>
      <c r="I325" s="3" t="s">
        <v>1286</v>
      </c>
      <c r="J325" s="3" t="s">
        <v>278</v>
      </c>
      <c r="K325" s="3" t="s">
        <v>279</v>
      </c>
      <c r="L325" s="3" t="s">
        <v>307</v>
      </c>
      <c r="M325" s="3" t="s">
        <v>292</v>
      </c>
      <c r="N325" s="5">
        <v>150</v>
      </c>
      <c r="O325" s="5">
        <v>20</v>
      </c>
      <c r="P325" s="2"/>
      <c r="Q325" s="3" t="s">
        <v>1287</v>
      </c>
      <c r="R325" s="3" t="s">
        <v>1288</v>
      </c>
      <c r="S325" s="2"/>
      <c r="T325" s="2"/>
      <c r="U325" s="457" t="s">
        <v>1289</v>
      </c>
    </row>
    <row r="326" spans="1:21" ht="52.75" customHeight="1">
      <c r="A326" s="456" t="s">
        <v>1282</v>
      </c>
      <c r="B326" s="3" t="s">
        <v>1283</v>
      </c>
      <c r="C326" s="3" t="s">
        <v>1227</v>
      </c>
      <c r="D326" s="5">
        <v>2022</v>
      </c>
      <c r="E326" s="3" t="s">
        <v>1290</v>
      </c>
      <c r="F326" s="3" t="s">
        <v>1291</v>
      </c>
      <c r="G326" s="3" t="s">
        <v>1291</v>
      </c>
      <c r="H326" s="5">
        <v>20231</v>
      </c>
      <c r="I326" s="227" t="s">
        <v>1292</v>
      </c>
      <c r="J326" s="3" t="s">
        <v>278</v>
      </c>
      <c r="K326" s="3" t="s">
        <v>279</v>
      </c>
      <c r="L326" s="3" t="s">
        <v>280</v>
      </c>
      <c r="M326" s="3" t="s">
        <v>292</v>
      </c>
      <c r="N326" s="5">
        <v>4</v>
      </c>
      <c r="O326" s="5">
        <v>15</v>
      </c>
      <c r="P326" s="2"/>
      <c r="Q326" s="3" t="s">
        <v>1293</v>
      </c>
      <c r="R326" s="3" t="s">
        <v>1294</v>
      </c>
      <c r="S326" s="2"/>
      <c r="T326" s="2"/>
      <c r="U326" s="457" t="s">
        <v>1295</v>
      </c>
    </row>
    <row r="327" spans="1:21" ht="13.75" customHeight="1">
      <c r="A327" s="456" t="s">
        <v>1296</v>
      </c>
      <c r="B327" s="3" t="s">
        <v>1297</v>
      </c>
      <c r="C327" s="3" t="s">
        <v>1227</v>
      </c>
      <c r="D327" s="5">
        <v>2022</v>
      </c>
      <c r="E327" s="3" t="s">
        <v>1298</v>
      </c>
      <c r="F327" s="3" t="s">
        <v>1110</v>
      </c>
      <c r="G327" s="3" t="s">
        <v>1285</v>
      </c>
      <c r="H327" s="5">
        <v>20221</v>
      </c>
      <c r="I327" s="3" t="s">
        <v>1299</v>
      </c>
      <c r="J327" s="3" t="s">
        <v>278</v>
      </c>
      <c r="K327" s="3" t="s">
        <v>279</v>
      </c>
      <c r="L327" s="3" t="s">
        <v>438</v>
      </c>
      <c r="M327" s="3" t="s">
        <v>292</v>
      </c>
      <c r="N327" s="5">
        <v>10</v>
      </c>
      <c r="O327" s="5">
        <v>10</v>
      </c>
      <c r="P327" s="2"/>
      <c r="Q327" s="3" t="s">
        <v>1300</v>
      </c>
      <c r="R327" s="2"/>
      <c r="S327" s="2"/>
      <c r="T327" s="2"/>
      <c r="U327" s="457" t="s">
        <v>1301</v>
      </c>
    </row>
    <row r="328" spans="1:21" ht="13.75" customHeight="1">
      <c r="A328" s="456" t="s">
        <v>1302</v>
      </c>
      <c r="B328" s="3" t="s">
        <v>1303</v>
      </c>
      <c r="C328" s="3" t="s">
        <v>1304</v>
      </c>
      <c r="D328" s="5">
        <v>2019</v>
      </c>
      <c r="E328" s="3" t="s">
        <v>1305</v>
      </c>
      <c r="F328" s="3" t="s">
        <v>1306</v>
      </c>
      <c r="G328" s="3" t="s">
        <v>1306</v>
      </c>
      <c r="H328" s="5">
        <v>20211</v>
      </c>
      <c r="I328" s="3" t="s">
        <v>1307</v>
      </c>
      <c r="J328" s="3" t="s">
        <v>278</v>
      </c>
      <c r="K328" s="3" t="s">
        <v>279</v>
      </c>
      <c r="L328" s="3" t="s">
        <v>280</v>
      </c>
      <c r="M328" s="3" t="s">
        <v>292</v>
      </c>
      <c r="N328" s="5">
        <v>51</v>
      </c>
      <c r="O328" s="5">
        <v>15</v>
      </c>
      <c r="P328" s="3" t="s">
        <v>1308</v>
      </c>
      <c r="Q328" s="3" t="s">
        <v>1309</v>
      </c>
      <c r="R328" s="2"/>
      <c r="S328" s="2"/>
      <c r="T328" s="2"/>
      <c r="U328" s="457" t="s">
        <v>1310</v>
      </c>
    </row>
    <row r="329" spans="1:21" ht="13.75" customHeight="1">
      <c r="A329" s="456" t="s">
        <v>1311</v>
      </c>
      <c r="B329" s="3" t="s">
        <v>1312</v>
      </c>
      <c r="C329" s="3" t="s">
        <v>1304</v>
      </c>
      <c r="D329" s="5">
        <v>2019</v>
      </c>
      <c r="E329" s="3" t="s">
        <v>1313</v>
      </c>
      <c r="F329" s="3" t="s">
        <v>1314</v>
      </c>
      <c r="G329" s="3" t="s">
        <v>1314</v>
      </c>
      <c r="H329" s="5">
        <v>20191</v>
      </c>
      <c r="I329" s="3" t="s">
        <v>1315</v>
      </c>
      <c r="J329" s="3" t="s">
        <v>278</v>
      </c>
      <c r="K329" s="3" t="s">
        <v>348</v>
      </c>
      <c r="L329" s="3" t="s">
        <v>280</v>
      </c>
      <c r="M329" s="3" t="s">
        <v>292</v>
      </c>
      <c r="N329" s="5">
        <v>13</v>
      </c>
      <c r="O329" s="5">
        <v>30</v>
      </c>
      <c r="P329" s="3" t="s">
        <v>1316</v>
      </c>
      <c r="Q329" s="2"/>
      <c r="R329" s="2"/>
      <c r="S329" s="3" t="s">
        <v>1317</v>
      </c>
      <c r="T329" s="2"/>
      <c r="U329" s="457" t="s">
        <v>1318</v>
      </c>
    </row>
    <row r="330" spans="1:21" ht="52.75" customHeight="1">
      <c r="A330" s="456" t="s">
        <v>1311</v>
      </c>
      <c r="B330" s="3" t="s">
        <v>1312</v>
      </c>
      <c r="C330" s="3" t="s">
        <v>1304</v>
      </c>
      <c r="D330" s="5">
        <v>2019</v>
      </c>
      <c r="E330" s="3" t="s">
        <v>1319</v>
      </c>
      <c r="F330" s="3" t="s">
        <v>1320</v>
      </c>
      <c r="G330" s="3" t="s">
        <v>1320</v>
      </c>
      <c r="H330" s="5">
        <v>20222</v>
      </c>
      <c r="I330" s="227" t="s">
        <v>1321</v>
      </c>
      <c r="J330" s="3" t="s">
        <v>278</v>
      </c>
      <c r="K330" s="3" t="s">
        <v>348</v>
      </c>
      <c r="L330" s="3" t="s">
        <v>280</v>
      </c>
      <c r="M330" s="3" t="s">
        <v>292</v>
      </c>
      <c r="N330" s="5">
        <v>1</v>
      </c>
      <c r="O330" s="5">
        <v>30</v>
      </c>
      <c r="P330" s="3" t="s">
        <v>1322</v>
      </c>
      <c r="Q330" s="2"/>
      <c r="R330" s="2"/>
      <c r="S330" s="3" t="s">
        <v>1323</v>
      </c>
      <c r="T330" s="2"/>
      <c r="U330" s="457" t="s">
        <v>1324</v>
      </c>
    </row>
    <row r="331" spans="1:21" ht="39.75" customHeight="1">
      <c r="A331" s="456" t="s">
        <v>1311</v>
      </c>
      <c r="B331" s="3" t="s">
        <v>1312</v>
      </c>
      <c r="C331" s="3" t="s">
        <v>1304</v>
      </c>
      <c r="D331" s="5">
        <v>2019</v>
      </c>
      <c r="E331" s="3" t="s">
        <v>1325</v>
      </c>
      <c r="F331" s="3" t="s">
        <v>1326</v>
      </c>
      <c r="G331" s="3" t="s">
        <v>1326</v>
      </c>
      <c r="H331" s="5">
        <v>20222</v>
      </c>
      <c r="I331" s="227" t="s">
        <v>1327</v>
      </c>
      <c r="J331" s="3" t="s">
        <v>278</v>
      </c>
      <c r="K331" s="3" t="s">
        <v>348</v>
      </c>
      <c r="L331" s="3" t="s">
        <v>280</v>
      </c>
      <c r="M331" s="3" t="s">
        <v>292</v>
      </c>
      <c r="N331" s="5">
        <v>1</v>
      </c>
      <c r="O331" s="5">
        <v>30</v>
      </c>
      <c r="P331" s="3" t="s">
        <v>1322</v>
      </c>
      <c r="Q331" s="2"/>
      <c r="R331" s="2"/>
      <c r="S331" s="3" t="s">
        <v>1328</v>
      </c>
      <c r="T331" s="2"/>
      <c r="U331" s="457" t="s">
        <v>1324</v>
      </c>
    </row>
    <row r="332" spans="1:21" ht="26.75" customHeight="1">
      <c r="A332" s="456" t="s">
        <v>1311</v>
      </c>
      <c r="B332" s="3" t="s">
        <v>1312</v>
      </c>
      <c r="C332" s="3" t="s">
        <v>1304</v>
      </c>
      <c r="D332" s="5">
        <v>2019</v>
      </c>
      <c r="E332" s="3" t="s">
        <v>1329</v>
      </c>
      <c r="F332" s="3" t="s">
        <v>1330</v>
      </c>
      <c r="G332" s="3" t="s">
        <v>1330</v>
      </c>
      <c r="H332" s="5">
        <v>20222</v>
      </c>
      <c r="I332" s="227" t="s">
        <v>1331</v>
      </c>
      <c r="J332" s="3" t="s">
        <v>278</v>
      </c>
      <c r="K332" s="3" t="s">
        <v>279</v>
      </c>
      <c r="L332" s="3" t="s">
        <v>438</v>
      </c>
      <c r="M332" s="3" t="s">
        <v>292</v>
      </c>
      <c r="N332" s="5">
        <v>43</v>
      </c>
      <c r="O332" s="5">
        <v>5</v>
      </c>
      <c r="P332" s="3" t="s">
        <v>1332</v>
      </c>
      <c r="Q332" s="3" t="s">
        <v>1333</v>
      </c>
      <c r="R332" s="2"/>
      <c r="S332" s="2"/>
      <c r="T332" s="2"/>
      <c r="U332" s="457" t="s">
        <v>1334</v>
      </c>
    </row>
    <row r="333" spans="1:21" ht="13.75" customHeight="1">
      <c r="A333" s="456" t="s">
        <v>1335</v>
      </c>
      <c r="B333" s="3" t="s">
        <v>1336</v>
      </c>
      <c r="C333" s="3" t="s">
        <v>1304</v>
      </c>
      <c r="D333" s="5">
        <v>2019</v>
      </c>
      <c r="E333" s="3" t="s">
        <v>1337</v>
      </c>
      <c r="F333" s="3" t="s">
        <v>1338</v>
      </c>
      <c r="G333" s="3" t="s">
        <v>1339</v>
      </c>
      <c r="H333" s="5">
        <v>20202</v>
      </c>
      <c r="I333" s="2"/>
      <c r="J333" s="3" t="s">
        <v>278</v>
      </c>
      <c r="K333" s="3" t="s">
        <v>279</v>
      </c>
      <c r="L333" s="3" t="s">
        <v>438</v>
      </c>
      <c r="M333" s="3" t="s">
        <v>281</v>
      </c>
      <c r="N333" s="5">
        <v>12</v>
      </c>
      <c r="O333" s="5">
        <v>10</v>
      </c>
      <c r="P333" s="2"/>
      <c r="Q333" s="3" t="s">
        <v>1340</v>
      </c>
      <c r="R333" s="2"/>
      <c r="S333" s="2"/>
      <c r="T333" s="2"/>
      <c r="U333" s="457" t="s">
        <v>1341</v>
      </c>
    </row>
    <row r="334" spans="1:21" ht="13.75" customHeight="1">
      <c r="A334" s="456" t="s">
        <v>1342</v>
      </c>
      <c r="B334" s="3" t="s">
        <v>1343</v>
      </c>
      <c r="C334" s="3" t="s">
        <v>1304</v>
      </c>
      <c r="D334" s="5">
        <v>2020</v>
      </c>
      <c r="E334" s="3" t="s">
        <v>361</v>
      </c>
      <c r="F334" s="3" t="s">
        <v>362</v>
      </c>
      <c r="G334" s="3" t="s">
        <v>363</v>
      </c>
      <c r="H334" s="5">
        <v>20231</v>
      </c>
      <c r="I334" s="3" t="s">
        <v>364</v>
      </c>
      <c r="J334" s="3" t="s">
        <v>278</v>
      </c>
      <c r="K334" s="3" t="s">
        <v>279</v>
      </c>
      <c r="L334" s="3" t="s">
        <v>307</v>
      </c>
      <c r="M334" s="3" t="s">
        <v>292</v>
      </c>
      <c r="N334" s="5">
        <v>500</v>
      </c>
      <c r="O334" s="5">
        <v>10</v>
      </c>
      <c r="P334" s="3" t="s">
        <v>365</v>
      </c>
      <c r="Q334" s="3" t="s">
        <v>388</v>
      </c>
      <c r="R334" s="3" t="s">
        <v>389</v>
      </c>
      <c r="S334" s="2"/>
      <c r="T334" s="2"/>
      <c r="U334" s="457" t="s">
        <v>368</v>
      </c>
    </row>
    <row r="335" spans="1:21" ht="13.75" customHeight="1">
      <c r="A335" s="456" t="s">
        <v>1344</v>
      </c>
      <c r="B335" s="3" t="s">
        <v>1345</v>
      </c>
      <c r="C335" s="3" t="s">
        <v>1304</v>
      </c>
      <c r="D335" s="5">
        <v>2020</v>
      </c>
      <c r="E335" s="3" t="s">
        <v>328</v>
      </c>
      <c r="F335" s="3" t="s">
        <v>329</v>
      </c>
      <c r="G335" s="3" t="s">
        <v>330</v>
      </c>
      <c r="H335" s="5">
        <v>20221</v>
      </c>
      <c r="I335" s="3" t="s">
        <v>331</v>
      </c>
      <c r="J335" s="3" t="s">
        <v>278</v>
      </c>
      <c r="K335" s="3" t="s">
        <v>332</v>
      </c>
      <c r="L335" s="3" t="s">
        <v>291</v>
      </c>
      <c r="M335" s="3" t="s">
        <v>292</v>
      </c>
      <c r="N335" s="5">
        <v>7</v>
      </c>
      <c r="O335" s="5">
        <v>5</v>
      </c>
      <c r="P335" s="2"/>
      <c r="Q335" s="3" t="s">
        <v>333</v>
      </c>
      <c r="R335" s="3" t="s">
        <v>334</v>
      </c>
      <c r="S335" s="2"/>
      <c r="T335" s="2"/>
      <c r="U335" s="457" t="s">
        <v>335</v>
      </c>
    </row>
    <row r="336" spans="1:21" ht="13.75" customHeight="1">
      <c r="A336" s="456" t="s">
        <v>1346</v>
      </c>
      <c r="B336" s="3" t="s">
        <v>1347</v>
      </c>
      <c r="C336" s="3" t="s">
        <v>1304</v>
      </c>
      <c r="D336" s="5">
        <v>2020</v>
      </c>
      <c r="E336" s="3" t="s">
        <v>418</v>
      </c>
      <c r="F336" s="3" t="s">
        <v>419</v>
      </c>
      <c r="G336" s="3" t="s">
        <v>419</v>
      </c>
      <c r="H336" s="5">
        <v>20231</v>
      </c>
      <c r="I336" s="3" t="s">
        <v>420</v>
      </c>
      <c r="J336" s="3" t="s">
        <v>278</v>
      </c>
      <c r="K336" s="3" t="s">
        <v>279</v>
      </c>
      <c r="L336" s="3" t="s">
        <v>291</v>
      </c>
      <c r="M336" s="3" t="s">
        <v>292</v>
      </c>
      <c r="N336" s="5">
        <v>250</v>
      </c>
      <c r="O336" s="5">
        <v>4</v>
      </c>
      <c r="P336" s="2"/>
      <c r="Q336" s="3" t="s">
        <v>421</v>
      </c>
      <c r="R336" s="3" t="s">
        <v>422</v>
      </c>
      <c r="S336" s="2"/>
      <c r="T336" s="2"/>
      <c r="U336" s="457" t="s">
        <v>423</v>
      </c>
    </row>
    <row r="337" spans="1:21" ht="13.75" customHeight="1">
      <c r="A337" s="456" t="s">
        <v>1348</v>
      </c>
      <c r="B337" s="3" t="s">
        <v>1349</v>
      </c>
      <c r="C337" s="3" t="s">
        <v>1304</v>
      </c>
      <c r="D337" s="5">
        <v>2021</v>
      </c>
      <c r="E337" s="3" t="s">
        <v>418</v>
      </c>
      <c r="F337" s="3" t="s">
        <v>419</v>
      </c>
      <c r="G337" s="3" t="s">
        <v>419</v>
      </c>
      <c r="H337" s="5">
        <v>20231</v>
      </c>
      <c r="I337" s="3" t="s">
        <v>420</v>
      </c>
      <c r="J337" s="3" t="s">
        <v>278</v>
      </c>
      <c r="K337" s="3" t="s">
        <v>279</v>
      </c>
      <c r="L337" s="3" t="s">
        <v>291</v>
      </c>
      <c r="M337" s="3" t="s">
        <v>292</v>
      </c>
      <c r="N337" s="5">
        <v>250</v>
      </c>
      <c r="O337" s="5">
        <v>4</v>
      </c>
      <c r="P337" s="2"/>
      <c r="Q337" s="3" t="s">
        <v>421</v>
      </c>
      <c r="R337" s="3" t="s">
        <v>422</v>
      </c>
      <c r="S337" s="2"/>
      <c r="T337" s="2"/>
      <c r="U337" s="457" t="s">
        <v>423</v>
      </c>
    </row>
    <row r="338" spans="1:21" ht="13.75" customHeight="1">
      <c r="A338" s="456" t="s">
        <v>1350</v>
      </c>
      <c r="B338" s="3" t="s">
        <v>1351</v>
      </c>
      <c r="C338" s="3" t="s">
        <v>1304</v>
      </c>
      <c r="D338" s="5">
        <v>2021</v>
      </c>
      <c r="E338" s="3" t="s">
        <v>418</v>
      </c>
      <c r="F338" s="3" t="s">
        <v>419</v>
      </c>
      <c r="G338" s="3" t="s">
        <v>419</v>
      </c>
      <c r="H338" s="5">
        <v>20231</v>
      </c>
      <c r="I338" s="3" t="s">
        <v>420</v>
      </c>
      <c r="J338" s="3" t="s">
        <v>278</v>
      </c>
      <c r="K338" s="3" t="s">
        <v>279</v>
      </c>
      <c r="L338" s="3" t="s">
        <v>291</v>
      </c>
      <c r="M338" s="3" t="s">
        <v>292</v>
      </c>
      <c r="N338" s="5">
        <v>250</v>
      </c>
      <c r="O338" s="5">
        <v>4</v>
      </c>
      <c r="P338" s="2"/>
      <c r="Q338" s="3" t="s">
        <v>421</v>
      </c>
      <c r="R338" s="3" t="s">
        <v>422</v>
      </c>
      <c r="S338" s="2"/>
      <c r="T338" s="2"/>
      <c r="U338" s="457" t="s">
        <v>423</v>
      </c>
    </row>
    <row r="339" spans="1:21" ht="13.75" customHeight="1">
      <c r="A339" s="456" t="s">
        <v>1352</v>
      </c>
      <c r="B339" s="3" t="s">
        <v>1353</v>
      </c>
      <c r="C339" s="3" t="s">
        <v>1304</v>
      </c>
      <c r="D339" s="5">
        <v>2021</v>
      </c>
      <c r="E339" s="3" t="s">
        <v>328</v>
      </c>
      <c r="F339" s="3" t="s">
        <v>329</v>
      </c>
      <c r="G339" s="3" t="s">
        <v>330</v>
      </c>
      <c r="H339" s="5">
        <v>20221</v>
      </c>
      <c r="I339" s="3" t="s">
        <v>331</v>
      </c>
      <c r="J339" s="3" t="s">
        <v>278</v>
      </c>
      <c r="K339" s="3" t="s">
        <v>332</v>
      </c>
      <c r="L339" s="3" t="s">
        <v>291</v>
      </c>
      <c r="M339" s="3" t="s">
        <v>292</v>
      </c>
      <c r="N339" s="5">
        <v>7</v>
      </c>
      <c r="O339" s="5">
        <v>5</v>
      </c>
      <c r="P339" s="2"/>
      <c r="Q339" s="3" t="s">
        <v>333</v>
      </c>
      <c r="R339" s="3" t="s">
        <v>334</v>
      </c>
      <c r="S339" s="2"/>
      <c r="T339" s="2"/>
      <c r="U339" s="457" t="s">
        <v>335</v>
      </c>
    </row>
    <row r="340" spans="1:21" ht="13.75" customHeight="1">
      <c r="A340" s="456" t="s">
        <v>1354</v>
      </c>
      <c r="B340" s="3" t="s">
        <v>1355</v>
      </c>
      <c r="C340" s="3" t="s">
        <v>1356</v>
      </c>
      <c r="D340" s="5">
        <v>2019</v>
      </c>
      <c r="E340" s="3" t="s">
        <v>328</v>
      </c>
      <c r="F340" s="3" t="s">
        <v>329</v>
      </c>
      <c r="G340" s="3" t="s">
        <v>330</v>
      </c>
      <c r="H340" s="5">
        <v>20221</v>
      </c>
      <c r="I340" s="3" t="s">
        <v>331</v>
      </c>
      <c r="J340" s="3" t="s">
        <v>278</v>
      </c>
      <c r="K340" s="3" t="s">
        <v>332</v>
      </c>
      <c r="L340" s="3" t="s">
        <v>291</v>
      </c>
      <c r="M340" s="3" t="s">
        <v>292</v>
      </c>
      <c r="N340" s="5">
        <v>7</v>
      </c>
      <c r="O340" s="5">
        <v>5</v>
      </c>
      <c r="P340" s="2"/>
      <c r="Q340" s="3" t="s">
        <v>333</v>
      </c>
      <c r="R340" s="3" t="s">
        <v>334</v>
      </c>
      <c r="S340" s="2"/>
      <c r="T340" s="2"/>
      <c r="U340" s="457" t="s">
        <v>335</v>
      </c>
    </row>
    <row r="341" spans="1:21" ht="13.75" customHeight="1">
      <c r="A341" s="456" t="s">
        <v>1357</v>
      </c>
      <c r="B341" s="3" t="s">
        <v>1358</v>
      </c>
      <c r="C341" s="3" t="s">
        <v>1356</v>
      </c>
      <c r="D341" s="5">
        <v>2019</v>
      </c>
      <c r="E341" s="3" t="s">
        <v>328</v>
      </c>
      <c r="F341" s="3" t="s">
        <v>329</v>
      </c>
      <c r="G341" s="3" t="s">
        <v>330</v>
      </c>
      <c r="H341" s="5">
        <v>20221</v>
      </c>
      <c r="I341" s="3" t="s">
        <v>331</v>
      </c>
      <c r="J341" s="3" t="s">
        <v>278</v>
      </c>
      <c r="K341" s="3" t="s">
        <v>332</v>
      </c>
      <c r="L341" s="3" t="s">
        <v>291</v>
      </c>
      <c r="M341" s="3" t="s">
        <v>292</v>
      </c>
      <c r="N341" s="5">
        <v>7</v>
      </c>
      <c r="O341" s="5">
        <v>5</v>
      </c>
      <c r="P341" s="2"/>
      <c r="Q341" s="3" t="s">
        <v>333</v>
      </c>
      <c r="R341" s="3" t="s">
        <v>334</v>
      </c>
      <c r="S341" s="2"/>
      <c r="T341" s="2"/>
      <c r="U341" s="457" t="s">
        <v>335</v>
      </c>
    </row>
    <row r="342" spans="1:21" ht="13.75" customHeight="1">
      <c r="A342" s="456" t="s">
        <v>1359</v>
      </c>
      <c r="B342" s="3" t="s">
        <v>1360</v>
      </c>
      <c r="C342" s="3" t="s">
        <v>1356</v>
      </c>
      <c r="D342" s="5">
        <v>2019</v>
      </c>
      <c r="E342" s="3" t="s">
        <v>1361</v>
      </c>
      <c r="F342" s="3" t="s">
        <v>1111</v>
      </c>
      <c r="G342" s="3" t="s">
        <v>1111</v>
      </c>
      <c r="H342" s="5">
        <v>20221</v>
      </c>
      <c r="I342" s="3" t="s">
        <v>1362</v>
      </c>
      <c r="J342" s="3" t="s">
        <v>278</v>
      </c>
      <c r="K342" s="3" t="s">
        <v>279</v>
      </c>
      <c r="L342" s="3" t="s">
        <v>438</v>
      </c>
      <c r="M342" s="3" t="s">
        <v>292</v>
      </c>
      <c r="N342" s="5">
        <v>80</v>
      </c>
      <c r="O342" s="5">
        <v>10</v>
      </c>
      <c r="P342" s="2"/>
      <c r="Q342" s="3" t="s">
        <v>1363</v>
      </c>
      <c r="R342" s="2"/>
      <c r="S342" s="2"/>
      <c r="T342" s="2"/>
      <c r="U342" s="457" t="s">
        <v>1364</v>
      </c>
    </row>
    <row r="343" spans="1:21" ht="13.75" customHeight="1">
      <c r="A343" s="456" t="s">
        <v>1365</v>
      </c>
      <c r="B343" s="3" t="s">
        <v>1366</v>
      </c>
      <c r="C343" s="3" t="s">
        <v>1356</v>
      </c>
      <c r="D343" s="5">
        <v>2020</v>
      </c>
      <c r="E343" s="3" t="s">
        <v>361</v>
      </c>
      <c r="F343" s="3" t="s">
        <v>362</v>
      </c>
      <c r="G343" s="3" t="s">
        <v>363</v>
      </c>
      <c r="H343" s="5">
        <v>20231</v>
      </c>
      <c r="I343" s="3" t="s">
        <v>364</v>
      </c>
      <c r="J343" s="3" t="s">
        <v>278</v>
      </c>
      <c r="K343" s="3" t="s">
        <v>279</v>
      </c>
      <c r="L343" s="3" t="s">
        <v>307</v>
      </c>
      <c r="M343" s="3" t="s">
        <v>292</v>
      </c>
      <c r="N343" s="5">
        <v>500</v>
      </c>
      <c r="O343" s="5">
        <v>10</v>
      </c>
      <c r="P343" s="3" t="s">
        <v>365</v>
      </c>
      <c r="Q343" s="3" t="s">
        <v>388</v>
      </c>
      <c r="R343" s="3" t="s">
        <v>389</v>
      </c>
      <c r="S343" s="2"/>
      <c r="T343" s="2"/>
      <c r="U343" s="457" t="s">
        <v>368</v>
      </c>
    </row>
    <row r="344" spans="1:21" ht="13.75" customHeight="1">
      <c r="A344" s="456" t="s">
        <v>1367</v>
      </c>
      <c r="B344" s="3" t="s">
        <v>1368</v>
      </c>
      <c r="C344" s="3" t="s">
        <v>1356</v>
      </c>
      <c r="D344" s="5">
        <v>2020</v>
      </c>
      <c r="E344" s="3" t="s">
        <v>361</v>
      </c>
      <c r="F344" s="3" t="s">
        <v>362</v>
      </c>
      <c r="G344" s="3" t="s">
        <v>363</v>
      </c>
      <c r="H344" s="5">
        <v>20231</v>
      </c>
      <c r="I344" s="3" t="s">
        <v>364</v>
      </c>
      <c r="J344" s="3" t="s">
        <v>278</v>
      </c>
      <c r="K344" s="3" t="s">
        <v>279</v>
      </c>
      <c r="L344" s="3" t="s">
        <v>307</v>
      </c>
      <c r="M344" s="3" t="s">
        <v>292</v>
      </c>
      <c r="N344" s="5">
        <v>500</v>
      </c>
      <c r="O344" s="5">
        <v>10</v>
      </c>
      <c r="P344" s="3" t="s">
        <v>365</v>
      </c>
      <c r="Q344" s="3" t="s">
        <v>388</v>
      </c>
      <c r="R344" s="3" t="s">
        <v>389</v>
      </c>
      <c r="S344" s="2"/>
      <c r="T344" s="2"/>
      <c r="U344" s="457" t="s">
        <v>368</v>
      </c>
    </row>
    <row r="345" spans="1:21" ht="13.75" customHeight="1">
      <c r="A345" s="456" t="s">
        <v>1369</v>
      </c>
      <c r="B345" s="3" t="s">
        <v>1370</v>
      </c>
      <c r="C345" s="3" t="s">
        <v>1356</v>
      </c>
      <c r="D345" s="5">
        <v>2020</v>
      </c>
      <c r="E345" s="3" t="s">
        <v>361</v>
      </c>
      <c r="F345" s="3" t="s">
        <v>362</v>
      </c>
      <c r="G345" s="3" t="s">
        <v>363</v>
      </c>
      <c r="H345" s="5">
        <v>20231</v>
      </c>
      <c r="I345" s="3" t="s">
        <v>364</v>
      </c>
      <c r="J345" s="3" t="s">
        <v>278</v>
      </c>
      <c r="K345" s="3" t="s">
        <v>279</v>
      </c>
      <c r="L345" s="3" t="s">
        <v>307</v>
      </c>
      <c r="M345" s="3" t="s">
        <v>292</v>
      </c>
      <c r="N345" s="5">
        <v>500</v>
      </c>
      <c r="O345" s="5">
        <v>10</v>
      </c>
      <c r="P345" s="3" t="s">
        <v>365</v>
      </c>
      <c r="Q345" s="3" t="s">
        <v>388</v>
      </c>
      <c r="R345" s="3" t="s">
        <v>389</v>
      </c>
      <c r="S345" s="2"/>
      <c r="T345" s="2"/>
      <c r="U345" s="457" t="s">
        <v>368</v>
      </c>
    </row>
    <row r="346" spans="1:21" ht="13.75" customHeight="1">
      <c r="A346" s="456" t="s">
        <v>1369</v>
      </c>
      <c r="B346" s="3" t="s">
        <v>1370</v>
      </c>
      <c r="C346" s="3" t="s">
        <v>1356</v>
      </c>
      <c r="D346" s="5">
        <v>2020</v>
      </c>
      <c r="E346" s="3" t="s">
        <v>1371</v>
      </c>
      <c r="F346" s="3" t="s">
        <v>1372</v>
      </c>
      <c r="G346" s="3" t="s">
        <v>1372</v>
      </c>
      <c r="H346" s="5">
        <v>20231</v>
      </c>
      <c r="I346" s="3" t="s">
        <v>1373</v>
      </c>
      <c r="J346" s="3" t="s">
        <v>278</v>
      </c>
      <c r="K346" s="3" t="s">
        <v>279</v>
      </c>
      <c r="L346" s="3" t="s">
        <v>291</v>
      </c>
      <c r="M346" s="3" t="s">
        <v>292</v>
      </c>
      <c r="N346" s="5">
        <v>50</v>
      </c>
      <c r="O346" s="5">
        <v>5</v>
      </c>
      <c r="P346" s="2"/>
      <c r="Q346" s="3" t="s">
        <v>1374</v>
      </c>
      <c r="R346" s="3" t="s">
        <v>1375</v>
      </c>
      <c r="S346" s="2"/>
      <c r="T346" s="2"/>
      <c r="U346" s="457" t="s">
        <v>1376</v>
      </c>
    </row>
    <row r="347" spans="1:21" ht="13.75" customHeight="1">
      <c r="A347" s="456" t="s">
        <v>1377</v>
      </c>
      <c r="B347" s="3" t="s">
        <v>1378</v>
      </c>
      <c r="C347" s="3" t="s">
        <v>1356</v>
      </c>
      <c r="D347" s="5">
        <v>2020</v>
      </c>
      <c r="E347" s="3" t="s">
        <v>361</v>
      </c>
      <c r="F347" s="3" t="s">
        <v>362</v>
      </c>
      <c r="G347" s="3" t="s">
        <v>363</v>
      </c>
      <c r="H347" s="5">
        <v>20231</v>
      </c>
      <c r="I347" s="3" t="s">
        <v>364</v>
      </c>
      <c r="J347" s="3" t="s">
        <v>278</v>
      </c>
      <c r="K347" s="3" t="s">
        <v>279</v>
      </c>
      <c r="L347" s="3" t="s">
        <v>307</v>
      </c>
      <c r="M347" s="3" t="s">
        <v>292</v>
      </c>
      <c r="N347" s="5">
        <v>500</v>
      </c>
      <c r="O347" s="5">
        <v>10</v>
      </c>
      <c r="P347" s="3" t="s">
        <v>365</v>
      </c>
      <c r="Q347" s="3" t="s">
        <v>388</v>
      </c>
      <c r="R347" s="3" t="s">
        <v>389</v>
      </c>
      <c r="S347" s="2"/>
      <c r="T347" s="2"/>
      <c r="U347" s="457" t="s">
        <v>368</v>
      </c>
    </row>
    <row r="348" spans="1:21" ht="13.75" customHeight="1">
      <c r="A348" s="456" t="s">
        <v>1379</v>
      </c>
      <c r="B348" s="3" t="s">
        <v>1380</v>
      </c>
      <c r="C348" s="3" t="s">
        <v>1356</v>
      </c>
      <c r="D348" s="5">
        <v>2020</v>
      </c>
      <c r="E348" s="3" t="s">
        <v>361</v>
      </c>
      <c r="F348" s="3" t="s">
        <v>362</v>
      </c>
      <c r="G348" s="3" t="s">
        <v>363</v>
      </c>
      <c r="H348" s="5">
        <v>20231</v>
      </c>
      <c r="I348" s="3" t="s">
        <v>364</v>
      </c>
      <c r="J348" s="3" t="s">
        <v>278</v>
      </c>
      <c r="K348" s="3" t="s">
        <v>279</v>
      </c>
      <c r="L348" s="3" t="s">
        <v>307</v>
      </c>
      <c r="M348" s="3" t="s">
        <v>292</v>
      </c>
      <c r="N348" s="5">
        <v>500</v>
      </c>
      <c r="O348" s="5">
        <v>10</v>
      </c>
      <c r="P348" s="3" t="s">
        <v>365</v>
      </c>
      <c r="Q348" s="3" t="s">
        <v>388</v>
      </c>
      <c r="R348" s="3" t="s">
        <v>389</v>
      </c>
      <c r="S348" s="2"/>
      <c r="T348" s="2"/>
      <c r="U348" s="457" t="s">
        <v>368</v>
      </c>
    </row>
    <row r="349" spans="1:21" ht="13.75" customHeight="1">
      <c r="A349" s="456" t="s">
        <v>1381</v>
      </c>
      <c r="B349" s="3" t="s">
        <v>1382</v>
      </c>
      <c r="C349" s="3" t="s">
        <v>1356</v>
      </c>
      <c r="D349" s="5">
        <v>2020</v>
      </c>
      <c r="E349" s="3" t="s">
        <v>361</v>
      </c>
      <c r="F349" s="3" t="s">
        <v>362</v>
      </c>
      <c r="G349" s="3" t="s">
        <v>363</v>
      </c>
      <c r="H349" s="5">
        <v>20231</v>
      </c>
      <c r="I349" s="3" t="s">
        <v>364</v>
      </c>
      <c r="J349" s="3" t="s">
        <v>278</v>
      </c>
      <c r="K349" s="3" t="s">
        <v>279</v>
      </c>
      <c r="L349" s="3" t="s">
        <v>307</v>
      </c>
      <c r="M349" s="3" t="s">
        <v>292</v>
      </c>
      <c r="N349" s="5">
        <v>500</v>
      </c>
      <c r="O349" s="5">
        <v>10</v>
      </c>
      <c r="P349" s="3" t="s">
        <v>365</v>
      </c>
      <c r="Q349" s="3" t="s">
        <v>388</v>
      </c>
      <c r="R349" s="3" t="s">
        <v>389</v>
      </c>
      <c r="S349" s="2"/>
      <c r="T349" s="2"/>
      <c r="U349" s="457" t="s">
        <v>368</v>
      </c>
    </row>
    <row r="350" spans="1:21" ht="13.75" customHeight="1">
      <c r="A350" s="456" t="s">
        <v>1383</v>
      </c>
      <c r="B350" s="3" t="s">
        <v>1384</v>
      </c>
      <c r="C350" s="3" t="s">
        <v>1356</v>
      </c>
      <c r="D350" s="5">
        <v>2020</v>
      </c>
      <c r="E350" s="3" t="s">
        <v>361</v>
      </c>
      <c r="F350" s="3" t="s">
        <v>362</v>
      </c>
      <c r="G350" s="3" t="s">
        <v>363</v>
      </c>
      <c r="H350" s="5">
        <v>20231</v>
      </c>
      <c r="I350" s="3" t="s">
        <v>364</v>
      </c>
      <c r="J350" s="3" t="s">
        <v>278</v>
      </c>
      <c r="K350" s="3" t="s">
        <v>279</v>
      </c>
      <c r="L350" s="3" t="s">
        <v>307</v>
      </c>
      <c r="M350" s="3" t="s">
        <v>292</v>
      </c>
      <c r="N350" s="5">
        <v>500</v>
      </c>
      <c r="O350" s="5">
        <v>10</v>
      </c>
      <c r="P350" s="3" t="s">
        <v>365</v>
      </c>
      <c r="Q350" s="3" t="s">
        <v>388</v>
      </c>
      <c r="R350" s="3" t="s">
        <v>389</v>
      </c>
      <c r="S350" s="2"/>
      <c r="T350" s="2"/>
      <c r="U350" s="457" t="s">
        <v>368</v>
      </c>
    </row>
    <row r="351" spans="1:21" ht="13.75" customHeight="1">
      <c r="A351" s="456" t="s">
        <v>1385</v>
      </c>
      <c r="B351" s="3" t="s">
        <v>1386</v>
      </c>
      <c r="C351" s="3" t="s">
        <v>1356</v>
      </c>
      <c r="D351" s="5">
        <v>2020</v>
      </c>
      <c r="E351" s="3" t="s">
        <v>361</v>
      </c>
      <c r="F351" s="3" t="s">
        <v>362</v>
      </c>
      <c r="G351" s="3" t="s">
        <v>363</v>
      </c>
      <c r="H351" s="5">
        <v>20231</v>
      </c>
      <c r="I351" s="3" t="s">
        <v>364</v>
      </c>
      <c r="J351" s="3" t="s">
        <v>278</v>
      </c>
      <c r="K351" s="3" t="s">
        <v>279</v>
      </c>
      <c r="L351" s="3" t="s">
        <v>307</v>
      </c>
      <c r="M351" s="3" t="s">
        <v>292</v>
      </c>
      <c r="N351" s="5">
        <v>500</v>
      </c>
      <c r="O351" s="5">
        <v>10</v>
      </c>
      <c r="P351" s="3" t="s">
        <v>365</v>
      </c>
      <c r="Q351" s="3" t="s">
        <v>388</v>
      </c>
      <c r="R351" s="3" t="s">
        <v>389</v>
      </c>
      <c r="S351" s="2"/>
      <c r="T351" s="2"/>
      <c r="U351" s="457" t="s">
        <v>368</v>
      </c>
    </row>
    <row r="352" spans="1:21" ht="13.75" customHeight="1">
      <c r="A352" s="456" t="s">
        <v>1387</v>
      </c>
      <c r="B352" s="3" t="s">
        <v>1388</v>
      </c>
      <c r="C352" s="3" t="s">
        <v>1356</v>
      </c>
      <c r="D352" s="5">
        <v>2020</v>
      </c>
      <c r="E352" s="3" t="s">
        <v>361</v>
      </c>
      <c r="F352" s="3" t="s">
        <v>362</v>
      </c>
      <c r="G352" s="3" t="s">
        <v>363</v>
      </c>
      <c r="H352" s="5">
        <v>20231</v>
      </c>
      <c r="I352" s="3" t="s">
        <v>364</v>
      </c>
      <c r="J352" s="3" t="s">
        <v>278</v>
      </c>
      <c r="K352" s="3" t="s">
        <v>279</v>
      </c>
      <c r="L352" s="3" t="s">
        <v>307</v>
      </c>
      <c r="M352" s="3" t="s">
        <v>292</v>
      </c>
      <c r="N352" s="5">
        <v>500</v>
      </c>
      <c r="O352" s="5">
        <v>10</v>
      </c>
      <c r="P352" s="3" t="s">
        <v>365</v>
      </c>
      <c r="Q352" s="3" t="s">
        <v>388</v>
      </c>
      <c r="R352" s="3" t="s">
        <v>389</v>
      </c>
      <c r="S352" s="2"/>
      <c r="T352" s="2"/>
      <c r="U352" s="457" t="s">
        <v>368</v>
      </c>
    </row>
    <row r="353" spans="1:21" ht="13.75" customHeight="1">
      <c r="A353" s="456" t="s">
        <v>1389</v>
      </c>
      <c r="B353" s="3" t="s">
        <v>1390</v>
      </c>
      <c r="C353" s="3" t="s">
        <v>1356</v>
      </c>
      <c r="D353" s="5">
        <v>2020</v>
      </c>
      <c r="E353" s="3" t="s">
        <v>361</v>
      </c>
      <c r="F353" s="3" t="s">
        <v>362</v>
      </c>
      <c r="G353" s="3" t="s">
        <v>363</v>
      </c>
      <c r="H353" s="5">
        <v>20231</v>
      </c>
      <c r="I353" s="3" t="s">
        <v>364</v>
      </c>
      <c r="J353" s="3" t="s">
        <v>278</v>
      </c>
      <c r="K353" s="3" t="s">
        <v>279</v>
      </c>
      <c r="L353" s="3" t="s">
        <v>307</v>
      </c>
      <c r="M353" s="3" t="s">
        <v>292</v>
      </c>
      <c r="N353" s="5">
        <v>500</v>
      </c>
      <c r="O353" s="5">
        <v>10</v>
      </c>
      <c r="P353" s="3" t="s">
        <v>365</v>
      </c>
      <c r="Q353" s="3" t="s">
        <v>388</v>
      </c>
      <c r="R353" s="3" t="s">
        <v>389</v>
      </c>
      <c r="S353" s="2"/>
      <c r="T353" s="2"/>
      <c r="U353" s="457" t="s">
        <v>368</v>
      </c>
    </row>
    <row r="354" spans="1:21" ht="13.75" customHeight="1">
      <c r="A354" s="456" t="s">
        <v>1391</v>
      </c>
      <c r="B354" s="3" t="s">
        <v>1392</v>
      </c>
      <c r="C354" s="3" t="s">
        <v>1356</v>
      </c>
      <c r="D354" s="5">
        <v>2020</v>
      </c>
      <c r="E354" s="3" t="s">
        <v>361</v>
      </c>
      <c r="F354" s="3" t="s">
        <v>362</v>
      </c>
      <c r="G354" s="3" t="s">
        <v>363</v>
      </c>
      <c r="H354" s="5">
        <v>20231</v>
      </c>
      <c r="I354" s="3" t="s">
        <v>364</v>
      </c>
      <c r="J354" s="3" t="s">
        <v>278</v>
      </c>
      <c r="K354" s="3" t="s">
        <v>279</v>
      </c>
      <c r="L354" s="3" t="s">
        <v>307</v>
      </c>
      <c r="M354" s="3" t="s">
        <v>292</v>
      </c>
      <c r="N354" s="5">
        <v>500</v>
      </c>
      <c r="O354" s="5">
        <v>10</v>
      </c>
      <c r="P354" s="3" t="s">
        <v>365</v>
      </c>
      <c r="Q354" s="3" t="s">
        <v>388</v>
      </c>
      <c r="R354" s="3" t="s">
        <v>389</v>
      </c>
      <c r="S354" s="2"/>
      <c r="T354" s="2"/>
      <c r="U354" s="457" t="s">
        <v>368</v>
      </c>
    </row>
    <row r="355" spans="1:21" ht="13.75" customHeight="1">
      <c r="A355" s="456" t="s">
        <v>1393</v>
      </c>
      <c r="B355" s="3" t="s">
        <v>1394</v>
      </c>
      <c r="C355" s="3" t="s">
        <v>1356</v>
      </c>
      <c r="D355" s="5">
        <v>2020</v>
      </c>
      <c r="E355" s="3" t="s">
        <v>361</v>
      </c>
      <c r="F355" s="3" t="s">
        <v>362</v>
      </c>
      <c r="G355" s="3" t="s">
        <v>363</v>
      </c>
      <c r="H355" s="5">
        <v>20231</v>
      </c>
      <c r="I355" s="3" t="s">
        <v>364</v>
      </c>
      <c r="J355" s="3" t="s">
        <v>278</v>
      </c>
      <c r="K355" s="3" t="s">
        <v>279</v>
      </c>
      <c r="L355" s="3" t="s">
        <v>307</v>
      </c>
      <c r="M355" s="3" t="s">
        <v>292</v>
      </c>
      <c r="N355" s="5">
        <v>500</v>
      </c>
      <c r="O355" s="5">
        <v>10</v>
      </c>
      <c r="P355" s="3" t="s">
        <v>365</v>
      </c>
      <c r="Q355" s="3" t="s">
        <v>388</v>
      </c>
      <c r="R355" s="3" t="s">
        <v>389</v>
      </c>
      <c r="S355" s="2"/>
      <c r="T355" s="2"/>
      <c r="U355" s="457" t="s">
        <v>368</v>
      </c>
    </row>
    <row r="356" spans="1:21" ht="13.75" customHeight="1">
      <c r="A356" s="456" t="s">
        <v>1395</v>
      </c>
      <c r="B356" s="3" t="s">
        <v>1396</v>
      </c>
      <c r="C356" s="3" t="s">
        <v>1356</v>
      </c>
      <c r="D356" s="5">
        <v>2021</v>
      </c>
      <c r="E356" s="3" t="s">
        <v>1397</v>
      </c>
      <c r="F356" s="3" t="s">
        <v>1398</v>
      </c>
      <c r="G356" s="3" t="s">
        <v>1399</v>
      </c>
      <c r="H356" s="5">
        <v>20222</v>
      </c>
      <c r="I356" s="3" t="s">
        <v>1400</v>
      </c>
      <c r="J356" s="3" t="s">
        <v>278</v>
      </c>
      <c r="K356" s="3" t="s">
        <v>279</v>
      </c>
      <c r="L356" s="3" t="s">
        <v>438</v>
      </c>
      <c r="M356" s="3" t="s">
        <v>292</v>
      </c>
      <c r="N356" s="5">
        <v>13</v>
      </c>
      <c r="O356" s="5">
        <v>10</v>
      </c>
      <c r="P356" s="2"/>
      <c r="Q356" s="3" t="s">
        <v>1401</v>
      </c>
      <c r="R356" s="2"/>
      <c r="S356" s="2"/>
      <c r="T356" s="2"/>
      <c r="U356" s="457" t="s">
        <v>1402</v>
      </c>
    </row>
    <row r="357" spans="1:21" ht="13.75" customHeight="1">
      <c r="A357" s="456" t="s">
        <v>1403</v>
      </c>
      <c r="B357" s="3" t="s">
        <v>1404</v>
      </c>
      <c r="C357" s="3" t="s">
        <v>1356</v>
      </c>
      <c r="D357" s="5">
        <v>2021</v>
      </c>
      <c r="E357" s="3" t="s">
        <v>328</v>
      </c>
      <c r="F357" s="3" t="s">
        <v>329</v>
      </c>
      <c r="G357" s="3" t="s">
        <v>330</v>
      </c>
      <c r="H357" s="5">
        <v>20221</v>
      </c>
      <c r="I357" s="3" t="s">
        <v>331</v>
      </c>
      <c r="J357" s="3" t="s">
        <v>278</v>
      </c>
      <c r="K357" s="3" t="s">
        <v>332</v>
      </c>
      <c r="L357" s="3" t="s">
        <v>291</v>
      </c>
      <c r="M357" s="3" t="s">
        <v>292</v>
      </c>
      <c r="N357" s="5">
        <v>7</v>
      </c>
      <c r="O357" s="5">
        <v>5</v>
      </c>
      <c r="P357" s="2"/>
      <c r="Q357" s="3" t="s">
        <v>333</v>
      </c>
      <c r="R357" s="3" t="s">
        <v>334</v>
      </c>
      <c r="S357" s="2"/>
      <c r="T357" s="2"/>
      <c r="U357" s="457" t="s">
        <v>335</v>
      </c>
    </row>
    <row r="358" spans="1:21" ht="13.75" customHeight="1">
      <c r="A358" s="456" t="s">
        <v>1405</v>
      </c>
      <c r="B358" s="3" t="s">
        <v>1406</v>
      </c>
      <c r="C358" s="3" t="s">
        <v>1407</v>
      </c>
      <c r="D358" s="5">
        <v>2018</v>
      </c>
      <c r="E358" s="3" t="s">
        <v>361</v>
      </c>
      <c r="F358" s="3" t="s">
        <v>362</v>
      </c>
      <c r="G358" s="3" t="s">
        <v>363</v>
      </c>
      <c r="H358" s="5">
        <v>20231</v>
      </c>
      <c r="I358" s="3" t="s">
        <v>364</v>
      </c>
      <c r="J358" s="3" t="s">
        <v>278</v>
      </c>
      <c r="K358" s="3" t="s">
        <v>279</v>
      </c>
      <c r="L358" s="3" t="s">
        <v>307</v>
      </c>
      <c r="M358" s="3" t="s">
        <v>292</v>
      </c>
      <c r="N358" s="5">
        <v>500</v>
      </c>
      <c r="O358" s="5">
        <v>10</v>
      </c>
      <c r="P358" s="3" t="s">
        <v>365</v>
      </c>
      <c r="Q358" s="3" t="s">
        <v>388</v>
      </c>
      <c r="R358" s="3" t="s">
        <v>389</v>
      </c>
      <c r="S358" s="2"/>
      <c r="T358" s="2"/>
      <c r="U358" s="457" t="s">
        <v>368</v>
      </c>
    </row>
    <row r="359" spans="1:21" ht="13.75" customHeight="1">
      <c r="A359" s="456" t="s">
        <v>1408</v>
      </c>
      <c r="B359" s="3" t="s">
        <v>1409</v>
      </c>
      <c r="C359" s="3" t="s">
        <v>1407</v>
      </c>
      <c r="D359" s="5">
        <v>2019</v>
      </c>
      <c r="E359" s="3" t="s">
        <v>361</v>
      </c>
      <c r="F359" s="3" t="s">
        <v>362</v>
      </c>
      <c r="G359" s="3" t="s">
        <v>363</v>
      </c>
      <c r="H359" s="5">
        <v>20231</v>
      </c>
      <c r="I359" s="3" t="s">
        <v>364</v>
      </c>
      <c r="J359" s="3" t="s">
        <v>278</v>
      </c>
      <c r="K359" s="3" t="s">
        <v>279</v>
      </c>
      <c r="L359" s="3" t="s">
        <v>307</v>
      </c>
      <c r="M359" s="3" t="s">
        <v>292</v>
      </c>
      <c r="N359" s="5">
        <v>500</v>
      </c>
      <c r="O359" s="5">
        <v>10</v>
      </c>
      <c r="P359" s="3" t="s">
        <v>365</v>
      </c>
      <c r="Q359" s="3" t="s">
        <v>388</v>
      </c>
      <c r="R359" s="3" t="s">
        <v>389</v>
      </c>
      <c r="S359" s="2"/>
      <c r="T359" s="2"/>
      <c r="U359" s="457" t="s">
        <v>368</v>
      </c>
    </row>
    <row r="360" spans="1:21" ht="13.75" customHeight="1">
      <c r="A360" s="456" t="s">
        <v>1410</v>
      </c>
      <c r="B360" s="3" t="s">
        <v>1411</v>
      </c>
      <c r="C360" s="3" t="s">
        <v>1407</v>
      </c>
      <c r="D360" s="5">
        <v>2020</v>
      </c>
      <c r="E360" s="3" t="s">
        <v>361</v>
      </c>
      <c r="F360" s="3" t="s">
        <v>362</v>
      </c>
      <c r="G360" s="3" t="s">
        <v>363</v>
      </c>
      <c r="H360" s="5">
        <v>20231</v>
      </c>
      <c r="I360" s="3" t="s">
        <v>364</v>
      </c>
      <c r="J360" s="3" t="s">
        <v>278</v>
      </c>
      <c r="K360" s="3" t="s">
        <v>279</v>
      </c>
      <c r="L360" s="3" t="s">
        <v>307</v>
      </c>
      <c r="M360" s="3" t="s">
        <v>292</v>
      </c>
      <c r="N360" s="5">
        <v>500</v>
      </c>
      <c r="O360" s="5">
        <v>10</v>
      </c>
      <c r="P360" s="3" t="s">
        <v>365</v>
      </c>
      <c r="Q360" s="3" t="s">
        <v>388</v>
      </c>
      <c r="R360" s="3" t="s">
        <v>389</v>
      </c>
      <c r="S360" s="2"/>
      <c r="T360" s="2"/>
      <c r="U360" s="457" t="s">
        <v>368</v>
      </c>
    </row>
    <row r="361" spans="1:21" ht="39.75" customHeight="1">
      <c r="A361" s="456" t="s">
        <v>1412</v>
      </c>
      <c r="B361" s="3" t="s">
        <v>1413</v>
      </c>
      <c r="C361" s="3" t="s">
        <v>1407</v>
      </c>
      <c r="D361" s="5">
        <v>2020</v>
      </c>
      <c r="E361" s="3" t="s">
        <v>1414</v>
      </c>
      <c r="F361" s="3" t="s">
        <v>1415</v>
      </c>
      <c r="G361" s="3" t="s">
        <v>1415</v>
      </c>
      <c r="H361" s="5">
        <v>20221</v>
      </c>
      <c r="I361" s="227" t="s">
        <v>1416</v>
      </c>
      <c r="J361" s="3" t="s">
        <v>278</v>
      </c>
      <c r="K361" s="3" t="s">
        <v>348</v>
      </c>
      <c r="L361" s="3" t="s">
        <v>280</v>
      </c>
      <c r="M361" s="3" t="s">
        <v>292</v>
      </c>
      <c r="N361" s="5">
        <v>1</v>
      </c>
      <c r="O361" s="5">
        <v>30</v>
      </c>
      <c r="P361" s="2"/>
      <c r="Q361" s="2"/>
      <c r="R361" s="2"/>
      <c r="S361" s="3" t="s">
        <v>1417</v>
      </c>
      <c r="T361" s="2"/>
      <c r="U361" s="457" t="s">
        <v>1418</v>
      </c>
    </row>
    <row r="362" spans="1:21" ht="13.75" customHeight="1">
      <c r="A362" s="456" t="s">
        <v>1419</v>
      </c>
      <c r="B362" s="3" t="s">
        <v>1420</v>
      </c>
      <c r="C362" s="3" t="s">
        <v>1407</v>
      </c>
      <c r="D362" s="5">
        <v>2020</v>
      </c>
      <c r="E362" s="3" t="s">
        <v>361</v>
      </c>
      <c r="F362" s="3" t="s">
        <v>362</v>
      </c>
      <c r="G362" s="3" t="s">
        <v>363</v>
      </c>
      <c r="H362" s="5">
        <v>20231</v>
      </c>
      <c r="I362" s="3" t="s">
        <v>364</v>
      </c>
      <c r="J362" s="3" t="s">
        <v>278</v>
      </c>
      <c r="K362" s="3" t="s">
        <v>279</v>
      </c>
      <c r="L362" s="3" t="s">
        <v>307</v>
      </c>
      <c r="M362" s="3" t="s">
        <v>292</v>
      </c>
      <c r="N362" s="5">
        <v>500</v>
      </c>
      <c r="O362" s="5">
        <v>10</v>
      </c>
      <c r="P362" s="3" t="s">
        <v>365</v>
      </c>
      <c r="Q362" s="3" t="s">
        <v>388</v>
      </c>
      <c r="R362" s="3" t="s">
        <v>389</v>
      </c>
      <c r="S362" s="2"/>
      <c r="T362" s="2"/>
      <c r="U362" s="457" t="s">
        <v>368</v>
      </c>
    </row>
    <row r="363" spans="1:21" ht="13.75" customHeight="1">
      <c r="A363" s="456" t="s">
        <v>1421</v>
      </c>
      <c r="B363" s="3" t="s">
        <v>1422</v>
      </c>
      <c r="C363" s="3" t="s">
        <v>1407</v>
      </c>
      <c r="D363" s="5">
        <v>2021</v>
      </c>
      <c r="E363" s="3" t="s">
        <v>418</v>
      </c>
      <c r="F363" s="3" t="s">
        <v>419</v>
      </c>
      <c r="G363" s="3" t="s">
        <v>419</v>
      </c>
      <c r="H363" s="5">
        <v>20231</v>
      </c>
      <c r="I363" s="3" t="s">
        <v>420</v>
      </c>
      <c r="J363" s="3" t="s">
        <v>278</v>
      </c>
      <c r="K363" s="3" t="s">
        <v>279</v>
      </c>
      <c r="L363" s="3" t="s">
        <v>291</v>
      </c>
      <c r="M363" s="3" t="s">
        <v>292</v>
      </c>
      <c r="N363" s="5">
        <v>250</v>
      </c>
      <c r="O363" s="5">
        <v>4</v>
      </c>
      <c r="P363" s="2"/>
      <c r="Q363" s="3" t="s">
        <v>421</v>
      </c>
      <c r="R363" s="3" t="s">
        <v>422</v>
      </c>
      <c r="S363" s="2"/>
      <c r="T363" s="2"/>
      <c r="U363" s="457" t="s">
        <v>423</v>
      </c>
    </row>
    <row r="364" spans="1:21" ht="13.75" customHeight="1">
      <c r="A364" s="456" t="s">
        <v>1421</v>
      </c>
      <c r="B364" s="3" t="s">
        <v>1422</v>
      </c>
      <c r="C364" s="3" t="s">
        <v>1407</v>
      </c>
      <c r="D364" s="5">
        <v>2021</v>
      </c>
      <c r="E364" s="3" t="s">
        <v>1423</v>
      </c>
      <c r="F364" s="3" t="s">
        <v>1372</v>
      </c>
      <c r="G364" s="3" t="s">
        <v>1372</v>
      </c>
      <c r="H364" s="5">
        <v>20231</v>
      </c>
      <c r="I364" s="3" t="s">
        <v>1424</v>
      </c>
      <c r="J364" s="3" t="s">
        <v>278</v>
      </c>
      <c r="K364" s="3" t="s">
        <v>279</v>
      </c>
      <c r="L364" s="3" t="s">
        <v>291</v>
      </c>
      <c r="M364" s="3" t="s">
        <v>292</v>
      </c>
      <c r="N364" s="5">
        <v>26</v>
      </c>
      <c r="O364" s="5">
        <v>5</v>
      </c>
      <c r="P364" s="2"/>
      <c r="Q364" s="3" t="s">
        <v>1425</v>
      </c>
      <c r="R364" s="3" t="s">
        <v>1426</v>
      </c>
      <c r="S364" s="2"/>
      <c r="T364" s="2"/>
      <c r="U364" s="457" t="s">
        <v>1427</v>
      </c>
    </row>
    <row r="365" spans="1:21" ht="13.75" customHeight="1">
      <c r="A365" s="456" t="s">
        <v>1428</v>
      </c>
      <c r="B365" s="3" t="s">
        <v>1429</v>
      </c>
      <c r="C365" s="3" t="s">
        <v>1407</v>
      </c>
      <c r="D365" s="5">
        <v>2021</v>
      </c>
      <c r="E365" s="3" t="s">
        <v>418</v>
      </c>
      <c r="F365" s="3" t="s">
        <v>419</v>
      </c>
      <c r="G365" s="3" t="s">
        <v>419</v>
      </c>
      <c r="H365" s="5">
        <v>20231</v>
      </c>
      <c r="I365" s="3" t="s">
        <v>420</v>
      </c>
      <c r="J365" s="3" t="s">
        <v>278</v>
      </c>
      <c r="K365" s="3" t="s">
        <v>279</v>
      </c>
      <c r="L365" s="3" t="s">
        <v>291</v>
      </c>
      <c r="M365" s="3" t="s">
        <v>292</v>
      </c>
      <c r="N365" s="5">
        <v>250</v>
      </c>
      <c r="O365" s="5">
        <v>4</v>
      </c>
      <c r="P365" s="2"/>
      <c r="Q365" s="3" t="s">
        <v>421</v>
      </c>
      <c r="R365" s="3" t="s">
        <v>422</v>
      </c>
      <c r="S365" s="2"/>
      <c r="T365" s="2"/>
      <c r="U365" s="457" t="s">
        <v>423</v>
      </c>
    </row>
    <row r="366" spans="1:21" ht="13.75" customHeight="1">
      <c r="A366" s="456" t="s">
        <v>1430</v>
      </c>
      <c r="B366" s="3" t="s">
        <v>1431</v>
      </c>
      <c r="C366" s="3" t="s">
        <v>1407</v>
      </c>
      <c r="D366" s="5">
        <v>2021</v>
      </c>
      <c r="E366" s="3" t="s">
        <v>505</v>
      </c>
      <c r="F366" s="3" t="s">
        <v>506</v>
      </c>
      <c r="G366" s="3" t="s">
        <v>506</v>
      </c>
      <c r="H366" s="5">
        <v>20231</v>
      </c>
      <c r="I366" s="2"/>
      <c r="J366" s="3" t="s">
        <v>278</v>
      </c>
      <c r="K366" s="3" t="s">
        <v>332</v>
      </c>
      <c r="L366" s="3" t="s">
        <v>291</v>
      </c>
      <c r="M366" s="3" t="s">
        <v>292</v>
      </c>
      <c r="N366" s="5">
        <v>50</v>
      </c>
      <c r="O366" s="5">
        <v>4</v>
      </c>
      <c r="P366" s="2"/>
      <c r="Q366" s="3" t="s">
        <v>507</v>
      </c>
      <c r="R366" s="3" t="s">
        <v>508</v>
      </c>
      <c r="S366" s="2"/>
      <c r="T366" s="2"/>
      <c r="U366" s="457" t="s">
        <v>440</v>
      </c>
    </row>
    <row r="367" spans="1:21" ht="13.75" customHeight="1">
      <c r="A367" s="456" t="s">
        <v>1432</v>
      </c>
      <c r="B367" s="3" t="s">
        <v>1433</v>
      </c>
      <c r="C367" s="3" t="s">
        <v>1407</v>
      </c>
      <c r="D367" s="5">
        <v>2022</v>
      </c>
      <c r="E367" s="3" t="s">
        <v>361</v>
      </c>
      <c r="F367" s="3" t="s">
        <v>362</v>
      </c>
      <c r="G367" s="3" t="s">
        <v>363</v>
      </c>
      <c r="H367" s="5">
        <v>20231</v>
      </c>
      <c r="I367" s="3" t="s">
        <v>364</v>
      </c>
      <c r="J367" s="3" t="s">
        <v>278</v>
      </c>
      <c r="K367" s="3" t="s">
        <v>279</v>
      </c>
      <c r="L367" s="3" t="s">
        <v>307</v>
      </c>
      <c r="M367" s="3" t="s">
        <v>292</v>
      </c>
      <c r="N367" s="5">
        <v>500</v>
      </c>
      <c r="O367" s="5">
        <v>10</v>
      </c>
      <c r="P367" s="3" t="s">
        <v>365</v>
      </c>
      <c r="Q367" s="3" t="s">
        <v>388</v>
      </c>
      <c r="R367" s="3" t="s">
        <v>389</v>
      </c>
      <c r="S367" s="2"/>
      <c r="T367" s="2"/>
      <c r="U367" s="457" t="s">
        <v>368</v>
      </c>
    </row>
    <row r="368" spans="1:21" ht="13.75" customHeight="1">
      <c r="A368" s="456" t="s">
        <v>1434</v>
      </c>
      <c r="B368" s="3" t="s">
        <v>1435</v>
      </c>
      <c r="C368" s="3" t="s">
        <v>1407</v>
      </c>
      <c r="D368" s="5">
        <v>2022</v>
      </c>
      <c r="E368" s="3" t="s">
        <v>361</v>
      </c>
      <c r="F368" s="3" t="s">
        <v>362</v>
      </c>
      <c r="G368" s="3" t="s">
        <v>363</v>
      </c>
      <c r="H368" s="5">
        <v>20231</v>
      </c>
      <c r="I368" s="3" t="s">
        <v>364</v>
      </c>
      <c r="J368" s="3" t="s">
        <v>278</v>
      </c>
      <c r="K368" s="3" t="s">
        <v>279</v>
      </c>
      <c r="L368" s="3" t="s">
        <v>307</v>
      </c>
      <c r="M368" s="3" t="s">
        <v>292</v>
      </c>
      <c r="N368" s="5">
        <v>500</v>
      </c>
      <c r="O368" s="5">
        <v>10</v>
      </c>
      <c r="P368" s="3" t="s">
        <v>365</v>
      </c>
      <c r="Q368" s="3" t="s">
        <v>388</v>
      </c>
      <c r="R368" s="3" t="s">
        <v>389</v>
      </c>
      <c r="S368" s="2"/>
      <c r="T368" s="2"/>
      <c r="U368" s="457" t="s">
        <v>368</v>
      </c>
    </row>
    <row r="369" spans="1:21" ht="13.75" customHeight="1">
      <c r="A369" s="456" t="s">
        <v>1436</v>
      </c>
      <c r="B369" s="3" t="s">
        <v>1437</v>
      </c>
      <c r="C369" s="3" t="s">
        <v>1407</v>
      </c>
      <c r="D369" s="5">
        <v>2022</v>
      </c>
      <c r="E369" s="3" t="s">
        <v>361</v>
      </c>
      <c r="F369" s="3" t="s">
        <v>362</v>
      </c>
      <c r="G369" s="3" t="s">
        <v>363</v>
      </c>
      <c r="H369" s="5">
        <v>20231</v>
      </c>
      <c r="I369" s="3" t="s">
        <v>364</v>
      </c>
      <c r="J369" s="3" t="s">
        <v>278</v>
      </c>
      <c r="K369" s="3" t="s">
        <v>279</v>
      </c>
      <c r="L369" s="3" t="s">
        <v>307</v>
      </c>
      <c r="M369" s="3" t="s">
        <v>292</v>
      </c>
      <c r="N369" s="5">
        <v>500</v>
      </c>
      <c r="O369" s="5">
        <v>10</v>
      </c>
      <c r="P369" s="3" t="s">
        <v>365</v>
      </c>
      <c r="Q369" s="3" t="s">
        <v>388</v>
      </c>
      <c r="R369" s="3" t="s">
        <v>389</v>
      </c>
      <c r="S369" s="2"/>
      <c r="T369" s="2"/>
      <c r="U369" s="457" t="s">
        <v>368</v>
      </c>
    </row>
    <row r="370" spans="1:21" ht="13.75" customHeight="1">
      <c r="A370" s="456" t="s">
        <v>1438</v>
      </c>
      <c r="B370" s="3" t="s">
        <v>1439</v>
      </c>
      <c r="C370" s="3" t="s">
        <v>1407</v>
      </c>
      <c r="D370" s="5">
        <v>2022</v>
      </c>
      <c r="E370" s="3" t="s">
        <v>361</v>
      </c>
      <c r="F370" s="3" t="s">
        <v>362</v>
      </c>
      <c r="G370" s="3" t="s">
        <v>363</v>
      </c>
      <c r="H370" s="5">
        <v>20231</v>
      </c>
      <c r="I370" s="3" t="s">
        <v>364</v>
      </c>
      <c r="J370" s="3" t="s">
        <v>278</v>
      </c>
      <c r="K370" s="3" t="s">
        <v>279</v>
      </c>
      <c r="L370" s="3" t="s">
        <v>307</v>
      </c>
      <c r="M370" s="3" t="s">
        <v>292</v>
      </c>
      <c r="N370" s="5">
        <v>500</v>
      </c>
      <c r="O370" s="5">
        <v>10</v>
      </c>
      <c r="P370" s="3" t="s">
        <v>365</v>
      </c>
      <c r="Q370" s="3" t="s">
        <v>388</v>
      </c>
      <c r="R370" s="3" t="s">
        <v>389</v>
      </c>
      <c r="S370" s="2"/>
      <c r="T370" s="2"/>
      <c r="U370" s="457" t="s">
        <v>368</v>
      </c>
    </row>
    <row r="371" spans="1:21" ht="13.75" customHeight="1">
      <c r="A371" s="456" t="s">
        <v>1440</v>
      </c>
      <c r="B371" s="3" t="s">
        <v>1441</v>
      </c>
      <c r="C371" s="3" t="s">
        <v>1407</v>
      </c>
      <c r="D371" s="5">
        <v>2022</v>
      </c>
      <c r="E371" s="3" t="s">
        <v>361</v>
      </c>
      <c r="F371" s="3" t="s">
        <v>362</v>
      </c>
      <c r="G371" s="3" t="s">
        <v>363</v>
      </c>
      <c r="H371" s="5">
        <v>20231</v>
      </c>
      <c r="I371" s="3" t="s">
        <v>364</v>
      </c>
      <c r="J371" s="3" t="s">
        <v>278</v>
      </c>
      <c r="K371" s="3" t="s">
        <v>279</v>
      </c>
      <c r="L371" s="3" t="s">
        <v>307</v>
      </c>
      <c r="M371" s="3" t="s">
        <v>292</v>
      </c>
      <c r="N371" s="5">
        <v>500</v>
      </c>
      <c r="O371" s="5">
        <v>10</v>
      </c>
      <c r="P371" s="3" t="s">
        <v>365</v>
      </c>
      <c r="Q371" s="3" t="s">
        <v>388</v>
      </c>
      <c r="R371" s="3" t="s">
        <v>389</v>
      </c>
      <c r="S371" s="2"/>
      <c r="T371" s="2"/>
      <c r="U371" s="457" t="s">
        <v>368</v>
      </c>
    </row>
    <row r="372" spans="1:21" ht="13.75" customHeight="1">
      <c r="A372" s="456" t="s">
        <v>1442</v>
      </c>
      <c r="B372" s="3" t="s">
        <v>1443</v>
      </c>
      <c r="C372" s="3" t="s">
        <v>1444</v>
      </c>
      <c r="D372" s="5">
        <v>2018</v>
      </c>
      <c r="E372" s="3" t="s">
        <v>1445</v>
      </c>
      <c r="F372" s="3" t="s">
        <v>1446</v>
      </c>
      <c r="G372" s="3" t="s">
        <v>1446</v>
      </c>
      <c r="H372" s="5">
        <v>20212</v>
      </c>
      <c r="I372" s="3" t="s">
        <v>1447</v>
      </c>
      <c r="J372" s="3" t="s">
        <v>278</v>
      </c>
      <c r="K372" s="3" t="s">
        <v>279</v>
      </c>
      <c r="L372" s="3" t="s">
        <v>291</v>
      </c>
      <c r="M372" s="3" t="s">
        <v>292</v>
      </c>
      <c r="N372" s="5">
        <v>80</v>
      </c>
      <c r="O372" s="5">
        <v>5</v>
      </c>
      <c r="P372" s="2"/>
      <c r="Q372" s="3" t="s">
        <v>1448</v>
      </c>
      <c r="R372" s="2"/>
      <c r="S372" s="2"/>
      <c r="T372" s="2"/>
      <c r="U372" s="457" t="s">
        <v>1449</v>
      </c>
    </row>
    <row r="373" spans="1:21" ht="13.75" customHeight="1">
      <c r="A373" s="456" t="s">
        <v>1442</v>
      </c>
      <c r="B373" s="3" t="s">
        <v>1443</v>
      </c>
      <c r="C373" s="3" t="s">
        <v>1444</v>
      </c>
      <c r="D373" s="5">
        <v>2018</v>
      </c>
      <c r="E373" s="3" t="s">
        <v>1450</v>
      </c>
      <c r="F373" s="3" t="s">
        <v>1451</v>
      </c>
      <c r="G373" s="3" t="s">
        <v>1451</v>
      </c>
      <c r="H373" s="5">
        <v>20221</v>
      </c>
      <c r="I373" s="3" t="s">
        <v>1452</v>
      </c>
      <c r="J373" s="3" t="s">
        <v>278</v>
      </c>
      <c r="K373" s="3" t="s">
        <v>279</v>
      </c>
      <c r="L373" s="3" t="s">
        <v>291</v>
      </c>
      <c r="M373" s="3" t="s">
        <v>292</v>
      </c>
      <c r="N373" s="5">
        <v>200</v>
      </c>
      <c r="O373" s="5">
        <v>5</v>
      </c>
      <c r="P373" s="2"/>
      <c r="Q373" s="3" t="s">
        <v>1453</v>
      </c>
      <c r="R373" s="2"/>
      <c r="S373" s="2"/>
      <c r="T373" s="2"/>
      <c r="U373" s="457" t="s">
        <v>1454</v>
      </c>
    </row>
    <row r="374" spans="1:21" ht="13.75" customHeight="1">
      <c r="A374" s="456" t="s">
        <v>1455</v>
      </c>
      <c r="B374" s="3" t="s">
        <v>1456</v>
      </c>
      <c r="C374" s="3" t="s">
        <v>1444</v>
      </c>
      <c r="D374" s="5">
        <v>2019</v>
      </c>
      <c r="E374" s="3" t="s">
        <v>1457</v>
      </c>
      <c r="F374" s="3" t="s">
        <v>1458</v>
      </c>
      <c r="G374" s="3" t="s">
        <v>1458</v>
      </c>
      <c r="H374" s="5">
        <v>20212</v>
      </c>
      <c r="I374" s="3" t="s">
        <v>1459</v>
      </c>
      <c r="J374" s="3" t="s">
        <v>278</v>
      </c>
      <c r="K374" s="3" t="s">
        <v>279</v>
      </c>
      <c r="L374" s="3" t="s">
        <v>291</v>
      </c>
      <c r="M374" s="3" t="s">
        <v>292</v>
      </c>
      <c r="N374" s="5">
        <v>0</v>
      </c>
      <c r="O374" s="5">
        <v>5</v>
      </c>
      <c r="P374" s="2"/>
      <c r="Q374" s="3" t="s">
        <v>1460</v>
      </c>
      <c r="R374" s="2"/>
      <c r="S374" s="2"/>
      <c r="T374" s="2"/>
      <c r="U374" s="457" t="s">
        <v>1461</v>
      </c>
    </row>
    <row r="375" spans="1:21" ht="13.75" customHeight="1">
      <c r="A375" s="456" t="s">
        <v>1462</v>
      </c>
      <c r="B375" s="3" t="s">
        <v>1463</v>
      </c>
      <c r="C375" s="3" t="s">
        <v>1444</v>
      </c>
      <c r="D375" s="5">
        <v>2019</v>
      </c>
      <c r="E375" s="3" t="s">
        <v>1464</v>
      </c>
      <c r="F375" s="3" t="s">
        <v>1465</v>
      </c>
      <c r="G375" s="3" t="s">
        <v>1465</v>
      </c>
      <c r="H375" s="5">
        <v>20221</v>
      </c>
      <c r="I375" s="3" t="s">
        <v>1466</v>
      </c>
      <c r="J375" s="3" t="s">
        <v>278</v>
      </c>
      <c r="K375" s="3" t="s">
        <v>332</v>
      </c>
      <c r="L375" s="3" t="s">
        <v>291</v>
      </c>
      <c r="M375" s="3" t="s">
        <v>292</v>
      </c>
      <c r="N375" s="5">
        <v>67</v>
      </c>
      <c r="O375" s="5">
        <v>5</v>
      </c>
      <c r="P375" s="2"/>
      <c r="Q375" s="3" t="s">
        <v>1467</v>
      </c>
      <c r="R375" s="3" t="s">
        <v>1468</v>
      </c>
      <c r="S375" s="2"/>
      <c r="T375" s="2"/>
      <c r="U375" s="457" t="s">
        <v>1469</v>
      </c>
    </row>
    <row r="376" spans="1:21" ht="13.75" customHeight="1">
      <c r="A376" s="456" t="s">
        <v>1470</v>
      </c>
      <c r="B376" s="3" t="s">
        <v>1471</v>
      </c>
      <c r="C376" s="3" t="s">
        <v>1444</v>
      </c>
      <c r="D376" s="5">
        <v>2019</v>
      </c>
      <c r="E376" s="3" t="s">
        <v>361</v>
      </c>
      <c r="F376" s="3" t="s">
        <v>362</v>
      </c>
      <c r="G376" s="3" t="s">
        <v>363</v>
      </c>
      <c r="H376" s="5">
        <v>20231</v>
      </c>
      <c r="I376" s="3" t="s">
        <v>364</v>
      </c>
      <c r="J376" s="3" t="s">
        <v>278</v>
      </c>
      <c r="K376" s="3" t="s">
        <v>279</v>
      </c>
      <c r="L376" s="3" t="s">
        <v>307</v>
      </c>
      <c r="M376" s="3" t="s">
        <v>292</v>
      </c>
      <c r="N376" s="5">
        <v>500</v>
      </c>
      <c r="O376" s="5">
        <v>10</v>
      </c>
      <c r="P376" s="3" t="s">
        <v>365</v>
      </c>
      <c r="Q376" s="3" t="s">
        <v>388</v>
      </c>
      <c r="R376" s="3" t="s">
        <v>389</v>
      </c>
      <c r="S376" s="2"/>
      <c r="T376" s="2"/>
      <c r="U376" s="457" t="s">
        <v>368</v>
      </c>
    </row>
    <row r="377" spans="1:21" ht="13.75" customHeight="1">
      <c r="A377" s="456" t="s">
        <v>1472</v>
      </c>
      <c r="B377" s="3" t="s">
        <v>1473</v>
      </c>
      <c r="C377" s="3" t="s">
        <v>1444</v>
      </c>
      <c r="D377" s="5">
        <v>2020</v>
      </c>
      <c r="E377" s="3" t="s">
        <v>361</v>
      </c>
      <c r="F377" s="3" t="s">
        <v>362</v>
      </c>
      <c r="G377" s="3" t="s">
        <v>363</v>
      </c>
      <c r="H377" s="5">
        <v>20231</v>
      </c>
      <c r="I377" s="3" t="s">
        <v>364</v>
      </c>
      <c r="J377" s="3" t="s">
        <v>278</v>
      </c>
      <c r="K377" s="3" t="s">
        <v>279</v>
      </c>
      <c r="L377" s="3" t="s">
        <v>307</v>
      </c>
      <c r="M377" s="3" t="s">
        <v>292</v>
      </c>
      <c r="N377" s="5">
        <v>500</v>
      </c>
      <c r="O377" s="5">
        <v>10</v>
      </c>
      <c r="P377" s="3" t="s">
        <v>365</v>
      </c>
      <c r="Q377" s="3" t="s">
        <v>388</v>
      </c>
      <c r="R377" s="3" t="s">
        <v>389</v>
      </c>
      <c r="S377" s="2"/>
      <c r="T377" s="2"/>
      <c r="U377" s="457" t="s">
        <v>368</v>
      </c>
    </row>
    <row r="378" spans="1:21" ht="13.75" customHeight="1">
      <c r="A378" s="456" t="s">
        <v>1474</v>
      </c>
      <c r="B378" s="3" t="s">
        <v>1475</v>
      </c>
      <c r="C378" s="3" t="s">
        <v>1444</v>
      </c>
      <c r="D378" s="5">
        <v>2020</v>
      </c>
      <c r="E378" s="3" t="s">
        <v>361</v>
      </c>
      <c r="F378" s="3" t="s">
        <v>362</v>
      </c>
      <c r="G378" s="3" t="s">
        <v>363</v>
      </c>
      <c r="H378" s="5">
        <v>20231</v>
      </c>
      <c r="I378" s="3" t="s">
        <v>364</v>
      </c>
      <c r="J378" s="3" t="s">
        <v>278</v>
      </c>
      <c r="K378" s="3" t="s">
        <v>279</v>
      </c>
      <c r="L378" s="3" t="s">
        <v>307</v>
      </c>
      <c r="M378" s="3" t="s">
        <v>292</v>
      </c>
      <c r="N378" s="5">
        <v>500</v>
      </c>
      <c r="O378" s="5">
        <v>10</v>
      </c>
      <c r="P378" s="3" t="s">
        <v>365</v>
      </c>
      <c r="Q378" s="3" t="s">
        <v>388</v>
      </c>
      <c r="R378" s="3" t="s">
        <v>389</v>
      </c>
      <c r="S378" s="2"/>
      <c r="T378" s="2"/>
      <c r="U378" s="457" t="s">
        <v>368</v>
      </c>
    </row>
    <row r="379" spans="1:21" ht="13.75" customHeight="1">
      <c r="A379" s="456" t="s">
        <v>1476</v>
      </c>
      <c r="B379" s="3" t="s">
        <v>1477</v>
      </c>
      <c r="C379" s="3" t="s">
        <v>1444</v>
      </c>
      <c r="D379" s="5">
        <v>2020</v>
      </c>
      <c r="E379" s="3" t="s">
        <v>361</v>
      </c>
      <c r="F379" s="3" t="s">
        <v>362</v>
      </c>
      <c r="G379" s="3" t="s">
        <v>363</v>
      </c>
      <c r="H379" s="5">
        <v>20231</v>
      </c>
      <c r="I379" s="3" t="s">
        <v>364</v>
      </c>
      <c r="J379" s="3" t="s">
        <v>278</v>
      </c>
      <c r="K379" s="3" t="s">
        <v>279</v>
      </c>
      <c r="L379" s="3" t="s">
        <v>307</v>
      </c>
      <c r="M379" s="3" t="s">
        <v>292</v>
      </c>
      <c r="N379" s="5">
        <v>500</v>
      </c>
      <c r="O379" s="5">
        <v>10</v>
      </c>
      <c r="P379" s="3" t="s">
        <v>365</v>
      </c>
      <c r="Q379" s="3" t="s">
        <v>388</v>
      </c>
      <c r="R379" s="3" t="s">
        <v>389</v>
      </c>
      <c r="S379" s="2"/>
      <c r="T379" s="2"/>
      <c r="U379" s="457" t="s">
        <v>368</v>
      </c>
    </row>
    <row r="380" spans="1:21" ht="13.75" customHeight="1">
      <c r="A380" s="456" t="s">
        <v>1478</v>
      </c>
      <c r="B380" s="3" t="s">
        <v>1479</v>
      </c>
      <c r="C380" s="3" t="s">
        <v>1444</v>
      </c>
      <c r="D380" s="5">
        <v>2020</v>
      </c>
      <c r="E380" s="3" t="s">
        <v>361</v>
      </c>
      <c r="F380" s="3" t="s">
        <v>362</v>
      </c>
      <c r="G380" s="3" t="s">
        <v>363</v>
      </c>
      <c r="H380" s="5">
        <v>20231</v>
      </c>
      <c r="I380" s="3" t="s">
        <v>364</v>
      </c>
      <c r="J380" s="3" t="s">
        <v>278</v>
      </c>
      <c r="K380" s="3" t="s">
        <v>279</v>
      </c>
      <c r="L380" s="3" t="s">
        <v>307</v>
      </c>
      <c r="M380" s="3" t="s">
        <v>292</v>
      </c>
      <c r="N380" s="5">
        <v>500</v>
      </c>
      <c r="O380" s="5">
        <v>10</v>
      </c>
      <c r="P380" s="3" t="s">
        <v>365</v>
      </c>
      <c r="Q380" s="3" t="s">
        <v>388</v>
      </c>
      <c r="R380" s="3" t="s">
        <v>389</v>
      </c>
      <c r="S380" s="2"/>
      <c r="T380" s="2"/>
      <c r="U380" s="457" t="s">
        <v>368</v>
      </c>
    </row>
    <row r="381" spans="1:21" ht="13.75" customHeight="1">
      <c r="A381" s="456" t="s">
        <v>1480</v>
      </c>
      <c r="B381" s="3" t="s">
        <v>1481</v>
      </c>
      <c r="C381" s="3" t="s">
        <v>1444</v>
      </c>
      <c r="D381" s="5">
        <v>2021</v>
      </c>
      <c r="E381" s="3" t="s">
        <v>1482</v>
      </c>
      <c r="F381" s="3" t="s">
        <v>1483</v>
      </c>
      <c r="G381" s="3" t="s">
        <v>1483</v>
      </c>
      <c r="H381" s="5">
        <v>20221</v>
      </c>
      <c r="I381" s="2"/>
      <c r="J381" s="3" t="s">
        <v>278</v>
      </c>
      <c r="K381" s="3" t="s">
        <v>348</v>
      </c>
      <c r="L381" s="3" t="s">
        <v>280</v>
      </c>
      <c r="M381" s="3" t="s">
        <v>292</v>
      </c>
      <c r="N381" s="5">
        <v>100</v>
      </c>
      <c r="O381" s="5">
        <v>30</v>
      </c>
      <c r="P381" s="2"/>
      <c r="Q381" s="3" t="s">
        <v>1484</v>
      </c>
      <c r="R381" s="2"/>
      <c r="S381" s="3" t="s">
        <v>1485</v>
      </c>
      <c r="T381" s="2"/>
      <c r="U381" s="457" t="s">
        <v>1486</v>
      </c>
    </row>
    <row r="382" spans="1:21" ht="13.75" customHeight="1">
      <c r="A382" s="456" t="s">
        <v>1487</v>
      </c>
      <c r="B382" s="3" t="s">
        <v>1488</v>
      </c>
      <c r="C382" s="3" t="s">
        <v>1444</v>
      </c>
      <c r="D382" s="5">
        <v>2021</v>
      </c>
      <c r="E382" s="3" t="s">
        <v>361</v>
      </c>
      <c r="F382" s="3" t="s">
        <v>362</v>
      </c>
      <c r="G382" s="3" t="s">
        <v>363</v>
      </c>
      <c r="H382" s="5">
        <v>20231</v>
      </c>
      <c r="I382" s="3" t="s">
        <v>364</v>
      </c>
      <c r="J382" s="3" t="s">
        <v>278</v>
      </c>
      <c r="K382" s="3" t="s">
        <v>279</v>
      </c>
      <c r="L382" s="3" t="s">
        <v>307</v>
      </c>
      <c r="M382" s="3" t="s">
        <v>292</v>
      </c>
      <c r="N382" s="5">
        <v>500</v>
      </c>
      <c r="O382" s="5">
        <v>10</v>
      </c>
      <c r="P382" s="3" t="s">
        <v>365</v>
      </c>
      <c r="Q382" s="3" t="s">
        <v>388</v>
      </c>
      <c r="R382" s="3" t="s">
        <v>389</v>
      </c>
      <c r="S382" s="2"/>
      <c r="T382" s="2"/>
      <c r="U382" s="457" t="s">
        <v>368</v>
      </c>
    </row>
    <row r="383" spans="1:21" ht="13.75" customHeight="1">
      <c r="A383" s="456" t="s">
        <v>1489</v>
      </c>
      <c r="B383" s="3" t="s">
        <v>1490</v>
      </c>
      <c r="C383" s="3" t="s">
        <v>1444</v>
      </c>
      <c r="D383" s="5">
        <v>2022</v>
      </c>
      <c r="E383" s="3" t="s">
        <v>1491</v>
      </c>
      <c r="F383" s="3" t="s">
        <v>1492</v>
      </c>
      <c r="G383" s="3" t="s">
        <v>1492</v>
      </c>
      <c r="H383" s="5">
        <v>20222</v>
      </c>
      <c r="I383" s="3" t="s">
        <v>1493</v>
      </c>
      <c r="J383" s="3" t="s">
        <v>278</v>
      </c>
      <c r="K383" s="3" t="s">
        <v>332</v>
      </c>
      <c r="L383" s="3" t="s">
        <v>438</v>
      </c>
      <c r="M383" s="3" t="s">
        <v>292</v>
      </c>
      <c r="N383" s="5">
        <v>50</v>
      </c>
      <c r="O383" s="5">
        <v>10</v>
      </c>
      <c r="P383" s="3" t="s">
        <v>1494</v>
      </c>
      <c r="Q383" s="3" t="s">
        <v>1495</v>
      </c>
      <c r="R383" s="2"/>
      <c r="S383" s="2"/>
      <c r="T383" s="2"/>
      <c r="U383" s="457" t="s">
        <v>1496</v>
      </c>
    </row>
    <row r="384" spans="1:21" ht="13.75" customHeight="1">
      <c r="A384" s="456" t="s">
        <v>1497</v>
      </c>
      <c r="B384" s="3" t="s">
        <v>1498</v>
      </c>
      <c r="C384" s="3" t="s">
        <v>1499</v>
      </c>
      <c r="D384" s="5">
        <v>2019</v>
      </c>
      <c r="E384" s="3" t="s">
        <v>1500</v>
      </c>
      <c r="F384" s="3" t="s">
        <v>1501</v>
      </c>
      <c r="G384" s="3" t="s">
        <v>1501</v>
      </c>
      <c r="H384" s="5">
        <v>20222</v>
      </c>
      <c r="I384" s="3" t="s">
        <v>1502</v>
      </c>
      <c r="J384" s="3" t="s">
        <v>278</v>
      </c>
      <c r="K384" s="3" t="s">
        <v>332</v>
      </c>
      <c r="L384" s="3" t="s">
        <v>438</v>
      </c>
      <c r="M384" s="3" t="s">
        <v>292</v>
      </c>
      <c r="N384" s="5">
        <v>1</v>
      </c>
      <c r="O384" s="5">
        <v>8</v>
      </c>
      <c r="P384" s="3" t="s">
        <v>1503</v>
      </c>
      <c r="Q384" s="3" t="s">
        <v>1504</v>
      </c>
      <c r="R384" s="2"/>
      <c r="S384" s="2"/>
      <c r="T384" s="2"/>
      <c r="U384" s="457" t="s">
        <v>1505</v>
      </c>
    </row>
    <row r="385" spans="1:21" ht="13.75" customHeight="1">
      <c r="A385" s="456" t="s">
        <v>1506</v>
      </c>
      <c r="B385" s="3" t="s">
        <v>1507</v>
      </c>
      <c r="C385" s="3" t="s">
        <v>1499</v>
      </c>
      <c r="D385" s="5">
        <v>2019</v>
      </c>
      <c r="E385" s="3" t="s">
        <v>1508</v>
      </c>
      <c r="F385" s="3" t="s">
        <v>1509</v>
      </c>
      <c r="G385" s="3" t="s">
        <v>1510</v>
      </c>
      <c r="H385" s="5">
        <v>20221</v>
      </c>
      <c r="I385" s="3" t="s">
        <v>1511</v>
      </c>
      <c r="J385" s="3" t="s">
        <v>278</v>
      </c>
      <c r="K385" s="3" t="s">
        <v>348</v>
      </c>
      <c r="L385" s="3" t="s">
        <v>280</v>
      </c>
      <c r="M385" s="3" t="s">
        <v>292</v>
      </c>
      <c r="N385" s="5">
        <v>33</v>
      </c>
      <c r="O385" s="5">
        <v>30</v>
      </c>
      <c r="P385" s="3" t="s">
        <v>1512</v>
      </c>
      <c r="Q385" s="2"/>
      <c r="R385" s="2"/>
      <c r="S385" s="3" t="s">
        <v>1513</v>
      </c>
      <c r="T385" s="2"/>
      <c r="U385" s="457" t="s">
        <v>1514</v>
      </c>
    </row>
    <row r="386" spans="1:21" ht="52.75" customHeight="1">
      <c r="A386" s="456" t="s">
        <v>1515</v>
      </c>
      <c r="B386" s="3" t="s">
        <v>1516</v>
      </c>
      <c r="C386" s="3" t="s">
        <v>1499</v>
      </c>
      <c r="D386" s="5">
        <v>2020</v>
      </c>
      <c r="E386" s="3" t="s">
        <v>1517</v>
      </c>
      <c r="F386" s="3" t="s">
        <v>1518</v>
      </c>
      <c r="G386" s="3" t="s">
        <v>1519</v>
      </c>
      <c r="H386" s="5">
        <v>20211</v>
      </c>
      <c r="I386" s="227" t="s">
        <v>1520</v>
      </c>
      <c r="J386" s="3" t="s">
        <v>278</v>
      </c>
      <c r="K386" s="3" t="s">
        <v>348</v>
      </c>
      <c r="L386" s="3" t="s">
        <v>280</v>
      </c>
      <c r="M386" s="3" t="s">
        <v>292</v>
      </c>
      <c r="N386" s="5">
        <v>36</v>
      </c>
      <c r="O386" s="5">
        <v>5</v>
      </c>
      <c r="P386" s="2"/>
      <c r="Q386" s="3" t="s">
        <v>1521</v>
      </c>
      <c r="R386" s="2"/>
      <c r="S386" s="2"/>
      <c r="T386" s="2"/>
      <c r="U386" s="457" t="s">
        <v>469</v>
      </c>
    </row>
    <row r="387" spans="1:21" ht="13.75" customHeight="1">
      <c r="A387" s="456" t="s">
        <v>1522</v>
      </c>
      <c r="B387" s="3" t="s">
        <v>1523</v>
      </c>
      <c r="C387" s="3" t="s">
        <v>1499</v>
      </c>
      <c r="D387" s="5">
        <v>2020</v>
      </c>
      <c r="E387" s="3" t="s">
        <v>1524</v>
      </c>
      <c r="F387" s="3" t="s">
        <v>1525</v>
      </c>
      <c r="G387" s="3" t="s">
        <v>1525</v>
      </c>
      <c r="H387" s="5">
        <v>20222</v>
      </c>
      <c r="I387" s="3" t="s">
        <v>1526</v>
      </c>
      <c r="J387" s="3" t="s">
        <v>278</v>
      </c>
      <c r="K387" s="3" t="s">
        <v>279</v>
      </c>
      <c r="L387" s="3" t="s">
        <v>291</v>
      </c>
      <c r="M387" s="3" t="s">
        <v>281</v>
      </c>
      <c r="N387" s="5">
        <v>30</v>
      </c>
      <c r="O387" s="5">
        <v>5</v>
      </c>
      <c r="P387" s="2"/>
      <c r="Q387" s="3" t="s">
        <v>1527</v>
      </c>
      <c r="R387" s="3" t="s">
        <v>1528</v>
      </c>
      <c r="S387" s="2"/>
      <c r="T387" s="2"/>
      <c r="U387" s="457" t="s">
        <v>1529</v>
      </c>
    </row>
    <row r="388" spans="1:21" ht="13.75" customHeight="1">
      <c r="A388" s="456" t="s">
        <v>1530</v>
      </c>
      <c r="B388" s="3" t="s">
        <v>1531</v>
      </c>
      <c r="C388" s="3" t="s">
        <v>1499</v>
      </c>
      <c r="D388" s="5">
        <v>2021</v>
      </c>
      <c r="E388" s="3" t="s">
        <v>1051</v>
      </c>
      <c r="F388" s="3" t="s">
        <v>339</v>
      </c>
      <c r="G388" s="3" t="s">
        <v>1532</v>
      </c>
      <c r="H388" s="5">
        <v>20221</v>
      </c>
      <c r="I388" s="3" t="s">
        <v>1533</v>
      </c>
      <c r="J388" s="3" t="s">
        <v>278</v>
      </c>
      <c r="K388" s="3" t="s">
        <v>279</v>
      </c>
      <c r="L388" s="3" t="s">
        <v>280</v>
      </c>
      <c r="M388" s="3" t="s">
        <v>281</v>
      </c>
      <c r="N388" s="5">
        <v>200</v>
      </c>
      <c r="O388" s="5">
        <v>15</v>
      </c>
      <c r="P388" s="3" t="s">
        <v>1534</v>
      </c>
      <c r="Q388" s="3" t="s">
        <v>1535</v>
      </c>
      <c r="R388" s="2"/>
      <c r="S388" s="2"/>
      <c r="T388" s="2"/>
      <c r="U388" s="457" t="s">
        <v>1054</v>
      </c>
    </row>
    <row r="389" spans="1:21" ht="13.75" customHeight="1">
      <c r="A389" s="456" t="s">
        <v>1536</v>
      </c>
      <c r="B389" s="3" t="s">
        <v>1537</v>
      </c>
      <c r="C389" s="3" t="s">
        <v>1499</v>
      </c>
      <c r="D389" s="5">
        <v>2022</v>
      </c>
      <c r="E389" s="3" t="s">
        <v>361</v>
      </c>
      <c r="F389" s="3" t="s">
        <v>362</v>
      </c>
      <c r="G389" s="3" t="s">
        <v>363</v>
      </c>
      <c r="H389" s="5">
        <v>20231</v>
      </c>
      <c r="I389" s="3" t="s">
        <v>364</v>
      </c>
      <c r="J389" s="3" t="s">
        <v>278</v>
      </c>
      <c r="K389" s="3" t="s">
        <v>279</v>
      </c>
      <c r="L389" s="3" t="s">
        <v>307</v>
      </c>
      <c r="M389" s="3" t="s">
        <v>292</v>
      </c>
      <c r="N389" s="5">
        <v>500</v>
      </c>
      <c r="O389" s="5">
        <v>10</v>
      </c>
      <c r="P389" s="3" t="s">
        <v>365</v>
      </c>
      <c r="Q389" s="3" t="s">
        <v>388</v>
      </c>
      <c r="R389" s="3" t="s">
        <v>389</v>
      </c>
      <c r="S389" s="2"/>
      <c r="T389" s="2"/>
      <c r="U389" s="457" t="s">
        <v>368</v>
      </c>
    </row>
    <row r="390" spans="1:21" ht="13.75" customHeight="1">
      <c r="A390" s="456" t="s">
        <v>1538</v>
      </c>
      <c r="B390" s="3" t="s">
        <v>1539</v>
      </c>
      <c r="C390" s="3" t="s">
        <v>1540</v>
      </c>
      <c r="D390" s="5">
        <v>2021</v>
      </c>
      <c r="E390" s="3" t="s">
        <v>1541</v>
      </c>
      <c r="F390" s="3" t="s">
        <v>1542</v>
      </c>
      <c r="G390" s="3" t="s">
        <v>1525</v>
      </c>
      <c r="H390" s="5">
        <v>20222</v>
      </c>
      <c r="I390" s="3" t="s">
        <v>1543</v>
      </c>
      <c r="J390" s="3" t="s">
        <v>278</v>
      </c>
      <c r="K390" s="3" t="s">
        <v>279</v>
      </c>
      <c r="L390" s="3" t="s">
        <v>438</v>
      </c>
      <c r="M390" s="3" t="s">
        <v>292</v>
      </c>
      <c r="N390" s="5">
        <v>100</v>
      </c>
      <c r="O390" s="5">
        <v>10</v>
      </c>
      <c r="P390" s="2"/>
      <c r="Q390" s="3" t="s">
        <v>1544</v>
      </c>
      <c r="R390" s="2"/>
      <c r="S390" s="2"/>
      <c r="T390" s="2"/>
      <c r="U390" s="457" t="s">
        <v>1545</v>
      </c>
    </row>
    <row r="391" spans="1:21" ht="13.75" customHeight="1">
      <c r="A391" s="456" t="s">
        <v>1538</v>
      </c>
      <c r="B391" s="3" t="s">
        <v>1539</v>
      </c>
      <c r="C391" s="3" t="s">
        <v>1540</v>
      </c>
      <c r="D391" s="5">
        <v>2021</v>
      </c>
      <c r="E391" s="3" t="s">
        <v>505</v>
      </c>
      <c r="F391" s="3" t="s">
        <v>506</v>
      </c>
      <c r="G391" s="3" t="s">
        <v>506</v>
      </c>
      <c r="H391" s="5">
        <v>20231</v>
      </c>
      <c r="I391" s="2"/>
      <c r="J391" s="3" t="s">
        <v>278</v>
      </c>
      <c r="K391" s="3" t="s">
        <v>332</v>
      </c>
      <c r="L391" s="3" t="s">
        <v>291</v>
      </c>
      <c r="M391" s="3" t="s">
        <v>292</v>
      </c>
      <c r="N391" s="5">
        <v>50</v>
      </c>
      <c r="O391" s="5">
        <v>4</v>
      </c>
      <c r="P391" s="2"/>
      <c r="Q391" s="3" t="s">
        <v>507</v>
      </c>
      <c r="R391" s="3" t="s">
        <v>508</v>
      </c>
      <c r="S391" s="2"/>
      <c r="T391" s="2"/>
      <c r="U391" s="457" t="s">
        <v>440</v>
      </c>
    </row>
    <row r="392" spans="1:21" ht="13.75" customHeight="1">
      <c r="A392" s="456" t="s">
        <v>1546</v>
      </c>
      <c r="B392" s="3" t="s">
        <v>1547</v>
      </c>
      <c r="C392" s="3" t="s">
        <v>1540</v>
      </c>
      <c r="D392" s="5">
        <v>2022</v>
      </c>
      <c r="E392" s="3" t="s">
        <v>1548</v>
      </c>
      <c r="F392" s="3" t="s">
        <v>1549</v>
      </c>
      <c r="G392" s="3" t="s">
        <v>1549</v>
      </c>
      <c r="H392" s="5">
        <v>20231</v>
      </c>
      <c r="I392" s="3" t="s">
        <v>1550</v>
      </c>
      <c r="J392" s="3" t="s">
        <v>278</v>
      </c>
      <c r="K392" s="3" t="s">
        <v>279</v>
      </c>
      <c r="L392" s="3" t="s">
        <v>307</v>
      </c>
      <c r="M392" s="3" t="s">
        <v>281</v>
      </c>
      <c r="N392" s="5">
        <v>100</v>
      </c>
      <c r="O392" s="5">
        <v>24</v>
      </c>
      <c r="P392" s="3" t="s">
        <v>1551</v>
      </c>
      <c r="Q392" s="3" t="s">
        <v>1552</v>
      </c>
      <c r="R392" s="3" t="s">
        <v>1553</v>
      </c>
      <c r="S392" s="2"/>
      <c r="T392" s="2"/>
      <c r="U392" s="457" t="s">
        <v>1554</v>
      </c>
    </row>
    <row r="393" spans="1:21" ht="13.75" customHeight="1">
      <c r="A393" s="456" t="s">
        <v>1555</v>
      </c>
      <c r="B393" s="3" t="s">
        <v>1556</v>
      </c>
      <c r="C393" s="3" t="s">
        <v>1540</v>
      </c>
      <c r="D393" s="5">
        <v>2022</v>
      </c>
      <c r="E393" s="3" t="s">
        <v>505</v>
      </c>
      <c r="F393" s="3" t="s">
        <v>506</v>
      </c>
      <c r="G393" s="3" t="s">
        <v>506</v>
      </c>
      <c r="H393" s="5">
        <v>20231</v>
      </c>
      <c r="I393" s="2"/>
      <c r="J393" s="3" t="s">
        <v>278</v>
      </c>
      <c r="K393" s="3" t="s">
        <v>332</v>
      </c>
      <c r="L393" s="3" t="s">
        <v>291</v>
      </c>
      <c r="M393" s="3" t="s">
        <v>292</v>
      </c>
      <c r="N393" s="5">
        <v>50</v>
      </c>
      <c r="O393" s="5">
        <v>4</v>
      </c>
      <c r="P393" s="2"/>
      <c r="Q393" s="3" t="s">
        <v>507</v>
      </c>
      <c r="R393" s="3" t="s">
        <v>508</v>
      </c>
      <c r="S393" s="2"/>
      <c r="T393" s="2"/>
      <c r="U393" s="457" t="s">
        <v>440</v>
      </c>
    </row>
    <row r="394" spans="1:21" ht="13.75" customHeight="1">
      <c r="A394" s="456" t="s">
        <v>1557</v>
      </c>
      <c r="B394" s="3" t="s">
        <v>1558</v>
      </c>
      <c r="C394" s="3" t="s">
        <v>1559</v>
      </c>
      <c r="D394" s="5">
        <v>2019</v>
      </c>
      <c r="E394" s="3" t="s">
        <v>1560</v>
      </c>
      <c r="F394" s="3" t="s">
        <v>1561</v>
      </c>
      <c r="G394" s="3" t="s">
        <v>1561</v>
      </c>
      <c r="H394" s="5">
        <v>20221</v>
      </c>
      <c r="I394" s="3" t="s">
        <v>1562</v>
      </c>
      <c r="J394" s="3" t="s">
        <v>278</v>
      </c>
      <c r="K394" s="3" t="s">
        <v>279</v>
      </c>
      <c r="L394" s="3" t="s">
        <v>291</v>
      </c>
      <c r="M394" s="3" t="s">
        <v>292</v>
      </c>
      <c r="N394" s="5">
        <v>0</v>
      </c>
      <c r="O394" s="5">
        <v>5</v>
      </c>
      <c r="P394" s="2"/>
      <c r="Q394" s="3" t="s">
        <v>1563</v>
      </c>
      <c r="R394" s="2"/>
      <c r="S394" s="2"/>
      <c r="T394" s="2"/>
      <c r="U394" s="457" t="s">
        <v>1564</v>
      </c>
    </row>
    <row r="395" spans="1:21" ht="13.75" customHeight="1">
      <c r="A395" s="456" t="s">
        <v>1557</v>
      </c>
      <c r="B395" s="3" t="s">
        <v>1558</v>
      </c>
      <c r="C395" s="3" t="s">
        <v>1559</v>
      </c>
      <c r="D395" s="5">
        <v>2019</v>
      </c>
      <c r="E395" s="3" t="s">
        <v>1565</v>
      </c>
      <c r="F395" s="3" t="s">
        <v>1566</v>
      </c>
      <c r="G395" s="3" t="s">
        <v>1566</v>
      </c>
      <c r="H395" s="5">
        <v>20221</v>
      </c>
      <c r="I395" s="3" t="s">
        <v>1567</v>
      </c>
      <c r="J395" s="3" t="s">
        <v>278</v>
      </c>
      <c r="K395" s="3" t="s">
        <v>332</v>
      </c>
      <c r="L395" s="3" t="s">
        <v>438</v>
      </c>
      <c r="M395" s="3" t="s">
        <v>292</v>
      </c>
      <c r="N395" s="5">
        <v>38</v>
      </c>
      <c r="O395" s="5">
        <v>10</v>
      </c>
      <c r="P395" s="2"/>
      <c r="Q395" s="3" t="s">
        <v>1568</v>
      </c>
      <c r="R395" s="2"/>
      <c r="S395" s="2"/>
      <c r="T395" s="2"/>
      <c r="U395" s="457" t="s">
        <v>1569</v>
      </c>
    </row>
    <row r="396" spans="1:21" ht="13.75" customHeight="1">
      <c r="A396" s="456" t="s">
        <v>1570</v>
      </c>
      <c r="B396" s="3" t="s">
        <v>1571</v>
      </c>
      <c r="C396" s="3" t="s">
        <v>1559</v>
      </c>
      <c r="D396" s="5">
        <v>2020</v>
      </c>
      <c r="E396" s="3" t="s">
        <v>361</v>
      </c>
      <c r="F396" s="3" t="s">
        <v>362</v>
      </c>
      <c r="G396" s="3" t="s">
        <v>363</v>
      </c>
      <c r="H396" s="5">
        <v>20231</v>
      </c>
      <c r="I396" s="3" t="s">
        <v>364</v>
      </c>
      <c r="J396" s="3" t="s">
        <v>278</v>
      </c>
      <c r="K396" s="3" t="s">
        <v>279</v>
      </c>
      <c r="L396" s="3" t="s">
        <v>307</v>
      </c>
      <c r="M396" s="3" t="s">
        <v>292</v>
      </c>
      <c r="N396" s="5">
        <v>500</v>
      </c>
      <c r="O396" s="5">
        <v>10</v>
      </c>
      <c r="P396" s="3" t="s">
        <v>365</v>
      </c>
      <c r="Q396" s="3" t="s">
        <v>388</v>
      </c>
      <c r="R396" s="3" t="s">
        <v>389</v>
      </c>
      <c r="S396" s="2"/>
      <c r="T396" s="2"/>
      <c r="U396" s="457" t="s">
        <v>368</v>
      </c>
    </row>
    <row r="397" spans="1:21" ht="13.75" customHeight="1">
      <c r="A397" s="456" t="s">
        <v>1572</v>
      </c>
      <c r="B397" s="3" t="s">
        <v>1573</v>
      </c>
      <c r="C397" s="3" t="s">
        <v>1559</v>
      </c>
      <c r="D397" s="5">
        <v>2020</v>
      </c>
      <c r="E397" s="3" t="s">
        <v>361</v>
      </c>
      <c r="F397" s="3" t="s">
        <v>362</v>
      </c>
      <c r="G397" s="3" t="s">
        <v>363</v>
      </c>
      <c r="H397" s="5">
        <v>20231</v>
      </c>
      <c r="I397" s="3" t="s">
        <v>364</v>
      </c>
      <c r="J397" s="3" t="s">
        <v>278</v>
      </c>
      <c r="K397" s="3" t="s">
        <v>279</v>
      </c>
      <c r="L397" s="3" t="s">
        <v>307</v>
      </c>
      <c r="M397" s="3" t="s">
        <v>292</v>
      </c>
      <c r="N397" s="5">
        <v>500</v>
      </c>
      <c r="O397" s="5">
        <v>10</v>
      </c>
      <c r="P397" s="3" t="s">
        <v>365</v>
      </c>
      <c r="Q397" s="3" t="s">
        <v>388</v>
      </c>
      <c r="R397" s="3" t="s">
        <v>389</v>
      </c>
      <c r="S397" s="2"/>
      <c r="T397" s="2"/>
      <c r="U397" s="457" t="s">
        <v>368</v>
      </c>
    </row>
    <row r="398" spans="1:21" ht="13.75" customHeight="1">
      <c r="A398" s="456" t="s">
        <v>1574</v>
      </c>
      <c r="B398" s="3" t="s">
        <v>1575</v>
      </c>
      <c r="C398" s="3" t="s">
        <v>1559</v>
      </c>
      <c r="D398" s="5">
        <v>2020</v>
      </c>
      <c r="E398" s="3" t="s">
        <v>1576</v>
      </c>
      <c r="F398" s="3" t="s">
        <v>1577</v>
      </c>
      <c r="G398" s="3" t="s">
        <v>1578</v>
      </c>
      <c r="H398" s="5">
        <v>20212</v>
      </c>
      <c r="I398" s="3" t="s">
        <v>1579</v>
      </c>
      <c r="J398" s="3" t="s">
        <v>278</v>
      </c>
      <c r="K398" s="3" t="s">
        <v>355</v>
      </c>
      <c r="L398" s="3" t="s">
        <v>307</v>
      </c>
      <c r="M398" s="3" t="s">
        <v>281</v>
      </c>
      <c r="N398" s="5">
        <v>3</v>
      </c>
      <c r="O398" s="5">
        <v>20</v>
      </c>
      <c r="P398" s="3" t="s">
        <v>1580</v>
      </c>
      <c r="Q398" s="3" t="s">
        <v>1581</v>
      </c>
      <c r="R398" s="2"/>
      <c r="S398" s="2"/>
      <c r="T398" s="2"/>
      <c r="U398" s="457" t="s">
        <v>1582</v>
      </c>
    </row>
    <row r="399" spans="1:21" ht="65.75" customHeight="1">
      <c r="A399" s="456" t="s">
        <v>1583</v>
      </c>
      <c r="B399" s="3" t="s">
        <v>1584</v>
      </c>
      <c r="C399" s="3" t="s">
        <v>1559</v>
      </c>
      <c r="D399" s="5">
        <v>2020</v>
      </c>
      <c r="E399" s="3" t="s">
        <v>1585</v>
      </c>
      <c r="F399" s="3" t="s">
        <v>1586</v>
      </c>
      <c r="G399" s="3" t="s">
        <v>1587</v>
      </c>
      <c r="H399" s="5">
        <v>20211</v>
      </c>
      <c r="I399" s="227" t="s">
        <v>1588</v>
      </c>
      <c r="J399" s="3" t="s">
        <v>278</v>
      </c>
      <c r="K399" s="3" t="s">
        <v>355</v>
      </c>
      <c r="L399" s="3" t="s">
        <v>307</v>
      </c>
      <c r="M399" s="3" t="s">
        <v>281</v>
      </c>
      <c r="N399" s="5">
        <v>2</v>
      </c>
      <c r="O399" s="5">
        <v>20</v>
      </c>
      <c r="P399" s="2"/>
      <c r="Q399" s="3" t="s">
        <v>1589</v>
      </c>
      <c r="R399" s="2"/>
      <c r="S399" s="2"/>
      <c r="T399" s="2"/>
      <c r="U399" s="457" t="s">
        <v>469</v>
      </c>
    </row>
    <row r="400" spans="1:21" ht="26.75" customHeight="1">
      <c r="A400" s="456" t="s">
        <v>1590</v>
      </c>
      <c r="B400" s="3" t="s">
        <v>1591</v>
      </c>
      <c r="C400" s="3" t="s">
        <v>1559</v>
      </c>
      <c r="D400" s="5">
        <v>2020</v>
      </c>
      <c r="E400" s="3" t="s">
        <v>1592</v>
      </c>
      <c r="F400" s="3" t="s">
        <v>1593</v>
      </c>
      <c r="G400" s="3" t="s">
        <v>1594</v>
      </c>
      <c r="H400" s="5">
        <v>20211</v>
      </c>
      <c r="I400" s="227" t="s">
        <v>1595</v>
      </c>
      <c r="J400" s="3" t="s">
        <v>278</v>
      </c>
      <c r="K400" s="3" t="s">
        <v>348</v>
      </c>
      <c r="L400" s="3" t="s">
        <v>280</v>
      </c>
      <c r="M400" s="3" t="s">
        <v>281</v>
      </c>
      <c r="N400" s="5">
        <v>38</v>
      </c>
      <c r="O400" s="5">
        <v>12</v>
      </c>
      <c r="P400" s="3" t="s">
        <v>1596</v>
      </c>
      <c r="Q400" s="2"/>
      <c r="R400" s="2"/>
      <c r="S400" s="3" t="s">
        <v>1597</v>
      </c>
      <c r="T400" s="2"/>
      <c r="U400" s="457" t="s">
        <v>1598</v>
      </c>
    </row>
    <row r="401" spans="1:21" ht="13.75" customHeight="1">
      <c r="A401" s="456" t="s">
        <v>1590</v>
      </c>
      <c r="B401" s="3" t="s">
        <v>1591</v>
      </c>
      <c r="C401" s="3" t="s">
        <v>1559</v>
      </c>
      <c r="D401" s="5">
        <v>2020</v>
      </c>
      <c r="E401" s="3" t="s">
        <v>418</v>
      </c>
      <c r="F401" s="3" t="s">
        <v>419</v>
      </c>
      <c r="G401" s="3" t="s">
        <v>419</v>
      </c>
      <c r="H401" s="5">
        <v>20231</v>
      </c>
      <c r="I401" s="3" t="s">
        <v>420</v>
      </c>
      <c r="J401" s="3" t="s">
        <v>278</v>
      </c>
      <c r="K401" s="3" t="s">
        <v>279</v>
      </c>
      <c r="L401" s="3" t="s">
        <v>291</v>
      </c>
      <c r="M401" s="3" t="s">
        <v>292</v>
      </c>
      <c r="N401" s="5">
        <v>250</v>
      </c>
      <c r="O401" s="5">
        <v>4</v>
      </c>
      <c r="P401" s="2"/>
      <c r="Q401" s="3" t="s">
        <v>421</v>
      </c>
      <c r="R401" s="3" t="s">
        <v>422</v>
      </c>
      <c r="S401" s="2"/>
      <c r="T401" s="2"/>
      <c r="U401" s="457" t="s">
        <v>423</v>
      </c>
    </row>
    <row r="402" spans="1:21" ht="26.75" customHeight="1">
      <c r="A402" s="456" t="s">
        <v>1599</v>
      </c>
      <c r="B402" s="3" t="s">
        <v>1600</v>
      </c>
      <c r="C402" s="3" t="s">
        <v>1559</v>
      </c>
      <c r="D402" s="5">
        <v>2020</v>
      </c>
      <c r="E402" s="3" t="s">
        <v>1601</v>
      </c>
      <c r="F402" s="3" t="s">
        <v>1602</v>
      </c>
      <c r="G402" s="3" t="s">
        <v>1603</v>
      </c>
      <c r="H402" s="5">
        <v>20211</v>
      </c>
      <c r="I402" s="227" t="s">
        <v>1604</v>
      </c>
      <c r="J402" s="3" t="s">
        <v>278</v>
      </c>
      <c r="K402" s="3" t="s">
        <v>355</v>
      </c>
      <c r="L402" s="3" t="s">
        <v>307</v>
      </c>
      <c r="M402" s="3" t="s">
        <v>292</v>
      </c>
      <c r="N402" s="5">
        <v>3</v>
      </c>
      <c r="O402" s="5">
        <v>20</v>
      </c>
      <c r="P402" s="2"/>
      <c r="Q402" s="3" t="s">
        <v>1605</v>
      </c>
      <c r="R402" s="2"/>
      <c r="S402" s="2"/>
      <c r="T402" s="2"/>
      <c r="U402" s="457" t="s">
        <v>1606</v>
      </c>
    </row>
    <row r="403" spans="1:21" ht="13.75" customHeight="1">
      <c r="A403" s="456" t="s">
        <v>1607</v>
      </c>
      <c r="B403" s="3" t="s">
        <v>1608</v>
      </c>
      <c r="C403" s="3" t="s">
        <v>1559</v>
      </c>
      <c r="D403" s="5">
        <v>2020</v>
      </c>
      <c r="E403" s="3" t="s">
        <v>1609</v>
      </c>
      <c r="F403" s="3" t="s">
        <v>1610</v>
      </c>
      <c r="G403" s="3" t="s">
        <v>1610</v>
      </c>
      <c r="H403" s="5">
        <v>20231</v>
      </c>
      <c r="I403" s="2"/>
      <c r="J403" s="3" t="s">
        <v>278</v>
      </c>
      <c r="K403" s="3" t="s">
        <v>279</v>
      </c>
      <c r="L403" s="3" t="s">
        <v>291</v>
      </c>
      <c r="M403" s="3" t="s">
        <v>292</v>
      </c>
      <c r="N403" s="5">
        <v>500</v>
      </c>
      <c r="O403" s="5">
        <v>4</v>
      </c>
      <c r="P403" s="2"/>
      <c r="Q403" s="3" t="s">
        <v>1611</v>
      </c>
      <c r="R403" s="3" t="s">
        <v>1612</v>
      </c>
      <c r="S403" s="2"/>
      <c r="T403" s="2"/>
      <c r="U403" s="457" t="s">
        <v>1613</v>
      </c>
    </row>
    <row r="404" spans="1:21" ht="13.75" customHeight="1">
      <c r="A404" s="456" t="s">
        <v>1614</v>
      </c>
      <c r="B404" s="3" t="s">
        <v>1615</v>
      </c>
      <c r="C404" s="3" t="s">
        <v>1559</v>
      </c>
      <c r="D404" s="5">
        <v>2020</v>
      </c>
      <c r="E404" s="3" t="s">
        <v>1616</v>
      </c>
      <c r="F404" s="3" t="s">
        <v>1617</v>
      </c>
      <c r="G404" s="3" t="s">
        <v>1618</v>
      </c>
      <c r="H404" s="5">
        <v>20221</v>
      </c>
      <c r="I404" s="3" t="s">
        <v>1616</v>
      </c>
      <c r="J404" s="3" t="s">
        <v>278</v>
      </c>
      <c r="K404" s="3" t="s">
        <v>332</v>
      </c>
      <c r="L404" s="3" t="s">
        <v>291</v>
      </c>
      <c r="M404" s="3" t="s">
        <v>292</v>
      </c>
      <c r="N404" s="5">
        <v>100</v>
      </c>
      <c r="O404" s="5">
        <v>6</v>
      </c>
      <c r="P404" s="2"/>
      <c r="Q404" s="3" t="s">
        <v>1619</v>
      </c>
      <c r="R404" s="3" t="s">
        <v>1620</v>
      </c>
      <c r="S404" s="2"/>
      <c r="T404" s="2"/>
      <c r="U404" s="457" t="s">
        <v>1621</v>
      </c>
    </row>
    <row r="405" spans="1:21" ht="13.75" customHeight="1">
      <c r="A405" s="456" t="s">
        <v>1622</v>
      </c>
      <c r="B405" s="3" t="s">
        <v>1623</v>
      </c>
      <c r="C405" s="3" t="s">
        <v>1559</v>
      </c>
      <c r="D405" s="5">
        <v>2021</v>
      </c>
      <c r="E405" s="3" t="s">
        <v>361</v>
      </c>
      <c r="F405" s="3" t="s">
        <v>362</v>
      </c>
      <c r="G405" s="3" t="s">
        <v>363</v>
      </c>
      <c r="H405" s="5">
        <v>20231</v>
      </c>
      <c r="I405" s="3" t="s">
        <v>364</v>
      </c>
      <c r="J405" s="3" t="s">
        <v>278</v>
      </c>
      <c r="K405" s="3" t="s">
        <v>279</v>
      </c>
      <c r="L405" s="3" t="s">
        <v>307</v>
      </c>
      <c r="M405" s="3" t="s">
        <v>292</v>
      </c>
      <c r="N405" s="5">
        <v>500</v>
      </c>
      <c r="O405" s="5">
        <v>10</v>
      </c>
      <c r="P405" s="3" t="s">
        <v>365</v>
      </c>
      <c r="Q405" s="3" t="s">
        <v>388</v>
      </c>
      <c r="R405" s="3" t="s">
        <v>389</v>
      </c>
      <c r="S405" s="2"/>
      <c r="T405" s="2"/>
      <c r="U405" s="457" t="s">
        <v>368</v>
      </c>
    </row>
    <row r="406" spans="1:21" ht="13.75" customHeight="1">
      <c r="A406" s="456" t="s">
        <v>1624</v>
      </c>
      <c r="B406" s="3" t="s">
        <v>1625</v>
      </c>
      <c r="C406" s="3" t="s">
        <v>1559</v>
      </c>
      <c r="D406" s="5">
        <v>2021</v>
      </c>
      <c r="E406" s="3" t="s">
        <v>418</v>
      </c>
      <c r="F406" s="3" t="s">
        <v>419</v>
      </c>
      <c r="G406" s="3" t="s">
        <v>419</v>
      </c>
      <c r="H406" s="5">
        <v>20231</v>
      </c>
      <c r="I406" s="2"/>
      <c r="J406" s="3" t="s">
        <v>278</v>
      </c>
      <c r="K406" s="3" t="s">
        <v>279</v>
      </c>
      <c r="L406" s="3" t="s">
        <v>291</v>
      </c>
      <c r="M406" s="3" t="s">
        <v>292</v>
      </c>
      <c r="N406" s="5">
        <v>250</v>
      </c>
      <c r="O406" s="5">
        <v>5</v>
      </c>
      <c r="P406" s="2"/>
      <c r="Q406" s="3" t="s">
        <v>1626</v>
      </c>
      <c r="R406" s="3" t="s">
        <v>1627</v>
      </c>
      <c r="S406" s="2"/>
      <c r="T406" s="2"/>
      <c r="U406" s="457" t="s">
        <v>423</v>
      </c>
    </row>
    <row r="407" spans="1:21" ht="13.75" customHeight="1">
      <c r="A407" s="456" t="s">
        <v>1624</v>
      </c>
      <c r="B407" s="3" t="s">
        <v>1625</v>
      </c>
      <c r="C407" s="3" t="s">
        <v>1559</v>
      </c>
      <c r="D407" s="5">
        <v>2021</v>
      </c>
      <c r="E407" s="3" t="s">
        <v>1628</v>
      </c>
      <c r="F407" s="3" t="s">
        <v>1629</v>
      </c>
      <c r="G407" s="3" t="s">
        <v>1629</v>
      </c>
      <c r="H407" s="5">
        <v>20231</v>
      </c>
      <c r="I407" s="3" t="s">
        <v>1630</v>
      </c>
      <c r="J407" s="3" t="s">
        <v>278</v>
      </c>
      <c r="K407" s="3" t="s">
        <v>279</v>
      </c>
      <c r="L407" s="3" t="s">
        <v>291</v>
      </c>
      <c r="M407" s="3" t="s">
        <v>292</v>
      </c>
      <c r="N407" s="5">
        <v>45</v>
      </c>
      <c r="O407" s="5">
        <v>5</v>
      </c>
      <c r="P407" s="2"/>
      <c r="Q407" s="3" t="s">
        <v>1631</v>
      </c>
      <c r="R407" s="2"/>
      <c r="S407" s="2"/>
      <c r="T407" s="2"/>
      <c r="U407" s="457" t="s">
        <v>1632</v>
      </c>
    </row>
    <row r="408" spans="1:21" ht="13.75" customHeight="1">
      <c r="A408" s="456" t="s">
        <v>1633</v>
      </c>
      <c r="B408" s="3" t="s">
        <v>1634</v>
      </c>
      <c r="C408" s="3" t="s">
        <v>1559</v>
      </c>
      <c r="D408" s="5">
        <v>2021</v>
      </c>
      <c r="E408" s="3" t="s">
        <v>361</v>
      </c>
      <c r="F408" s="3" t="s">
        <v>362</v>
      </c>
      <c r="G408" s="3" t="s">
        <v>363</v>
      </c>
      <c r="H408" s="5">
        <v>20231</v>
      </c>
      <c r="I408" s="3" t="s">
        <v>364</v>
      </c>
      <c r="J408" s="3" t="s">
        <v>278</v>
      </c>
      <c r="K408" s="3" t="s">
        <v>279</v>
      </c>
      <c r="L408" s="3" t="s">
        <v>307</v>
      </c>
      <c r="M408" s="3" t="s">
        <v>292</v>
      </c>
      <c r="N408" s="5">
        <v>500</v>
      </c>
      <c r="O408" s="5">
        <v>10</v>
      </c>
      <c r="P408" s="3" t="s">
        <v>365</v>
      </c>
      <c r="Q408" s="3" t="s">
        <v>388</v>
      </c>
      <c r="R408" s="3" t="s">
        <v>389</v>
      </c>
      <c r="S408" s="2"/>
      <c r="T408" s="2"/>
      <c r="U408" s="457" t="s">
        <v>368</v>
      </c>
    </row>
    <row r="409" spans="1:21" ht="13.75" customHeight="1">
      <c r="A409" s="456" t="s">
        <v>1635</v>
      </c>
      <c r="B409" s="3" t="s">
        <v>1636</v>
      </c>
      <c r="C409" s="3" t="s">
        <v>1559</v>
      </c>
      <c r="D409" s="5">
        <v>2021</v>
      </c>
      <c r="E409" s="3" t="s">
        <v>1637</v>
      </c>
      <c r="F409" s="3" t="s">
        <v>475</v>
      </c>
      <c r="G409" s="3" t="s">
        <v>475</v>
      </c>
      <c r="H409" s="5">
        <v>20221</v>
      </c>
      <c r="I409" s="3" t="s">
        <v>1638</v>
      </c>
      <c r="J409" s="3" t="s">
        <v>278</v>
      </c>
      <c r="K409" s="3" t="s">
        <v>279</v>
      </c>
      <c r="L409" s="3" t="s">
        <v>438</v>
      </c>
      <c r="M409" s="3" t="s">
        <v>292</v>
      </c>
      <c r="N409" s="5">
        <v>150</v>
      </c>
      <c r="O409" s="5">
        <v>10</v>
      </c>
      <c r="P409" s="3" t="s">
        <v>1639</v>
      </c>
      <c r="Q409" s="3" t="s">
        <v>1640</v>
      </c>
      <c r="R409" s="2"/>
      <c r="S409" s="2"/>
      <c r="T409" s="2"/>
      <c r="U409" s="457" t="s">
        <v>1641</v>
      </c>
    </row>
    <row r="410" spans="1:21" ht="13.75" customHeight="1">
      <c r="A410" s="456" t="s">
        <v>1635</v>
      </c>
      <c r="B410" s="3" t="s">
        <v>1636</v>
      </c>
      <c r="C410" s="3" t="s">
        <v>1559</v>
      </c>
      <c r="D410" s="5">
        <v>2021</v>
      </c>
      <c r="E410" s="3" t="s">
        <v>1642</v>
      </c>
      <c r="F410" s="3" t="s">
        <v>1643</v>
      </c>
      <c r="G410" s="3" t="s">
        <v>1643</v>
      </c>
      <c r="H410" s="5">
        <v>20222</v>
      </c>
      <c r="I410" s="3" t="s">
        <v>1644</v>
      </c>
      <c r="J410" s="3" t="s">
        <v>278</v>
      </c>
      <c r="K410" s="3" t="s">
        <v>279</v>
      </c>
      <c r="L410" s="3" t="s">
        <v>291</v>
      </c>
      <c r="M410" s="3" t="s">
        <v>292</v>
      </c>
      <c r="N410" s="5">
        <v>100</v>
      </c>
      <c r="O410" s="5">
        <v>5</v>
      </c>
      <c r="P410" s="3" t="s">
        <v>1645</v>
      </c>
      <c r="Q410" s="3" t="s">
        <v>1646</v>
      </c>
      <c r="R410" s="3" t="s">
        <v>1647</v>
      </c>
      <c r="S410" s="2"/>
      <c r="T410" s="2"/>
      <c r="U410" s="457" t="s">
        <v>469</v>
      </c>
    </row>
    <row r="411" spans="1:21" ht="13.75" customHeight="1">
      <c r="A411" s="456" t="s">
        <v>1648</v>
      </c>
      <c r="B411" s="3" t="s">
        <v>1649</v>
      </c>
      <c r="C411" s="3" t="s">
        <v>1559</v>
      </c>
      <c r="D411" s="5">
        <v>2021</v>
      </c>
      <c r="E411" s="3" t="s">
        <v>418</v>
      </c>
      <c r="F411" s="3" t="s">
        <v>419</v>
      </c>
      <c r="G411" s="3" t="s">
        <v>419</v>
      </c>
      <c r="H411" s="5">
        <v>20231</v>
      </c>
      <c r="I411" s="2"/>
      <c r="J411" s="3" t="s">
        <v>278</v>
      </c>
      <c r="K411" s="3" t="s">
        <v>279</v>
      </c>
      <c r="L411" s="3" t="s">
        <v>291</v>
      </c>
      <c r="M411" s="3" t="s">
        <v>292</v>
      </c>
      <c r="N411" s="5">
        <v>250</v>
      </c>
      <c r="O411" s="5">
        <v>5</v>
      </c>
      <c r="P411" s="2"/>
      <c r="Q411" s="3" t="s">
        <v>1626</v>
      </c>
      <c r="R411" s="3" t="s">
        <v>1627</v>
      </c>
      <c r="S411" s="2"/>
      <c r="T411" s="2"/>
      <c r="U411" s="457" t="s">
        <v>423</v>
      </c>
    </row>
    <row r="412" spans="1:21" ht="13.75" customHeight="1">
      <c r="A412" s="456" t="s">
        <v>1650</v>
      </c>
      <c r="B412" s="3" t="s">
        <v>1651</v>
      </c>
      <c r="C412" s="3" t="s">
        <v>1559</v>
      </c>
      <c r="D412" s="5">
        <v>2021</v>
      </c>
      <c r="E412" s="3" t="s">
        <v>505</v>
      </c>
      <c r="F412" s="3" t="s">
        <v>506</v>
      </c>
      <c r="G412" s="3" t="s">
        <v>506</v>
      </c>
      <c r="H412" s="5">
        <v>20231</v>
      </c>
      <c r="I412" s="2"/>
      <c r="J412" s="3" t="s">
        <v>278</v>
      </c>
      <c r="K412" s="3" t="s">
        <v>332</v>
      </c>
      <c r="L412" s="3" t="s">
        <v>291</v>
      </c>
      <c r="M412" s="3" t="s">
        <v>292</v>
      </c>
      <c r="N412" s="5">
        <v>50</v>
      </c>
      <c r="O412" s="5">
        <v>4</v>
      </c>
      <c r="P412" s="2"/>
      <c r="Q412" s="3" t="s">
        <v>507</v>
      </c>
      <c r="R412" s="3" t="s">
        <v>508</v>
      </c>
      <c r="S412" s="2"/>
      <c r="T412" s="2"/>
      <c r="U412" s="457" t="s">
        <v>440</v>
      </c>
    </row>
    <row r="413" spans="1:21" ht="13.75" customHeight="1">
      <c r="A413" s="456" t="s">
        <v>1652</v>
      </c>
      <c r="B413" s="3" t="s">
        <v>1653</v>
      </c>
      <c r="C413" s="3" t="s">
        <v>1559</v>
      </c>
      <c r="D413" s="5">
        <v>2021</v>
      </c>
      <c r="E413" s="3" t="s">
        <v>1654</v>
      </c>
      <c r="F413" s="3" t="s">
        <v>506</v>
      </c>
      <c r="G413" s="3" t="s">
        <v>506</v>
      </c>
      <c r="H413" s="5">
        <v>20231</v>
      </c>
      <c r="I413" s="3" t="s">
        <v>1655</v>
      </c>
      <c r="J413" s="3" t="s">
        <v>278</v>
      </c>
      <c r="K413" s="3" t="s">
        <v>279</v>
      </c>
      <c r="L413" s="3" t="s">
        <v>291</v>
      </c>
      <c r="M413" s="3" t="s">
        <v>292</v>
      </c>
      <c r="N413" s="5">
        <v>50</v>
      </c>
      <c r="O413" s="5">
        <v>5</v>
      </c>
      <c r="P413" s="2"/>
      <c r="Q413" s="3" t="s">
        <v>1656</v>
      </c>
      <c r="R413" s="2"/>
      <c r="S413" s="2"/>
      <c r="T413" s="2"/>
      <c r="U413" s="457" t="s">
        <v>1657</v>
      </c>
    </row>
    <row r="414" spans="1:21" ht="13.75" customHeight="1">
      <c r="A414" s="456" t="s">
        <v>1658</v>
      </c>
      <c r="B414" s="3" t="s">
        <v>1659</v>
      </c>
      <c r="C414" s="3" t="s">
        <v>1559</v>
      </c>
      <c r="D414" s="5">
        <v>2022</v>
      </c>
      <c r="E414" s="3" t="s">
        <v>1660</v>
      </c>
      <c r="F414" s="3" t="s">
        <v>1661</v>
      </c>
      <c r="G414" s="3" t="s">
        <v>1661</v>
      </c>
      <c r="H414" s="5">
        <v>20222</v>
      </c>
      <c r="I414" s="3" t="s">
        <v>1662</v>
      </c>
      <c r="J414" s="3" t="s">
        <v>278</v>
      </c>
      <c r="K414" s="3" t="s">
        <v>279</v>
      </c>
      <c r="L414" s="3" t="s">
        <v>438</v>
      </c>
      <c r="M414" s="3" t="s">
        <v>292</v>
      </c>
      <c r="N414" s="5">
        <v>25</v>
      </c>
      <c r="O414" s="5">
        <v>10</v>
      </c>
      <c r="P414" s="2"/>
      <c r="Q414" s="3" t="s">
        <v>1663</v>
      </c>
      <c r="R414" s="2"/>
      <c r="S414" s="2"/>
      <c r="T414" s="2"/>
      <c r="U414" s="457" t="s">
        <v>1664</v>
      </c>
    </row>
    <row r="415" spans="1:21" ht="13.75" customHeight="1">
      <c r="A415" s="456" t="s">
        <v>1665</v>
      </c>
      <c r="B415" s="3" t="s">
        <v>1666</v>
      </c>
      <c r="C415" s="3" t="s">
        <v>1559</v>
      </c>
      <c r="D415" s="5">
        <v>2022</v>
      </c>
      <c r="E415" s="3" t="s">
        <v>1667</v>
      </c>
      <c r="F415" s="3" t="s">
        <v>1668</v>
      </c>
      <c r="G415" s="3" t="s">
        <v>1669</v>
      </c>
      <c r="H415" s="5">
        <v>20212</v>
      </c>
      <c r="I415" s="3" t="s">
        <v>1670</v>
      </c>
      <c r="J415" s="3" t="s">
        <v>278</v>
      </c>
      <c r="K415" s="3" t="s">
        <v>332</v>
      </c>
      <c r="L415" s="3" t="s">
        <v>438</v>
      </c>
      <c r="M415" s="3" t="s">
        <v>292</v>
      </c>
      <c r="N415" s="5">
        <v>10</v>
      </c>
      <c r="O415" s="5">
        <v>10</v>
      </c>
      <c r="P415" s="3" t="s">
        <v>1671</v>
      </c>
      <c r="Q415" s="3" t="s">
        <v>1672</v>
      </c>
      <c r="R415" s="2"/>
      <c r="S415" s="2"/>
      <c r="T415" s="2"/>
      <c r="U415" s="457" t="s">
        <v>1673</v>
      </c>
    </row>
    <row r="416" spans="1:21" ht="13.75" customHeight="1">
      <c r="A416" s="456" t="s">
        <v>1674</v>
      </c>
      <c r="B416" s="3" t="s">
        <v>1675</v>
      </c>
      <c r="C416" s="3" t="s">
        <v>1559</v>
      </c>
      <c r="D416" s="5">
        <v>2023</v>
      </c>
      <c r="E416" s="3" t="s">
        <v>1676</v>
      </c>
      <c r="F416" s="3" t="s">
        <v>1677</v>
      </c>
      <c r="G416" s="3" t="s">
        <v>1678</v>
      </c>
      <c r="H416" s="5">
        <v>20231</v>
      </c>
      <c r="I416" s="3" t="s">
        <v>1679</v>
      </c>
      <c r="J416" s="3" t="s">
        <v>278</v>
      </c>
      <c r="K416" s="3" t="s">
        <v>279</v>
      </c>
      <c r="L416" s="3" t="s">
        <v>291</v>
      </c>
      <c r="M416" s="3" t="s">
        <v>281</v>
      </c>
      <c r="N416" s="5">
        <v>30</v>
      </c>
      <c r="O416" s="5">
        <v>5</v>
      </c>
      <c r="P416" s="2"/>
      <c r="Q416" s="3" t="s">
        <v>1680</v>
      </c>
      <c r="R416" s="2"/>
      <c r="S416" s="2"/>
      <c r="T416" s="2"/>
      <c r="U416" s="457" t="s">
        <v>1681</v>
      </c>
    </row>
    <row r="417" spans="1:21" ht="13.75" customHeight="1">
      <c r="A417" s="456" t="s">
        <v>1682</v>
      </c>
      <c r="B417" s="3" t="s">
        <v>1683</v>
      </c>
      <c r="C417" s="3" t="s">
        <v>1684</v>
      </c>
      <c r="D417" s="5">
        <v>2019</v>
      </c>
      <c r="E417" s="3" t="s">
        <v>1685</v>
      </c>
      <c r="F417" s="3" t="s">
        <v>1686</v>
      </c>
      <c r="G417" s="3" t="s">
        <v>1687</v>
      </c>
      <c r="H417" s="5">
        <v>20222</v>
      </c>
      <c r="I417" s="3" t="s">
        <v>1688</v>
      </c>
      <c r="J417" s="3" t="s">
        <v>278</v>
      </c>
      <c r="K417" s="3" t="s">
        <v>355</v>
      </c>
      <c r="L417" s="3" t="s">
        <v>307</v>
      </c>
      <c r="M417" s="3" t="s">
        <v>281</v>
      </c>
      <c r="N417" s="5">
        <v>3</v>
      </c>
      <c r="O417" s="5">
        <v>40</v>
      </c>
      <c r="P417" s="2"/>
      <c r="Q417" s="3" t="s">
        <v>1689</v>
      </c>
      <c r="R417" s="2"/>
      <c r="S417" s="2"/>
      <c r="T417" s="2"/>
      <c r="U417" s="457" t="s">
        <v>1690</v>
      </c>
    </row>
    <row r="418" spans="1:21" ht="13.75" customHeight="1">
      <c r="A418" s="456" t="s">
        <v>1691</v>
      </c>
      <c r="B418" s="3" t="s">
        <v>1692</v>
      </c>
      <c r="C418" s="3" t="s">
        <v>1684</v>
      </c>
      <c r="D418" s="5">
        <v>2019</v>
      </c>
      <c r="E418" s="3" t="s">
        <v>1693</v>
      </c>
      <c r="F418" s="3" t="s">
        <v>1694</v>
      </c>
      <c r="G418" s="3" t="s">
        <v>1694</v>
      </c>
      <c r="H418" s="5">
        <v>20222</v>
      </c>
      <c r="I418" s="3" t="s">
        <v>1695</v>
      </c>
      <c r="J418" s="3" t="s">
        <v>278</v>
      </c>
      <c r="K418" s="3" t="s">
        <v>355</v>
      </c>
      <c r="L418" s="3" t="s">
        <v>307</v>
      </c>
      <c r="M418" s="3" t="s">
        <v>281</v>
      </c>
      <c r="N418" s="5">
        <v>5</v>
      </c>
      <c r="O418" s="5">
        <v>100</v>
      </c>
      <c r="P418" s="3" t="s">
        <v>1696</v>
      </c>
      <c r="Q418" s="3" t="s">
        <v>1697</v>
      </c>
      <c r="R418" s="2"/>
      <c r="S418" s="2"/>
      <c r="T418" s="2"/>
      <c r="U418" s="457" t="s">
        <v>1698</v>
      </c>
    </row>
    <row r="419" spans="1:21" ht="13.75" customHeight="1">
      <c r="A419" s="456" t="s">
        <v>1699</v>
      </c>
      <c r="B419" s="3" t="s">
        <v>1700</v>
      </c>
      <c r="C419" s="3" t="s">
        <v>1684</v>
      </c>
      <c r="D419" s="5">
        <v>2019</v>
      </c>
      <c r="E419" s="3" t="s">
        <v>1701</v>
      </c>
      <c r="F419" s="3" t="s">
        <v>1702</v>
      </c>
      <c r="G419" s="3" t="s">
        <v>1702</v>
      </c>
      <c r="H419" s="5">
        <v>20222</v>
      </c>
      <c r="I419" s="3" t="s">
        <v>1703</v>
      </c>
      <c r="J419" s="3" t="s">
        <v>278</v>
      </c>
      <c r="K419" s="3" t="s">
        <v>355</v>
      </c>
      <c r="L419" s="3" t="s">
        <v>307</v>
      </c>
      <c r="M419" s="3" t="s">
        <v>281</v>
      </c>
      <c r="N419" s="5">
        <v>3</v>
      </c>
      <c r="O419" s="5">
        <v>40</v>
      </c>
      <c r="P419" s="3" t="s">
        <v>1704</v>
      </c>
      <c r="Q419" s="3" t="s">
        <v>1705</v>
      </c>
      <c r="R419" s="2"/>
      <c r="S419" s="2"/>
      <c r="T419" s="2"/>
      <c r="U419" s="457" t="s">
        <v>1706</v>
      </c>
    </row>
    <row r="420" spans="1:21" ht="13.75" customHeight="1">
      <c r="A420" s="456" t="s">
        <v>1707</v>
      </c>
      <c r="B420" s="3" t="s">
        <v>1708</v>
      </c>
      <c r="C420" s="3" t="s">
        <v>1684</v>
      </c>
      <c r="D420" s="5">
        <v>2020</v>
      </c>
      <c r="E420" s="3" t="s">
        <v>1709</v>
      </c>
      <c r="F420" s="3" t="s">
        <v>1216</v>
      </c>
      <c r="G420" s="3" t="s">
        <v>1216</v>
      </c>
      <c r="H420" s="5">
        <v>20231</v>
      </c>
      <c r="I420" s="3" t="s">
        <v>1710</v>
      </c>
      <c r="J420" s="3" t="s">
        <v>278</v>
      </c>
      <c r="K420" s="3" t="s">
        <v>279</v>
      </c>
      <c r="L420" s="3" t="s">
        <v>280</v>
      </c>
      <c r="M420" s="3" t="s">
        <v>281</v>
      </c>
      <c r="N420" s="5">
        <v>2</v>
      </c>
      <c r="O420" s="5">
        <v>15</v>
      </c>
      <c r="P420" s="2"/>
      <c r="Q420" s="3" t="s">
        <v>1711</v>
      </c>
      <c r="R420" s="3" t="s">
        <v>1712</v>
      </c>
      <c r="S420" s="2"/>
      <c r="T420" s="2"/>
      <c r="U420" s="457" t="s">
        <v>1713</v>
      </c>
    </row>
    <row r="421" spans="1:21" ht="13.75" customHeight="1">
      <c r="A421" s="456" t="s">
        <v>1714</v>
      </c>
      <c r="B421" s="3" t="s">
        <v>1715</v>
      </c>
      <c r="C421" s="3" t="s">
        <v>1684</v>
      </c>
      <c r="D421" s="5">
        <v>2020</v>
      </c>
      <c r="E421" s="3" t="s">
        <v>361</v>
      </c>
      <c r="F421" s="3" t="s">
        <v>362</v>
      </c>
      <c r="G421" s="3" t="s">
        <v>363</v>
      </c>
      <c r="H421" s="5">
        <v>20231</v>
      </c>
      <c r="I421" s="3" t="s">
        <v>364</v>
      </c>
      <c r="J421" s="3" t="s">
        <v>278</v>
      </c>
      <c r="K421" s="3" t="s">
        <v>279</v>
      </c>
      <c r="L421" s="3" t="s">
        <v>307</v>
      </c>
      <c r="M421" s="3" t="s">
        <v>292</v>
      </c>
      <c r="N421" s="5">
        <v>500</v>
      </c>
      <c r="O421" s="5">
        <v>10</v>
      </c>
      <c r="P421" s="3" t="s">
        <v>365</v>
      </c>
      <c r="Q421" s="3" t="s">
        <v>388</v>
      </c>
      <c r="R421" s="3" t="s">
        <v>389</v>
      </c>
      <c r="S421" s="2"/>
      <c r="T421" s="2"/>
      <c r="U421" s="457" t="s">
        <v>368</v>
      </c>
    </row>
    <row r="422" spans="1:21" ht="13.75" customHeight="1">
      <c r="A422" s="456" t="s">
        <v>1716</v>
      </c>
      <c r="B422" s="3" t="s">
        <v>1717</v>
      </c>
      <c r="C422" s="3" t="s">
        <v>1684</v>
      </c>
      <c r="D422" s="5">
        <v>2020</v>
      </c>
      <c r="E422" s="3" t="s">
        <v>361</v>
      </c>
      <c r="F422" s="3" t="s">
        <v>362</v>
      </c>
      <c r="G422" s="3" t="s">
        <v>363</v>
      </c>
      <c r="H422" s="5">
        <v>20231</v>
      </c>
      <c r="I422" s="3" t="s">
        <v>364</v>
      </c>
      <c r="J422" s="3" t="s">
        <v>278</v>
      </c>
      <c r="K422" s="3" t="s">
        <v>279</v>
      </c>
      <c r="L422" s="3" t="s">
        <v>307</v>
      </c>
      <c r="M422" s="3" t="s">
        <v>292</v>
      </c>
      <c r="N422" s="5">
        <v>500</v>
      </c>
      <c r="O422" s="5">
        <v>10</v>
      </c>
      <c r="P422" s="3" t="s">
        <v>365</v>
      </c>
      <c r="Q422" s="3" t="s">
        <v>388</v>
      </c>
      <c r="R422" s="3" t="s">
        <v>389</v>
      </c>
      <c r="S422" s="2"/>
      <c r="T422" s="2"/>
      <c r="U422" s="457" t="s">
        <v>368</v>
      </c>
    </row>
    <row r="423" spans="1:21" ht="13.75" customHeight="1">
      <c r="A423" s="456" t="s">
        <v>1718</v>
      </c>
      <c r="B423" s="3" t="s">
        <v>1719</v>
      </c>
      <c r="C423" s="3" t="s">
        <v>1684</v>
      </c>
      <c r="D423" s="5">
        <v>2020</v>
      </c>
      <c r="E423" s="3" t="s">
        <v>361</v>
      </c>
      <c r="F423" s="3" t="s">
        <v>362</v>
      </c>
      <c r="G423" s="3" t="s">
        <v>363</v>
      </c>
      <c r="H423" s="5">
        <v>20231</v>
      </c>
      <c r="I423" s="3" t="s">
        <v>364</v>
      </c>
      <c r="J423" s="3" t="s">
        <v>278</v>
      </c>
      <c r="K423" s="3" t="s">
        <v>279</v>
      </c>
      <c r="L423" s="3" t="s">
        <v>307</v>
      </c>
      <c r="M423" s="3" t="s">
        <v>292</v>
      </c>
      <c r="N423" s="5">
        <v>500</v>
      </c>
      <c r="O423" s="5">
        <v>10</v>
      </c>
      <c r="P423" s="3" t="s">
        <v>365</v>
      </c>
      <c r="Q423" s="3" t="s">
        <v>388</v>
      </c>
      <c r="R423" s="3" t="s">
        <v>389</v>
      </c>
      <c r="S423" s="2"/>
      <c r="T423" s="2"/>
      <c r="U423" s="457" t="s">
        <v>368</v>
      </c>
    </row>
    <row r="424" spans="1:21" ht="13.75" customHeight="1">
      <c r="A424" s="456" t="s">
        <v>1720</v>
      </c>
      <c r="B424" s="3" t="s">
        <v>1721</v>
      </c>
      <c r="C424" s="3" t="s">
        <v>1684</v>
      </c>
      <c r="D424" s="5">
        <v>2020</v>
      </c>
      <c r="E424" s="3" t="s">
        <v>1722</v>
      </c>
      <c r="F424" s="3" t="s">
        <v>1723</v>
      </c>
      <c r="G424" s="3" t="s">
        <v>1153</v>
      </c>
      <c r="H424" s="5">
        <v>20222</v>
      </c>
      <c r="I424" s="3" t="s">
        <v>1724</v>
      </c>
      <c r="J424" s="3" t="s">
        <v>278</v>
      </c>
      <c r="K424" s="3" t="s">
        <v>279</v>
      </c>
      <c r="L424" s="3" t="s">
        <v>280</v>
      </c>
      <c r="M424" s="3" t="s">
        <v>281</v>
      </c>
      <c r="N424" s="5">
        <v>2</v>
      </c>
      <c r="O424" s="5">
        <v>15</v>
      </c>
      <c r="P424" s="2"/>
      <c r="Q424" s="3" t="s">
        <v>1725</v>
      </c>
      <c r="R424" s="3" t="s">
        <v>1726</v>
      </c>
      <c r="S424" s="2"/>
      <c r="T424" s="2"/>
      <c r="U424" s="457" t="s">
        <v>1727</v>
      </c>
    </row>
    <row r="425" spans="1:21" ht="13.75" customHeight="1">
      <c r="A425" s="456" t="s">
        <v>1728</v>
      </c>
      <c r="B425" s="3" t="s">
        <v>1729</v>
      </c>
      <c r="C425" s="3" t="s">
        <v>1684</v>
      </c>
      <c r="D425" s="5">
        <v>2020</v>
      </c>
      <c r="E425" s="3" t="s">
        <v>361</v>
      </c>
      <c r="F425" s="3" t="s">
        <v>362</v>
      </c>
      <c r="G425" s="3" t="s">
        <v>363</v>
      </c>
      <c r="H425" s="5">
        <v>20231</v>
      </c>
      <c r="I425" s="3" t="s">
        <v>364</v>
      </c>
      <c r="J425" s="3" t="s">
        <v>278</v>
      </c>
      <c r="K425" s="3" t="s">
        <v>279</v>
      </c>
      <c r="L425" s="3" t="s">
        <v>307</v>
      </c>
      <c r="M425" s="3" t="s">
        <v>292</v>
      </c>
      <c r="N425" s="5">
        <v>500</v>
      </c>
      <c r="O425" s="5">
        <v>10</v>
      </c>
      <c r="P425" s="3" t="s">
        <v>365</v>
      </c>
      <c r="Q425" s="3" t="s">
        <v>388</v>
      </c>
      <c r="R425" s="3" t="s">
        <v>389</v>
      </c>
      <c r="S425" s="2"/>
      <c r="T425" s="2"/>
      <c r="U425" s="457" t="s">
        <v>368</v>
      </c>
    </row>
    <row r="426" spans="1:21" ht="13.75" customHeight="1">
      <c r="A426" s="456" t="s">
        <v>1730</v>
      </c>
      <c r="B426" s="3" t="s">
        <v>1731</v>
      </c>
      <c r="C426" s="3" t="s">
        <v>1684</v>
      </c>
      <c r="D426" s="5">
        <v>2020</v>
      </c>
      <c r="E426" s="3" t="s">
        <v>1732</v>
      </c>
      <c r="F426" s="3" t="s">
        <v>1186</v>
      </c>
      <c r="G426" s="3" t="s">
        <v>1186</v>
      </c>
      <c r="H426" s="5">
        <v>20222</v>
      </c>
      <c r="I426" s="3" t="s">
        <v>1733</v>
      </c>
      <c r="J426" s="3" t="s">
        <v>278</v>
      </c>
      <c r="K426" s="3" t="s">
        <v>279</v>
      </c>
      <c r="L426" s="3" t="s">
        <v>291</v>
      </c>
      <c r="M426" s="3" t="s">
        <v>292</v>
      </c>
      <c r="N426" s="5">
        <v>100</v>
      </c>
      <c r="O426" s="5">
        <v>5</v>
      </c>
      <c r="P426" s="2"/>
      <c r="Q426" s="3" t="s">
        <v>1734</v>
      </c>
      <c r="R426" s="2"/>
      <c r="S426" s="2"/>
      <c r="T426" s="2"/>
      <c r="U426" s="457" t="s">
        <v>1735</v>
      </c>
    </row>
    <row r="427" spans="1:21" ht="13.75" customHeight="1">
      <c r="A427" s="456" t="s">
        <v>1730</v>
      </c>
      <c r="B427" s="3" t="s">
        <v>1731</v>
      </c>
      <c r="C427" s="3" t="s">
        <v>1684</v>
      </c>
      <c r="D427" s="5">
        <v>2020</v>
      </c>
      <c r="E427" s="3" t="s">
        <v>1736</v>
      </c>
      <c r="F427" s="3" t="s">
        <v>1737</v>
      </c>
      <c r="G427" s="3" t="s">
        <v>1737</v>
      </c>
      <c r="H427" s="5">
        <v>20231</v>
      </c>
      <c r="I427" s="3" t="s">
        <v>1738</v>
      </c>
      <c r="J427" s="3" t="s">
        <v>278</v>
      </c>
      <c r="K427" s="3" t="s">
        <v>279</v>
      </c>
      <c r="L427" s="3" t="s">
        <v>291</v>
      </c>
      <c r="M427" s="3" t="s">
        <v>292</v>
      </c>
      <c r="N427" s="5">
        <v>20</v>
      </c>
      <c r="O427" s="5">
        <v>5</v>
      </c>
      <c r="P427" s="2"/>
      <c r="Q427" s="3" t="s">
        <v>1739</v>
      </c>
      <c r="R427" s="2"/>
      <c r="S427" s="2"/>
      <c r="T427" s="2"/>
      <c r="U427" s="457" t="s">
        <v>44</v>
      </c>
    </row>
    <row r="428" spans="1:21" ht="13.75" customHeight="1">
      <c r="A428" s="456" t="s">
        <v>1730</v>
      </c>
      <c r="B428" s="3" t="s">
        <v>1731</v>
      </c>
      <c r="C428" s="3" t="s">
        <v>1684</v>
      </c>
      <c r="D428" s="5">
        <v>2020</v>
      </c>
      <c r="E428" s="3" t="s">
        <v>361</v>
      </c>
      <c r="F428" s="3" t="s">
        <v>362</v>
      </c>
      <c r="G428" s="3" t="s">
        <v>363</v>
      </c>
      <c r="H428" s="5">
        <v>20231</v>
      </c>
      <c r="I428" s="3" t="s">
        <v>364</v>
      </c>
      <c r="J428" s="3" t="s">
        <v>278</v>
      </c>
      <c r="K428" s="3" t="s">
        <v>279</v>
      </c>
      <c r="L428" s="3" t="s">
        <v>307</v>
      </c>
      <c r="M428" s="3" t="s">
        <v>292</v>
      </c>
      <c r="N428" s="5">
        <v>500</v>
      </c>
      <c r="O428" s="5">
        <v>10</v>
      </c>
      <c r="P428" s="3" t="s">
        <v>365</v>
      </c>
      <c r="Q428" s="3" t="s">
        <v>388</v>
      </c>
      <c r="R428" s="3" t="s">
        <v>389</v>
      </c>
      <c r="S428" s="2"/>
      <c r="T428" s="2"/>
      <c r="U428" s="457" t="s">
        <v>368</v>
      </c>
    </row>
    <row r="429" spans="1:21" ht="13.75" customHeight="1">
      <c r="A429" s="456" t="s">
        <v>1740</v>
      </c>
      <c r="B429" s="3" t="s">
        <v>1741</v>
      </c>
      <c r="C429" s="3" t="s">
        <v>1684</v>
      </c>
      <c r="D429" s="5">
        <v>2020</v>
      </c>
      <c r="E429" s="3" t="s">
        <v>361</v>
      </c>
      <c r="F429" s="3" t="s">
        <v>362</v>
      </c>
      <c r="G429" s="3" t="s">
        <v>363</v>
      </c>
      <c r="H429" s="5">
        <v>20231</v>
      </c>
      <c r="I429" s="3" t="s">
        <v>364</v>
      </c>
      <c r="J429" s="3" t="s">
        <v>278</v>
      </c>
      <c r="K429" s="3" t="s">
        <v>279</v>
      </c>
      <c r="L429" s="3" t="s">
        <v>307</v>
      </c>
      <c r="M429" s="3" t="s">
        <v>292</v>
      </c>
      <c r="N429" s="5">
        <v>500</v>
      </c>
      <c r="O429" s="5">
        <v>10</v>
      </c>
      <c r="P429" s="3" t="s">
        <v>365</v>
      </c>
      <c r="Q429" s="3" t="s">
        <v>388</v>
      </c>
      <c r="R429" s="3" t="s">
        <v>389</v>
      </c>
      <c r="S429" s="2"/>
      <c r="T429" s="2"/>
      <c r="U429" s="457" t="s">
        <v>368</v>
      </c>
    </row>
    <row r="430" spans="1:21" ht="13.75" customHeight="1">
      <c r="A430" s="456" t="s">
        <v>1742</v>
      </c>
      <c r="B430" s="3" t="s">
        <v>1743</v>
      </c>
      <c r="C430" s="3" t="s">
        <v>1684</v>
      </c>
      <c r="D430" s="5">
        <v>2020</v>
      </c>
      <c r="E430" s="3" t="s">
        <v>361</v>
      </c>
      <c r="F430" s="3" t="s">
        <v>362</v>
      </c>
      <c r="G430" s="3" t="s">
        <v>363</v>
      </c>
      <c r="H430" s="5">
        <v>20231</v>
      </c>
      <c r="I430" s="3" t="s">
        <v>364</v>
      </c>
      <c r="J430" s="3" t="s">
        <v>278</v>
      </c>
      <c r="K430" s="3" t="s">
        <v>279</v>
      </c>
      <c r="L430" s="3" t="s">
        <v>307</v>
      </c>
      <c r="M430" s="3" t="s">
        <v>292</v>
      </c>
      <c r="N430" s="5">
        <v>500</v>
      </c>
      <c r="O430" s="5">
        <v>10</v>
      </c>
      <c r="P430" s="3" t="s">
        <v>365</v>
      </c>
      <c r="Q430" s="3" t="s">
        <v>388</v>
      </c>
      <c r="R430" s="3" t="s">
        <v>389</v>
      </c>
      <c r="S430" s="2"/>
      <c r="T430" s="2"/>
      <c r="U430" s="457" t="s">
        <v>368</v>
      </c>
    </row>
    <row r="431" spans="1:21" ht="13.75" customHeight="1">
      <c r="A431" s="456" t="s">
        <v>1744</v>
      </c>
      <c r="B431" s="3" t="s">
        <v>1745</v>
      </c>
      <c r="C431" s="3" t="s">
        <v>1684</v>
      </c>
      <c r="D431" s="5">
        <v>2020</v>
      </c>
      <c r="E431" s="3" t="s">
        <v>1746</v>
      </c>
      <c r="F431" s="3" t="s">
        <v>1747</v>
      </c>
      <c r="G431" s="3" t="s">
        <v>1747</v>
      </c>
      <c r="H431" s="5">
        <v>20212</v>
      </c>
      <c r="I431" s="3" t="s">
        <v>1748</v>
      </c>
      <c r="J431" s="3" t="s">
        <v>278</v>
      </c>
      <c r="K431" s="3" t="s">
        <v>279</v>
      </c>
      <c r="L431" s="3" t="s">
        <v>438</v>
      </c>
      <c r="M431" s="3" t="s">
        <v>281</v>
      </c>
      <c r="N431" s="5">
        <v>50</v>
      </c>
      <c r="O431" s="5">
        <v>10</v>
      </c>
      <c r="P431" s="2"/>
      <c r="Q431" s="3" t="s">
        <v>1749</v>
      </c>
      <c r="R431" s="2"/>
      <c r="S431" s="2"/>
      <c r="T431" s="2"/>
      <c r="U431" s="457" t="s">
        <v>1750</v>
      </c>
    </row>
    <row r="432" spans="1:21" ht="13.75" customHeight="1">
      <c r="A432" s="456" t="s">
        <v>1751</v>
      </c>
      <c r="B432" s="3" t="s">
        <v>1752</v>
      </c>
      <c r="C432" s="3" t="s">
        <v>1684</v>
      </c>
      <c r="D432" s="5">
        <v>2021</v>
      </c>
      <c r="E432" s="3" t="s">
        <v>361</v>
      </c>
      <c r="F432" s="3" t="s">
        <v>362</v>
      </c>
      <c r="G432" s="3" t="s">
        <v>363</v>
      </c>
      <c r="H432" s="5">
        <v>20231</v>
      </c>
      <c r="I432" s="3" t="s">
        <v>364</v>
      </c>
      <c r="J432" s="3" t="s">
        <v>278</v>
      </c>
      <c r="K432" s="3" t="s">
        <v>279</v>
      </c>
      <c r="L432" s="3" t="s">
        <v>307</v>
      </c>
      <c r="M432" s="3" t="s">
        <v>292</v>
      </c>
      <c r="N432" s="5">
        <v>500</v>
      </c>
      <c r="O432" s="5">
        <v>10</v>
      </c>
      <c r="P432" s="3" t="s">
        <v>365</v>
      </c>
      <c r="Q432" s="3" t="s">
        <v>388</v>
      </c>
      <c r="R432" s="3" t="s">
        <v>389</v>
      </c>
      <c r="S432" s="2"/>
      <c r="T432" s="2"/>
      <c r="U432" s="457" t="s">
        <v>368</v>
      </c>
    </row>
    <row r="433" spans="1:21" ht="13.75" customHeight="1">
      <c r="A433" s="456" t="s">
        <v>1753</v>
      </c>
      <c r="B433" s="3" t="s">
        <v>1754</v>
      </c>
      <c r="C433" s="3" t="s">
        <v>1684</v>
      </c>
      <c r="D433" s="5">
        <v>2021</v>
      </c>
      <c r="E433" s="3" t="s">
        <v>361</v>
      </c>
      <c r="F433" s="3" t="s">
        <v>362</v>
      </c>
      <c r="G433" s="3" t="s">
        <v>363</v>
      </c>
      <c r="H433" s="5">
        <v>20231</v>
      </c>
      <c r="I433" s="3" t="s">
        <v>364</v>
      </c>
      <c r="J433" s="3" t="s">
        <v>278</v>
      </c>
      <c r="K433" s="3" t="s">
        <v>279</v>
      </c>
      <c r="L433" s="3" t="s">
        <v>307</v>
      </c>
      <c r="M433" s="3" t="s">
        <v>292</v>
      </c>
      <c r="N433" s="5">
        <v>500</v>
      </c>
      <c r="O433" s="5">
        <v>10</v>
      </c>
      <c r="P433" s="3" t="s">
        <v>365</v>
      </c>
      <c r="Q433" s="3" t="s">
        <v>388</v>
      </c>
      <c r="R433" s="3" t="s">
        <v>389</v>
      </c>
      <c r="S433" s="2"/>
      <c r="T433" s="2"/>
      <c r="U433" s="457" t="s">
        <v>368</v>
      </c>
    </row>
    <row r="434" spans="1:21" ht="13.75" customHeight="1">
      <c r="A434" s="456" t="s">
        <v>1755</v>
      </c>
      <c r="B434" s="3" t="s">
        <v>1756</v>
      </c>
      <c r="C434" s="3" t="s">
        <v>1684</v>
      </c>
      <c r="D434" s="5">
        <v>2022</v>
      </c>
      <c r="E434" s="3" t="s">
        <v>361</v>
      </c>
      <c r="F434" s="3" t="s">
        <v>362</v>
      </c>
      <c r="G434" s="3" t="s">
        <v>363</v>
      </c>
      <c r="H434" s="5">
        <v>20231</v>
      </c>
      <c r="I434" s="3" t="s">
        <v>364</v>
      </c>
      <c r="J434" s="3" t="s">
        <v>278</v>
      </c>
      <c r="K434" s="3" t="s">
        <v>279</v>
      </c>
      <c r="L434" s="3" t="s">
        <v>307</v>
      </c>
      <c r="M434" s="3" t="s">
        <v>292</v>
      </c>
      <c r="N434" s="5">
        <v>500</v>
      </c>
      <c r="O434" s="5">
        <v>10</v>
      </c>
      <c r="P434" s="3" t="s">
        <v>365</v>
      </c>
      <c r="Q434" s="3" t="s">
        <v>388</v>
      </c>
      <c r="R434" s="3" t="s">
        <v>389</v>
      </c>
      <c r="S434" s="2"/>
      <c r="T434" s="2"/>
      <c r="U434" s="457" t="s">
        <v>368</v>
      </c>
    </row>
    <row r="435" spans="1:21" ht="13.75" customHeight="1">
      <c r="A435" s="456" t="s">
        <v>1757</v>
      </c>
      <c r="B435" s="3" t="s">
        <v>1758</v>
      </c>
      <c r="C435" s="3" t="s">
        <v>1684</v>
      </c>
      <c r="D435" s="5">
        <v>2022</v>
      </c>
      <c r="E435" s="3" t="s">
        <v>361</v>
      </c>
      <c r="F435" s="3" t="s">
        <v>362</v>
      </c>
      <c r="G435" s="3" t="s">
        <v>363</v>
      </c>
      <c r="H435" s="5">
        <v>20231</v>
      </c>
      <c r="I435" s="3" t="s">
        <v>364</v>
      </c>
      <c r="J435" s="3" t="s">
        <v>278</v>
      </c>
      <c r="K435" s="3" t="s">
        <v>279</v>
      </c>
      <c r="L435" s="3" t="s">
        <v>307</v>
      </c>
      <c r="M435" s="3" t="s">
        <v>292</v>
      </c>
      <c r="N435" s="5">
        <v>500</v>
      </c>
      <c r="O435" s="5">
        <v>10</v>
      </c>
      <c r="P435" s="3" t="s">
        <v>365</v>
      </c>
      <c r="Q435" s="3" t="s">
        <v>388</v>
      </c>
      <c r="R435" s="3" t="s">
        <v>389</v>
      </c>
      <c r="S435" s="2"/>
      <c r="T435" s="2"/>
      <c r="U435" s="457" t="s">
        <v>368</v>
      </c>
    </row>
    <row r="436" spans="1:21" ht="13.75" customHeight="1">
      <c r="A436" s="456" t="s">
        <v>1759</v>
      </c>
      <c r="B436" s="3" t="s">
        <v>1760</v>
      </c>
      <c r="C436" s="3" t="s">
        <v>1684</v>
      </c>
      <c r="D436" s="5">
        <v>2022</v>
      </c>
      <c r="E436" s="3" t="s">
        <v>361</v>
      </c>
      <c r="F436" s="3" t="s">
        <v>362</v>
      </c>
      <c r="G436" s="3" t="s">
        <v>363</v>
      </c>
      <c r="H436" s="5">
        <v>20231</v>
      </c>
      <c r="I436" s="3" t="s">
        <v>364</v>
      </c>
      <c r="J436" s="3" t="s">
        <v>278</v>
      </c>
      <c r="K436" s="3" t="s">
        <v>279</v>
      </c>
      <c r="L436" s="3" t="s">
        <v>307</v>
      </c>
      <c r="M436" s="3" t="s">
        <v>292</v>
      </c>
      <c r="N436" s="5">
        <v>500</v>
      </c>
      <c r="O436" s="5">
        <v>10</v>
      </c>
      <c r="P436" s="3" t="s">
        <v>365</v>
      </c>
      <c r="Q436" s="3" t="s">
        <v>388</v>
      </c>
      <c r="R436" s="3" t="s">
        <v>389</v>
      </c>
      <c r="S436" s="2"/>
      <c r="T436" s="2"/>
      <c r="U436" s="457" t="s">
        <v>368</v>
      </c>
    </row>
    <row r="437" spans="1:21" ht="13.75" customHeight="1">
      <c r="A437" s="456" t="s">
        <v>1761</v>
      </c>
      <c r="B437" s="3" t="s">
        <v>1762</v>
      </c>
      <c r="C437" s="3" t="s">
        <v>1684</v>
      </c>
      <c r="D437" s="5">
        <v>2022</v>
      </c>
      <c r="E437" s="3" t="s">
        <v>361</v>
      </c>
      <c r="F437" s="3" t="s">
        <v>362</v>
      </c>
      <c r="G437" s="3" t="s">
        <v>363</v>
      </c>
      <c r="H437" s="5">
        <v>20231</v>
      </c>
      <c r="I437" s="3" t="s">
        <v>364</v>
      </c>
      <c r="J437" s="3" t="s">
        <v>278</v>
      </c>
      <c r="K437" s="3" t="s">
        <v>279</v>
      </c>
      <c r="L437" s="3" t="s">
        <v>307</v>
      </c>
      <c r="M437" s="3" t="s">
        <v>292</v>
      </c>
      <c r="N437" s="5">
        <v>500</v>
      </c>
      <c r="O437" s="5">
        <v>10</v>
      </c>
      <c r="P437" s="3" t="s">
        <v>365</v>
      </c>
      <c r="Q437" s="3" t="s">
        <v>388</v>
      </c>
      <c r="R437" s="3" t="s">
        <v>389</v>
      </c>
      <c r="S437" s="2"/>
      <c r="T437" s="2"/>
      <c r="U437" s="457" t="s">
        <v>368</v>
      </c>
    </row>
    <row r="438" spans="1:21" ht="13.75" customHeight="1">
      <c r="A438" s="456" t="s">
        <v>1763</v>
      </c>
      <c r="B438" s="3" t="s">
        <v>1764</v>
      </c>
      <c r="C438" s="3" t="s">
        <v>1684</v>
      </c>
      <c r="D438" s="5">
        <v>2022</v>
      </c>
      <c r="E438" s="3" t="s">
        <v>361</v>
      </c>
      <c r="F438" s="3" t="s">
        <v>362</v>
      </c>
      <c r="G438" s="3" t="s">
        <v>363</v>
      </c>
      <c r="H438" s="5">
        <v>20231</v>
      </c>
      <c r="I438" s="3" t="s">
        <v>364</v>
      </c>
      <c r="J438" s="3" t="s">
        <v>278</v>
      </c>
      <c r="K438" s="3" t="s">
        <v>279</v>
      </c>
      <c r="L438" s="3" t="s">
        <v>307</v>
      </c>
      <c r="M438" s="3" t="s">
        <v>292</v>
      </c>
      <c r="N438" s="5">
        <v>500</v>
      </c>
      <c r="O438" s="5">
        <v>10</v>
      </c>
      <c r="P438" s="3" t="s">
        <v>365</v>
      </c>
      <c r="Q438" s="3" t="s">
        <v>388</v>
      </c>
      <c r="R438" s="3" t="s">
        <v>389</v>
      </c>
      <c r="S438" s="2"/>
      <c r="T438" s="2"/>
      <c r="U438" s="457" t="s">
        <v>368</v>
      </c>
    </row>
    <row r="439" spans="1:21" ht="13.75" customHeight="1">
      <c r="A439" s="456" t="s">
        <v>1765</v>
      </c>
      <c r="B439" s="3" t="s">
        <v>1766</v>
      </c>
      <c r="C439" s="3" t="s">
        <v>1684</v>
      </c>
      <c r="D439" s="5">
        <v>2022</v>
      </c>
      <c r="E439" s="3" t="s">
        <v>1767</v>
      </c>
      <c r="F439" s="3" t="s">
        <v>1124</v>
      </c>
      <c r="G439" s="3" t="s">
        <v>1124</v>
      </c>
      <c r="H439" s="5">
        <v>20222</v>
      </c>
      <c r="I439" s="3" t="s">
        <v>1768</v>
      </c>
      <c r="J439" s="3" t="s">
        <v>278</v>
      </c>
      <c r="K439" s="3" t="s">
        <v>279</v>
      </c>
      <c r="L439" s="3" t="s">
        <v>280</v>
      </c>
      <c r="M439" s="3" t="s">
        <v>292</v>
      </c>
      <c r="N439" s="5">
        <v>200</v>
      </c>
      <c r="O439" s="5">
        <v>15</v>
      </c>
      <c r="P439" s="3" t="s">
        <v>1769</v>
      </c>
      <c r="Q439" s="3" t="s">
        <v>1770</v>
      </c>
      <c r="R439" s="3" t="s">
        <v>1771</v>
      </c>
      <c r="S439" s="2"/>
      <c r="T439" s="2"/>
      <c r="U439" s="457" t="s">
        <v>1772</v>
      </c>
    </row>
    <row r="440" spans="1:21" ht="13.75" customHeight="1">
      <c r="A440" s="456" t="s">
        <v>1765</v>
      </c>
      <c r="B440" s="3" t="s">
        <v>1766</v>
      </c>
      <c r="C440" s="3" t="s">
        <v>1684</v>
      </c>
      <c r="D440" s="5">
        <v>2022</v>
      </c>
      <c r="E440" s="3" t="s">
        <v>361</v>
      </c>
      <c r="F440" s="3" t="s">
        <v>362</v>
      </c>
      <c r="G440" s="3" t="s">
        <v>363</v>
      </c>
      <c r="H440" s="5">
        <v>20231</v>
      </c>
      <c r="I440" s="3" t="s">
        <v>364</v>
      </c>
      <c r="J440" s="3" t="s">
        <v>278</v>
      </c>
      <c r="K440" s="3" t="s">
        <v>279</v>
      </c>
      <c r="L440" s="3" t="s">
        <v>307</v>
      </c>
      <c r="M440" s="3" t="s">
        <v>292</v>
      </c>
      <c r="N440" s="5">
        <v>500</v>
      </c>
      <c r="O440" s="5">
        <v>10</v>
      </c>
      <c r="P440" s="3" t="s">
        <v>365</v>
      </c>
      <c r="Q440" s="3" t="s">
        <v>388</v>
      </c>
      <c r="R440" s="3" t="s">
        <v>389</v>
      </c>
      <c r="S440" s="2"/>
      <c r="T440" s="2"/>
      <c r="U440" s="457" t="s">
        <v>368</v>
      </c>
    </row>
    <row r="441" spans="1:21" ht="13.75" customHeight="1">
      <c r="A441" s="456" t="s">
        <v>1773</v>
      </c>
      <c r="B441" s="3" t="s">
        <v>1774</v>
      </c>
      <c r="C441" s="3" t="s">
        <v>1684</v>
      </c>
      <c r="D441" s="5">
        <v>2022</v>
      </c>
      <c r="E441" s="3" t="s">
        <v>1775</v>
      </c>
      <c r="F441" s="3" t="s">
        <v>1776</v>
      </c>
      <c r="G441" s="3" t="s">
        <v>1776</v>
      </c>
      <c r="H441" s="5">
        <v>20222</v>
      </c>
      <c r="I441" s="3" t="s">
        <v>1777</v>
      </c>
      <c r="J441" s="3" t="s">
        <v>278</v>
      </c>
      <c r="K441" s="3" t="s">
        <v>332</v>
      </c>
      <c r="L441" s="3" t="s">
        <v>438</v>
      </c>
      <c r="M441" s="3" t="s">
        <v>292</v>
      </c>
      <c r="N441" s="5">
        <v>16</v>
      </c>
      <c r="O441" s="5">
        <v>10</v>
      </c>
      <c r="P441" s="3" t="s">
        <v>19</v>
      </c>
      <c r="Q441" s="3" t="s">
        <v>1778</v>
      </c>
      <c r="R441" s="2"/>
      <c r="S441" s="2"/>
      <c r="T441" s="2"/>
      <c r="U441" s="457" t="s">
        <v>1779</v>
      </c>
    </row>
    <row r="442" spans="1:21" ht="13.75" customHeight="1">
      <c r="A442" s="456" t="s">
        <v>1773</v>
      </c>
      <c r="B442" s="3" t="s">
        <v>1774</v>
      </c>
      <c r="C442" s="3" t="s">
        <v>1684</v>
      </c>
      <c r="D442" s="5">
        <v>2022</v>
      </c>
      <c r="E442" s="3" t="s">
        <v>1780</v>
      </c>
      <c r="F442" s="3" t="s">
        <v>363</v>
      </c>
      <c r="G442" s="3" t="s">
        <v>363</v>
      </c>
      <c r="H442" s="5">
        <v>20231</v>
      </c>
      <c r="I442" s="3" t="s">
        <v>1781</v>
      </c>
      <c r="J442" s="3" t="s">
        <v>278</v>
      </c>
      <c r="K442" s="3" t="s">
        <v>332</v>
      </c>
      <c r="L442" s="3" t="s">
        <v>280</v>
      </c>
      <c r="M442" s="3" t="s">
        <v>292</v>
      </c>
      <c r="N442" s="5">
        <v>112</v>
      </c>
      <c r="O442" s="5">
        <v>15</v>
      </c>
      <c r="P442" s="3" t="s">
        <v>1782</v>
      </c>
      <c r="Q442" s="3" t="s">
        <v>1783</v>
      </c>
      <c r="R442" s="3" t="s">
        <v>1784</v>
      </c>
      <c r="S442" s="2"/>
      <c r="T442" s="2"/>
      <c r="U442" s="457" t="s">
        <v>1785</v>
      </c>
    </row>
    <row r="443" spans="1:21" ht="13.75" customHeight="1">
      <c r="A443" s="456" t="s">
        <v>1786</v>
      </c>
      <c r="B443" s="3" t="s">
        <v>1787</v>
      </c>
      <c r="C443" s="3" t="s">
        <v>1684</v>
      </c>
      <c r="D443" s="5">
        <v>2022</v>
      </c>
      <c r="E443" s="3" t="s">
        <v>361</v>
      </c>
      <c r="F443" s="3" t="s">
        <v>362</v>
      </c>
      <c r="G443" s="3" t="s">
        <v>363</v>
      </c>
      <c r="H443" s="5">
        <v>20231</v>
      </c>
      <c r="I443" s="3" t="s">
        <v>364</v>
      </c>
      <c r="J443" s="3" t="s">
        <v>278</v>
      </c>
      <c r="K443" s="3" t="s">
        <v>279</v>
      </c>
      <c r="L443" s="3" t="s">
        <v>307</v>
      </c>
      <c r="M443" s="3" t="s">
        <v>292</v>
      </c>
      <c r="N443" s="5">
        <v>500</v>
      </c>
      <c r="O443" s="5">
        <v>10</v>
      </c>
      <c r="P443" s="3" t="s">
        <v>365</v>
      </c>
      <c r="Q443" s="3" t="s">
        <v>388</v>
      </c>
      <c r="R443" s="3" t="s">
        <v>389</v>
      </c>
      <c r="S443" s="2"/>
      <c r="T443" s="2"/>
      <c r="U443" s="457" t="s">
        <v>368</v>
      </c>
    </row>
    <row r="444" spans="1:21" ht="13.75" customHeight="1">
      <c r="A444" s="456" t="s">
        <v>1788</v>
      </c>
      <c r="B444" s="3" t="s">
        <v>1789</v>
      </c>
      <c r="C444" s="3" t="s">
        <v>1684</v>
      </c>
      <c r="D444" s="5">
        <v>2022</v>
      </c>
      <c r="E444" s="3" t="s">
        <v>361</v>
      </c>
      <c r="F444" s="3" t="s">
        <v>362</v>
      </c>
      <c r="G444" s="3" t="s">
        <v>363</v>
      </c>
      <c r="H444" s="5">
        <v>20231</v>
      </c>
      <c r="I444" s="3" t="s">
        <v>364</v>
      </c>
      <c r="J444" s="3" t="s">
        <v>278</v>
      </c>
      <c r="K444" s="3" t="s">
        <v>279</v>
      </c>
      <c r="L444" s="3" t="s">
        <v>307</v>
      </c>
      <c r="M444" s="3" t="s">
        <v>292</v>
      </c>
      <c r="N444" s="5">
        <v>500</v>
      </c>
      <c r="O444" s="5">
        <v>10</v>
      </c>
      <c r="P444" s="3" t="s">
        <v>365</v>
      </c>
      <c r="Q444" s="3" t="s">
        <v>388</v>
      </c>
      <c r="R444" s="3" t="s">
        <v>389</v>
      </c>
      <c r="S444" s="2"/>
      <c r="T444" s="2"/>
      <c r="U444" s="457" t="s">
        <v>368</v>
      </c>
    </row>
    <row r="445" spans="1:21" ht="13.75" customHeight="1">
      <c r="A445" s="456" t="s">
        <v>1790</v>
      </c>
      <c r="B445" s="3" t="s">
        <v>1791</v>
      </c>
      <c r="C445" s="3" t="s">
        <v>1684</v>
      </c>
      <c r="D445" s="5">
        <v>2022</v>
      </c>
      <c r="E445" s="3" t="s">
        <v>361</v>
      </c>
      <c r="F445" s="3" t="s">
        <v>362</v>
      </c>
      <c r="G445" s="3" t="s">
        <v>363</v>
      </c>
      <c r="H445" s="5">
        <v>20231</v>
      </c>
      <c r="I445" s="3" t="s">
        <v>364</v>
      </c>
      <c r="J445" s="3" t="s">
        <v>278</v>
      </c>
      <c r="K445" s="3" t="s">
        <v>279</v>
      </c>
      <c r="L445" s="3" t="s">
        <v>307</v>
      </c>
      <c r="M445" s="3" t="s">
        <v>292</v>
      </c>
      <c r="N445" s="5">
        <v>500</v>
      </c>
      <c r="O445" s="5">
        <v>10</v>
      </c>
      <c r="P445" s="3" t="s">
        <v>365</v>
      </c>
      <c r="Q445" s="3" t="s">
        <v>388</v>
      </c>
      <c r="R445" s="3" t="s">
        <v>389</v>
      </c>
      <c r="S445" s="2"/>
      <c r="T445" s="2"/>
      <c r="U445" s="457" t="s">
        <v>368</v>
      </c>
    </row>
    <row r="446" spans="1:21" ht="13.75" customHeight="1">
      <c r="A446" s="456" t="s">
        <v>1792</v>
      </c>
      <c r="B446" s="3" t="s">
        <v>1793</v>
      </c>
      <c r="C446" s="3" t="s">
        <v>1794</v>
      </c>
      <c r="D446" s="5">
        <v>2020</v>
      </c>
      <c r="E446" s="3" t="s">
        <v>361</v>
      </c>
      <c r="F446" s="3" t="s">
        <v>362</v>
      </c>
      <c r="G446" s="3" t="s">
        <v>363</v>
      </c>
      <c r="H446" s="5">
        <v>20231</v>
      </c>
      <c r="I446" s="3" t="s">
        <v>364</v>
      </c>
      <c r="J446" s="3" t="s">
        <v>278</v>
      </c>
      <c r="K446" s="3" t="s">
        <v>279</v>
      </c>
      <c r="L446" s="3" t="s">
        <v>307</v>
      </c>
      <c r="M446" s="3" t="s">
        <v>292</v>
      </c>
      <c r="N446" s="5">
        <v>500</v>
      </c>
      <c r="O446" s="5">
        <v>10</v>
      </c>
      <c r="P446" s="3" t="s">
        <v>365</v>
      </c>
      <c r="Q446" s="3" t="s">
        <v>388</v>
      </c>
      <c r="R446" s="3" t="s">
        <v>389</v>
      </c>
      <c r="S446" s="2"/>
      <c r="T446" s="2"/>
      <c r="U446" s="457" t="s">
        <v>368</v>
      </c>
    </row>
    <row r="447" spans="1:21" ht="13.75" customHeight="1">
      <c r="A447" s="456" t="s">
        <v>1795</v>
      </c>
      <c r="B447" s="3" t="s">
        <v>1796</v>
      </c>
      <c r="C447" s="3" t="s">
        <v>1794</v>
      </c>
      <c r="D447" s="5">
        <v>2020</v>
      </c>
      <c r="E447" s="3" t="s">
        <v>1797</v>
      </c>
      <c r="F447" s="3" t="s">
        <v>1798</v>
      </c>
      <c r="G447" s="3" t="s">
        <v>1799</v>
      </c>
      <c r="H447" s="5">
        <v>20221</v>
      </c>
      <c r="I447" s="3" t="s">
        <v>1800</v>
      </c>
      <c r="J447" s="3" t="s">
        <v>278</v>
      </c>
      <c r="K447" s="3" t="s">
        <v>279</v>
      </c>
      <c r="L447" s="3" t="s">
        <v>291</v>
      </c>
      <c r="M447" s="3" t="s">
        <v>292</v>
      </c>
      <c r="N447" s="5">
        <v>30</v>
      </c>
      <c r="O447" s="5">
        <v>5</v>
      </c>
      <c r="P447" s="2"/>
      <c r="Q447" s="3" t="s">
        <v>1801</v>
      </c>
      <c r="R447" s="3" t="s">
        <v>1802</v>
      </c>
      <c r="S447" s="2"/>
      <c r="T447" s="2"/>
      <c r="U447" s="457" t="s">
        <v>408</v>
      </c>
    </row>
    <row r="448" spans="1:21" ht="13.75" customHeight="1">
      <c r="A448" s="456" t="s">
        <v>1795</v>
      </c>
      <c r="B448" s="3" t="s">
        <v>1796</v>
      </c>
      <c r="C448" s="3" t="s">
        <v>1794</v>
      </c>
      <c r="D448" s="5">
        <v>2020</v>
      </c>
      <c r="E448" s="3" t="s">
        <v>1803</v>
      </c>
      <c r="F448" s="3" t="s">
        <v>1804</v>
      </c>
      <c r="G448" s="3" t="s">
        <v>1805</v>
      </c>
      <c r="H448" s="5">
        <v>20222</v>
      </c>
      <c r="I448" s="3" t="s">
        <v>1803</v>
      </c>
      <c r="J448" s="3" t="s">
        <v>1806</v>
      </c>
      <c r="K448" s="3" t="s">
        <v>279</v>
      </c>
      <c r="L448" s="3" t="s">
        <v>291</v>
      </c>
      <c r="M448" s="3" t="s">
        <v>292</v>
      </c>
      <c r="N448" s="5">
        <v>15</v>
      </c>
      <c r="O448" s="5">
        <v>5</v>
      </c>
      <c r="P448" s="2"/>
      <c r="Q448" s="3" t="s">
        <v>1807</v>
      </c>
      <c r="R448" s="3" t="s">
        <v>1808</v>
      </c>
      <c r="S448" s="2"/>
      <c r="T448" s="2"/>
      <c r="U448" s="457" t="s">
        <v>408</v>
      </c>
    </row>
    <row r="449" spans="1:21" ht="13.75" customHeight="1">
      <c r="A449" s="456" t="s">
        <v>1809</v>
      </c>
      <c r="B449" s="3" t="s">
        <v>1810</v>
      </c>
      <c r="C449" s="3" t="s">
        <v>1794</v>
      </c>
      <c r="D449" s="5">
        <v>2020</v>
      </c>
      <c r="E449" s="3" t="s">
        <v>1811</v>
      </c>
      <c r="F449" s="3" t="s">
        <v>1804</v>
      </c>
      <c r="G449" s="3" t="s">
        <v>1812</v>
      </c>
      <c r="H449" s="5">
        <v>20222</v>
      </c>
      <c r="I449" s="3" t="s">
        <v>1811</v>
      </c>
      <c r="J449" s="3" t="s">
        <v>278</v>
      </c>
      <c r="K449" s="3" t="s">
        <v>279</v>
      </c>
      <c r="L449" s="3" t="s">
        <v>291</v>
      </c>
      <c r="M449" s="3" t="s">
        <v>292</v>
      </c>
      <c r="N449" s="5">
        <v>50</v>
      </c>
      <c r="O449" s="5">
        <v>5</v>
      </c>
      <c r="P449" s="2"/>
      <c r="Q449" s="3" t="s">
        <v>1813</v>
      </c>
      <c r="R449" s="3" t="s">
        <v>1814</v>
      </c>
      <c r="S449" s="2"/>
      <c r="T449" s="2"/>
      <c r="U449" s="457" t="s">
        <v>408</v>
      </c>
    </row>
    <row r="450" spans="1:21" ht="13.75" customHeight="1">
      <c r="A450" s="456" t="s">
        <v>1815</v>
      </c>
      <c r="B450" s="3" t="s">
        <v>1816</v>
      </c>
      <c r="C450" s="3" t="s">
        <v>1794</v>
      </c>
      <c r="D450" s="5">
        <v>2020</v>
      </c>
      <c r="E450" s="3" t="s">
        <v>1817</v>
      </c>
      <c r="F450" s="3" t="s">
        <v>1818</v>
      </c>
      <c r="G450" s="3" t="s">
        <v>1819</v>
      </c>
      <c r="H450" s="5">
        <v>20221</v>
      </c>
      <c r="I450" s="3" t="s">
        <v>1820</v>
      </c>
      <c r="J450" s="3" t="s">
        <v>278</v>
      </c>
      <c r="K450" s="3" t="s">
        <v>355</v>
      </c>
      <c r="L450" s="3" t="s">
        <v>307</v>
      </c>
      <c r="M450" s="3" t="s">
        <v>281</v>
      </c>
      <c r="N450" s="5">
        <v>2</v>
      </c>
      <c r="O450" s="5">
        <v>60</v>
      </c>
      <c r="P450" s="3" t="s">
        <v>1821</v>
      </c>
      <c r="Q450" s="3" t="s">
        <v>1822</v>
      </c>
      <c r="R450" s="2"/>
      <c r="S450" s="2"/>
      <c r="T450" s="2"/>
      <c r="U450" s="457" t="s">
        <v>1823</v>
      </c>
    </row>
    <row r="451" spans="1:21" ht="13.75" customHeight="1">
      <c r="A451" s="456" t="s">
        <v>1824</v>
      </c>
      <c r="B451" s="3" t="s">
        <v>1825</v>
      </c>
      <c r="C451" s="3" t="s">
        <v>1794</v>
      </c>
      <c r="D451" s="5">
        <v>2021</v>
      </c>
      <c r="E451" s="3" t="s">
        <v>361</v>
      </c>
      <c r="F451" s="3" t="s">
        <v>362</v>
      </c>
      <c r="G451" s="3" t="s">
        <v>363</v>
      </c>
      <c r="H451" s="5">
        <v>20231</v>
      </c>
      <c r="I451" s="3" t="s">
        <v>364</v>
      </c>
      <c r="J451" s="3" t="s">
        <v>278</v>
      </c>
      <c r="K451" s="3" t="s">
        <v>279</v>
      </c>
      <c r="L451" s="3" t="s">
        <v>307</v>
      </c>
      <c r="M451" s="3" t="s">
        <v>292</v>
      </c>
      <c r="N451" s="5">
        <v>500</v>
      </c>
      <c r="O451" s="5">
        <v>10</v>
      </c>
      <c r="P451" s="3" t="s">
        <v>365</v>
      </c>
      <c r="Q451" s="3" t="s">
        <v>388</v>
      </c>
      <c r="R451" s="3" t="s">
        <v>389</v>
      </c>
      <c r="S451" s="2"/>
      <c r="T451" s="2"/>
      <c r="U451" s="457" t="s">
        <v>368</v>
      </c>
    </row>
    <row r="452" spans="1:21" ht="13.75" customHeight="1">
      <c r="A452" s="456" t="s">
        <v>1826</v>
      </c>
      <c r="B452" s="3" t="s">
        <v>1827</v>
      </c>
      <c r="C452" s="3" t="s">
        <v>1794</v>
      </c>
      <c r="D452" s="5">
        <v>2021</v>
      </c>
      <c r="E452" s="3" t="s">
        <v>1828</v>
      </c>
      <c r="F452" s="3" t="s">
        <v>1829</v>
      </c>
      <c r="G452" s="3" t="s">
        <v>1829</v>
      </c>
      <c r="H452" s="5">
        <v>20231</v>
      </c>
      <c r="I452" s="3" t="s">
        <v>1830</v>
      </c>
      <c r="J452" s="3" t="s">
        <v>278</v>
      </c>
      <c r="K452" s="3" t="s">
        <v>279</v>
      </c>
      <c r="L452" s="3" t="s">
        <v>280</v>
      </c>
      <c r="M452" s="3" t="s">
        <v>292</v>
      </c>
      <c r="N452" s="5">
        <v>100</v>
      </c>
      <c r="O452" s="5">
        <v>15</v>
      </c>
      <c r="P452" s="3" t="s">
        <v>1831</v>
      </c>
      <c r="Q452" s="3" t="s">
        <v>1832</v>
      </c>
      <c r="R452" s="3" t="s">
        <v>1833</v>
      </c>
      <c r="S452" s="2"/>
      <c r="T452" s="2"/>
      <c r="U452" s="457" t="s">
        <v>1834</v>
      </c>
    </row>
    <row r="453" spans="1:21" ht="13.75" customHeight="1">
      <c r="A453" s="456" t="s">
        <v>1826</v>
      </c>
      <c r="B453" s="3" t="s">
        <v>1827</v>
      </c>
      <c r="C453" s="3" t="s">
        <v>1794</v>
      </c>
      <c r="D453" s="5">
        <v>2021</v>
      </c>
      <c r="E453" s="3" t="s">
        <v>1835</v>
      </c>
      <c r="F453" s="3" t="s">
        <v>1836</v>
      </c>
      <c r="G453" s="3" t="s">
        <v>1837</v>
      </c>
      <c r="H453" s="5">
        <v>20231</v>
      </c>
      <c r="I453" s="3" t="s">
        <v>1838</v>
      </c>
      <c r="J453" s="3" t="s">
        <v>278</v>
      </c>
      <c r="K453" s="3" t="s">
        <v>332</v>
      </c>
      <c r="L453" s="3" t="s">
        <v>280</v>
      </c>
      <c r="M453" s="3" t="s">
        <v>292</v>
      </c>
      <c r="N453" s="5">
        <v>36</v>
      </c>
      <c r="O453" s="5">
        <v>15</v>
      </c>
      <c r="P453" s="2"/>
      <c r="Q453" s="3" t="s">
        <v>1839</v>
      </c>
      <c r="R453" s="3" t="s">
        <v>1840</v>
      </c>
      <c r="S453" s="2"/>
      <c r="T453" s="2"/>
      <c r="U453" s="457" t="s">
        <v>1841</v>
      </c>
    </row>
    <row r="454" spans="1:21" ht="13.75" customHeight="1">
      <c r="A454" s="456" t="s">
        <v>1842</v>
      </c>
      <c r="B454" s="3" t="s">
        <v>1843</v>
      </c>
      <c r="C454" s="3" t="s">
        <v>1794</v>
      </c>
      <c r="D454" s="5">
        <v>2022</v>
      </c>
      <c r="E454" s="3" t="s">
        <v>1844</v>
      </c>
      <c r="F454" s="3" t="s">
        <v>1077</v>
      </c>
      <c r="G454" s="3" t="s">
        <v>1845</v>
      </c>
      <c r="H454" s="5">
        <v>20222</v>
      </c>
      <c r="I454" s="3" t="s">
        <v>1846</v>
      </c>
      <c r="J454" s="3" t="s">
        <v>278</v>
      </c>
      <c r="K454" s="3" t="s">
        <v>279</v>
      </c>
      <c r="L454" s="3" t="s">
        <v>291</v>
      </c>
      <c r="M454" s="3" t="s">
        <v>281</v>
      </c>
      <c r="N454" s="5">
        <v>20</v>
      </c>
      <c r="O454" s="5">
        <v>5</v>
      </c>
      <c r="P454" s="2"/>
      <c r="Q454" s="3" t="s">
        <v>1847</v>
      </c>
      <c r="R454" s="3" t="s">
        <v>1848</v>
      </c>
      <c r="S454" s="2"/>
      <c r="T454" s="2"/>
      <c r="U454" s="457" t="s">
        <v>469</v>
      </c>
    </row>
    <row r="455" spans="1:21" ht="13.75" customHeight="1">
      <c r="A455" s="456" t="s">
        <v>1849</v>
      </c>
      <c r="B455" s="3" t="s">
        <v>1850</v>
      </c>
      <c r="C455" s="3" t="s">
        <v>1794</v>
      </c>
      <c r="D455" s="5">
        <v>2022</v>
      </c>
      <c r="E455" s="3" t="s">
        <v>361</v>
      </c>
      <c r="F455" s="3" t="s">
        <v>362</v>
      </c>
      <c r="G455" s="3" t="s">
        <v>363</v>
      </c>
      <c r="H455" s="5">
        <v>20231</v>
      </c>
      <c r="I455" s="3" t="s">
        <v>364</v>
      </c>
      <c r="J455" s="3" t="s">
        <v>278</v>
      </c>
      <c r="K455" s="3" t="s">
        <v>279</v>
      </c>
      <c r="L455" s="3" t="s">
        <v>307</v>
      </c>
      <c r="M455" s="3" t="s">
        <v>292</v>
      </c>
      <c r="N455" s="5">
        <v>500</v>
      </c>
      <c r="O455" s="5">
        <v>10</v>
      </c>
      <c r="P455" s="3" t="s">
        <v>365</v>
      </c>
      <c r="Q455" s="3" t="s">
        <v>388</v>
      </c>
      <c r="R455" s="3" t="s">
        <v>389</v>
      </c>
      <c r="S455" s="2"/>
      <c r="T455" s="2"/>
      <c r="U455" s="457" t="s">
        <v>368</v>
      </c>
    </row>
    <row r="456" spans="1:21" ht="13.75" customHeight="1">
      <c r="A456" s="456" t="s">
        <v>1851</v>
      </c>
      <c r="B456" s="3" t="s">
        <v>1852</v>
      </c>
      <c r="C456" s="3" t="s">
        <v>1794</v>
      </c>
      <c r="D456" s="5">
        <v>2022</v>
      </c>
      <c r="E456" s="3" t="s">
        <v>361</v>
      </c>
      <c r="F456" s="3" t="s">
        <v>362</v>
      </c>
      <c r="G456" s="3" t="s">
        <v>363</v>
      </c>
      <c r="H456" s="5">
        <v>20231</v>
      </c>
      <c r="I456" s="3" t="s">
        <v>364</v>
      </c>
      <c r="J456" s="3" t="s">
        <v>278</v>
      </c>
      <c r="K456" s="3" t="s">
        <v>279</v>
      </c>
      <c r="L456" s="3" t="s">
        <v>307</v>
      </c>
      <c r="M456" s="3" t="s">
        <v>292</v>
      </c>
      <c r="N456" s="5">
        <v>500</v>
      </c>
      <c r="O456" s="5">
        <v>10</v>
      </c>
      <c r="P456" s="3" t="s">
        <v>365</v>
      </c>
      <c r="Q456" s="3" t="s">
        <v>388</v>
      </c>
      <c r="R456" s="3" t="s">
        <v>389</v>
      </c>
      <c r="S456" s="2"/>
      <c r="T456" s="2"/>
      <c r="U456" s="457" t="s">
        <v>368</v>
      </c>
    </row>
    <row r="457" spans="1:21" ht="13.75" customHeight="1">
      <c r="A457" s="456" t="s">
        <v>1853</v>
      </c>
      <c r="B457" s="3" t="s">
        <v>1854</v>
      </c>
      <c r="C457" s="3" t="s">
        <v>1794</v>
      </c>
      <c r="D457" s="5">
        <v>2023</v>
      </c>
      <c r="E457" s="3" t="s">
        <v>361</v>
      </c>
      <c r="F457" s="3" t="s">
        <v>362</v>
      </c>
      <c r="G457" s="3" t="s">
        <v>363</v>
      </c>
      <c r="H457" s="5">
        <v>20231</v>
      </c>
      <c r="I457" s="3" t="s">
        <v>364</v>
      </c>
      <c r="J457" s="3" t="s">
        <v>278</v>
      </c>
      <c r="K457" s="3" t="s">
        <v>279</v>
      </c>
      <c r="L457" s="3" t="s">
        <v>307</v>
      </c>
      <c r="M457" s="3" t="s">
        <v>292</v>
      </c>
      <c r="N457" s="5">
        <v>500</v>
      </c>
      <c r="O457" s="5">
        <v>10</v>
      </c>
      <c r="P457" s="3" t="s">
        <v>365</v>
      </c>
      <c r="Q457" s="3" t="s">
        <v>388</v>
      </c>
      <c r="R457" s="3" t="s">
        <v>389</v>
      </c>
      <c r="S457" s="2"/>
      <c r="T457" s="2"/>
      <c r="U457" s="457" t="s">
        <v>368</v>
      </c>
    </row>
    <row r="458" spans="1:21" ht="13.75" customHeight="1">
      <c r="A458" s="456" t="s">
        <v>1855</v>
      </c>
      <c r="B458" s="3" t="s">
        <v>1856</v>
      </c>
      <c r="C458" s="3" t="s">
        <v>1857</v>
      </c>
      <c r="D458" s="5">
        <v>2019</v>
      </c>
      <c r="E458" s="3" t="s">
        <v>1858</v>
      </c>
      <c r="F458" s="3" t="s">
        <v>322</v>
      </c>
      <c r="G458" s="3" t="s">
        <v>1859</v>
      </c>
      <c r="H458" s="5">
        <v>20212</v>
      </c>
      <c r="I458" s="3" t="s">
        <v>1860</v>
      </c>
      <c r="J458" s="3" t="s">
        <v>278</v>
      </c>
      <c r="K458" s="3" t="s">
        <v>332</v>
      </c>
      <c r="L458" s="3" t="s">
        <v>291</v>
      </c>
      <c r="M458" s="3" t="s">
        <v>1119</v>
      </c>
      <c r="N458" s="5">
        <v>300</v>
      </c>
      <c r="O458" s="5">
        <v>5</v>
      </c>
      <c r="P458" s="2"/>
      <c r="Q458" s="3" t="s">
        <v>1861</v>
      </c>
      <c r="R458" s="2"/>
      <c r="S458" s="2"/>
      <c r="T458" s="2"/>
      <c r="U458" s="457" t="s">
        <v>1862</v>
      </c>
    </row>
    <row r="459" spans="1:21" ht="13.75" customHeight="1">
      <c r="A459" s="456" t="s">
        <v>1863</v>
      </c>
      <c r="B459" s="3" t="s">
        <v>1864</v>
      </c>
      <c r="C459" s="3" t="s">
        <v>1857</v>
      </c>
      <c r="D459" s="5">
        <v>2019</v>
      </c>
      <c r="E459" s="3" t="s">
        <v>361</v>
      </c>
      <c r="F459" s="3" t="s">
        <v>362</v>
      </c>
      <c r="G459" s="3" t="s">
        <v>363</v>
      </c>
      <c r="H459" s="5">
        <v>20231</v>
      </c>
      <c r="I459" s="3" t="s">
        <v>364</v>
      </c>
      <c r="J459" s="3" t="s">
        <v>278</v>
      </c>
      <c r="K459" s="3" t="s">
        <v>279</v>
      </c>
      <c r="L459" s="3" t="s">
        <v>307</v>
      </c>
      <c r="M459" s="3" t="s">
        <v>292</v>
      </c>
      <c r="N459" s="5">
        <v>500</v>
      </c>
      <c r="O459" s="5">
        <v>10</v>
      </c>
      <c r="P459" s="3" t="s">
        <v>365</v>
      </c>
      <c r="Q459" s="3" t="s">
        <v>388</v>
      </c>
      <c r="R459" s="3" t="s">
        <v>389</v>
      </c>
      <c r="S459" s="2"/>
      <c r="T459" s="2"/>
      <c r="U459" s="457" t="s">
        <v>368</v>
      </c>
    </row>
    <row r="460" spans="1:21" ht="13.75" customHeight="1">
      <c r="A460" s="456" t="s">
        <v>1865</v>
      </c>
      <c r="B460" s="3" t="s">
        <v>1866</v>
      </c>
      <c r="C460" s="3" t="s">
        <v>1857</v>
      </c>
      <c r="D460" s="5">
        <v>2020</v>
      </c>
      <c r="E460" s="3" t="s">
        <v>361</v>
      </c>
      <c r="F460" s="3" t="s">
        <v>362</v>
      </c>
      <c r="G460" s="3" t="s">
        <v>363</v>
      </c>
      <c r="H460" s="5">
        <v>20231</v>
      </c>
      <c r="I460" s="3" t="s">
        <v>364</v>
      </c>
      <c r="J460" s="3" t="s">
        <v>278</v>
      </c>
      <c r="K460" s="3" t="s">
        <v>279</v>
      </c>
      <c r="L460" s="3" t="s">
        <v>307</v>
      </c>
      <c r="M460" s="3" t="s">
        <v>292</v>
      </c>
      <c r="N460" s="5">
        <v>500</v>
      </c>
      <c r="O460" s="5">
        <v>10</v>
      </c>
      <c r="P460" s="3" t="s">
        <v>365</v>
      </c>
      <c r="Q460" s="3" t="s">
        <v>388</v>
      </c>
      <c r="R460" s="3" t="s">
        <v>389</v>
      </c>
      <c r="S460" s="2"/>
      <c r="T460" s="2"/>
      <c r="U460" s="457" t="s">
        <v>368</v>
      </c>
    </row>
    <row r="461" spans="1:21" ht="13.75" customHeight="1">
      <c r="A461" s="456" t="s">
        <v>1867</v>
      </c>
      <c r="B461" s="3" t="s">
        <v>1868</v>
      </c>
      <c r="C461" s="3" t="s">
        <v>1857</v>
      </c>
      <c r="D461" s="5">
        <v>2020</v>
      </c>
      <c r="E461" s="3" t="s">
        <v>1869</v>
      </c>
      <c r="F461" s="3" t="s">
        <v>1870</v>
      </c>
      <c r="G461" s="3" t="s">
        <v>1871</v>
      </c>
      <c r="H461" s="5">
        <v>20212</v>
      </c>
      <c r="I461" s="3" t="s">
        <v>1872</v>
      </c>
      <c r="J461" s="3" t="s">
        <v>278</v>
      </c>
      <c r="K461" s="3" t="s">
        <v>355</v>
      </c>
      <c r="L461" s="3" t="s">
        <v>307</v>
      </c>
      <c r="M461" s="3" t="s">
        <v>281</v>
      </c>
      <c r="N461" s="5">
        <v>5</v>
      </c>
      <c r="O461" s="5">
        <v>15</v>
      </c>
      <c r="P461" s="3" t="s">
        <v>1873</v>
      </c>
      <c r="Q461" s="3" t="s">
        <v>1874</v>
      </c>
      <c r="R461" s="2"/>
      <c r="S461" s="2"/>
      <c r="T461" s="2"/>
      <c r="U461" s="457" t="s">
        <v>1875</v>
      </c>
    </row>
    <row r="462" spans="1:21" ht="13.75" customHeight="1">
      <c r="A462" s="456" t="s">
        <v>1876</v>
      </c>
      <c r="B462" s="3" t="s">
        <v>1877</v>
      </c>
      <c r="C462" s="3" t="s">
        <v>1857</v>
      </c>
      <c r="D462" s="5">
        <v>2020</v>
      </c>
      <c r="E462" s="3" t="s">
        <v>1878</v>
      </c>
      <c r="F462" s="3" t="s">
        <v>1879</v>
      </c>
      <c r="G462" s="3" t="s">
        <v>1879</v>
      </c>
      <c r="H462" s="5">
        <v>20221</v>
      </c>
      <c r="I462" s="3" t="s">
        <v>1880</v>
      </c>
      <c r="J462" s="3" t="s">
        <v>278</v>
      </c>
      <c r="K462" s="3" t="s">
        <v>279</v>
      </c>
      <c r="L462" s="3" t="s">
        <v>280</v>
      </c>
      <c r="M462" s="3" t="s">
        <v>292</v>
      </c>
      <c r="N462" s="5">
        <v>150</v>
      </c>
      <c r="O462" s="5">
        <v>15</v>
      </c>
      <c r="P462" s="3" t="s">
        <v>1881</v>
      </c>
      <c r="Q462" s="3" t="s">
        <v>1882</v>
      </c>
      <c r="R462" s="2"/>
      <c r="S462" s="2"/>
      <c r="T462" s="2"/>
      <c r="U462" s="457" t="s">
        <v>1883</v>
      </c>
    </row>
    <row r="463" spans="1:21" ht="13.75" customHeight="1">
      <c r="A463" s="456" t="s">
        <v>1876</v>
      </c>
      <c r="B463" s="3" t="s">
        <v>1877</v>
      </c>
      <c r="C463" s="3" t="s">
        <v>1857</v>
      </c>
      <c r="D463" s="5">
        <v>2020</v>
      </c>
      <c r="E463" s="3" t="s">
        <v>1884</v>
      </c>
      <c r="F463" s="3" t="s">
        <v>1885</v>
      </c>
      <c r="G463" s="3" t="s">
        <v>1885</v>
      </c>
      <c r="H463" s="5">
        <v>20231</v>
      </c>
      <c r="I463" s="3" t="s">
        <v>1886</v>
      </c>
      <c r="J463" s="3" t="s">
        <v>278</v>
      </c>
      <c r="K463" s="3" t="s">
        <v>355</v>
      </c>
      <c r="L463" s="3" t="s">
        <v>307</v>
      </c>
      <c r="M463" s="3" t="s">
        <v>292</v>
      </c>
      <c r="N463" s="5">
        <v>2</v>
      </c>
      <c r="O463" s="5">
        <v>40</v>
      </c>
      <c r="P463" s="3" t="s">
        <v>1887</v>
      </c>
      <c r="Q463" s="3" t="s">
        <v>1888</v>
      </c>
      <c r="R463" s="2"/>
      <c r="S463" s="2"/>
      <c r="T463" s="2"/>
      <c r="U463" s="457" t="s">
        <v>1889</v>
      </c>
    </row>
    <row r="464" spans="1:21" ht="13.75" customHeight="1">
      <c r="A464" s="456" t="s">
        <v>1890</v>
      </c>
      <c r="B464" s="3" t="s">
        <v>1891</v>
      </c>
      <c r="C464" s="3" t="s">
        <v>1857</v>
      </c>
      <c r="D464" s="5">
        <v>2020</v>
      </c>
      <c r="E464" s="3" t="s">
        <v>361</v>
      </c>
      <c r="F464" s="3" t="s">
        <v>362</v>
      </c>
      <c r="G464" s="3" t="s">
        <v>363</v>
      </c>
      <c r="H464" s="5">
        <v>20231</v>
      </c>
      <c r="I464" s="3" t="s">
        <v>364</v>
      </c>
      <c r="J464" s="3" t="s">
        <v>278</v>
      </c>
      <c r="K464" s="3" t="s">
        <v>279</v>
      </c>
      <c r="L464" s="3" t="s">
        <v>307</v>
      </c>
      <c r="M464" s="3" t="s">
        <v>292</v>
      </c>
      <c r="N464" s="5">
        <v>500</v>
      </c>
      <c r="O464" s="5">
        <v>10</v>
      </c>
      <c r="P464" s="3" t="s">
        <v>365</v>
      </c>
      <c r="Q464" s="3" t="s">
        <v>388</v>
      </c>
      <c r="R464" s="3" t="s">
        <v>389</v>
      </c>
      <c r="S464" s="2"/>
      <c r="T464" s="2"/>
      <c r="U464" s="457" t="s">
        <v>368</v>
      </c>
    </row>
    <row r="465" spans="1:21" ht="13.75" customHeight="1">
      <c r="A465" s="456" t="s">
        <v>1892</v>
      </c>
      <c r="B465" s="3" t="s">
        <v>1893</v>
      </c>
      <c r="C465" s="3" t="s">
        <v>1857</v>
      </c>
      <c r="D465" s="5">
        <v>2020</v>
      </c>
      <c r="E465" s="3" t="s">
        <v>361</v>
      </c>
      <c r="F465" s="3" t="s">
        <v>362</v>
      </c>
      <c r="G465" s="3" t="s">
        <v>363</v>
      </c>
      <c r="H465" s="5">
        <v>20231</v>
      </c>
      <c r="I465" s="3" t="s">
        <v>364</v>
      </c>
      <c r="J465" s="3" t="s">
        <v>278</v>
      </c>
      <c r="K465" s="3" t="s">
        <v>279</v>
      </c>
      <c r="L465" s="3" t="s">
        <v>307</v>
      </c>
      <c r="M465" s="3" t="s">
        <v>292</v>
      </c>
      <c r="N465" s="5">
        <v>500</v>
      </c>
      <c r="O465" s="5">
        <v>10</v>
      </c>
      <c r="P465" s="3" t="s">
        <v>365</v>
      </c>
      <c r="Q465" s="3" t="s">
        <v>388</v>
      </c>
      <c r="R465" s="3" t="s">
        <v>389</v>
      </c>
      <c r="S465" s="2"/>
      <c r="T465" s="2"/>
      <c r="U465" s="457" t="s">
        <v>368</v>
      </c>
    </row>
    <row r="466" spans="1:21" ht="13.75" customHeight="1">
      <c r="A466" s="456" t="s">
        <v>1894</v>
      </c>
      <c r="B466" s="3" t="s">
        <v>1895</v>
      </c>
      <c r="C466" s="3" t="s">
        <v>1857</v>
      </c>
      <c r="D466" s="5">
        <v>2020</v>
      </c>
      <c r="E466" s="3" t="s">
        <v>1869</v>
      </c>
      <c r="F466" s="3" t="s">
        <v>1896</v>
      </c>
      <c r="G466" s="3" t="s">
        <v>1897</v>
      </c>
      <c r="H466" s="5">
        <v>20221</v>
      </c>
      <c r="I466" s="3" t="s">
        <v>1898</v>
      </c>
      <c r="J466" s="3" t="s">
        <v>278</v>
      </c>
      <c r="K466" s="3" t="s">
        <v>355</v>
      </c>
      <c r="L466" s="3" t="s">
        <v>307</v>
      </c>
      <c r="M466" s="3" t="s">
        <v>281</v>
      </c>
      <c r="N466" s="5">
        <v>5</v>
      </c>
      <c r="O466" s="5">
        <v>15</v>
      </c>
      <c r="P466" s="3" t="s">
        <v>1899</v>
      </c>
      <c r="Q466" s="3" t="s">
        <v>1900</v>
      </c>
      <c r="R466" s="2"/>
      <c r="S466" s="2"/>
      <c r="T466" s="2"/>
      <c r="U466" s="457" t="s">
        <v>1875</v>
      </c>
    </row>
    <row r="467" spans="1:21" ht="13.75" customHeight="1">
      <c r="A467" s="456" t="s">
        <v>1901</v>
      </c>
      <c r="B467" s="3" t="s">
        <v>1902</v>
      </c>
      <c r="C467" s="3" t="s">
        <v>1857</v>
      </c>
      <c r="D467" s="5">
        <v>2020</v>
      </c>
      <c r="E467" s="3" t="s">
        <v>361</v>
      </c>
      <c r="F467" s="3" t="s">
        <v>362</v>
      </c>
      <c r="G467" s="3" t="s">
        <v>363</v>
      </c>
      <c r="H467" s="5">
        <v>20231</v>
      </c>
      <c r="I467" s="3" t="s">
        <v>364</v>
      </c>
      <c r="J467" s="3" t="s">
        <v>278</v>
      </c>
      <c r="K467" s="3" t="s">
        <v>279</v>
      </c>
      <c r="L467" s="3" t="s">
        <v>307</v>
      </c>
      <c r="M467" s="3" t="s">
        <v>292</v>
      </c>
      <c r="N467" s="5">
        <v>500</v>
      </c>
      <c r="O467" s="5">
        <v>10</v>
      </c>
      <c r="P467" s="3" t="s">
        <v>365</v>
      </c>
      <c r="Q467" s="3" t="s">
        <v>388</v>
      </c>
      <c r="R467" s="3" t="s">
        <v>389</v>
      </c>
      <c r="S467" s="2"/>
      <c r="T467" s="2"/>
      <c r="U467" s="457" t="s">
        <v>368</v>
      </c>
    </row>
    <row r="468" spans="1:21" ht="13.75" customHeight="1">
      <c r="A468" s="461" t="s">
        <v>1903</v>
      </c>
      <c r="B468" s="462" t="s">
        <v>1904</v>
      </c>
      <c r="C468" s="462" t="s">
        <v>1857</v>
      </c>
      <c r="D468" s="463">
        <v>2022</v>
      </c>
      <c r="E468" s="462" t="s">
        <v>1905</v>
      </c>
      <c r="F468" s="462" t="s">
        <v>1906</v>
      </c>
      <c r="G468" s="462" t="s">
        <v>1906</v>
      </c>
      <c r="H468" s="463">
        <v>20222</v>
      </c>
      <c r="I468" s="462" t="s">
        <v>1907</v>
      </c>
      <c r="J468" s="462" t="s">
        <v>278</v>
      </c>
      <c r="K468" s="462" t="s">
        <v>279</v>
      </c>
      <c r="L468" s="462" t="s">
        <v>280</v>
      </c>
      <c r="M468" s="462" t="s">
        <v>292</v>
      </c>
      <c r="N468" s="463">
        <v>0</v>
      </c>
      <c r="O468" s="463">
        <v>6</v>
      </c>
      <c r="P468" s="25"/>
      <c r="Q468" s="462" t="s">
        <v>1908</v>
      </c>
      <c r="R468" s="25"/>
      <c r="S468" s="25"/>
      <c r="T468" s="25"/>
      <c r="U468" s="464" t="s">
        <v>1909</v>
      </c>
    </row>
  </sheetData>
  <hyperlinks>
    <hyperlink ref="P2" r:id="rId1" xr:uid="{BEA97623-2C3F-486A-AD40-EC8F3332EA14}"/>
    <hyperlink ref="Q2" r:id="rId2" xr:uid="{BD31AB4D-0F13-42B0-BB93-5D299F61181A}"/>
    <hyperlink ref="R2" r:id="rId3" xr:uid="{0801FA45-E117-4331-B303-9CEDEB4F0673}"/>
    <hyperlink ref="Q3" r:id="rId4" xr:uid="{CB26B820-CA04-4D46-8ED0-2267AEE73A2E}"/>
    <hyperlink ref="Q4" r:id="rId5" xr:uid="{2F337BA7-4A84-4D08-89A1-04D17C60C962}"/>
    <hyperlink ref="Q5" r:id="rId6" xr:uid="{5A19BFBE-7D15-4352-8A5B-699ED664E1DC}"/>
    <hyperlink ref="Q6" r:id="rId7" xr:uid="{2926A71E-9989-4574-9E4C-CDA3FBEFDB6A}"/>
    <hyperlink ref="R6" r:id="rId8" xr:uid="{DAFEEC10-BBD0-4303-9249-2F340C3C08AE}"/>
    <hyperlink ref="Q7" r:id="rId9" xr:uid="{3995BA72-633C-48B2-98E8-F346D2A24404}"/>
    <hyperlink ref="Q8" r:id="rId10" xr:uid="{4B8CE1E0-D2BD-4757-958B-C4A2F4C59F51}"/>
    <hyperlink ref="R8" r:id="rId11" xr:uid="{5B42E4E5-06C0-43AF-B085-B168678E8499}"/>
    <hyperlink ref="Q9" r:id="rId12" xr:uid="{6ACFC502-6866-4BA5-B3B8-359D1FEA1EFA}"/>
    <hyperlink ref="R9" r:id="rId13" xr:uid="{88C081DD-0256-47BD-A8E8-3AC2A0F5B1DE}"/>
    <hyperlink ref="P10" r:id="rId14" xr:uid="{C0BB24CD-6C30-463D-BBB2-7E7FA72D1DC5}"/>
    <hyperlink ref="S10" r:id="rId15" xr:uid="{ABCEFC3A-1E87-47F3-9F1B-CA37A290E0C8}"/>
    <hyperlink ref="P11" r:id="rId16" xr:uid="{BAF23A78-E7B0-4F18-BCD3-432E83C1A1B3}"/>
    <hyperlink ref="Q11" r:id="rId17" xr:uid="{986B2373-C26F-424F-BB8C-5AB562317422}"/>
    <hyperlink ref="P12" r:id="rId18" xr:uid="{5F19DD62-46A6-4CCE-84CF-106E2F465419}"/>
    <hyperlink ref="Q12" r:id="rId19" xr:uid="{8555C32D-E9D7-40F0-8A65-F222595732C9}"/>
    <hyperlink ref="R12" r:id="rId20" xr:uid="{A6DEAD06-AB03-4554-AD91-43BDECE937CF}"/>
    <hyperlink ref="P13" r:id="rId21" xr:uid="{CEA7C1E9-B6F6-4D7F-8049-A49A6E6D0F27}"/>
    <hyperlink ref="S13" r:id="rId22" xr:uid="{C3FEFA3B-3A6F-4BC8-8C8C-3930E977DE86}"/>
    <hyperlink ref="P14" r:id="rId23" xr:uid="{61CAD090-7F00-468C-A870-B0E843EBF291}"/>
    <hyperlink ref="Q14" r:id="rId24" xr:uid="{F7510BCD-F4C4-426D-9CCA-98D819C9E3D3}"/>
    <hyperlink ref="R14" r:id="rId25" xr:uid="{46B3172D-AF7C-4493-9B2C-865A6E1D7B83}"/>
    <hyperlink ref="Q15" r:id="rId26" xr:uid="{E7AEE7C7-A878-4BD8-90D7-F38667CCF5DF}"/>
    <hyperlink ref="R15" r:id="rId27" xr:uid="{52882EE2-26CE-460C-8853-EF9C24CFD33C}"/>
    <hyperlink ref="P16" r:id="rId28" xr:uid="{DFC8C0D3-E8D8-468D-94E8-D433010E4F48}"/>
    <hyperlink ref="Q16" r:id="rId29" xr:uid="{BF9A3E15-1432-4BAA-86E7-C9F8EC69213F}"/>
    <hyperlink ref="R16" r:id="rId30" xr:uid="{C0FBC88C-EEDA-45D9-8074-9FCEF4856BFD}"/>
    <hyperlink ref="Q17" r:id="rId31" xr:uid="{F872C53A-4314-4355-94ED-ECC1418FA3CF}"/>
    <hyperlink ref="R17" r:id="rId32" xr:uid="{860711F5-1825-4089-A3B6-669AFFF71D8D}"/>
    <hyperlink ref="P18" r:id="rId33" xr:uid="{4EC0115A-7630-4D97-B5B7-B66BC584E319}"/>
    <hyperlink ref="Q18" r:id="rId34" xr:uid="{9741D52A-813E-4ED9-BCCE-1B9156ADBC53}"/>
    <hyperlink ref="R18" r:id="rId35" xr:uid="{FC3364FF-6602-4487-9FFE-9F3466976714}"/>
    <hyperlink ref="P19" r:id="rId36" xr:uid="{26E6DD40-0298-4E6D-B7AE-D987735BDF63}"/>
    <hyperlink ref="Q19" r:id="rId37" xr:uid="{DB5C723F-FA18-453D-A98D-F8B9C86EEC13}"/>
    <hyperlink ref="R19" r:id="rId38" xr:uid="{AE5A2D76-1E1B-402E-99D1-5C92099D28DC}"/>
    <hyperlink ref="P20" r:id="rId39" xr:uid="{CA1487C8-50A9-4C47-ADF6-38D475DCC0D8}"/>
    <hyperlink ref="Q20" r:id="rId40" xr:uid="{986EBF78-9D72-4D0D-AD69-33612BAF1730}"/>
    <hyperlink ref="R20" r:id="rId41" xr:uid="{5FFFB8D4-BDFE-4267-AF1B-6EB1103C94AD}"/>
    <hyperlink ref="P21" r:id="rId42" xr:uid="{9C3E3894-A7F8-4098-B9A5-A4645FF1862A}"/>
    <hyperlink ref="Q21" r:id="rId43" xr:uid="{545625BA-7B74-406E-B3B0-564CB6CEF737}"/>
    <hyperlink ref="R21" r:id="rId44" xr:uid="{C1B66277-8E69-4B8B-B504-8BECB4B7A8E7}"/>
    <hyperlink ref="Q22" r:id="rId45" xr:uid="{E16BDB66-751F-4699-B9F9-032B5F986A5F}"/>
    <hyperlink ref="R22" r:id="rId46" xr:uid="{7960ED18-0D37-4F87-B803-2154AEE30819}"/>
    <hyperlink ref="Q23" r:id="rId47" xr:uid="{97BDD7B4-412A-4586-ADA2-C23B987C146E}"/>
    <hyperlink ref="R23" r:id="rId48" xr:uid="{F18065F3-F14D-49B9-AECF-93EBE6D441F3}"/>
    <hyperlink ref="P24" r:id="rId49" xr:uid="{8AF2F993-0219-4A90-A20C-4CBD0720EA4E}"/>
    <hyperlink ref="Q24" r:id="rId50" xr:uid="{8E047217-309E-4A0C-B707-87642CB65FF3}"/>
    <hyperlink ref="R24" r:id="rId51" xr:uid="{A3CC8727-0D17-4786-88F7-3FB70CE10AAA}"/>
    <hyperlink ref="Q25" r:id="rId52" xr:uid="{95D5135E-36A0-423B-8C9A-D1A942CCE23E}"/>
    <hyperlink ref="R25" r:id="rId53" xr:uid="{569F412E-BD80-4965-9406-C1623A8AE686}"/>
    <hyperlink ref="P26" r:id="rId54" xr:uid="{A5362096-D999-42CE-9120-3CA6A1703B34}"/>
    <hyperlink ref="Q26" r:id="rId55" xr:uid="{EF6FCC85-4258-460C-9A97-C7E165E697F7}"/>
    <hyperlink ref="R26" r:id="rId56" xr:uid="{662BD43E-2959-4C94-810F-F2BD6200A612}"/>
    <hyperlink ref="Q27" r:id="rId57" xr:uid="{28B75BF1-D05B-4CC3-854F-5886AF6D1C6C}"/>
    <hyperlink ref="R27" r:id="rId58" xr:uid="{DD899B8C-DE5C-461F-AF2F-04297531128B}"/>
    <hyperlink ref="Q28" r:id="rId59" xr:uid="{B5C00D6A-9685-45B9-A4B8-A1ECDAEEF646}"/>
    <hyperlink ref="P29" r:id="rId60" xr:uid="{BCB3B915-E733-4CF0-8E5A-2C15C43334B3}"/>
    <hyperlink ref="Q29" r:id="rId61" xr:uid="{2787D8D9-753D-46B8-A732-E9CF256C6630}"/>
    <hyperlink ref="R29" r:id="rId62" xr:uid="{E0B39074-219C-4049-8595-9364946D5E1A}"/>
    <hyperlink ref="P30" r:id="rId63" xr:uid="{EF9E8385-4C84-47F2-9BD5-BD5623388F7F}"/>
    <hyperlink ref="Q30" r:id="rId64" xr:uid="{8A552B39-F4BD-4C3D-915C-08B94BA80710}"/>
    <hyperlink ref="R30" r:id="rId65" xr:uid="{AF40D01E-17AA-4222-8EBE-6BBD2BAF8058}"/>
    <hyperlink ref="P31" r:id="rId66" xr:uid="{2F7A238E-A187-4D38-9357-E8D5EC737C6D}"/>
    <hyperlink ref="Q31" r:id="rId67" xr:uid="{9EAE3513-FA23-4514-B7CF-E8B662C4A703}"/>
    <hyperlink ref="R31" r:id="rId68" xr:uid="{352886B9-2546-4B4D-A552-E91D6552D107}"/>
    <hyperlink ref="P32" r:id="rId69" xr:uid="{23D3026E-BB29-4BBC-8E7D-63198FE362B1}"/>
    <hyperlink ref="Q32" r:id="rId70" xr:uid="{5627346C-7FE2-4FF9-BC7B-F1288678466F}"/>
    <hyperlink ref="R32" r:id="rId71" xr:uid="{472FD882-D71B-47C4-8B4B-CD17BBC493E2}"/>
    <hyperlink ref="P33" r:id="rId72" xr:uid="{EF9F7378-F579-4EDC-BECE-7DD54D0919A0}"/>
    <hyperlink ref="Q33" r:id="rId73" xr:uid="{8AC7A3AE-36E6-4A8A-9804-00DB86F6D294}"/>
    <hyperlink ref="R33" r:id="rId74" xr:uid="{DBBE9D58-C3FE-46B2-9C06-A112497C8DC9}"/>
    <hyperlink ref="P34" r:id="rId75" xr:uid="{BEBC584B-BA13-4E14-8403-4A07F05503B9}"/>
    <hyperlink ref="Q34" r:id="rId76" xr:uid="{A04FD390-85B8-4A9F-AE57-502EAF83C3F1}"/>
    <hyperlink ref="R34" r:id="rId77" xr:uid="{C5B3AC08-8353-4CCE-B666-3D5A59F4FF12}"/>
    <hyperlink ref="P35" r:id="rId78" xr:uid="{0D875709-58F8-4EB4-BFBA-807C800A4C74}"/>
    <hyperlink ref="Q35" r:id="rId79" xr:uid="{D70A2F31-87AB-48DB-B1CD-93EA15D990A1}"/>
    <hyperlink ref="R35" r:id="rId80" xr:uid="{96C49358-864C-499C-B5BD-D351FBC0EC7F}"/>
    <hyperlink ref="Q36" r:id="rId81" xr:uid="{EF585145-5177-446F-ADC2-A6EE6E78CBCC}"/>
    <hyperlink ref="P37" r:id="rId82" xr:uid="{F17DA1E3-8299-4DDC-B397-6627CC9D54A0}"/>
    <hyperlink ref="Q37" r:id="rId83" xr:uid="{DC1C2340-4769-4B66-B60F-0E8DE9406007}"/>
    <hyperlink ref="R37" r:id="rId84" xr:uid="{F651B4BA-F4C4-4062-B395-84C493FF2755}"/>
    <hyperlink ref="P38" r:id="rId85" xr:uid="{1228181C-7860-434F-BE8E-084656AD84BE}"/>
    <hyperlink ref="Q38" r:id="rId86" xr:uid="{A0E91400-6C12-4F71-AB12-3CE1D8C6ACA9}"/>
    <hyperlink ref="R38" r:id="rId87" xr:uid="{B6E3F599-808C-4A84-A39B-E9A7EE430861}"/>
    <hyperlink ref="Q39" r:id="rId88" xr:uid="{6292CEA1-5CAC-4966-9854-37D8DE3EA54F}"/>
    <hyperlink ref="Q40" r:id="rId89" xr:uid="{FB3B0714-E0FC-45D4-8140-16D950CCA97E}"/>
    <hyperlink ref="R40" r:id="rId90" xr:uid="{6DAFC558-72BD-43B7-948A-46F306D16D36}"/>
    <hyperlink ref="P41" r:id="rId91" xr:uid="{305C07E9-E589-4F1D-AE6C-8A996A352B6C}"/>
    <hyperlink ref="Q41" r:id="rId92" xr:uid="{6CB9EC81-CFB2-4FE2-9E4F-3B800BABE88B}"/>
    <hyperlink ref="R41" r:id="rId93" xr:uid="{8B2D3FCD-3AF3-4CDA-BD67-BF71235753D1}"/>
    <hyperlink ref="Q42" r:id="rId94" xr:uid="{A5D0CA8A-5292-4970-A11C-C2B382B76163}"/>
    <hyperlink ref="R42" r:id="rId95" xr:uid="{7C90C613-2879-4025-8877-3B38221E3FDE}"/>
    <hyperlink ref="Q43" r:id="rId96" xr:uid="{49EB185C-2680-4529-ACE9-F6DBB4A5A56D}"/>
    <hyperlink ref="Q44" r:id="rId97" xr:uid="{D91BD473-6CC9-4452-905A-53021ACE2C13}"/>
    <hyperlink ref="R44" r:id="rId98" xr:uid="{7F3BA545-10F9-4709-88BA-0281DA53278B}"/>
    <hyperlink ref="Q45" r:id="rId99" xr:uid="{73BBF280-61C4-4245-A9DA-521E04B293EA}"/>
    <hyperlink ref="R45" r:id="rId100" xr:uid="{139BFC05-B604-422F-B4A9-AB1F7734430D}"/>
    <hyperlink ref="P46" r:id="rId101" xr:uid="{B705CE71-8562-4188-A5D0-81E3F255D0AD}"/>
    <hyperlink ref="Q46" r:id="rId102" xr:uid="{580D9094-C7BE-4D3E-BEB8-00DA4078B9EB}"/>
    <hyperlink ref="R46" r:id="rId103" xr:uid="{B79CC8CB-5DB3-4BD5-BCC4-E6B12AA88D71}"/>
    <hyperlink ref="P47" r:id="rId104" xr:uid="{BFBE1991-ABD3-4794-A7DB-4695827225DB}"/>
    <hyperlink ref="Q47" r:id="rId105" xr:uid="{274A3DA2-EC97-4AF1-A126-2AB144E766CD}"/>
    <hyperlink ref="R47" r:id="rId106" xr:uid="{B05D1231-88E6-4DD5-BDFD-E0606981CD73}"/>
    <hyperlink ref="P48" r:id="rId107" xr:uid="{FC4C0A3A-E603-43EA-BAD3-99401EB29784}"/>
    <hyperlink ref="Q48" r:id="rId108" xr:uid="{E7941BEA-A3C1-4F21-973A-1D571893CABA}"/>
    <hyperlink ref="R48" r:id="rId109" xr:uid="{68969B50-7D4B-4E2D-80A1-1F5311659B8B}"/>
    <hyperlink ref="Q49" r:id="rId110" xr:uid="{09C6E7B5-C78B-4C65-B7D7-5F0E2BEE926D}"/>
    <hyperlink ref="R49" r:id="rId111" xr:uid="{CEB39009-231D-4181-A485-AB6FBEE788C1}"/>
    <hyperlink ref="P50" r:id="rId112" xr:uid="{7EE906B7-ABBF-49CF-94A0-32B942A70E16}"/>
    <hyperlink ref="Q50" r:id="rId113" xr:uid="{43E85ED5-5E2A-4598-971C-D7A5B100FB72}"/>
    <hyperlink ref="P51" r:id="rId114" xr:uid="{6863006D-92CF-4C91-AFF6-3DB44577CA26}"/>
    <hyperlink ref="Q51" r:id="rId115" xr:uid="{CCC558D3-D615-49B6-B540-2E67A74D003E}"/>
    <hyperlink ref="R51" r:id="rId116" xr:uid="{3164B628-6B73-421F-BF15-711F0E470859}"/>
    <hyperlink ref="P52" r:id="rId117" xr:uid="{9D82FF66-6714-472C-83D6-D566202DFCB2}"/>
    <hyperlink ref="Q52" r:id="rId118" xr:uid="{BE9D5887-79D7-4F34-95DA-9D874CF42AC3}"/>
    <hyperlink ref="R52" r:id="rId119" xr:uid="{52CE8127-A0FD-45EE-BEC4-37266EFB9861}"/>
    <hyperlink ref="P53" r:id="rId120" xr:uid="{EFF099B2-68E6-4194-AA37-AA74A1B866B6}"/>
    <hyperlink ref="Q53" r:id="rId121" xr:uid="{1F2B0DBB-59E2-4704-AE0B-4FB78E86B21F}"/>
    <hyperlink ref="R53" r:id="rId122" xr:uid="{CF57DB84-CFBD-4088-8AC7-123D799D2F5D}"/>
    <hyperlink ref="P54" r:id="rId123" xr:uid="{670297AF-D866-4B77-BCDB-35317FF9BBCE}"/>
    <hyperlink ref="Q54" r:id="rId124" xr:uid="{6AEEC914-7783-4BA7-ABCA-D7341DA36785}"/>
    <hyperlink ref="R54" r:id="rId125" xr:uid="{A4142D1C-1A21-4D25-A54E-FFFD7A0217F7}"/>
    <hyperlink ref="P55" r:id="rId126" xr:uid="{5E44B5B0-CDE3-446B-ABA3-91C6C3839752}"/>
    <hyperlink ref="Q55" r:id="rId127" xr:uid="{C986CB45-CB34-41A9-BC6F-86F8575188E8}"/>
    <hyperlink ref="R55" r:id="rId128" xr:uid="{33A793FF-4BEC-4136-9E3D-524E49CC7544}"/>
    <hyperlink ref="Q56" r:id="rId129" xr:uid="{BB5E9EC2-9759-4C3B-9794-525E8A6733FD}"/>
    <hyperlink ref="R56" r:id="rId130" xr:uid="{DBD35A97-C20B-4D57-AD0E-D376629F4843}"/>
    <hyperlink ref="P57" r:id="rId131" xr:uid="{CDDF759F-D8E4-4ECD-93A2-444D68D14069}"/>
    <hyperlink ref="Q57" r:id="rId132" xr:uid="{5A96DCBD-7D0C-4DA0-BA91-C21FD8F1CE9B}"/>
    <hyperlink ref="R57" r:id="rId133" xr:uid="{35E4B27A-43A0-4197-AC24-9B5B4538492E}"/>
    <hyperlink ref="P58" r:id="rId134" xr:uid="{169E84A2-0A8D-4E06-9B84-E2398D30146D}"/>
    <hyperlink ref="Q58" r:id="rId135" xr:uid="{8F63D03E-D407-4006-927A-8CFD14B67455}"/>
    <hyperlink ref="R58" r:id="rId136" xr:uid="{436C57C3-4614-4611-AF51-928632CC6AD7}"/>
    <hyperlink ref="P59" r:id="rId137" xr:uid="{53BF04F7-5F8D-4B26-B4DE-05017FDBA790}"/>
    <hyperlink ref="Q59" r:id="rId138" xr:uid="{450D237E-E17B-4AA9-B1F2-52DF1B02F7D0}"/>
    <hyperlink ref="R59" r:id="rId139" xr:uid="{80F97667-E5D1-4875-8653-3F967E9ED17F}"/>
    <hyperlink ref="P60" r:id="rId140" xr:uid="{4B73073C-0ABB-47C1-A911-5EE1687C419B}"/>
    <hyperlink ref="Q60" r:id="rId141" xr:uid="{751850EE-52BA-42B4-9899-B00D8842BC37}"/>
    <hyperlink ref="R60" r:id="rId142" xr:uid="{2D3DFC6A-F9C4-41BA-8CCD-4D547F5070FB}"/>
    <hyperlink ref="Q61" r:id="rId143" xr:uid="{35B74EA3-8432-4A75-9855-9DD8F22C41BD}"/>
    <hyperlink ref="P62" r:id="rId144" xr:uid="{58F03149-95A1-46B5-8E49-57904DC0C1E7}"/>
    <hyperlink ref="Q62" r:id="rId145" xr:uid="{61C2D351-9B83-4D71-BD18-E81054E56C6C}"/>
    <hyperlink ref="R62" r:id="rId146" xr:uid="{0868D749-CAF4-400C-8336-4FE7691289E6}"/>
    <hyperlink ref="P63" r:id="rId147" xr:uid="{89E83467-C6F6-48CD-8003-0084A41C9CAA}"/>
    <hyperlink ref="Q63" r:id="rId148" xr:uid="{1F133B41-803F-49A1-A78C-2C2D6B79DCD0}"/>
    <hyperlink ref="R63" r:id="rId149" xr:uid="{77F91A52-73F2-461D-997F-9560B210F221}"/>
    <hyperlink ref="P64" r:id="rId150" xr:uid="{480143E0-FD9D-4675-87A2-BB24DB10A8A7}"/>
    <hyperlink ref="Q64" r:id="rId151" xr:uid="{4FFA7A26-2A35-47BD-8C63-2850DDD9FD76}"/>
    <hyperlink ref="Q65" r:id="rId152" xr:uid="{42D577DC-9115-467C-891A-2E28947B4C9D}"/>
    <hyperlink ref="R65" r:id="rId153" xr:uid="{8D8D635C-7D29-41BC-91D0-5446E5BF850B}"/>
    <hyperlink ref="Q66" r:id="rId154" xr:uid="{4784CEEC-2901-411A-A736-B3A7C23F6E2A}"/>
    <hyperlink ref="P67" r:id="rId155" xr:uid="{42A1B355-7F01-4A61-B722-87DEE0BEE227}"/>
    <hyperlink ref="Q67" r:id="rId156" xr:uid="{CB513938-7432-4F61-A701-5737B82EA618}"/>
    <hyperlink ref="R67" r:id="rId157" xr:uid="{65AC4088-0349-4D36-8359-6CB4F04040AB}"/>
    <hyperlink ref="P68" r:id="rId158" xr:uid="{A49C6A78-5512-4E1F-B4F2-168DDF1BFE96}"/>
    <hyperlink ref="Q68" r:id="rId159" xr:uid="{07D9D366-586C-4F66-B919-5F46AC0D2FEF}"/>
    <hyperlink ref="R68" r:id="rId160" xr:uid="{D1A21E68-D82D-4075-B50F-22D58CAC91B6}"/>
    <hyperlink ref="P69" r:id="rId161" xr:uid="{145FD3E6-9508-4F8C-B511-B32BEDA8AEDE}"/>
    <hyperlink ref="Q69" r:id="rId162" xr:uid="{5F60289D-743A-4DBF-ACC9-1A8A9FFE371A}"/>
    <hyperlink ref="R69" r:id="rId163" xr:uid="{48CCDA08-35A0-4C6B-AFB4-0EE9258422CD}"/>
    <hyperlink ref="P70" r:id="rId164" xr:uid="{14D869AA-5989-4F5C-B353-515ED1DC0AE0}"/>
    <hyperlink ref="Q70" r:id="rId165" xr:uid="{AE76EB66-BD7F-411E-A37C-196393C5925A}"/>
    <hyperlink ref="R70" r:id="rId166" xr:uid="{11FD999D-32B7-4272-84E0-8694B397115B}"/>
    <hyperlink ref="S71" r:id="rId167" xr:uid="{2103C04A-B38E-4BB8-9194-C66113C5FB3B}"/>
    <hyperlink ref="P72" r:id="rId168" xr:uid="{C23E5C38-3030-45B3-966A-8FB200A10728}"/>
    <hyperlink ref="Q72" r:id="rId169" xr:uid="{B52171AF-96A2-4F15-AE80-4A063D90F419}"/>
    <hyperlink ref="R72" r:id="rId170" xr:uid="{B936464D-8ED8-4F17-A9AC-85CF78045B6B}"/>
    <hyperlink ref="P73" r:id="rId171" xr:uid="{1C3AC974-D6BA-4C38-AA7F-5EED55379340}"/>
    <hyperlink ref="Q73" r:id="rId172" xr:uid="{32E1396E-6668-4462-AF8E-FCFDA463727B}"/>
    <hyperlink ref="R73" r:id="rId173" xr:uid="{57463900-A9EE-4B48-8611-DCC88A1634A3}"/>
    <hyperlink ref="P74" r:id="rId174" xr:uid="{AB52F128-A28B-4FF3-A513-F1EB32EA89D1}"/>
    <hyperlink ref="Q74" r:id="rId175" xr:uid="{C3D9B5B7-8C83-43A0-B182-09D9D6F472B4}"/>
    <hyperlink ref="R74" r:id="rId176" xr:uid="{EB525156-DCD6-4D21-BF51-F3237BB9EFC5}"/>
    <hyperlink ref="P75" r:id="rId177" xr:uid="{EF0EC0A9-3B43-401E-A4EB-C430905C4927}"/>
    <hyperlink ref="Q75" r:id="rId178" xr:uid="{892E2125-86A0-47F8-8D7F-58F2B5759CEB}"/>
    <hyperlink ref="R75" r:id="rId179" xr:uid="{F3DE232D-0DD0-4333-8289-032F34404CF7}"/>
    <hyperlink ref="P76" r:id="rId180" xr:uid="{A1A2840D-1630-4EBE-BD9F-817FB65D1351}"/>
    <hyperlink ref="Q76" r:id="rId181" xr:uid="{F87C21F9-6E52-4935-960C-0E14915EA069}"/>
    <hyperlink ref="R76" r:id="rId182" xr:uid="{1932E242-4734-4E10-821E-C1D1072DF980}"/>
    <hyperlink ref="P77" r:id="rId183" xr:uid="{2BC86B5A-C248-408F-9CBE-FEA03862B10C}"/>
    <hyperlink ref="Q77" r:id="rId184" xr:uid="{4A07397D-3093-4DAC-9DAE-E52ED6695150}"/>
    <hyperlink ref="R77" r:id="rId185" xr:uid="{04EFDFB0-FBD4-4ABF-86F4-BDCB97D50608}"/>
    <hyperlink ref="P78" r:id="rId186" xr:uid="{0288A298-F5EB-4EF3-BE83-F10D261F64FF}"/>
    <hyperlink ref="Q78" r:id="rId187" xr:uid="{2FE6B1EE-46DB-4255-85BD-CB002FB91164}"/>
    <hyperlink ref="R78" r:id="rId188" xr:uid="{236EEB5B-C971-42A8-ABE0-3ECD4B8AAAE5}"/>
    <hyperlink ref="P79" r:id="rId189" xr:uid="{DD3F3A41-EEC8-45FD-A32A-B158AF068E3B}"/>
    <hyperlink ref="Q79" r:id="rId190" xr:uid="{3D288630-61C8-4C02-B4AE-0BB4E44091E7}"/>
    <hyperlink ref="R79" r:id="rId191" xr:uid="{4FEA3996-708B-4208-A1CF-8D4C528A8876}"/>
    <hyperlink ref="P80" r:id="rId192" xr:uid="{0A642424-31CF-4171-981A-D21BD3BAC34D}"/>
    <hyperlink ref="Q80" r:id="rId193" xr:uid="{EFFAD761-A785-43AA-82E3-7ADC2FA87A89}"/>
    <hyperlink ref="R80" r:id="rId194" xr:uid="{6105F5A7-DDB4-4A72-954B-D9E0C53D29FA}"/>
    <hyperlink ref="P81" r:id="rId195" xr:uid="{9807B74D-486C-446C-B074-4237D95E24E5}"/>
    <hyperlink ref="Q81" r:id="rId196" xr:uid="{BDC4E648-C28B-4E3F-A4A7-B6262A91807B}"/>
    <hyperlink ref="R81" r:id="rId197" xr:uid="{612BA0DB-E144-447D-9D86-1DBCF20CE761}"/>
    <hyperlink ref="P82" r:id="rId198" xr:uid="{5B61DA1C-4381-48E4-8D96-339A5DDE6B33}"/>
    <hyperlink ref="Q82" r:id="rId199" xr:uid="{5AE1B057-8B67-4261-A1BA-AC2E541FD68F}"/>
    <hyperlink ref="R82" r:id="rId200" xr:uid="{EF97B5F3-29AD-413D-B182-90690363C883}"/>
    <hyperlink ref="P83" r:id="rId201" xr:uid="{211385D6-AB28-4E37-A3AC-D02C378DFEC9}"/>
    <hyperlink ref="Q83" r:id="rId202" xr:uid="{7A271DEA-28BE-4F97-8905-14412CB30AC3}"/>
    <hyperlink ref="R83" r:id="rId203" xr:uid="{32B879F3-C247-4E52-9017-E6E26146A969}"/>
    <hyperlink ref="P84" r:id="rId204" xr:uid="{B2B546E6-D11D-4300-9FEF-5209A98D8526}"/>
    <hyperlink ref="Q84" r:id="rId205" xr:uid="{21232760-C348-4AF0-8261-F38C0647A2DF}"/>
    <hyperlink ref="R84" r:id="rId206" xr:uid="{006FE06D-9FF1-41D5-B15C-745F53430EA3}"/>
    <hyperlink ref="P85" r:id="rId207" xr:uid="{655602BE-A7A6-4785-8315-067A4E0BBCF1}"/>
    <hyperlink ref="Q85" r:id="rId208" xr:uid="{02D565F5-54B8-4C1D-9D37-BB63D79F283A}"/>
    <hyperlink ref="R85" r:id="rId209" xr:uid="{B635CD88-958E-4A95-8047-25BFDD5FF25B}"/>
    <hyperlink ref="P86" r:id="rId210" xr:uid="{8275E5D7-4D96-477C-8F8E-CE8389DC4D79}"/>
    <hyperlink ref="Q86" r:id="rId211" xr:uid="{DF71252B-5EEE-4EC1-BC29-3C1A102E1E25}"/>
    <hyperlink ref="R86" r:id="rId212" xr:uid="{AA6BE339-F9BA-4E95-9AC8-B9BE92840178}"/>
    <hyperlink ref="P87" r:id="rId213" xr:uid="{6E5BF09D-0DED-4B7A-8C94-DC4B8ED2FE50}"/>
    <hyperlink ref="Q87" r:id="rId214" xr:uid="{CF989566-891C-43D1-B79B-D996613F91BF}"/>
    <hyperlink ref="R87" r:id="rId215" xr:uid="{517F6935-DAF7-4A38-AB8B-D8CE93C254F6}"/>
    <hyperlink ref="P88" r:id="rId216" xr:uid="{EE8FA701-48A8-41B7-96B1-EDEDDEEE5738}"/>
    <hyperlink ref="Q88" r:id="rId217" xr:uid="{A9AA717F-8B30-4F49-9425-8DF2351C3AA8}"/>
    <hyperlink ref="R88" r:id="rId218" xr:uid="{97C6CB6D-789D-4F29-8A88-C773998CEA35}"/>
    <hyperlink ref="P89" r:id="rId219" xr:uid="{13F0A3CF-BB45-4AA7-97AC-5BE3A1F3E895}"/>
    <hyperlink ref="Q89" r:id="rId220" xr:uid="{E8664799-1AA9-4221-8936-F19EA4E4A556}"/>
    <hyperlink ref="R89" r:id="rId221" xr:uid="{66618D70-89C6-48E9-A70E-3DE45A46761E}"/>
    <hyperlink ref="P90" r:id="rId222" xr:uid="{41557CE7-1315-420C-B920-5A2EB89C7C80}"/>
    <hyperlink ref="Q90" r:id="rId223" xr:uid="{0A856F5F-78E6-4010-913A-141F321C7A75}"/>
    <hyperlink ref="R90" r:id="rId224" xr:uid="{77CC54BD-8472-49CC-81C7-FA0BA153E480}"/>
    <hyperlink ref="P91" r:id="rId225" xr:uid="{C82119DE-7CF9-4443-BC66-D03FE52A85C3}"/>
    <hyperlink ref="Q91" r:id="rId226" xr:uid="{822417D4-5595-4A1F-8A3D-05A1B7666D3D}"/>
    <hyperlink ref="R91" r:id="rId227" xr:uid="{483CBE7D-E34D-4219-9212-C53BEE64DF42}"/>
    <hyperlink ref="P92" r:id="rId228" xr:uid="{2073DE37-9D78-47D1-92AD-008F5C90B51F}"/>
    <hyperlink ref="Q92" r:id="rId229" xr:uid="{94AD5CDA-34F0-4C43-B30D-85D60AAB9E5E}"/>
    <hyperlink ref="R92" r:id="rId230" xr:uid="{8B799F97-55BB-4AAD-843A-3E9A82FFAE85}"/>
    <hyperlink ref="P93" r:id="rId231" xr:uid="{C05CA0E1-E4C3-43D0-9A54-E1649590D626}"/>
    <hyperlink ref="Q93" r:id="rId232" xr:uid="{02A0494E-D2DA-4609-B49B-DF22E7B46FB0}"/>
    <hyperlink ref="R93" r:id="rId233" xr:uid="{50A2C80C-8195-499E-BD3A-1F40C2FB6B01}"/>
    <hyperlink ref="P94" r:id="rId234" xr:uid="{7F4916FE-3994-40C2-8DC6-9732681F157B}"/>
    <hyperlink ref="Q94" r:id="rId235" xr:uid="{74ED5CA7-8E75-4774-84F5-CF451E993A9B}"/>
    <hyperlink ref="R94" r:id="rId236" xr:uid="{26D3FA0B-A181-438A-913B-72BFEDB74CDF}"/>
    <hyperlink ref="P95" r:id="rId237" xr:uid="{9C33270E-7C62-4AF4-A405-3AD4B213007C}"/>
    <hyperlink ref="Q95" r:id="rId238" xr:uid="{FA99002E-DC52-4DA2-8E91-9D13D30F7CD1}"/>
    <hyperlink ref="R95" r:id="rId239" xr:uid="{37957ABF-D199-4465-9F88-9F802668698A}"/>
    <hyperlink ref="P96" r:id="rId240" xr:uid="{81DAC06A-CDFE-47F3-B3F6-870F7B826378}"/>
    <hyperlink ref="Q96" r:id="rId241" xr:uid="{46F90CA1-0065-4F15-9CE2-649DC6FA514A}"/>
    <hyperlink ref="R96" r:id="rId242" xr:uid="{BDE4A441-B476-4E09-9A6E-08C25B397724}"/>
    <hyperlink ref="P97" r:id="rId243" xr:uid="{1B8F2187-FA92-4385-BF5F-8F411D55638D}"/>
    <hyperlink ref="Q97" r:id="rId244" xr:uid="{D5FFA3F5-E54A-4E5C-859D-C1D482A2BEBB}"/>
    <hyperlink ref="R97" r:id="rId245" xr:uid="{B51D9EC7-9916-4F58-9D59-1EDCF453B80D}"/>
    <hyperlink ref="P98" r:id="rId246" xr:uid="{5EF16EBC-A3A0-4572-A8CE-66D1DC44795F}"/>
    <hyperlink ref="Q98" r:id="rId247" xr:uid="{B6DD8697-3103-40CD-83DF-7CC3F5A6BE6C}"/>
    <hyperlink ref="R98" r:id="rId248" xr:uid="{AD24B260-5611-45C6-8AB2-F5A6BAF84147}"/>
    <hyperlink ref="P99" r:id="rId249" xr:uid="{2FE3C599-9229-4166-AE2B-10F2D27EF102}"/>
    <hyperlink ref="Q99" r:id="rId250" xr:uid="{E1602436-C989-4591-B31F-5972BC96F9F7}"/>
    <hyperlink ref="R99" r:id="rId251" xr:uid="{0C1A4CC5-0E65-4D6F-BE1F-F2F6C1DE3F51}"/>
    <hyperlink ref="P100" r:id="rId252" xr:uid="{F496ABE7-8DCD-4C26-AE7B-9B2AD9F9FD41}"/>
    <hyperlink ref="Q100" r:id="rId253" xr:uid="{22E49446-9618-48F4-8454-9F0495B8FF84}"/>
    <hyperlink ref="R100" r:id="rId254" xr:uid="{3F822818-CDFE-4F41-B8C1-2272904B0807}"/>
    <hyperlink ref="P101" r:id="rId255" xr:uid="{198CBD6F-1F1E-4778-93A1-890EF5D4C0DA}"/>
    <hyperlink ref="Q101" r:id="rId256" xr:uid="{8AC52F37-DA79-4972-AFE7-29111AF66464}"/>
    <hyperlink ref="R101" r:id="rId257" xr:uid="{7C114EE9-E550-4E9A-A0FB-0CE0CE162D1A}"/>
    <hyperlink ref="P102" r:id="rId258" xr:uid="{1F79708B-2411-4704-B984-02713E3D7992}"/>
    <hyperlink ref="Q102" r:id="rId259" xr:uid="{AAD01E91-81A1-4527-8555-EE7392D5374C}"/>
    <hyperlink ref="R102" r:id="rId260" xr:uid="{B5469340-764B-4C78-9787-4E9ADCCFB998}"/>
    <hyperlink ref="P103" r:id="rId261" xr:uid="{2426DAEE-CF2B-4B05-9FC6-4BC6769F32BE}"/>
    <hyperlink ref="Q103" r:id="rId262" xr:uid="{A57D3D12-783F-4679-AE4E-6D16ADFC96E6}"/>
    <hyperlink ref="R103" r:id="rId263" xr:uid="{B719E3CA-0A54-4CEF-B098-623B0CF85B52}"/>
    <hyperlink ref="P104" r:id="rId264" xr:uid="{A6E3C58F-9410-416C-9B30-82178698FEB4}"/>
    <hyperlink ref="Q104" r:id="rId265" xr:uid="{D9AE6716-F30E-440F-BD5E-857D5C695D14}"/>
    <hyperlink ref="R104" r:id="rId266" xr:uid="{30924E98-8C6B-4961-BEAF-8E7C63C8FF42}"/>
    <hyperlink ref="P105" r:id="rId267" xr:uid="{A776AE21-76CB-4FDF-A45C-8F7E1FC234D7}"/>
    <hyperlink ref="Q105" r:id="rId268" xr:uid="{E1618F27-658D-4669-82E4-1EDDD32689C1}"/>
    <hyperlink ref="R105" r:id="rId269" xr:uid="{8E250B71-800B-43C7-B932-550310CAD629}"/>
    <hyperlink ref="P106" r:id="rId270" xr:uid="{061204CD-945A-45C4-A614-03E38E52534A}"/>
    <hyperlink ref="Q106" r:id="rId271" xr:uid="{DD8C8B58-25E9-4942-83C4-8F733B82EB90}"/>
    <hyperlink ref="R106" r:id="rId272" xr:uid="{447D4A63-4CEA-41F9-8308-18426AD3F6A0}"/>
    <hyperlink ref="P107" r:id="rId273" xr:uid="{C1C50C97-838F-4152-96A9-B572ED11A399}"/>
    <hyperlink ref="Q107" r:id="rId274" xr:uid="{4E776072-72AF-4976-8434-CC3867A3559A}"/>
    <hyperlink ref="R107" r:id="rId275" xr:uid="{767EC540-8A11-4C26-BB5E-009FF657DEBB}"/>
    <hyperlink ref="P108" r:id="rId276" xr:uid="{53C926F7-84A7-4040-9B62-3C34427BDA8D}"/>
    <hyperlink ref="Q108" r:id="rId277" xr:uid="{8640B9A6-D886-4902-B6E7-8DF74440873C}"/>
    <hyperlink ref="R108" r:id="rId278" xr:uid="{C5C5E8C3-D1E2-4BD5-AC33-8BD06BEB58AA}"/>
    <hyperlink ref="P109" r:id="rId279" xr:uid="{78EBC074-0F49-4E3F-A118-16E39EF25549}"/>
    <hyperlink ref="Q109" r:id="rId280" xr:uid="{004EBC7A-CFBA-43E8-B6D0-2A42496721A7}"/>
    <hyperlink ref="R109" r:id="rId281" xr:uid="{6EEBD95F-34BC-44F5-8637-EEE6873D91B3}"/>
    <hyperlink ref="P110" r:id="rId282" xr:uid="{58919F19-8916-4FCD-A126-4522910E4166}"/>
    <hyperlink ref="Q110" r:id="rId283" xr:uid="{3D73E1DD-3F8C-4A95-AE3C-9D6EA6BF3E88}"/>
    <hyperlink ref="R110" r:id="rId284" xr:uid="{367E6CA8-5518-4AFA-9F86-8A9588E83586}"/>
    <hyperlink ref="Q111" r:id="rId285" xr:uid="{9731B2A6-09D1-4BC0-87DC-07BD7044E93A}"/>
    <hyperlink ref="R111" r:id="rId286" xr:uid="{1EAB479A-29E6-4765-B71D-BE0DEB8C0BCB}"/>
    <hyperlink ref="P112" r:id="rId287" xr:uid="{281542BB-03A0-4C9E-9FB8-F2015720DFC2}"/>
    <hyperlink ref="Q112" r:id="rId288" xr:uid="{BD7754F6-B4EA-4899-8BAF-80182F3E58A2}"/>
    <hyperlink ref="R112" r:id="rId289" xr:uid="{3FDB8208-D2BC-46CE-8F94-FBD0D917C9E4}"/>
    <hyperlink ref="P113" r:id="rId290" xr:uid="{7B819308-58E7-4EBC-9F6C-EA341E14C256}"/>
    <hyperlink ref="Q113" r:id="rId291" xr:uid="{B9F131B0-4486-44AC-B8E3-8518B4F4C0A4}"/>
    <hyperlink ref="R113" r:id="rId292" xr:uid="{41ABAC88-1E31-403A-AD98-53EBEB7F225D}"/>
    <hyperlink ref="P114" r:id="rId293" xr:uid="{BE10D6B0-E68F-436D-8AB3-160108A6B738}"/>
    <hyperlink ref="Q114" r:id="rId294" xr:uid="{B2114415-E884-4B1E-8228-B01AAFF1CC33}"/>
    <hyperlink ref="R114" r:id="rId295" xr:uid="{71B2141C-76D9-45D4-B0A7-FDD43894C9C8}"/>
    <hyperlink ref="P115" r:id="rId296" xr:uid="{8C157512-964F-45ED-AF59-B280E1A1AFC9}"/>
    <hyperlink ref="Q115" r:id="rId297" xr:uid="{7E200AE5-EF2F-4EA3-8940-F7E4E74DF889}"/>
    <hyperlink ref="R115" r:id="rId298" xr:uid="{84623049-8FFF-4D0E-90DB-76991310F323}"/>
    <hyperlink ref="P116" r:id="rId299" xr:uid="{68578189-EA74-4867-970B-7A93282CBE2A}"/>
    <hyperlink ref="Q116" r:id="rId300" xr:uid="{EA851A46-54E5-4014-8636-92DFFA338001}"/>
    <hyperlink ref="R116" r:id="rId301" xr:uid="{EA796C29-6B19-4224-BD1B-54D93C36A348}"/>
    <hyperlink ref="P117" r:id="rId302" xr:uid="{25A69221-DFFC-4E9E-8874-234ACF55AEB2}"/>
    <hyperlink ref="Q117" r:id="rId303" xr:uid="{FE1615BD-EFBD-4385-A108-C8745E3D644D}"/>
    <hyperlink ref="R117" r:id="rId304" xr:uid="{31BA36F3-E826-4DF9-A1C8-B6B312CA55E6}"/>
    <hyperlink ref="P118" r:id="rId305" xr:uid="{B96ED957-2053-48AD-A574-92455B4A2DAA}"/>
    <hyperlink ref="Q118" r:id="rId306" xr:uid="{29E65392-BAFF-4FF9-A743-85C7E6688F55}"/>
    <hyperlink ref="R118" r:id="rId307" xr:uid="{03C7521F-DEBE-4500-8178-2DCB8CCD18EC}"/>
    <hyperlink ref="P119" r:id="rId308" xr:uid="{AD59993D-2F5E-45CF-A590-B71EA7DFFC3D}"/>
    <hyperlink ref="Q119" r:id="rId309" xr:uid="{7705A4D9-52CF-4636-A0D9-6A1847522D5E}"/>
    <hyperlink ref="R119" r:id="rId310" xr:uid="{94161BCA-D2C1-4E3B-8AFD-2FBDBFC1EE84}"/>
    <hyperlink ref="P120" r:id="rId311" xr:uid="{C0616AED-6CDD-4732-BB79-D24CCC8E7B23}"/>
    <hyperlink ref="Q120" r:id="rId312" xr:uid="{98E22F6A-70EE-4F35-B07C-F6BEECE075DD}"/>
    <hyperlink ref="R120" r:id="rId313" xr:uid="{3F44F71A-696D-4164-B21E-0F1E88654B85}"/>
    <hyperlink ref="P121" r:id="rId314" xr:uid="{CD7F6F15-935C-49C6-9C0B-427068D89DE3}"/>
    <hyperlink ref="Q121" r:id="rId315" xr:uid="{2E1DF520-27FE-4FE1-95DD-8D0DC6F8C846}"/>
    <hyperlink ref="R121" r:id="rId316" xr:uid="{4604F2C4-5826-45E6-8F71-84DD9A190132}"/>
    <hyperlink ref="P122" r:id="rId317" xr:uid="{017B3A4C-E08F-461B-9D76-3359D7F6F0B4}"/>
    <hyperlink ref="Q122" r:id="rId318" xr:uid="{35E07B9C-3298-42AC-BAEA-0890069B1F73}"/>
    <hyperlink ref="R122" r:id="rId319" xr:uid="{D43BEE65-69FF-49D1-936B-030C7A326CBA}"/>
    <hyperlink ref="P123" r:id="rId320" xr:uid="{840286FE-F0EF-4216-8329-D155E2A2C7F6}"/>
    <hyperlink ref="Q123" r:id="rId321" xr:uid="{A81736F4-95EF-4F78-9306-CB552CE06DEA}"/>
    <hyperlink ref="R123" r:id="rId322" xr:uid="{E166E081-C767-4E66-B407-6F835538171A}"/>
    <hyperlink ref="P124" r:id="rId323" xr:uid="{43159CE9-4D18-43D4-B499-1DD9BDB653A6}"/>
    <hyperlink ref="Q124" r:id="rId324" xr:uid="{963FB969-01F6-4911-A1CC-080108650AE7}"/>
    <hyperlink ref="R124" r:id="rId325" xr:uid="{35FF90EB-5A0A-4490-A230-A2C81DDE8562}"/>
    <hyperlink ref="P125" r:id="rId326" xr:uid="{F07717BA-7C86-4709-9463-FFCF8443DB79}"/>
    <hyperlink ref="Q125" r:id="rId327" xr:uid="{D8A64439-BDF4-47B7-92E1-0B1EDE6EFDE0}"/>
    <hyperlink ref="R125" r:id="rId328" xr:uid="{099D9D26-9257-4162-B34C-80420B9A184A}"/>
    <hyperlink ref="P126" r:id="rId329" xr:uid="{3AE37004-38F0-412F-8BD2-7B9502670DC8}"/>
    <hyperlink ref="Q126" r:id="rId330" xr:uid="{772D9452-EB81-493F-BAED-5323E10E2288}"/>
    <hyperlink ref="R126" r:id="rId331" xr:uid="{5DA94E2C-2B35-44BB-BD4A-200003E8D16D}"/>
    <hyperlink ref="Q127" r:id="rId332" xr:uid="{84D54F81-FCDD-4F44-9C7A-D68C1F9361BD}"/>
    <hyperlink ref="R127" r:id="rId333" xr:uid="{630707B5-3748-4604-A7AD-378EA3CD9A63}"/>
    <hyperlink ref="P128" r:id="rId334" xr:uid="{0EF57B8B-5913-48F1-A448-46EF90D67AC2}"/>
    <hyperlink ref="Q128" r:id="rId335" xr:uid="{D295DC50-3DB8-4C74-A18B-6203608BC943}"/>
    <hyperlink ref="R128" r:id="rId336" xr:uid="{30738A65-44B0-46EC-AA8A-DE56CDA5E8D2}"/>
    <hyperlink ref="P129" r:id="rId337" xr:uid="{CD33CE68-9C0C-4519-AA82-686C8EF1C288}"/>
    <hyperlink ref="Q129" r:id="rId338" xr:uid="{E006DEC4-0826-4F30-9126-4D6AE1AFC57C}"/>
    <hyperlink ref="R129" r:id="rId339" xr:uid="{611C63CA-E174-4EB4-80A1-22A667C1E2D7}"/>
    <hyperlink ref="P130" r:id="rId340" xr:uid="{79E063CB-76D0-4EE9-B2EA-70DF44227895}"/>
    <hyperlink ref="Q130" r:id="rId341" xr:uid="{37769FA6-72CF-45D9-A529-06D95461AD2B}"/>
    <hyperlink ref="R130" r:id="rId342" xr:uid="{FF3B0163-0C01-443A-A534-8663B75DF1AC}"/>
    <hyperlink ref="P131" r:id="rId343" xr:uid="{04C6D18C-4347-4C71-BCE0-6FA9EA195299}"/>
    <hyperlink ref="Q131" r:id="rId344" xr:uid="{B158D1F8-E17C-4247-BF33-BE72C2382D38}"/>
    <hyperlink ref="R131" r:id="rId345" xr:uid="{962F8774-9C7F-42FA-98A8-6548805ACB7A}"/>
    <hyperlink ref="P132" r:id="rId346" xr:uid="{A407EBB7-F949-4171-B752-F5ADBFFF45EA}"/>
    <hyperlink ref="Q132" r:id="rId347" xr:uid="{40DF9748-0436-4B8C-8241-3495EF1FC4E4}"/>
    <hyperlink ref="R132" r:id="rId348" xr:uid="{A17566AE-569D-48E5-9ED9-80C25820D5DB}"/>
    <hyperlink ref="P133" r:id="rId349" xr:uid="{D7A50A38-4F61-4F2E-AC98-7D46A2119638}"/>
    <hyperlink ref="Q133" r:id="rId350" xr:uid="{E3795CC2-A7B3-417D-8B6E-9701C3C3A8CF}"/>
    <hyperlink ref="R133" r:id="rId351" xr:uid="{F06AA92B-02B3-4009-A91D-F0D9BFB589B6}"/>
    <hyperlink ref="P134" r:id="rId352" xr:uid="{6DC20457-C6BC-4B29-B689-61A84552F615}"/>
    <hyperlink ref="Q134" r:id="rId353" xr:uid="{762EFA7E-DDAD-435F-8B1F-9D4B633D77EC}"/>
    <hyperlink ref="R134" r:id="rId354" xr:uid="{0F0DD3EA-E48B-443E-91AC-CD57B9C484E0}"/>
    <hyperlink ref="P135" r:id="rId355" xr:uid="{BA937F52-6225-4DB0-AA1A-C0421FC02360}"/>
    <hyperlink ref="Q135" r:id="rId356" xr:uid="{D6A88891-3D31-4CBF-90D8-B1426AEECD86}"/>
    <hyperlink ref="R135" r:id="rId357" xr:uid="{01A3EDC5-16FC-41CA-AE4B-66E3DE6F3AE6}"/>
    <hyperlink ref="P136" r:id="rId358" xr:uid="{21C090AB-2642-46EB-AB35-FD8EA22BE520}"/>
    <hyperlink ref="Q136" r:id="rId359" xr:uid="{F2BF4C78-6158-4D98-B58A-1C4866A5DD7E}"/>
    <hyperlink ref="R136" r:id="rId360" xr:uid="{2E948D58-6FF7-4448-8402-13F3626B1505}"/>
    <hyperlink ref="P137" r:id="rId361" xr:uid="{B5DC7149-D3AF-483E-82DD-2F569913A03E}"/>
    <hyperlink ref="Q137" r:id="rId362" xr:uid="{6975ED40-F953-4F1C-9A92-0300F8A5AEBC}"/>
    <hyperlink ref="R137" r:id="rId363" xr:uid="{817F9974-22A3-4AB9-8232-611EF6E83683}"/>
    <hyperlink ref="P138" r:id="rId364" xr:uid="{B850C940-D232-43DB-90C7-E1952D0B2BEC}"/>
    <hyperlink ref="Q138" r:id="rId365" xr:uid="{E6BD316E-3B03-4218-ACF6-7F22200622F8}"/>
    <hyperlink ref="R138" r:id="rId366" xr:uid="{B11B1E26-0E90-4CF0-A22A-FDD8C95F4939}"/>
    <hyperlink ref="P139" r:id="rId367" xr:uid="{0FC8B8F0-8135-4C70-BCB7-7AC962C99FDA}"/>
    <hyperlink ref="Q139" r:id="rId368" xr:uid="{DB84FB5D-2E58-4EB2-AF0C-F1BB9CBB561F}"/>
    <hyperlink ref="R139" r:id="rId369" xr:uid="{E7AD425D-1939-48B6-B37D-AB29E0B9585C}"/>
    <hyperlink ref="P140" r:id="rId370" xr:uid="{B98AF2CE-003A-488A-A443-09AEA2F9E2BE}"/>
    <hyperlink ref="Q140" r:id="rId371" xr:uid="{9E73372B-FEA4-4037-8B76-14A59F2EB1EB}"/>
    <hyperlink ref="R140" r:id="rId372" xr:uid="{4C9D4CE9-E481-4517-93B6-600B0B4DBE31}"/>
    <hyperlink ref="P141" r:id="rId373" xr:uid="{A0A51CBC-1DC2-4D6A-968F-B224842B5D9E}"/>
    <hyperlink ref="Q141" r:id="rId374" xr:uid="{4F64D45A-CB72-46EF-B157-9DC3BB9CFD59}"/>
    <hyperlink ref="R141" r:id="rId375" xr:uid="{901D87CC-03D8-4033-8705-CC874F503C5B}"/>
    <hyperlink ref="P142" r:id="rId376" xr:uid="{5841C2CE-4BC2-494E-951B-682E61F08418}"/>
    <hyperlink ref="Q142" r:id="rId377" xr:uid="{07FCFCCF-9AE5-4AE8-B072-74C4A99C257F}"/>
    <hyperlink ref="R142" r:id="rId378" xr:uid="{28433275-9C92-42FD-9524-F9B7076107E4}"/>
    <hyperlink ref="P143" r:id="rId379" xr:uid="{2D664926-92B2-41A8-B4F2-B7690A2FEDE1}"/>
    <hyperlink ref="Q143" r:id="rId380" xr:uid="{1603C55B-7286-4EB2-819F-E15398B1E1BF}"/>
    <hyperlink ref="R143" r:id="rId381" xr:uid="{63CC9A7A-CFBF-410E-92A1-4FCD03B4655B}"/>
    <hyperlink ref="P144" r:id="rId382" xr:uid="{6D149972-7CCC-44F3-99C6-8AADC2A50B6C}"/>
    <hyperlink ref="Q144" r:id="rId383" xr:uid="{613222C3-65D0-4577-92B9-DB7E09BAEBDC}"/>
    <hyperlink ref="R144" r:id="rId384" xr:uid="{13235110-2AFA-462C-A4C3-24D8E359DBEB}"/>
    <hyperlink ref="P145" r:id="rId385" xr:uid="{8AFD1C37-480E-4EE0-BFFB-FF7ABEB6FAC9}"/>
    <hyperlink ref="Q145" r:id="rId386" xr:uid="{259CCD94-56C5-412F-AE5D-7AA1F7BA4C2C}"/>
    <hyperlink ref="R145" r:id="rId387" xr:uid="{928FBB0B-D93A-4C9A-8EDD-31EC22B2D083}"/>
    <hyperlink ref="P146" r:id="rId388" xr:uid="{A8B9D71F-DEE6-461D-88CC-DFAD4BE8B4E5}"/>
    <hyperlink ref="Q146" r:id="rId389" xr:uid="{9FBDD271-9D20-4257-AF83-7784B6DFD665}"/>
    <hyperlink ref="R146" r:id="rId390" xr:uid="{BCB91827-9D96-4BEE-B5E0-DB94D3CCDAB6}"/>
    <hyperlink ref="P147" r:id="rId391" xr:uid="{8B27AF6B-57E7-45EF-A53C-5477B2CA9232}"/>
    <hyperlink ref="Q147" r:id="rId392" xr:uid="{62D258E7-0E2D-451D-B2DF-3F3EEB263FDB}"/>
    <hyperlink ref="R147" r:id="rId393" xr:uid="{B7E412E0-9345-4F8C-8DF1-D4FD1CC6D190}"/>
    <hyperlink ref="P148" r:id="rId394" xr:uid="{0FE3F0B4-A032-4B23-AA99-FB77A4D8B80D}"/>
    <hyperlink ref="Q148" r:id="rId395" xr:uid="{CA40F4DF-3DE2-459C-B5C8-65F5CC1315AD}"/>
    <hyperlink ref="R148" r:id="rId396" xr:uid="{615A809D-1AEF-4713-AFA4-9873D359DF09}"/>
    <hyperlink ref="P149" r:id="rId397" xr:uid="{587D5056-ECA4-4774-90BE-BB61A03A2608}"/>
    <hyperlink ref="Q149" r:id="rId398" xr:uid="{A61A4B02-A273-4AD0-B6DC-FD321CC1E2DF}"/>
    <hyperlink ref="R149" r:id="rId399" xr:uid="{C1F71006-AF50-40BE-9885-07B6F3BF634F}"/>
    <hyperlink ref="P150" r:id="rId400" xr:uid="{CB4D467F-215E-4E96-AAB0-D9A11FEED093}"/>
    <hyperlink ref="Q150" r:id="rId401" xr:uid="{4D3D2B8B-6143-4451-9502-15EEFC2283D6}"/>
    <hyperlink ref="R150" r:id="rId402" xr:uid="{201A6F29-35D5-4B48-B405-2BC5D25425DF}"/>
    <hyperlink ref="P151" r:id="rId403" xr:uid="{592CD58B-0280-4A9B-AB5F-6DAF1C065744}"/>
    <hyperlink ref="Q151" r:id="rId404" xr:uid="{1DF35DBB-5098-404F-A8D5-9CFEF0414231}"/>
    <hyperlink ref="R151" r:id="rId405" xr:uid="{9682EBBD-DC71-4D22-929E-13D25620B357}"/>
    <hyperlink ref="P152" r:id="rId406" xr:uid="{AE7F328A-7D0E-40EE-80C2-D5D694AE4E14}"/>
    <hyperlink ref="Q152" r:id="rId407" xr:uid="{15AF959D-FCD4-482E-9172-BDF9BDD130B7}"/>
    <hyperlink ref="R152" r:id="rId408" xr:uid="{474A739A-5808-47A6-AC91-467B97BDD42D}"/>
    <hyperlink ref="P153" r:id="rId409" xr:uid="{068D67E1-34E2-46A3-AAF0-A34AAADF33A6}"/>
    <hyperlink ref="Q153" r:id="rId410" xr:uid="{07E9D85F-F1D0-497D-98F8-AB489402BA9A}"/>
    <hyperlink ref="R153" r:id="rId411" xr:uid="{B5187825-64E2-4138-9DA2-4C376B44AE19}"/>
    <hyperlink ref="P154" r:id="rId412" xr:uid="{A1D457AA-C485-4CA4-B3B9-DBC3CF1BCE19}"/>
    <hyperlink ref="Q154" r:id="rId413" xr:uid="{EF58E5DE-05EC-49EC-B454-3A531A77B7FE}"/>
    <hyperlink ref="R154" r:id="rId414" xr:uid="{CED4F066-4902-4222-9B6F-1C389BC27C8F}"/>
    <hyperlink ref="P155" r:id="rId415" xr:uid="{A742B6E9-8450-43E9-89A3-A9FB2F26732D}"/>
    <hyperlink ref="Q155" r:id="rId416" xr:uid="{C7A20486-FEA7-459F-A38F-BEFD4540E384}"/>
    <hyperlink ref="R155" r:id="rId417" xr:uid="{806287A0-12F0-4204-B707-A48BF0FBFDE1}"/>
    <hyperlink ref="P156" r:id="rId418" xr:uid="{C4B5A084-74EB-4C93-9537-1DD0903BD9A0}"/>
    <hyperlink ref="Q156" r:id="rId419" xr:uid="{0173CB8A-F6C3-4F80-89FD-6122962EA0D1}"/>
    <hyperlink ref="R156" r:id="rId420" xr:uid="{7BD27128-3495-4C46-8E75-8BAAAC4EC22B}"/>
    <hyperlink ref="P157" r:id="rId421" xr:uid="{9E5FCEE8-CC3B-4AFC-ADD9-9647F9762141}"/>
    <hyperlink ref="Q157" r:id="rId422" xr:uid="{90CB19A1-3A46-4D6F-902A-323061CF8584}"/>
    <hyperlink ref="R157" r:id="rId423" xr:uid="{6B96C452-96E6-4563-AAF0-87F915BE43FC}"/>
    <hyperlink ref="P158" r:id="rId424" xr:uid="{9F9822CF-539C-4D34-8A79-242D3090568E}"/>
    <hyperlink ref="Q158" r:id="rId425" xr:uid="{2432230C-D4AE-49D9-A0EF-08AF697B854F}"/>
    <hyperlink ref="R158" r:id="rId426" xr:uid="{0F420F4D-9F3F-4106-820A-28B15C0CFD47}"/>
    <hyperlink ref="P159" r:id="rId427" xr:uid="{D906D7E3-8CAF-4C5C-AA7F-655593DCB9AA}"/>
    <hyperlink ref="Q159" r:id="rId428" xr:uid="{5E859660-6E9F-4325-9F34-7E93215B922F}"/>
    <hyperlink ref="R159" r:id="rId429" xr:uid="{822DC309-35B3-4320-92C5-E24D7C13D898}"/>
    <hyperlink ref="P160" r:id="rId430" xr:uid="{A45D36A5-FDBA-444E-8FAD-84EF09798F24}"/>
    <hyperlink ref="Q160" r:id="rId431" xr:uid="{D0C681D0-D67C-4E28-BA09-21153F776128}"/>
    <hyperlink ref="R160" r:id="rId432" xr:uid="{3A3EDF05-393B-40DC-92CE-7987B2B4C5B8}"/>
    <hyperlink ref="P161" r:id="rId433" xr:uid="{B8B56D17-1022-4341-9347-E720A344C16E}"/>
    <hyperlink ref="Q161" r:id="rId434" xr:uid="{D98E53A2-CE25-41EF-BD68-ADFFD50B04BE}"/>
    <hyperlink ref="R161" r:id="rId435" xr:uid="{F53AE57A-7E09-48CB-9D2B-561CE679857D}"/>
    <hyperlink ref="P162" r:id="rId436" xr:uid="{3C4DCC46-1231-4713-8045-59B4C71A3471}"/>
    <hyperlink ref="Q162" r:id="rId437" xr:uid="{77C9A134-6836-49C3-B77F-CB50A6813AB9}"/>
    <hyperlink ref="R162" r:id="rId438" xr:uid="{F58FE4D9-8914-455B-98EE-3053112558F9}"/>
    <hyperlink ref="P163" r:id="rId439" xr:uid="{7A8901F7-3692-4B71-9100-A191E616A64D}"/>
    <hyperlink ref="Q163" r:id="rId440" xr:uid="{0FBA1B29-D054-4735-9803-583B24B7417F}"/>
    <hyperlink ref="R163" r:id="rId441" xr:uid="{B718033E-6DE2-4CA4-8DFC-30354FF4D3FB}"/>
    <hyperlink ref="P164" r:id="rId442" xr:uid="{77EF9C80-2289-44A6-9A3B-8C1DBC18F4F3}"/>
    <hyperlink ref="Q164" r:id="rId443" xr:uid="{4E54A3A3-C15B-4F86-B448-7F4C39C29FF8}"/>
    <hyperlink ref="P165" r:id="rId444" xr:uid="{1E9E3124-37BA-4EF1-AF71-D0E9432CD7A7}"/>
    <hyperlink ref="Q165" r:id="rId445" xr:uid="{7FDA5F31-AE6F-428B-838E-5C3D1BCD9C7B}"/>
    <hyperlink ref="P166" r:id="rId446" xr:uid="{40253EC7-213F-4029-A320-E43587D18BEF}"/>
    <hyperlink ref="Q166" r:id="rId447" xr:uid="{DA660CA4-5AE6-4248-ADEE-5D030C47BA5B}"/>
    <hyperlink ref="R166" r:id="rId448" xr:uid="{7AF8A6E8-CF2F-405D-8954-4061935F1E3D}"/>
    <hyperlink ref="P167" r:id="rId449" xr:uid="{61CC7C42-6FB4-4635-9149-50D7197736D7}"/>
    <hyperlink ref="Q167" r:id="rId450" xr:uid="{BB30688A-21C7-4F2B-A4FE-4B70A9ED2EA5}"/>
    <hyperlink ref="R167" r:id="rId451" xr:uid="{7DF02A3A-1E55-45B3-A46E-55E965265108}"/>
    <hyperlink ref="Q168" r:id="rId452" xr:uid="{DA540694-AFDD-480E-9437-979526F3A8AC}"/>
    <hyperlink ref="P169" r:id="rId453" xr:uid="{14C039B0-7BAF-4CC7-875E-DB236494A5C4}"/>
    <hyperlink ref="Q169" r:id="rId454" xr:uid="{1A1CB14A-8B78-4187-8C91-95A0650105FD}"/>
    <hyperlink ref="R169" r:id="rId455" xr:uid="{A58A0EA8-2FEF-4731-B7F9-6BF29A12681A}"/>
    <hyperlink ref="P170" r:id="rId456" xr:uid="{2214A934-5B22-44CA-90F3-AC1B0E6117E9}"/>
    <hyperlink ref="Q170" r:id="rId457" xr:uid="{594ABB9F-ABF6-4D8D-BCA5-470E0C32C91D}"/>
    <hyperlink ref="R170" r:id="rId458" xr:uid="{584F14C7-FD71-4DBB-9F88-8FDE47ACAE22}"/>
    <hyperlink ref="P171" r:id="rId459" xr:uid="{EF6C6ABB-B661-44E2-B816-34E5B56EAD4F}"/>
    <hyperlink ref="Q171" r:id="rId460" xr:uid="{7504FB1D-6967-41EE-8B2E-5F390BEDBF83}"/>
    <hyperlink ref="R171" r:id="rId461" xr:uid="{FB3A80AF-CD76-48FC-953A-B29597CCC92D}"/>
    <hyperlink ref="P172" r:id="rId462" xr:uid="{ED12E28D-EA7C-447B-A738-1EC3391532DA}"/>
    <hyperlink ref="Q172" r:id="rId463" xr:uid="{B025895D-2BD2-4CBC-AD66-D7EAD9EF1789}"/>
    <hyperlink ref="R172" r:id="rId464" xr:uid="{C9E19885-83E6-46C9-83A9-9913B539F610}"/>
    <hyperlink ref="P173" r:id="rId465" xr:uid="{B290D2F4-3542-43FC-8DC4-5DBD7F40D92F}"/>
    <hyperlink ref="Q173" r:id="rId466" xr:uid="{16C2C720-5EAF-4B4D-B9F5-9A520B3D13F1}"/>
    <hyperlink ref="R173" r:id="rId467" xr:uid="{FB132771-B151-4DC9-B8A7-8BD72A4636B9}"/>
    <hyperlink ref="P174" r:id="rId468" xr:uid="{F0C00020-7E03-4576-A85F-1789A1976DAE}"/>
    <hyperlink ref="Q174" r:id="rId469" xr:uid="{69787605-7A9D-4B37-B472-FE7FAE33F9FC}"/>
    <hyperlink ref="R174" r:id="rId470" xr:uid="{303C90D6-7811-41EB-935D-DEF75699604C}"/>
    <hyperlink ref="P175" r:id="rId471" xr:uid="{0DB6982D-F8CA-41E7-A2D3-6B4651DA9698}"/>
    <hyperlink ref="Q175" r:id="rId472" xr:uid="{90C4E3CB-7D35-486B-A7CF-A215D96AB024}"/>
    <hyperlink ref="R175" r:id="rId473" xr:uid="{578AB964-D4BB-43E7-ACA6-748ACA1E8A6D}"/>
    <hyperlink ref="P176" r:id="rId474" xr:uid="{DDF936B4-F936-498F-8CF1-8659AB0D3025}"/>
    <hyperlink ref="Q176" r:id="rId475" xr:uid="{5B1D9E72-3A05-4B02-96AD-C74DCC580060}"/>
    <hyperlink ref="R176" r:id="rId476" xr:uid="{BF301DE7-71D9-4A2B-96EF-C38F9EA5BC9F}"/>
    <hyperlink ref="P177" r:id="rId477" xr:uid="{0D044EFF-2524-499B-AA63-7A784768FC94}"/>
    <hyperlink ref="Q177" r:id="rId478" xr:uid="{28C4301C-D43F-4827-88A7-9446955CB9D6}"/>
    <hyperlink ref="R177" r:id="rId479" xr:uid="{6F0D2143-3036-4938-82D2-F766430B9996}"/>
    <hyperlink ref="P178" r:id="rId480" xr:uid="{079955E8-4745-4B2B-B2FB-7D71EE7A382D}"/>
    <hyperlink ref="Q178" r:id="rId481" xr:uid="{3DDD5B3B-81FD-4201-8F5F-29EDDEA747E7}"/>
    <hyperlink ref="R178" r:id="rId482" xr:uid="{0CE7C2F2-C18C-4BCD-B203-B7C419FA8344}"/>
    <hyperlink ref="P179" r:id="rId483" xr:uid="{D6FFAEC8-FC99-46CE-8BC2-F3360E521044}"/>
    <hyperlink ref="Q179" r:id="rId484" xr:uid="{1F53E904-70BA-49E5-9FAA-3929475DBD22}"/>
    <hyperlink ref="R179" r:id="rId485" xr:uid="{EB78B72C-3CA4-4B7F-B30D-BE4301FB4EE6}"/>
    <hyperlink ref="P180" r:id="rId486" xr:uid="{99EFAD49-BC63-4E7A-AF85-D9D0BE05DA5A}"/>
    <hyperlink ref="Q180" r:id="rId487" xr:uid="{BC25B7AA-3106-4120-A952-C92367365919}"/>
    <hyperlink ref="R180" r:id="rId488" xr:uid="{1B6091DA-EBF5-4015-B9B2-BAEF46005DDD}"/>
    <hyperlink ref="P181" r:id="rId489" xr:uid="{783FCC30-D87B-4777-AA0E-95FDE8018DAC}"/>
    <hyperlink ref="Q181" r:id="rId490" xr:uid="{DA40CC4D-40F4-4389-A712-B1EE232E297A}"/>
    <hyperlink ref="R181" r:id="rId491" xr:uid="{DF1054C3-2D80-462F-BA31-E0B9051FD757}"/>
    <hyperlink ref="P182" r:id="rId492" xr:uid="{6CECB996-116D-4D1C-9DB3-D1939C8F5852}"/>
    <hyperlink ref="Q182" r:id="rId493" xr:uid="{B4452134-6C74-4887-956D-A0220D7239E0}"/>
    <hyperlink ref="R182" r:id="rId494" xr:uid="{EA42D09F-6547-4BB6-A014-06945EEA035E}"/>
    <hyperlink ref="P183" r:id="rId495" xr:uid="{A78F10D7-A99E-43A8-A874-59E0060C8B42}"/>
    <hyperlink ref="Q183" r:id="rId496" xr:uid="{691D9431-9B1D-4BD6-8DC0-AA4D60704F2E}"/>
    <hyperlink ref="R183" r:id="rId497" xr:uid="{D25239C9-C8E3-47EE-B6EC-DB4228BC9AE9}"/>
    <hyperlink ref="P184" r:id="rId498" xr:uid="{464D1C69-3A26-48D2-B68F-BA026CF9D824}"/>
    <hyperlink ref="Q184" r:id="rId499" xr:uid="{0A0346CD-E840-4A39-875E-F600E9D3DF8A}"/>
    <hyperlink ref="R184" r:id="rId500" xr:uid="{66423369-9EC7-40EA-B39D-19618F49D6C1}"/>
    <hyperlink ref="P185" r:id="rId501" xr:uid="{ED57B7FF-2732-4D64-BB4E-4E9E3A77404F}"/>
    <hyperlink ref="Q185" r:id="rId502" xr:uid="{4288C97F-0256-43F2-8EB4-FA1B0B81AB5D}"/>
    <hyperlink ref="R185" r:id="rId503" xr:uid="{601A62CA-31E5-4E43-B290-24FB5A180FAE}"/>
    <hyperlink ref="P186" r:id="rId504" xr:uid="{51D4D008-3EDC-4E79-8675-95FD411BC862}"/>
    <hyperlink ref="Q186" r:id="rId505" xr:uid="{EF336DC1-2042-4DCE-A150-1B854148E151}"/>
    <hyperlink ref="R186" r:id="rId506" xr:uid="{A9BBEF6E-4BBA-42C4-B0D0-C9981D804ED3}"/>
    <hyperlink ref="P187" r:id="rId507" xr:uid="{D326FB63-BD54-45A8-876D-401287EF2622}"/>
    <hyperlink ref="Q187" r:id="rId508" xr:uid="{71B819DF-33A9-4DDC-B2E2-D613FD87D969}"/>
    <hyperlink ref="R187" r:id="rId509" xr:uid="{085D8E63-8200-4B2E-8741-811FDBE4A566}"/>
    <hyperlink ref="P188" r:id="rId510" xr:uid="{594A49BE-B534-4491-A022-58EBE7D9E7BE}"/>
    <hyperlink ref="Q188" r:id="rId511" xr:uid="{2B1D39BF-1457-4277-B790-9DBEF0612DA4}"/>
    <hyperlink ref="R188" r:id="rId512" xr:uid="{FC76A5FD-59F6-4AC4-A70C-4CBE70E0C697}"/>
    <hyperlink ref="P189" r:id="rId513" xr:uid="{E7D1082B-C519-4397-92A4-2E4A4EF66D93}"/>
    <hyperlink ref="Q189" r:id="rId514" xr:uid="{8682B3F8-C435-4B28-A301-4603B00A25CC}"/>
    <hyperlink ref="R189" r:id="rId515" xr:uid="{AACE12F1-417D-4FF9-B937-0642AAB0BD06}"/>
    <hyperlink ref="P190" r:id="rId516" xr:uid="{D6A71EFF-6779-47D1-9632-9ACFFD295BD6}"/>
    <hyperlink ref="Q190" r:id="rId517" xr:uid="{3B2DAFCA-5828-4885-B73C-9A5A4932CCEC}"/>
    <hyperlink ref="R190" r:id="rId518" xr:uid="{C9242570-6927-4073-A0A0-49B3B01DD67D}"/>
    <hyperlink ref="P191" r:id="rId519" xr:uid="{811C9E1E-519F-477C-9419-477AF7840A51}"/>
    <hyperlink ref="Q191" r:id="rId520" xr:uid="{CEED401A-255A-4B2C-8DBB-EF677725F4C2}"/>
    <hyperlink ref="R191" r:id="rId521" xr:uid="{2599C092-56D1-4C8C-B256-FA8C08FCDC58}"/>
    <hyperlink ref="P192" r:id="rId522" xr:uid="{E3A679CD-BC82-4622-A20A-C6C5798E0EC3}"/>
    <hyperlink ref="Q192" r:id="rId523" xr:uid="{E4591A2E-0B80-4DBA-96E5-224287C89B79}"/>
    <hyperlink ref="R192" r:id="rId524" xr:uid="{C7F9300A-49BD-4D5A-99CC-2C81C3FDDE0C}"/>
    <hyperlink ref="P193" r:id="rId525" xr:uid="{52ED2DA0-7D57-40F0-B2E2-D426480B8963}"/>
    <hyperlink ref="Q193" r:id="rId526" xr:uid="{652E44DF-207E-4E2B-8E21-4C25BC3CD733}"/>
    <hyperlink ref="R193" r:id="rId527" xr:uid="{712E11AD-6C74-40FA-985C-4B6761B7938F}"/>
    <hyperlink ref="P194" r:id="rId528" xr:uid="{81A881CD-34AF-4D0A-9BE1-A71193B88F88}"/>
    <hyperlink ref="Q194" r:id="rId529" xr:uid="{091BBD04-9621-42D3-9842-8D9DB70321F7}"/>
    <hyperlink ref="R194" r:id="rId530" xr:uid="{55A89D4D-325F-4E2E-B4A7-88643F1000F1}"/>
    <hyperlink ref="P195" r:id="rId531" xr:uid="{ADBFF5CB-7233-46ED-9D97-54608113D68E}"/>
    <hyperlink ref="Q195" r:id="rId532" xr:uid="{7DC50F4E-73CB-48E8-A681-59E42CFC3213}"/>
    <hyperlink ref="R195" r:id="rId533" xr:uid="{7A7BF02C-40BC-4A65-A5BA-3181807500A1}"/>
    <hyperlink ref="P196" r:id="rId534" xr:uid="{479F3132-79DB-4B49-98E3-BAD5A1E3D8E5}"/>
    <hyperlink ref="Q196" r:id="rId535" xr:uid="{B1C28B7A-6BD8-4095-870A-01E12032089F}"/>
    <hyperlink ref="R196" r:id="rId536" xr:uid="{138DAB7E-6EBA-4EDE-9B72-2AF4B421681D}"/>
    <hyperlink ref="P197" r:id="rId537" xr:uid="{E133D80F-A69E-4459-9EFF-C2910E1D1B1F}"/>
    <hyperlink ref="Q197" r:id="rId538" xr:uid="{1172D85E-690E-41C0-BAEC-319A71BA43EA}"/>
    <hyperlink ref="R197" r:id="rId539" xr:uid="{4406B2F4-E1A6-4C95-BD06-5BB84E36CB44}"/>
    <hyperlink ref="P198" r:id="rId540" xr:uid="{429F20CD-E468-4BD7-8F27-DD21751DD273}"/>
    <hyperlink ref="Q198" r:id="rId541" xr:uid="{590D611F-CF32-46F3-8069-09C69C923429}"/>
    <hyperlink ref="R198" r:id="rId542" xr:uid="{BAB6A6AA-CA5E-4456-A424-1CE339CDF5E0}"/>
    <hyperlink ref="P199" r:id="rId543" xr:uid="{1C7D2AC5-FCFE-40B4-B091-3AB65C0A6B5E}"/>
    <hyperlink ref="Q199" r:id="rId544" xr:uid="{B1D92070-2A58-4DDD-896F-ED88F9EE3267}"/>
    <hyperlink ref="R199" r:id="rId545" xr:uid="{406BC795-174F-44E0-B851-3B93B55C71F1}"/>
    <hyperlink ref="P200" r:id="rId546" xr:uid="{5F4D21AE-DABB-4027-8C22-2E06BB40AAE1}"/>
    <hyperlink ref="Q200" r:id="rId547" xr:uid="{14ED9DD5-1BBB-4C53-A6D0-58E90DE9A36E}"/>
    <hyperlink ref="R200" r:id="rId548" xr:uid="{FD2914C0-7C65-4712-984A-A1A9709E8C9A}"/>
    <hyperlink ref="P201" r:id="rId549" xr:uid="{8AD366BA-CCF1-49E0-A59E-FE98F7A9477D}"/>
    <hyperlink ref="Q201" r:id="rId550" xr:uid="{195F683F-91A6-4AD3-87EC-2D4AB0C2DB62}"/>
    <hyperlink ref="R201" r:id="rId551" xr:uid="{92ABF224-BDB9-4345-AD88-54A1C2323342}"/>
    <hyperlink ref="P202" r:id="rId552" xr:uid="{70160E56-A00C-4592-B78E-F3BEA402CBFB}"/>
    <hyperlink ref="Q202" r:id="rId553" xr:uid="{CC94FE28-4BB8-4916-81B5-88F9496218A9}"/>
    <hyperlink ref="R202" r:id="rId554" xr:uid="{B199BC50-EE79-43C5-8BC2-98DFFEC13065}"/>
    <hyperlink ref="P203" r:id="rId555" xr:uid="{348A63AF-DEAA-4715-B45C-A70F0F2D05CF}"/>
    <hyperlink ref="Q203" r:id="rId556" xr:uid="{5AB324F5-D9BE-4883-B9A5-597BDB594CA0}"/>
    <hyperlink ref="R203" r:id="rId557" xr:uid="{1D69B6BC-690D-4E35-892C-B0BBBECBD4B9}"/>
    <hyperlink ref="P204" r:id="rId558" xr:uid="{00CF05A5-6C69-47FD-9B69-294E21CFB58F}"/>
    <hyperlink ref="Q204" r:id="rId559" xr:uid="{B1938E5B-BC69-465B-B21E-2D95551F7F7C}"/>
    <hyperlink ref="R204" r:id="rId560" xr:uid="{F7A4FF56-A564-4E2C-9C60-5DDB3E8DE5E6}"/>
    <hyperlink ref="P205" r:id="rId561" xr:uid="{488B58C3-DEA9-4F3C-9F8C-D07A47D5B87F}"/>
    <hyperlink ref="Q205" r:id="rId562" xr:uid="{1EEB5C62-B662-4E15-AD35-A0B1B3A00E2C}"/>
    <hyperlink ref="R205" r:id="rId563" xr:uid="{AB41FCFB-42AF-4FD2-A633-1A472AA66DB1}"/>
    <hyperlink ref="P206" r:id="rId564" xr:uid="{837977D2-EA55-47AF-A7C9-8D43311F1FAF}"/>
    <hyperlink ref="Q206" r:id="rId565" xr:uid="{7562E9D2-279B-4866-93DF-B7FFF78D34EF}"/>
    <hyperlink ref="R206" r:id="rId566" xr:uid="{26356FBE-2379-4E23-AE72-B86D4A242928}"/>
    <hyperlink ref="P207" r:id="rId567" xr:uid="{D3D22B8E-512A-4261-B27C-E25B1E44C798}"/>
    <hyperlink ref="Q207" r:id="rId568" xr:uid="{1A1CCFA8-3F5F-4AD6-B661-2205A29290B5}"/>
    <hyperlink ref="R207" r:id="rId569" xr:uid="{0D369C98-9F88-48AE-A221-1C9AC8C34FF7}"/>
    <hyperlink ref="P208" r:id="rId570" xr:uid="{5FF6EA52-6633-49BE-9224-1467244D0104}"/>
    <hyperlink ref="Q208" r:id="rId571" xr:uid="{742CC11E-8C3E-4298-9D98-B8C2D2396152}"/>
    <hyperlink ref="R208" r:id="rId572" xr:uid="{C88B67F7-0055-4DAD-BCCA-ABC824903B9C}"/>
    <hyperlink ref="P209" r:id="rId573" xr:uid="{4CD1E017-B54A-44F7-9749-2F72A93CB4EF}"/>
    <hyperlink ref="Q209" r:id="rId574" xr:uid="{9147DAD6-6DBF-44C9-A51D-1DF40714BF1E}"/>
    <hyperlink ref="R209" r:id="rId575" xr:uid="{C38CAD9A-43B4-4214-A9E1-11096E8CD088}"/>
    <hyperlink ref="P210" r:id="rId576" xr:uid="{19F6DDA8-7CE8-4A8A-8B12-2596F6231EB2}"/>
    <hyperlink ref="Q210" r:id="rId577" xr:uid="{CCFE327F-D53E-44A2-9613-5996E997BC14}"/>
    <hyperlink ref="R210" r:id="rId578" xr:uid="{6A8355BE-F265-4348-B05F-5720D18E8EE8}"/>
    <hyperlink ref="P211" r:id="rId579" xr:uid="{FE1B8F0E-170B-4DD2-89FD-2D351881EBF1}"/>
    <hyperlink ref="Q211" r:id="rId580" xr:uid="{F7B641D1-D633-4D2C-A172-6CCC40C57FF7}"/>
    <hyperlink ref="R211" r:id="rId581" xr:uid="{84906235-E421-49CE-8F4F-57BAF2B823AF}"/>
    <hyperlink ref="P212" r:id="rId582" xr:uid="{5353FF2E-0D7C-4A1B-9CFF-08FD0558B51B}"/>
    <hyperlink ref="Q212" r:id="rId583" xr:uid="{E94B9245-A3DE-47E2-9009-C7B25D879872}"/>
    <hyperlink ref="R212" r:id="rId584" xr:uid="{0889A38A-B9F0-43B0-80FB-F239EDF7FFE9}"/>
    <hyperlink ref="P213" r:id="rId585" xr:uid="{437C2BCD-C3D8-4DD7-8062-1BF05C530FFB}"/>
    <hyperlink ref="Q213" r:id="rId586" xr:uid="{CDD0408B-92F4-4CCE-A76D-F07F87FF86E8}"/>
    <hyperlink ref="R213" r:id="rId587" xr:uid="{A5817FAD-5B63-4D6D-B4F6-A3F187191E6A}"/>
    <hyperlink ref="P214" r:id="rId588" xr:uid="{58886A31-B1E6-4D48-A685-8BD2D217B231}"/>
    <hyperlink ref="Q214" r:id="rId589" xr:uid="{4310F028-0534-41F7-BF68-11D42330B6AD}"/>
    <hyperlink ref="R214" r:id="rId590" xr:uid="{1FE9E848-148F-4AE2-A308-2B2C7FCC7C53}"/>
    <hyperlink ref="P215" r:id="rId591" xr:uid="{A0160D97-5351-4699-9D02-A60789FA6E97}"/>
    <hyperlink ref="Q215" r:id="rId592" xr:uid="{7F3C2687-A641-4204-BA16-D57F4E7C9322}"/>
    <hyperlink ref="R215" r:id="rId593" xr:uid="{88482F84-AC73-422D-AF96-249E4FD34316}"/>
    <hyperlink ref="P216" r:id="rId594" xr:uid="{24B4BA2E-DA68-4A72-9F3A-C24DD698116F}"/>
    <hyperlink ref="Q216" r:id="rId595" xr:uid="{146C78B2-86BD-4F06-8F55-B0978934B4E7}"/>
    <hyperlink ref="R216" r:id="rId596" xr:uid="{B8E75FE1-22EF-4A1E-8AED-5DCBEF7F48E8}"/>
    <hyperlink ref="Q217" r:id="rId597" xr:uid="{C29F0618-4EA8-45B5-B7A9-8ED73BD73194}"/>
    <hyperlink ref="R217" r:id="rId598" xr:uid="{0A83BE34-5547-43D7-A0E6-8D572D7F18DB}"/>
    <hyperlink ref="P218" r:id="rId599" xr:uid="{28EEDD9F-1F54-4D4D-B346-B709BD88A20A}"/>
    <hyperlink ref="Q218" r:id="rId600" xr:uid="{C87A2B22-D507-48E5-B040-CFBF7C380E89}"/>
    <hyperlink ref="R218" r:id="rId601" xr:uid="{876BE6CF-A51D-432C-8F45-FE6BB8E03A1B}"/>
    <hyperlink ref="P219" r:id="rId602" xr:uid="{A34C3416-713A-4EE4-93D8-FAD419E93608}"/>
    <hyperlink ref="Q219" r:id="rId603" xr:uid="{96109091-D1D2-495F-A4C7-5CFF0F304FA9}"/>
    <hyperlink ref="R219" r:id="rId604" xr:uid="{B73F27A1-2D64-4DD5-8665-0A1CF00F9653}"/>
    <hyperlink ref="P220" r:id="rId605" xr:uid="{C64EFE54-B7D1-49CC-AA98-907623BC137D}"/>
    <hyperlink ref="Q220" r:id="rId606" xr:uid="{1999D686-16BA-4B29-9415-0E02D315435B}"/>
    <hyperlink ref="R220" r:id="rId607" xr:uid="{E4FC53A8-B111-4259-9DEE-40AB1D7FCA63}"/>
    <hyperlink ref="P221" r:id="rId608" xr:uid="{60DDBB48-FF8D-402E-A216-C3CF799C54AB}"/>
    <hyperlink ref="Q221" r:id="rId609" xr:uid="{AE0CB7EA-7015-4312-8C9E-E7B4FE2897C3}"/>
    <hyperlink ref="R221" r:id="rId610" xr:uid="{C0CDA1F3-03B3-45A9-B08D-93F31E0FE05F}"/>
    <hyperlink ref="P222" r:id="rId611" xr:uid="{390C52E4-E345-4F3B-A695-4F6D756D0A8D}"/>
    <hyperlink ref="Q222" r:id="rId612" xr:uid="{684B475F-5B3D-42BD-8BD6-79346E874A94}"/>
    <hyperlink ref="R222" r:id="rId613" xr:uid="{86ED9A1F-D38D-4F64-B68D-00D7460DCD5E}"/>
    <hyperlink ref="P223" r:id="rId614" xr:uid="{287BE1DF-4EFB-4FBF-91C0-19BB2F1B8316}"/>
    <hyperlink ref="Q223" r:id="rId615" xr:uid="{579BE6C3-8249-41B8-AB59-5B2E911D74AA}"/>
    <hyperlink ref="R223" r:id="rId616" xr:uid="{9896BCBC-908F-41AF-8F69-4087A3C8F73B}"/>
    <hyperlink ref="P224" r:id="rId617" xr:uid="{BBB82D00-A598-4D02-BC40-7B8D3DF4BA8C}"/>
    <hyperlink ref="Q224" r:id="rId618" xr:uid="{490F4986-A6C9-46F7-B05B-832AF958D02B}"/>
    <hyperlink ref="R224" r:id="rId619" xr:uid="{F7E64D5E-389D-40DD-85A7-F1B6C2E37F15}"/>
    <hyperlink ref="P225" r:id="rId620" xr:uid="{A7EDAE09-86BF-4FD0-9078-A733AFE46620}"/>
    <hyperlink ref="Q225" r:id="rId621" xr:uid="{BB812E25-159A-42C7-A19B-8AC74196FB2A}"/>
    <hyperlink ref="R225" r:id="rId622" xr:uid="{44918CDA-CE3F-4677-9D85-6E55E89A8FCD}"/>
    <hyperlink ref="P226" r:id="rId623" xr:uid="{646AE841-9D5A-4717-B95C-BDAA08EB304E}"/>
    <hyperlink ref="Q226" r:id="rId624" xr:uid="{C0E975DC-705A-4F04-B82A-EF2574DC2C1F}"/>
    <hyperlink ref="R226" r:id="rId625" xr:uid="{C6CDEA43-B88B-40AB-8F7B-5927F26024EE}"/>
    <hyperlink ref="P227" r:id="rId626" xr:uid="{7EE695A1-6EBF-4BE0-909B-8E540CE28EAD}"/>
    <hyperlink ref="Q227" r:id="rId627" xr:uid="{05AB327A-457E-4035-A9A0-B73714299043}"/>
    <hyperlink ref="R227" r:id="rId628" xr:uid="{4AA0D876-896A-4195-A29F-21DD91062B3B}"/>
    <hyperlink ref="P228" r:id="rId629" xr:uid="{5AB8FFFD-77E4-4077-AD24-06A08FD32CA8}"/>
    <hyperlink ref="Q228" r:id="rId630" xr:uid="{78954E22-AE71-47D0-B720-99D7F2254C61}"/>
    <hyperlink ref="R228" r:id="rId631" xr:uid="{5603D11F-110C-4F3D-A79A-CF93D2C8F07D}"/>
    <hyperlink ref="P229" r:id="rId632" xr:uid="{C1DF9926-8243-4618-9992-F120EFD18641}"/>
    <hyperlink ref="Q229" r:id="rId633" xr:uid="{60AD9425-C0B5-4594-9D3E-ACF497DEBE30}"/>
    <hyperlink ref="R229" r:id="rId634" xr:uid="{D9A36D03-6D06-4303-A305-10602A23C4DB}"/>
    <hyperlink ref="P230" r:id="rId635" xr:uid="{9DC3D7FF-051C-4278-B6E4-7AEC84F0AB34}"/>
    <hyperlink ref="Q230" r:id="rId636" xr:uid="{84CAE4BB-FCC2-49E3-B107-628AD343AFA9}"/>
    <hyperlink ref="R230" r:id="rId637" xr:uid="{3FC5A6A3-2090-46F2-BCC4-6F0D6C25392A}"/>
    <hyperlink ref="P231" r:id="rId638" xr:uid="{55747EEB-2EDF-4E7F-AC5A-2768C14B7DF2}"/>
    <hyperlink ref="Q231" r:id="rId639" xr:uid="{08C4BCC4-9C13-4F3C-994A-9FC7B98C08FD}"/>
    <hyperlink ref="R231" r:id="rId640" xr:uid="{1CC88CCA-16BA-4348-BE4A-9A5FD3630606}"/>
    <hyperlink ref="P232" r:id="rId641" xr:uid="{3178F96C-B109-483B-B605-8E32634D0113}"/>
    <hyperlink ref="Q232" r:id="rId642" xr:uid="{11E70D9A-9D40-4F68-AE07-E7760CF1CCAD}"/>
    <hyperlink ref="R232" r:id="rId643" xr:uid="{95455684-CE8D-42EE-A3BA-0690DD3CE2B1}"/>
    <hyperlink ref="P233" r:id="rId644" xr:uid="{1D8C245E-9DE8-427E-BC6D-99EC02686417}"/>
    <hyperlink ref="Q233" r:id="rId645" xr:uid="{DD148245-AD0A-48E7-A72F-32D37F2FEC91}"/>
    <hyperlink ref="R233" r:id="rId646" xr:uid="{89A69BB4-204A-4AD2-9F0B-80985D9AFBA5}"/>
    <hyperlink ref="P234" r:id="rId647" xr:uid="{C0A8E509-B2A7-44B2-B3D9-653CE9A8D983}"/>
    <hyperlink ref="Q234" r:id="rId648" xr:uid="{8C635438-5186-4339-8FCF-F47362819434}"/>
    <hyperlink ref="R234" r:id="rId649" xr:uid="{A451BE26-E32F-4F72-861F-612A26968D0F}"/>
    <hyperlink ref="P235" r:id="rId650" xr:uid="{A4E8579C-70F6-4276-9484-D8D8DFB2CCBF}"/>
    <hyperlink ref="Q235" r:id="rId651" xr:uid="{65C45758-E902-402A-B759-C11D9C1DEE2D}"/>
    <hyperlink ref="R235" r:id="rId652" xr:uid="{60276C0D-AD8D-48E1-A6C7-B2D06CDB64BE}"/>
    <hyperlink ref="P236" r:id="rId653" xr:uid="{AC173614-0485-4C3D-947F-C82422D20033}"/>
    <hyperlink ref="Q236" r:id="rId654" xr:uid="{7A8D9BE2-8C90-408D-ABF4-187585E47E51}"/>
    <hyperlink ref="R236" r:id="rId655" xr:uid="{08B5FE05-5F84-430C-833F-8D79309F2D98}"/>
    <hyperlink ref="P237" r:id="rId656" xr:uid="{9A632DE9-C0DE-4168-A90E-40C1844B0C89}"/>
    <hyperlink ref="Q237" r:id="rId657" xr:uid="{9CD2E26C-7B17-4B5E-BA27-32E1C20E8F54}"/>
    <hyperlink ref="R237" r:id="rId658" xr:uid="{D9DCC54B-118B-41C5-9640-F6A637E4F8CB}"/>
    <hyperlink ref="P238" r:id="rId659" xr:uid="{1E10A69D-4232-485D-8534-9EB4AF2ACA41}"/>
    <hyperlink ref="Q238" r:id="rId660" xr:uid="{5DB0D962-1DBD-415E-BB95-FD0C3CC5BB15}"/>
    <hyperlink ref="R238" r:id="rId661" xr:uid="{40E84F6D-B43D-4162-8464-EE3101E3AE78}"/>
    <hyperlink ref="P239" r:id="rId662" xr:uid="{E9CC83FE-FF61-4B0D-A8AD-1EC38FCC80AC}"/>
    <hyperlink ref="Q239" r:id="rId663" xr:uid="{C21708E0-8C43-4A08-85E0-16EEAFFDADE3}"/>
    <hyperlink ref="R239" r:id="rId664" xr:uid="{7735C313-7A64-4BA9-B64C-FB3E9DA361EA}"/>
    <hyperlink ref="P240" r:id="rId665" xr:uid="{7041B622-BD29-4A2B-AC34-BE807FCC9F16}"/>
    <hyperlink ref="Q240" r:id="rId666" xr:uid="{155D0E35-B1A6-44C5-A95F-E81D7373CC53}"/>
    <hyperlink ref="R240" r:id="rId667" xr:uid="{55F891A3-B472-47AC-BCF4-9EB2C42CBDD5}"/>
    <hyperlink ref="P241" r:id="rId668" xr:uid="{057C6D05-9E11-4E68-B3D3-3863586CC3BF}"/>
    <hyperlink ref="Q241" r:id="rId669" xr:uid="{2BA3F027-D07D-4F00-B745-53E7BE1A69E7}"/>
    <hyperlink ref="R241" r:id="rId670" xr:uid="{C30BA83B-24A1-451A-9110-4354E0C1DA89}"/>
    <hyperlink ref="P242" r:id="rId671" xr:uid="{DDF8E4BA-BF43-42AB-A4E8-F0CF641FCF0D}"/>
    <hyperlink ref="Q242" r:id="rId672" xr:uid="{14C5DBED-4707-4D58-84CC-4DFB5D478EA5}"/>
    <hyperlink ref="R242" r:id="rId673" xr:uid="{10A692D6-ABDC-4773-9401-30831B119272}"/>
    <hyperlink ref="P243" r:id="rId674" xr:uid="{27F5ADEF-8224-4217-8EEB-7E0614DD06A3}"/>
    <hyperlink ref="Q243" r:id="rId675" xr:uid="{C86EEB73-4AC6-4BEA-8856-5CDFF80399C1}"/>
    <hyperlink ref="R243" r:id="rId676" xr:uid="{EC7D8D2E-66B6-46AD-8D3A-72F260BB9F1E}"/>
    <hyperlink ref="P244" r:id="rId677" xr:uid="{C4DE8B07-F6EA-4415-BDBF-F59177FC7491}"/>
    <hyperlink ref="Q244" r:id="rId678" xr:uid="{C638129F-212B-4762-A6E3-F01F23E39307}"/>
    <hyperlink ref="R244" r:id="rId679" xr:uid="{274851DC-3A8B-44F9-AAF2-0CCD93314CBA}"/>
    <hyperlink ref="P245" r:id="rId680" xr:uid="{FCFC5747-5AEA-4A37-ACF7-BDD502891508}"/>
    <hyperlink ref="Q245" r:id="rId681" xr:uid="{6D0D50A7-9530-48BA-9D50-215EDD8005C8}"/>
    <hyperlink ref="R245" r:id="rId682" xr:uid="{2C233BA4-F738-4563-8F26-9EA4B6862262}"/>
    <hyperlink ref="P246" r:id="rId683" xr:uid="{1C065030-48E8-4946-A7C0-DDC968CAF2F2}"/>
    <hyperlink ref="Q246" r:id="rId684" xr:uid="{CC2684D5-FDD6-49EF-9308-CC1040C4D7A5}"/>
    <hyperlink ref="R246" r:id="rId685" xr:uid="{9BE35D7D-FEAB-4892-8505-2550E863D9AE}"/>
    <hyperlink ref="P247" r:id="rId686" xr:uid="{F584C255-B0B6-4DAD-8D53-C8F156EE1088}"/>
    <hyperlink ref="Q247" r:id="rId687" xr:uid="{E9F204B3-3427-433E-97CD-3441DCB32978}"/>
    <hyperlink ref="R247" r:id="rId688" xr:uid="{D48A8FBC-82AE-4A7D-A0A2-6E6DD6086E0F}"/>
    <hyperlink ref="P248" r:id="rId689" xr:uid="{8ECDCFCA-56DE-4809-8F9D-AFEBFE265C13}"/>
    <hyperlink ref="Q248" r:id="rId690" xr:uid="{2F995288-9B14-454B-B093-C6985D6CC30F}"/>
    <hyperlink ref="R248" r:id="rId691" xr:uid="{C5136E00-53D7-4438-98D3-B57F98D4E74B}"/>
    <hyperlink ref="P249" r:id="rId692" xr:uid="{EFD9A778-5DA1-4702-9972-71483A2BC4CF}"/>
    <hyperlink ref="Q249" r:id="rId693" xr:uid="{6322C33C-2728-4233-850B-F8E8800EDFC8}"/>
    <hyperlink ref="R249" r:id="rId694" xr:uid="{13EEEFD4-0739-4529-93F0-932A1865B829}"/>
    <hyperlink ref="P250" r:id="rId695" xr:uid="{ADE58FA5-4720-48F0-8728-9FCF2FBC7453}"/>
    <hyperlink ref="Q250" r:id="rId696" xr:uid="{63E05AA2-96B8-46C8-B052-899DDD5E5FCB}"/>
    <hyperlink ref="R250" r:id="rId697" xr:uid="{4070F3B7-28B7-46CD-942A-0DF3170E9472}"/>
    <hyperlink ref="P251" r:id="rId698" xr:uid="{F932D7F0-1CFA-4A87-8FC3-7F64EF3B83A7}"/>
    <hyperlink ref="Q251" r:id="rId699" xr:uid="{589B8AB1-E290-46D6-98B8-1DEC382E0BF4}"/>
    <hyperlink ref="R251" r:id="rId700" xr:uid="{4972BEE3-2FFA-47E9-A869-50A8B9479A39}"/>
    <hyperlink ref="P252" r:id="rId701" xr:uid="{C33C45C5-764B-4669-8F77-303FA16F0D04}"/>
    <hyperlink ref="Q252" r:id="rId702" xr:uid="{20C4A49C-70AE-4B7C-842F-98576490A544}"/>
    <hyperlink ref="R252" r:id="rId703" xr:uid="{C5D0957D-66B5-4494-97AB-463E847CBD11}"/>
    <hyperlink ref="P253" r:id="rId704" xr:uid="{343EDD3B-CC8D-4AF5-97CC-0418C47F0F12}"/>
    <hyperlink ref="Q253" r:id="rId705" xr:uid="{BE6E7926-D12D-4B7A-A43C-7BCE8BB0EB0B}"/>
    <hyperlink ref="R253" r:id="rId706" xr:uid="{113AA71D-D718-494B-BB7A-760BCD2B4207}"/>
    <hyperlink ref="P254" r:id="rId707" xr:uid="{3CCFE890-ABD8-4D75-9115-A406E7C8A44B}"/>
    <hyperlink ref="Q254" r:id="rId708" xr:uid="{D9A2C5D7-F69E-4594-BA04-149E2FF2F08D}"/>
    <hyperlink ref="R254" r:id="rId709" xr:uid="{B815F889-1BFC-40AC-AE6B-E61698C59833}"/>
    <hyperlink ref="P255" r:id="rId710" xr:uid="{7D7A1F27-DBB5-45D7-841C-FF810717CB58}"/>
    <hyperlink ref="Q255" r:id="rId711" xr:uid="{3EA0703C-7872-4E48-B2CF-B1F84B773C73}"/>
    <hyperlink ref="R255" r:id="rId712" xr:uid="{43937D5D-0E83-49FB-8FB0-5A873CA300CD}"/>
    <hyperlink ref="P256" r:id="rId713" xr:uid="{63E2A067-53C0-4705-80D5-F084BC4BC844}"/>
    <hyperlink ref="Q256" r:id="rId714" xr:uid="{6B5CA071-1228-4B23-B323-B74C143B6523}"/>
    <hyperlink ref="R256" r:id="rId715" xr:uid="{9F0FA27B-508F-40C1-81DC-5850A4F68C62}"/>
    <hyperlink ref="Q257" r:id="rId716" xr:uid="{8D02A8E9-54DF-4152-9466-A4EC677C9926}"/>
    <hyperlink ref="R257" r:id="rId717" xr:uid="{CA92D1EA-046A-41B5-84E1-4270A8FCC015}"/>
    <hyperlink ref="Q258" r:id="rId718" xr:uid="{9065C14D-96C0-4ACE-A971-E90BE857A018}"/>
    <hyperlink ref="R258" r:id="rId719" xr:uid="{125DA4C4-C8AB-4563-A9D9-795B7E434EA5}"/>
    <hyperlink ref="Q259" r:id="rId720" xr:uid="{402521E0-1019-4F2A-B49B-8C7FF25C8F9B}"/>
    <hyperlink ref="R259" r:id="rId721" xr:uid="{7BD170D6-1C7D-436E-B620-33A7D5B18E61}"/>
    <hyperlink ref="P260" r:id="rId722" xr:uid="{8F7C9271-855F-4FD8-9F6A-13F6C3666754}"/>
    <hyperlink ref="Q260" r:id="rId723" xr:uid="{A174817D-3CE1-47F2-B2CC-625FB2CEBC3C}"/>
    <hyperlink ref="S260" r:id="rId724" xr:uid="{1EABD2D0-98BC-4B86-92BB-F5CC9044365E}"/>
    <hyperlink ref="Q261" r:id="rId725" xr:uid="{83FE9DA6-694B-4212-866B-071F1344CD2A}"/>
    <hyperlink ref="Q262" r:id="rId726" xr:uid="{9FB01EE9-20C8-4314-A904-3B9B1248C2ED}"/>
    <hyperlink ref="R262" r:id="rId727" xr:uid="{DF423DB4-7518-448D-A3AF-877EAFE85797}"/>
    <hyperlink ref="Q263" r:id="rId728" xr:uid="{2F55EB5D-3A39-4B1B-A126-5118CF5FBF84}"/>
    <hyperlink ref="R263" r:id="rId729" xr:uid="{EC8A9BEB-80B3-491E-91D0-01A2C86FC90B}"/>
    <hyperlink ref="Q264" r:id="rId730" xr:uid="{BCFDB8C0-A1C4-4EF4-B724-FFBCD7693365}"/>
    <hyperlink ref="Q265" r:id="rId731" xr:uid="{349502B9-2033-453C-B12B-C5C801D07E91}"/>
    <hyperlink ref="Q266" r:id="rId732" xr:uid="{DC3B0FBF-67BB-441A-AF66-81CCC9621D59}"/>
    <hyperlink ref="R266" r:id="rId733" xr:uid="{970AC4CD-8D99-4C88-9BB4-00455F61D84B}"/>
    <hyperlink ref="Q267" r:id="rId734" xr:uid="{77AA189E-91B3-428B-BC6C-40B6A57BAEDF}"/>
    <hyperlink ref="R267" r:id="rId735" xr:uid="{ED2DF303-DE97-4D76-AF0A-9DF31882D8CE}"/>
    <hyperlink ref="Q268" r:id="rId736" xr:uid="{6A8B505A-AD0A-49BC-922D-62B2868EE680}"/>
    <hyperlink ref="R269" r:id="rId737" xr:uid="{FFDAEF82-DBE4-4D30-A90A-504512F38E8F}"/>
    <hyperlink ref="S269" r:id="rId738" xr:uid="{6A215B18-15AE-4391-8DF0-A9AEE397361D}"/>
    <hyperlink ref="Q270" r:id="rId739" xr:uid="{BAEE2C57-DB34-40A6-8DE9-CE13CC3B0459}"/>
    <hyperlink ref="Q271" r:id="rId740" xr:uid="{9EB77065-8FD0-4DA5-A8DD-F8CC2D7EF36F}"/>
    <hyperlink ref="Q272" r:id="rId741" xr:uid="{AADDB9ED-8E9B-45BB-A625-D94F8A9870C9}"/>
    <hyperlink ref="Q273" r:id="rId742" xr:uid="{CAAE2423-5221-454C-BE6F-0B5A06BC4940}"/>
    <hyperlink ref="Q274" r:id="rId743" xr:uid="{65BB8DC4-50EF-413B-BF0E-559D7E070469}"/>
    <hyperlink ref="Q275" r:id="rId744" xr:uid="{5E5B2F02-A228-4125-9F63-F02B4065C470}"/>
    <hyperlink ref="Q276" r:id="rId745" xr:uid="{D30FB461-E93E-4FE7-80F3-D468B87CF136}"/>
    <hyperlink ref="Q277" r:id="rId746" xr:uid="{F9B32D55-05FE-4D69-B1F8-DF70F30BCA89}"/>
    <hyperlink ref="Q278" r:id="rId747" xr:uid="{8699D5D4-3E9B-4AF8-A0DD-659CCEA9D590}"/>
    <hyperlink ref="Q279" r:id="rId748" xr:uid="{F575DA6B-C1A6-4724-97B6-5FE2B68644C8}"/>
    <hyperlink ref="Q280" r:id="rId749" xr:uid="{7AA8473A-0F75-49BD-A706-186F33B6DB1C}"/>
    <hyperlink ref="R280" r:id="rId750" xr:uid="{CBDC52D8-3F68-458B-9950-D173412EB1B7}"/>
    <hyperlink ref="Q281" r:id="rId751" xr:uid="{751FA063-2ACD-4923-A26D-ACF007E7F2E1}"/>
    <hyperlink ref="R281" r:id="rId752" xr:uid="{BA3A5AFC-69DC-434C-94AA-1D7BDEEBBE79}"/>
    <hyperlink ref="Q282" r:id="rId753" xr:uid="{62248C95-A997-4947-9806-50BFDAB6DD68}"/>
    <hyperlink ref="Q283" r:id="rId754" xr:uid="{0FD41AB3-BA67-4BE0-A559-3EBF345FFC13}"/>
    <hyperlink ref="Q284" r:id="rId755" xr:uid="{AB162F4E-954B-4366-A70C-E8AAF4041719}"/>
    <hyperlink ref="Q285" r:id="rId756" xr:uid="{61B9FAF0-9B8D-480D-B360-5CA09994AE1C}"/>
    <hyperlink ref="R285" r:id="rId757" xr:uid="{156D5920-3791-4002-898C-1F6C469D3D57}"/>
    <hyperlink ref="Q286" r:id="rId758" xr:uid="{9F58601E-103B-400A-82F2-F30AF79E98C7}"/>
    <hyperlink ref="R286" r:id="rId759" xr:uid="{8E049BCB-2343-4218-B3E5-95E84B5F012F}"/>
    <hyperlink ref="S287" r:id="rId760" xr:uid="{69AE2549-2F70-479C-823E-E32686FE5C6C}"/>
    <hyperlink ref="Q288" r:id="rId761" xr:uid="{0948EA9A-5FB3-4BD8-B330-9BA5F00AC7A1}"/>
    <hyperlink ref="R288" r:id="rId762" xr:uid="{0204B6EC-E8A6-4B6D-9FAC-DC4FF04140DC}"/>
    <hyperlink ref="Q289" r:id="rId763" xr:uid="{F6D59FF3-2FD4-47D7-9B83-9ED2AB4FCF5B}"/>
    <hyperlink ref="Q290" r:id="rId764" xr:uid="{692C3029-4ECF-4AC5-BE27-BB21C41815D7}"/>
    <hyperlink ref="Q291" r:id="rId765" xr:uid="{D28FCD93-6325-4A4F-B43F-9840622574EB}"/>
    <hyperlink ref="Q292" r:id="rId766" xr:uid="{CBB1277F-8FDD-4EA7-AFC8-28EDE7A2AB9A}"/>
    <hyperlink ref="Q293" r:id="rId767" xr:uid="{CC3D3B7A-5542-41E6-A43A-EF88A3EDD63C}"/>
    <hyperlink ref="Q294" r:id="rId768" xr:uid="{9467F09A-A28D-422D-AE8E-EA8FF3D79608}"/>
    <hyperlink ref="Q295" r:id="rId769" xr:uid="{A353C177-85A3-4D96-94C8-1BEB43C001F6}"/>
    <hyperlink ref="Q296" r:id="rId770" xr:uid="{A0BFA881-1514-4147-8FDA-28C0CEF3B5B6}"/>
    <hyperlink ref="Q297" r:id="rId771" xr:uid="{EDDB2A8F-27C8-4769-BC5D-3724F4CD109A}"/>
    <hyperlink ref="P298" r:id="rId772" xr:uid="{EDEC67A4-5788-4870-A2C3-674C72995A84}"/>
    <hyperlink ref="Q298" r:id="rId773" xr:uid="{5579EBE7-C475-4E97-B77D-72A47FB118C4}"/>
    <hyperlink ref="R298" r:id="rId774" xr:uid="{096EA10E-EE2D-4EA5-B02C-F78218FE25FD}"/>
    <hyperlink ref="P299" r:id="rId775" xr:uid="{F745813F-978A-483C-A6AC-1ABB9F3848F1}"/>
    <hyperlink ref="Q299" r:id="rId776" xr:uid="{53DC1DBE-C795-4066-9D80-23805ADE0323}"/>
    <hyperlink ref="P300" r:id="rId777" xr:uid="{0B375E9B-9A40-4AC5-81C4-09148FA2BAAC}"/>
    <hyperlink ref="Q300" r:id="rId778" xr:uid="{BA99FB6A-9725-41D2-829B-37C12FA76DB0}"/>
    <hyperlink ref="P301" r:id="rId779" xr:uid="{022387C9-0CBC-49D5-8090-0F6CE3601645}"/>
    <hyperlink ref="Q301" r:id="rId780" xr:uid="{015C6AE3-DA1E-4437-9C65-0D48BFF1CF11}"/>
    <hyperlink ref="R301" r:id="rId781" xr:uid="{4EF1AF92-62AA-48C9-A283-73C26A9920C7}"/>
    <hyperlink ref="P302" r:id="rId782" xr:uid="{0904A7E4-8CF7-400F-A045-57DEF84A9885}"/>
    <hyperlink ref="Q302" r:id="rId783" xr:uid="{E4330107-D33D-40E8-9F88-7BCCB0B64272}"/>
    <hyperlink ref="R302" r:id="rId784" xr:uid="{480D3F34-8112-48D2-8B2B-BF7076627214}"/>
    <hyperlink ref="P303" r:id="rId785" xr:uid="{14B90634-5C88-48C9-8051-347B0081C388}"/>
    <hyperlink ref="Q303" r:id="rId786" xr:uid="{135F13E0-8976-4175-ABC1-2DE7876EC0FA}"/>
    <hyperlink ref="R303" r:id="rId787" xr:uid="{A8F02EF5-8EBC-4E4E-BD6C-240036585B3D}"/>
    <hyperlink ref="P304" r:id="rId788" xr:uid="{9849CC2D-256B-44A1-846A-252B76980918}"/>
    <hyperlink ref="Q304" r:id="rId789" xr:uid="{FD6916F7-0477-4AF5-AA6B-25CD6F59CFB2}"/>
    <hyperlink ref="R304" r:id="rId790" xr:uid="{85198112-87BF-4D2B-B081-AF2066C9FF7E}"/>
    <hyperlink ref="P305" r:id="rId791" xr:uid="{86ACE047-A64A-44E0-9E75-B15C7BAE1968}"/>
    <hyperlink ref="Q305" r:id="rId792" xr:uid="{888DE283-F23D-4B4E-A82F-B35C8FE25DF6}"/>
    <hyperlink ref="R305" r:id="rId793" xr:uid="{376682F7-CDFF-43F5-A012-75F6F68DE379}"/>
    <hyperlink ref="P306" r:id="rId794" xr:uid="{531258AC-215C-4F98-9960-A74240246F21}"/>
    <hyperlink ref="Q306" r:id="rId795" xr:uid="{AB959772-FBB4-4A6D-81BB-9B31BA1170E3}"/>
    <hyperlink ref="R306" r:id="rId796" xr:uid="{96801868-1A01-42BC-920C-20236B8CB41D}"/>
    <hyperlink ref="P307" r:id="rId797" xr:uid="{F2C78B4A-7D90-4F76-A0C3-C3FD2E7A859E}"/>
    <hyperlink ref="Q307" r:id="rId798" xr:uid="{D2E17A9D-4006-4709-A3E5-D329BFBA2AC2}"/>
    <hyperlink ref="R307" r:id="rId799" xr:uid="{A2EB732B-F5A7-4B1D-942E-16F3C72B42FD}"/>
    <hyperlink ref="S308" r:id="rId800" xr:uid="{CD43A883-907D-46C5-8F35-1087AB8CBDD0}"/>
    <hyperlink ref="S309" r:id="rId801" xr:uid="{B374DA3C-6257-485A-A588-EB7F782C6FFD}"/>
    <hyperlink ref="P310" r:id="rId802" xr:uid="{0481156C-14B4-402B-AB6B-FC10BD8BBCC3}"/>
    <hyperlink ref="Q310" r:id="rId803" xr:uid="{962521E1-3964-4AD5-BBD6-943AB680F4AB}"/>
    <hyperlink ref="R310" r:id="rId804" xr:uid="{6927B1A7-33DB-491E-90EB-0C5F7816BAD8}"/>
    <hyperlink ref="P311" r:id="rId805" xr:uid="{47F92C7D-92E6-4829-A65C-84D105E74760}"/>
    <hyperlink ref="Q311" r:id="rId806" xr:uid="{2CCB1F02-10A0-4186-979E-BE5CFAF3B25B}"/>
    <hyperlink ref="R311" r:id="rId807" xr:uid="{EC0B1CB7-3EE7-4C6E-BB5B-22FFEE994979}"/>
    <hyperlink ref="P312" r:id="rId808" xr:uid="{C0B3FDE0-B4A5-4BF2-8859-450186C7234E}"/>
    <hyperlink ref="Q312" r:id="rId809" xr:uid="{CE61DF8B-DDE2-40C5-AFBA-59A3FA4C29EF}"/>
    <hyperlink ref="R312" r:id="rId810" xr:uid="{AD38194C-5A76-40A5-A111-C307C1CAD5B6}"/>
    <hyperlink ref="P313" r:id="rId811" xr:uid="{A56A9956-C08E-49B2-8B92-AF51D124E22E}"/>
    <hyperlink ref="Q313" r:id="rId812" xr:uid="{AC6E6AF0-084F-40A6-BFD8-D0839DAC075B}"/>
    <hyperlink ref="R313" r:id="rId813" xr:uid="{E06F882B-F240-46D5-9F46-8466C7AB4194}"/>
    <hyperlink ref="P314" r:id="rId814" xr:uid="{92F0EA25-83C8-462C-8E9B-33BC02F80A2E}"/>
    <hyperlink ref="Q314" r:id="rId815" xr:uid="{33E08A27-1405-486F-8B3F-D019D1FAA471}"/>
    <hyperlink ref="R314" r:id="rId816" xr:uid="{7D180B1C-0533-45D9-9D70-4CF2D19DA158}"/>
    <hyperlink ref="Q315" r:id="rId817" xr:uid="{98166F67-F410-4F7B-80C9-56E10C1CC5F7}"/>
    <hyperlink ref="R315" r:id="rId818" xr:uid="{9F713DDA-387B-4F2C-9D2F-11926A7FBFD4}"/>
    <hyperlink ref="P316" r:id="rId819" xr:uid="{521B53C3-A009-46E1-A0AC-14CB7B754F41}"/>
    <hyperlink ref="Q316" r:id="rId820" xr:uid="{6F23B5BA-1D1C-433B-9E94-E54138D286CA}"/>
    <hyperlink ref="R316" r:id="rId821" xr:uid="{465B0FA5-77DE-4B13-9D2D-A103A70125A4}"/>
    <hyperlink ref="P317" r:id="rId822" xr:uid="{8B9042EA-B875-4719-A1F3-55F5620D282C}"/>
    <hyperlink ref="Q317" r:id="rId823" xr:uid="{AF96A692-FD4E-43F8-BAB8-EC9B2D86764D}"/>
    <hyperlink ref="R317" r:id="rId824" xr:uid="{B2303179-D5AA-4D2F-908D-8408217E0C75}"/>
    <hyperlink ref="P318" r:id="rId825" xr:uid="{43758527-D706-48CA-8160-F5E3DD04EA1B}"/>
    <hyperlink ref="Q318" r:id="rId826" xr:uid="{9C3763B9-6B70-4E70-9208-3105FE25B080}"/>
    <hyperlink ref="R318" r:id="rId827" xr:uid="{79D6EE4F-EFD2-4DC3-A1D7-199BD4FC4E17}"/>
    <hyperlink ref="P319" r:id="rId828" xr:uid="{B55962B8-A831-4C22-A05C-00BEB8192901}"/>
    <hyperlink ref="Q319" r:id="rId829" xr:uid="{449E165D-2C2B-4BCE-8B82-6F77D7D8F606}"/>
    <hyperlink ref="R319" r:id="rId830" xr:uid="{C88B6F03-DB97-42C0-BDEE-40301EC671FF}"/>
    <hyperlink ref="P320" r:id="rId831" xr:uid="{C01EB488-F86C-4651-BAB0-C96A7A9B748A}"/>
    <hyperlink ref="Q320" r:id="rId832" xr:uid="{AD977209-D755-4F2E-B092-0DA0B91A9001}"/>
    <hyperlink ref="R320" r:id="rId833" xr:uid="{7EE9214C-38D1-43E9-AEB2-044AA27B6FD4}"/>
    <hyperlink ref="P321" r:id="rId834" xr:uid="{FA8CB549-BC24-41CC-ABBE-0F24140C1259}"/>
    <hyperlink ref="Q321" r:id="rId835" xr:uid="{20E4678F-39F8-4177-9C50-1386D1499262}"/>
    <hyperlink ref="R321" r:id="rId836" xr:uid="{9CED94BF-9040-4EE6-929F-4AC73EA5C135}"/>
    <hyperlink ref="P322" r:id="rId837" xr:uid="{6B428C3C-AEB6-4C56-91BE-61685DC7B716}"/>
    <hyperlink ref="Q322" r:id="rId838" xr:uid="{8445F5FC-62EB-46D8-952D-2C0B33D3ABE1}"/>
    <hyperlink ref="R322" r:id="rId839" xr:uid="{BF3AEA00-DD53-4F4A-92BC-C9F93B4200F2}"/>
    <hyperlink ref="P323" r:id="rId840" xr:uid="{7093087A-331B-4A41-A08A-74D0006A8A1F}"/>
    <hyperlink ref="Q323" r:id="rId841" xr:uid="{96961A33-EE2F-43B7-9B6F-B6C51AE8A0A2}"/>
    <hyperlink ref="R323" r:id="rId842" xr:uid="{5879BEE4-194C-4770-87D8-728F854B90B4}"/>
    <hyperlink ref="P324" r:id="rId843" xr:uid="{3EF5B77E-4C25-4F24-B0CB-E43C9A063F02}"/>
    <hyperlink ref="Q324" r:id="rId844" xr:uid="{44B0F81B-EAE4-4D21-8210-EC048A5A2553}"/>
    <hyperlink ref="R324" r:id="rId845" xr:uid="{18E33705-3FB9-41FC-AC78-A8FEBF25761E}"/>
    <hyperlink ref="Q325" r:id="rId846" xr:uid="{9A93B52C-0F55-4480-948D-25B0EBF94BC2}"/>
    <hyperlink ref="R325" r:id="rId847" xr:uid="{62C6E91D-8C5B-4173-87AE-1A0C105DDDED}"/>
    <hyperlink ref="Q326" r:id="rId848" xr:uid="{3BCB0DC4-FDCA-428D-956F-DD9B327DCEA1}"/>
    <hyperlink ref="R326" r:id="rId849" xr:uid="{6CE4F26C-B8B3-438C-92C4-88AE78908409}"/>
    <hyperlink ref="Q327" r:id="rId850" xr:uid="{EE76C801-0E60-459E-B12B-329AFCA5AB87}"/>
    <hyperlink ref="P328" r:id="rId851" xr:uid="{C27FFA91-BAEE-44E3-9F14-529B8F87D51A}"/>
    <hyperlink ref="Q328" r:id="rId852" xr:uid="{C633E46B-4619-4854-9D44-C3F57A331DBE}"/>
    <hyperlink ref="S329" r:id="rId853" xr:uid="{CE5ED70C-5D1D-44AF-BBEE-714086E49DE0}"/>
    <hyperlink ref="P330" r:id="rId854" xr:uid="{B8BF89EC-0574-48D6-8B3F-D8B0EB549B81}"/>
    <hyperlink ref="S330" r:id="rId855" xr:uid="{2A49A318-B8C1-414D-89DC-C0F9E4DB3ABC}"/>
    <hyperlink ref="P331" r:id="rId856" xr:uid="{0ED1BE02-74E3-458C-9012-DC606D11BBB2}"/>
    <hyperlink ref="S331" r:id="rId857" xr:uid="{209CB1FD-9BFA-4DA4-AF63-C12C50DC7B2A}"/>
    <hyperlink ref="Q332" r:id="rId858" xr:uid="{8E374AAF-C14F-49A9-B57D-BAA29F8650EE}"/>
    <hyperlink ref="Q333" r:id="rId859" xr:uid="{E02E9A3C-8E67-4B27-8015-FC37859929FC}"/>
    <hyperlink ref="P334" r:id="rId860" xr:uid="{6991710A-94A2-4C61-81C0-B5A88CFDA742}"/>
    <hyperlink ref="Q334" r:id="rId861" xr:uid="{449AF331-2109-4BA1-A76B-0426AF9B351E}"/>
    <hyperlink ref="R334" r:id="rId862" xr:uid="{28263B8E-A1C2-4C31-862D-755CE50C8FD2}"/>
    <hyperlink ref="Q335" r:id="rId863" xr:uid="{9FE42ABB-8B60-4D79-B43B-0E7CB6F6C81A}"/>
    <hyperlink ref="R335" r:id="rId864" xr:uid="{928DF70C-6DFA-4CAD-B6BF-1EE0C801CFA4}"/>
    <hyperlink ref="Q336" r:id="rId865" xr:uid="{219AF0FB-CF61-4B28-B2AB-85161157F3B7}"/>
    <hyperlink ref="R336" r:id="rId866" xr:uid="{D7770B23-7007-42F1-9B24-06333F75123C}"/>
    <hyperlink ref="Q337" r:id="rId867" xr:uid="{DE529E5B-DA2F-43C5-A119-3613C6D91051}"/>
    <hyperlink ref="R337" r:id="rId868" xr:uid="{FDF85D21-C5A8-47BE-A46B-824B390D7102}"/>
    <hyperlink ref="Q338" r:id="rId869" xr:uid="{AA29C939-259B-49E6-9E93-43E7164D489F}"/>
    <hyperlink ref="R338" r:id="rId870" xr:uid="{C7128032-980A-43F7-AA44-71C1926FD4DA}"/>
    <hyperlink ref="Q339" r:id="rId871" xr:uid="{9B273538-DF09-446E-BDBC-6B6D6A1B7CE0}"/>
    <hyperlink ref="R339" r:id="rId872" xr:uid="{97E2D341-04FE-447E-B902-BE397E6EF351}"/>
    <hyperlink ref="Q340" r:id="rId873" xr:uid="{9CBBAF88-A823-495F-8763-17D29F9B3558}"/>
    <hyperlink ref="R340" r:id="rId874" xr:uid="{1B7579C5-25E0-4256-8C62-56D7AB8A2808}"/>
    <hyperlink ref="Q341" r:id="rId875" xr:uid="{E93534AF-DA5E-4ECB-92C5-5C37B72CE8F4}"/>
    <hyperlink ref="R341" r:id="rId876" xr:uid="{4947A58B-7EDB-4686-9E77-C9C4C92962AF}"/>
    <hyperlink ref="Q342" r:id="rId877" xr:uid="{33713E73-3DBA-41CE-862E-CF5532871310}"/>
    <hyperlink ref="P343" r:id="rId878" xr:uid="{E546596E-D437-4D02-9CF0-211E2ED29582}"/>
    <hyperlink ref="Q343" r:id="rId879" xr:uid="{16FA5938-C33E-49E6-836F-B80CFC23363B}"/>
    <hyperlink ref="R343" r:id="rId880" xr:uid="{F1A72B31-8755-404A-A68C-2684A6FCC8AB}"/>
    <hyperlink ref="P344" r:id="rId881" xr:uid="{433449FD-9A71-4967-BCC4-60D63B0B65B5}"/>
    <hyperlink ref="Q344" r:id="rId882" xr:uid="{B3C93A10-C8F3-4C59-AECB-A321CCB09FB8}"/>
    <hyperlink ref="R344" r:id="rId883" xr:uid="{4BAD252B-DBA4-4700-88EB-C6EA059AE128}"/>
    <hyperlink ref="P345" r:id="rId884" xr:uid="{6103EEAC-5ADF-4847-A776-07C8035D5B18}"/>
    <hyperlink ref="Q345" r:id="rId885" xr:uid="{5831AA08-943E-4D25-9274-654BBAC37925}"/>
    <hyperlink ref="R345" r:id="rId886" xr:uid="{C352CD43-25EE-4D40-962F-DCFE81889326}"/>
    <hyperlink ref="Q346" r:id="rId887" xr:uid="{9DB9EEC9-9716-48A4-9421-A609BE036C87}"/>
    <hyperlink ref="R346" r:id="rId888" xr:uid="{7065F309-65C4-471B-8E1D-F730AB0994BC}"/>
    <hyperlink ref="P347" r:id="rId889" xr:uid="{324F31DE-97EB-4D91-B7C2-363E18E73291}"/>
    <hyperlink ref="Q347" r:id="rId890" xr:uid="{A158A613-5257-44AF-84A7-AD3C42DC0EFC}"/>
    <hyperlink ref="R347" r:id="rId891" xr:uid="{A02A5CD4-EDCD-418C-ADC5-07098773022D}"/>
    <hyperlink ref="P348" r:id="rId892" xr:uid="{8AA16348-80EC-4743-B0F3-C15F5C66F4C0}"/>
    <hyperlink ref="Q348" r:id="rId893" xr:uid="{A1AD027B-D2F4-426B-88DD-45E14624D324}"/>
    <hyperlink ref="R348" r:id="rId894" xr:uid="{E7E20DE0-C27B-4615-A570-E352B137F7AB}"/>
    <hyperlink ref="P349" r:id="rId895" xr:uid="{8087E0F2-4C30-4389-BE24-67242251BF30}"/>
    <hyperlink ref="Q349" r:id="rId896" xr:uid="{7B1E2F9C-F414-48B1-8018-3AF9F0919612}"/>
    <hyperlink ref="R349" r:id="rId897" xr:uid="{75D58E43-ABAA-4186-B1CD-049F52EE1B35}"/>
    <hyperlink ref="P350" r:id="rId898" xr:uid="{21C86219-B9AC-4A6B-BDCB-14728DE9C613}"/>
    <hyperlink ref="Q350" r:id="rId899" xr:uid="{51F5F507-0672-460C-9D43-20A7BD0FDEE7}"/>
    <hyperlink ref="R350" r:id="rId900" xr:uid="{E3D250C8-220B-4AAF-AC93-075E69D18FF5}"/>
    <hyperlink ref="P351" r:id="rId901" xr:uid="{C9BE421D-69C7-4463-9B2A-49EB48E74C9A}"/>
    <hyperlink ref="Q351" r:id="rId902" xr:uid="{E9C5841D-5BA8-45B0-A296-FE938B69F442}"/>
    <hyperlink ref="R351" r:id="rId903" xr:uid="{61813268-5232-4AF4-AB36-CDF9707A808B}"/>
    <hyperlink ref="P352" r:id="rId904" xr:uid="{12D56392-DA22-4E0B-993A-0A421585132D}"/>
    <hyperlink ref="Q352" r:id="rId905" xr:uid="{E07F4FCF-3E92-4460-91EF-21754D5FDA65}"/>
    <hyperlink ref="R352" r:id="rId906" xr:uid="{8F006735-E9AA-48D5-992F-D078819168D9}"/>
    <hyperlink ref="P353" r:id="rId907" xr:uid="{014ADC15-B9B8-4F02-96DD-E7DC31792042}"/>
    <hyperlink ref="Q353" r:id="rId908" xr:uid="{108D3B0C-9C66-473B-9444-5ACB63EFD94F}"/>
    <hyperlink ref="R353" r:id="rId909" xr:uid="{BC646C8C-A85E-4339-A9AD-E1EB6AA14F56}"/>
    <hyperlink ref="P354" r:id="rId910" xr:uid="{8C9D051A-D031-4E1E-8C89-9CB449A84B1E}"/>
    <hyperlink ref="Q354" r:id="rId911" xr:uid="{F5D251F7-6552-49EE-9E3B-AAC6A33E6A76}"/>
    <hyperlink ref="R354" r:id="rId912" xr:uid="{A2E8E8E5-D13E-4FCB-84C6-21057399BF0C}"/>
    <hyperlink ref="P355" r:id="rId913" xr:uid="{52C13A73-8BF1-4466-82BE-C93F8A224358}"/>
    <hyperlink ref="Q355" r:id="rId914" xr:uid="{B605C1C0-3C11-4BEE-94BA-32ED8EB9D9DC}"/>
    <hyperlink ref="R355" r:id="rId915" xr:uid="{5CC10B17-17EA-413C-BE32-BC62720ABB83}"/>
    <hyperlink ref="Q356" r:id="rId916" xr:uid="{1A4F8D8A-6946-4FBF-850F-A3788692851F}"/>
    <hyperlink ref="Q357" r:id="rId917" xr:uid="{1913F386-AA1E-4191-9C40-A2716018E9D2}"/>
    <hyperlink ref="R357" r:id="rId918" xr:uid="{72C29471-4215-43F1-A3A1-80631D6DF176}"/>
    <hyperlink ref="P358" r:id="rId919" xr:uid="{A026E8A5-A8EC-4931-BC85-90BEF58C3C79}"/>
    <hyperlink ref="Q358" r:id="rId920" xr:uid="{BE34647C-7AF0-4EA9-BB32-629653A63DBF}"/>
    <hyperlink ref="R358" r:id="rId921" xr:uid="{C415448E-E4D6-41F5-AD4B-958BA6466B03}"/>
    <hyperlink ref="P359" r:id="rId922" xr:uid="{FD81A1B5-5B4B-4676-8A2C-D5756981FCC8}"/>
    <hyperlink ref="Q359" r:id="rId923" xr:uid="{6AA0D52E-27F0-4342-84CC-33FF899F9DD1}"/>
    <hyperlink ref="R359" r:id="rId924" xr:uid="{9F02A5DA-3771-496D-A0E1-64C95E2F5BDC}"/>
    <hyperlink ref="P360" r:id="rId925" xr:uid="{1C1B6785-830A-4B31-8FF5-E1ACA3089749}"/>
    <hyperlink ref="Q360" r:id="rId926" xr:uid="{C33518CD-5B78-45A3-BA48-C4DA4EA1A5C2}"/>
    <hyperlink ref="R360" r:id="rId927" xr:uid="{4FCDE930-5E2F-4D8B-9C86-E2D4EA2915C5}"/>
    <hyperlink ref="S361" r:id="rId928" xr:uid="{3214A6B3-DFCD-4600-AA7F-61D4CA39CF42}"/>
    <hyperlink ref="P362" r:id="rId929" xr:uid="{F467C676-056F-4CDD-AE94-628DAD67C0EE}"/>
    <hyperlink ref="Q362" r:id="rId930" xr:uid="{42D03D4B-F316-4839-897E-7097E811976E}"/>
    <hyperlink ref="R362" r:id="rId931" xr:uid="{4A479230-DD87-432D-927F-837F7C2E5038}"/>
    <hyperlink ref="Q363" r:id="rId932" xr:uid="{68186980-1614-40C2-9202-F92AFC9E7CE7}"/>
    <hyperlink ref="R363" r:id="rId933" xr:uid="{A970684D-0D57-4F5A-8A36-DF78B175895A}"/>
    <hyperlink ref="Q364" r:id="rId934" xr:uid="{4D83C800-8FC2-4DF6-B2B5-D9A08BA2ABCD}"/>
    <hyperlink ref="R364" r:id="rId935" xr:uid="{376EB095-0145-46AF-BFC6-F222A3BDD640}"/>
    <hyperlink ref="Q365" r:id="rId936" xr:uid="{6735DC67-E81E-4E78-862D-6AF803769CA9}"/>
    <hyperlink ref="R365" r:id="rId937" xr:uid="{AB94B0BB-625B-487C-8645-37AACE067C2F}"/>
    <hyperlink ref="Q366" r:id="rId938" xr:uid="{FC74A0B9-881D-4F79-B587-1B3A9CCDBC0A}"/>
    <hyperlink ref="R366" r:id="rId939" xr:uid="{745D0CF1-8A73-477B-9F12-D08EFA7D4A56}"/>
    <hyperlink ref="P367" r:id="rId940" xr:uid="{85F4A888-2235-4714-8F71-32FF6DB644C3}"/>
    <hyperlink ref="Q367" r:id="rId941" xr:uid="{04BD6B89-95F2-4ED6-BE5C-341382144ABD}"/>
    <hyperlink ref="R367" r:id="rId942" xr:uid="{9D7FDAD6-5A7E-4E54-919D-4DDD5C10A47F}"/>
    <hyperlink ref="P368" r:id="rId943" xr:uid="{637BC5A1-D552-4C65-802B-2F4D01949C67}"/>
    <hyperlink ref="Q368" r:id="rId944" xr:uid="{0F4440B6-F6C6-420C-B3F3-5FEC2B902D84}"/>
    <hyperlink ref="R368" r:id="rId945" xr:uid="{B1A9AC31-A7B6-45C7-8CA3-A0C6A2231AEB}"/>
    <hyperlink ref="P369" r:id="rId946" xr:uid="{D76C63F4-0FEC-41B8-8500-784E16E29F43}"/>
    <hyperlink ref="Q369" r:id="rId947" xr:uid="{03A97804-346E-4532-936F-4AF6A43C9561}"/>
    <hyperlink ref="R369" r:id="rId948" xr:uid="{0A2048D6-AB51-459B-A93B-5970B1B77513}"/>
    <hyperlink ref="P370" r:id="rId949" xr:uid="{BF3E8086-6B39-4E55-82D0-66946E2A0B3D}"/>
    <hyperlink ref="Q370" r:id="rId950" xr:uid="{ED0EB2C8-FA27-400B-B224-AF7C523FAFEF}"/>
    <hyperlink ref="R370" r:id="rId951" xr:uid="{194FB74B-49CA-4D62-A308-BDF3553BA569}"/>
    <hyperlink ref="P371" r:id="rId952" xr:uid="{902148EC-4952-40D1-899D-D910E6DF7F5E}"/>
    <hyperlink ref="Q371" r:id="rId953" xr:uid="{A69E1E2A-B6BA-49CB-AD93-AC6B39C67F00}"/>
    <hyperlink ref="R371" r:id="rId954" xr:uid="{9C294BE7-85CA-41E5-A3A4-AE7976E447B2}"/>
    <hyperlink ref="Q372" r:id="rId955" xr:uid="{0503B855-66E0-4C6A-9405-A51FF9FE709B}"/>
    <hyperlink ref="Q373" r:id="rId956" xr:uid="{0D3209FC-448A-4085-983E-38ED67429C13}"/>
    <hyperlink ref="Q374" r:id="rId957" xr:uid="{0AF136F3-4BC2-4046-889B-66138C2FE992}"/>
    <hyperlink ref="Q375" r:id="rId958" xr:uid="{2A0868F5-03A9-4DFE-9634-E0679917C91A}"/>
    <hyperlink ref="R375" r:id="rId959" xr:uid="{67464FFD-9E38-4800-AB1A-6C267F528465}"/>
    <hyperlink ref="P376" r:id="rId960" xr:uid="{599F9DA7-B30C-4D53-AD82-7ADF7BA800CC}"/>
    <hyperlink ref="Q376" r:id="rId961" xr:uid="{34BA6530-DDA0-4EB9-AC1F-DC5DED0C0DCC}"/>
    <hyperlink ref="R376" r:id="rId962" xr:uid="{F39524E2-34B5-48EB-B27A-FBF02900F001}"/>
    <hyperlink ref="P377" r:id="rId963" xr:uid="{B11843AF-C01E-4B5C-99CE-5D78E2343F96}"/>
    <hyperlink ref="Q377" r:id="rId964" xr:uid="{CBC22B06-AF1C-49AB-8771-16C8D6FBC3A8}"/>
    <hyperlink ref="R377" r:id="rId965" xr:uid="{663C3A08-E2D1-4427-BD7B-547D0115458B}"/>
    <hyperlink ref="P378" r:id="rId966" xr:uid="{D83BBDFE-9E76-46CA-A800-8A48D6795D29}"/>
    <hyperlink ref="Q378" r:id="rId967" xr:uid="{6004387F-16FC-46AF-B2C5-A68EE749294F}"/>
    <hyperlink ref="R378" r:id="rId968" xr:uid="{2822E8F9-4795-4B83-8843-FE1349EEDD15}"/>
    <hyperlink ref="P379" r:id="rId969" xr:uid="{C23FB58C-581B-4430-AF24-DF8174923C8C}"/>
    <hyperlink ref="Q379" r:id="rId970" xr:uid="{1B65218D-D677-46A0-AA22-102AAE4A1F30}"/>
    <hyperlink ref="R379" r:id="rId971" xr:uid="{40590C00-D2F9-4A23-A74D-F65D677BD687}"/>
    <hyperlink ref="P380" r:id="rId972" xr:uid="{5D0FB491-1FE3-442B-9D94-A5D7027FF1EB}"/>
    <hyperlink ref="Q380" r:id="rId973" xr:uid="{E586BD2D-8239-4C4A-82DD-20F2692EF819}"/>
    <hyperlink ref="R380" r:id="rId974" xr:uid="{8B677808-7E99-419E-9871-AEFE7194E621}"/>
    <hyperlink ref="Q381" r:id="rId975" xr:uid="{770E31FC-24EC-4833-B4E1-3AFAEB29635B}"/>
    <hyperlink ref="S381" r:id="rId976" xr:uid="{C79260F1-8B83-4C2F-AF71-E158C475CA70}"/>
    <hyperlink ref="P382" r:id="rId977" xr:uid="{FAAFE8CA-A134-4A22-9A88-6553E2E33189}"/>
    <hyperlink ref="Q382" r:id="rId978" xr:uid="{CE6F97ED-1029-4698-823C-F5366E06D7C0}"/>
    <hyperlink ref="R382" r:id="rId979" xr:uid="{D98BCE91-FF2E-4863-981C-8C7BDC8133ED}"/>
    <hyperlink ref="P383" r:id="rId980" xr:uid="{24E059A0-7EC1-401A-8816-2C46376743EE}"/>
    <hyperlink ref="Q383" r:id="rId981" xr:uid="{F1E6F451-6BBD-4462-B3B8-010A8FA68171}"/>
    <hyperlink ref="P384" r:id="rId982" xr:uid="{898F2F6C-D80F-4AE6-8B68-8A380C6BDFA1}"/>
    <hyperlink ref="Q384" r:id="rId983" xr:uid="{3B005F0B-EB1C-4646-822F-3A4C992FDCA6}"/>
    <hyperlink ref="S385" r:id="rId984" xr:uid="{F0C17CE4-81C8-4A40-9C63-BECB74D1290C}"/>
    <hyperlink ref="Q386" r:id="rId985" xr:uid="{DE7EF4BD-5A95-4482-AAAA-1BBC5D0A7CBC}"/>
    <hyperlink ref="Q387" r:id="rId986" xr:uid="{7B12764F-4113-4D4F-AD2A-584952E91F17}"/>
    <hyperlink ref="R387" r:id="rId987" xr:uid="{9A817ECB-9F68-4F88-9164-8F9DB48EB110}"/>
    <hyperlink ref="Q388" r:id="rId988" xr:uid="{A8412FF1-E6EB-4946-9B93-7BCEA9DB495E}"/>
    <hyperlink ref="P389" r:id="rId989" xr:uid="{2887B936-2904-49A9-A961-F507920726A2}"/>
    <hyperlink ref="Q389" r:id="rId990" xr:uid="{6EAAB0A1-E13E-48A6-AEAB-9D43A1ECD7A0}"/>
    <hyperlink ref="R389" r:id="rId991" xr:uid="{332CFF1E-BC2F-4689-8E8B-3F922DABE41F}"/>
    <hyperlink ref="Q390" r:id="rId992" xr:uid="{50BF56CF-CF41-4C7B-AC8F-EE58B555ABB2}"/>
    <hyperlink ref="Q391" r:id="rId993" xr:uid="{E5B81D82-AE2A-441A-82B8-A49A7C72F40B}"/>
    <hyperlink ref="R391" r:id="rId994" xr:uid="{E0350B6D-721A-4525-80E1-EB900AFA710F}"/>
    <hyperlink ref="P392" r:id="rId995" xr:uid="{16362911-ABD6-4B3E-9CE7-34C28011135B}"/>
    <hyperlink ref="Q392" r:id="rId996" xr:uid="{40352D1F-D5EA-4E45-AE87-5842EF52E38A}"/>
    <hyperlink ref="R392" r:id="rId997" xr:uid="{FBCAC43E-D8F1-4416-B146-695064FF3590}"/>
    <hyperlink ref="Q393" r:id="rId998" xr:uid="{0437CFBE-EBF8-4F54-9F3C-A9014ACA1EED}"/>
    <hyperlink ref="R393" r:id="rId999" xr:uid="{2E2338D8-54B7-47D4-9CAF-251C919952C9}"/>
    <hyperlink ref="Q394" r:id="rId1000" xr:uid="{B38D956F-BBBE-40E5-8E74-8C1465B9FC63}"/>
    <hyperlink ref="Q395" r:id="rId1001" xr:uid="{6C170203-B5F3-412B-822E-688A306CB7B1}"/>
    <hyperlink ref="P396" r:id="rId1002" xr:uid="{6F2843F8-6169-461D-8B16-AE498DEE91B2}"/>
    <hyperlink ref="Q396" r:id="rId1003" xr:uid="{346AED60-32B6-42CF-AF23-0EB933494238}"/>
    <hyperlink ref="R396" r:id="rId1004" xr:uid="{4FFC990C-4A85-49B6-A4B3-5680AFC1860E}"/>
    <hyperlink ref="P397" r:id="rId1005" xr:uid="{06A747A0-1D94-4FB2-8B13-C6F2BBE36610}"/>
    <hyperlink ref="Q397" r:id="rId1006" xr:uid="{B0F908A9-12DF-49DF-9176-F317247701AA}"/>
    <hyperlink ref="R397" r:id="rId1007" xr:uid="{9C10340F-2AB5-4F30-9C40-A6DF53A6B26A}"/>
    <hyperlink ref="P398" r:id="rId1008" xr:uid="{10B1D720-0957-4DAA-B43F-8C08D7A743F6}"/>
    <hyperlink ref="Q398" r:id="rId1009" xr:uid="{068A7B84-741F-4D6C-9AB3-70A6907F478D}"/>
    <hyperlink ref="Q399" r:id="rId1010" xr:uid="{FEED0BEB-7554-4754-BB41-C035251E72B4}"/>
    <hyperlink ref="P400" r:id="rId1011" xr:uid="{991D35FC-777A-479C-87BC-FD33A0040098}"/>
    <hyperlink ref="S400" r:id="rId1012" xr:uid="{1328E55F-BB97-4998-BBEE-CA4003CBFA06}"/>
    <hyperlink ref="Q401" r:id="rId1013" xr:uid="{F1686E65-3D15-40B3-ABF9-6A13FE9D6066}"/>
    <hyperlink ref="R401" r:id="rId1014" xr:uid="{EA621F18-F141-4CC6-995C-28FB45466ED0}"/>
    <hyperlink ref="Q402" r:id="rId1015" xr:uid="{3DEA42DB-2D63-46DC-B4F7-914E26F66602}"/>
    <hyperlink ref="Q403" r:id="rId1016" xr:uid="{BFA0BEBE-D80E-4F2F-B9B2-29B7D3D2C638}"/>
    <hyperlink ref="R403" r:id="rId1017" xr:uid="{CF85FD2C-4D9B-4687-8FD9-440DB687EB37}"/>
    <hyperlink ref="Q404" r:id="rId1018" xr:uid="{1B6762D9-C247-42F0-AECF-C4CA672E1247}"/>
    <hyperlink ref="R404" r:id="rId1019" xr:uid="{5A63A2C8-5967-4134-8BEC-91C8562BB9F5}"/>
    <hyperlink ref="P405" r:id="rId1020" xr:uid="{BCFF2C80-FCFE-41D4-8C23-1E0628807CFF}"/>
    <hyperlink ref="Q405" r:id="rId1021" xr:uid="{BD73C94A-420B-4B9F-9432-E03BC7B5BBE4}"/>
    <hyperlink ref="R405" r:id="rId1022" xr:uid="{EB64995A-204D-4005-807C-26EDA68A45F4}"/>
    <hyperlink ref="Q406" r:id="rId1023" xr:uid="{6F15DD5E-02D4-4DFD-B968-D34D891899F1}"/>
    <hyperlink ref="R406" r:id="rId1024" xr:uid="{99F818BE-06DD-480D-BFCA-8CFCF42D2AD3}"/>
    <hyperlink ref="Q407" r:id="rId1025" xr:uid="{2B892DF6-5549-4C97-A871-90DBEF0DA012}"/>
    <hyperlink ref="P408" r:id="rId1026" xr:uid="{5E54A6C7-EB68-4EAF-895B-BF15F78E4CD0}"/>
    <hyperlink ref="Q408" r:id="rId1027" xr:uid="{88622AE3-843C-49C4-A7B0-ED2961D18ACF}"/>
    <hyperlink ref="R408" r:id="rId1028" xr:uid="{98591416-ABCD-42AB-B443-C4EE535AD3E5}"/>
    <hyperlink ref="P409" r:id="rId1029" xr:uid="{1F77AA3A-D0FF-4CF3-B04D-9DFD4B012845}"/>
    <hyperlink ref="Q409" r:id="rId1030" xr:uid="{E2B842A4-92B7-4764-84C1-428EABFEAB7F}"/>
    <hyperlink ref="P410" r:id="rId1031" xr:uid="{C5E7418A-525A-422E-BA4F-712E13276371}"/>
    <hyperlink ref="Q410" r:id="rId1032" xr:uid="{B3953B27-E480-4FD7-82D3-1599475C887D}"/>
    <hyperlink ref="R410" r:id="rId1033" xr:uid="{AA2BB512-B6E7-4C52-AB19-9A8F6333D3AB}"/>
    <hyperlink ref="Q411" r:id="rId1034" xr:uid="{E278E332-DE87-4DB0-9C84-657DEEEB1D7D}"/>
    <hyperlink ref="R411" r:id="rId1035" xr:uid="{CC2B77A9-66B1-4C51-B1EF-E79AC32A7912}"/>
    <hyperlink ref="Q412" r:id="rId1036" xr:uid="{EBA2E8F8-BCBF-49D9-B3D9-B0F1702661B9}"/>
    <hyperlink ref="R412" r:id="rId1037" xr:uid="{21BCB33A-D75A-4925-9A29-C4F60F6776D5}"/>
    <hyperlink ref="Q413" r:id="rId1038" xr:uid="{556B67FA-2124-478A-A910-66F53BA4A2D7}"/>
    <hyperlink ref="Q414" r:id="rId1039" xr:uid="{D71C52A8-7AD5-42A5-AF21-AF27D9DF6E2C}"/>
    <hyperlink ref="P415" r:id="rId1040" xr:uid="{078C5439-3402-49C6-8B01-F8F8450E33EF}"/>
    <hyperlink ref="Q415" r:id="rId1041" xr:uid="{4BCD31AC-124C-42F9-A814-8F13BD24240C}"/>
    <hyperlink ref="Q416" r:id="rId1042" xr:uid="{5379AC5B-C65D-4D27-897C-4AD77BFCCAA1}"/>
    <hyperlink ref="Q417" r:id="rId1043" xr:uid="{9ADE4F19-541C-4697-A3AC-66082F4E12BE}"/>
    <hyperlink ref="Q418" r:id="rId1044" xr:uid="{F7DCC5B5-BF2C-4AAC-A1CC-3A108C5B2028}"/>
    <hyperlink ref="Q419" r:id="rId1045" xr:uid="{94E8BB0E-7740-4D7A-B86E-CB9CF8F5BB8C}"/>
    <hyperlink ref="Q420" r:id="rId1046" xr:uid="{E283D2EA-8021-4558-B9BA-E31A85CCB4B1}"/>
    <hyperlink ref="R420" r:id="rId1047" xr:uid="{A5C7E5F4-E7FC-4645-9F92-142453873275}"/>
    <hyperlink ref="P421" r:id="rId1048" xr:uid="{3A61763F-FFDB-449A-915E-D15A026CC6C5}"/>
    <hyperlink ref="Q421" r:id="rId1049" xr:uid="{FCDE351A-BA92-4BB1-9CF7-D03BDFAEB38D}"/>
    <hyperlink ref="R421" r:id="rId1050" xr:uid="{35BF551F-99E5-4BCA-B344-78E86C892B41}"/>
    <hyperlink ref="P422" r:id="rId1051" xr:uid="{DB608D9B-71A0-4958-8972-F14D9C955163}"/>
    <hyperlink ref="Q422" r:id="rId1052" xr:uid="{AEE1E83E-3AF3-46BA-A63C-E260B1DE9750}"/>
    <hyperlink ref="R422" r:id="rId1053" xr:uid="{ABF7D53B-EDAD-4E73-8D5D-94635E467A2D}"/>
    <hyperlink ref="P423" r:id="rId1054" xr:uid="{2EDAD834-515B-4502-AB5B-25FC7AB0589A}"/>
    <hyperlink ref="Q423" r:id="rId1055" xr:uid="{C2AE8F94-1ADD-44A8-9515-BA3EFD1D1797}"/>
    <hyperlink ref="R423" r:id="rId1056" xr:uid="{D0A371CD-A6A8-4B0D-9BCF-BC97308ED77D}"/>
    <hyperlink ref="Q424" r:id="rId1057" xr:uid="{C3D3FAD2-E403-4E8C-8321-CF295EC05251}"/>
    <hyperlink ref="R424" r:id="rId1058" xr:uid="{15788046-AC1F-4024-98FE-245479A26A2B}"/>
    <hyperlink ref="P425" r:id="rId1059" xr:uid="{689534D0-F32F-49DB-880A-33D3E2197599}"/>
    <hyperlink ref="Q425" r:id="rId1060" xr:uid="{BBB64D33-BC15-46FE-B316-4C8E13D3186A}"/>
    <hyperlink ref="R425" r:id="rId1061" xr:uid="{42187126-7B5E-4A64-90D3-3DF128AA243B}"/>
    <hyperlink ref="Q426" r:id="rId1062" xr:uid="{BA178279-F6F1-4632-BBFA-D5EEA37826CB}"/>
    <hyperlink ref="Q427" r:id="rId1063" xr:uid="{A5A41C1A-21E1-4F7B-BE0D-A2F723BB5FB3}"/>
    <hyperlink ref="P428" r:id="rId1064" xr:uid="{48B1D3D8-41E2-4924-83C2-8F5543893137}"/>
    <hyperlink ref="Q428" r:id="rId1065" xr:uid="{CF59C30C-834D-47FB-8393-D73C2F804550}"/>
    <hyperlink ref="R428" r:id="rId1066" xr:uid="{70AD4D4B-DD44-494B-8665-E01E64D05D44}"/>
    <hyperlink ref="P429" r:id="rId1067" xr:uid="{89AD482D-69CE-4BA7-8D7B-85B1E7ED7F53}"/>
    <hyperlink ref="Q429" r:id="rId1068" xr:uid="{04B2C277-03CB-40BF-B975-232F3880D82E}"/>
    <hyperlink ref="R429" r:id="rId1069" xr:uid="{B9679E66-24EA-4820-9AD0-DAE801736857}"/>
    <hyperlink ref="P430" r:id="rId1070" xr:uid="{4D338926-55BF-46F8-AF1F-DD9B25986A76}"/>
    <hyperlink ref="Q430" r:id="rId1071" xr:uid="{D4A00F56-E4B5-48C7-A7BB-F79A7F1525D9}"/>
    <hyperlink ref="R430" r:id="rId1072" xr:uid="{0EAA0A5D-4976-4492-B085-FEC665F7857F}"/>
    <hyperlink ref="Q431" r:id="rId1073" xr:uid="{F04E609D-9A4D-4F7D-A0B1-C59CE6E38C11}"/>
    <hyperlink ref="P432" r:id="rId1074" xr:uid="{4AAFC690-4C53-4018-8338-1F1857A1AD68}"/>
    <hyperlink ref="Q432" r:id="rId1075" xr:uid="{C0BD70E4-E59C-4A42-9132-F45D93418EE4}"/>
    <hyperlink ref="R432" r:id="rId1076" xr:uid="{802B68D5-64B4-4FF8-812F-DDB203614B21}"/>
    <hyperlink ref="P433" r:id="rId1077" xr:uid="{A813C7CF-CF53-4AD1-84EA-4865BEAC8B9B}"/>
    <hyperlink ref="Q433" r:id="rId1078" xr:uid="{3FDBC2F5-3413-47E1-B3C3-9CFB3FFE4E86}"/>
    <hyperlink ref="R433" r:id="rId1079" xr:uid="{E579A122-5118-4260-AB53-B48A6A181501}"/>
    <hyperlink ref="P434" r:id="rId1080" xr:uid="{F471007B-3B33-40CF-A955-A9351CD63D1A}"/>
    <hyperlink ref="Q434" r:id="rId1081" xr:uid="{EFD35EEE-2CC8-4778-95AC-FD83D36C9436}"/>
    <hyperlink ref="R434" r:id="rId1082" xr:uid="{4A53E459-927A-4D43-ADDF-0315B2E69B9A}"/>
    <hyperlink ref="P435" r:id="rId1083" xr:uid="{5583EDDA-7DCD-43D0-9520-9D7AE66255FB}"/>
    <hyperlink ref="Q435" r:id="rId1084" xr:uid="{824A50EA-E048-48A4-ABB4-30E49FA6BBFB}"/>
    <hyperlink ref="R435" r:id="rId1085" xr:uid="{CAE1421D-C33A-410D-BB5C-9221F16B7319}"/>
    <hyperlink ref="P436" r:id="rId1086" xr:uid="{84697200-4BF1-48F1-9BF1-73E99CE5E994}"/>
    <hyperlink ref="Q436" r:id="rId1087" xr:uid="{538ED5A2-B3BF-4A53-A87E-DCBB7944666B}"/>
    <hyperlink ref="R436" r:id="rId1088" xr:uid="{FB016B0C-AD97-4051-A8F3-37883958F011}"/>
    <hyperlink ref="P437" r:id="rId1089" xr:uid="{CBB4503C-FCEF-45F5-96E9-5571B671A407}"/>
    <hyperlink ref="Q437" r:id="rId1090" xr:uid="{AEC8EA81-93BA-43D9-BB86-FC8F3C723FA8}"/>
    <hyperlink ref="R437" r:id="rId1091" xr:uid="{2EE3E3E2-0C54-4C70-A329-6E27CD52EF60}"/>
    <hyperlink ref="P438" r:id="rId1092" xr:uid="{DD8E4F15-F70B-4937-A0D2-28958BED748F}"/>
    <hyperlink ref="Q438" r:id="rId1093" xr:uid="{A328456D-E7A6-4DCB-888A-078D1EAB6E3F}"/>
    <hyperlink ref="R438" r:id="rId1094" xr:uid="{4F9F4181-9FC7-4F13-9182-5E3A08BE79E8}"/>
    <hyperlink ref="P439" r:id="rId1095" xr:uid="{F8F9B698-2BC8-465E-B8D7-F51B754D48DD}"/>
    <hyperlink ref="Q439" r:id="rId1096" xr:uid="{50963800-113D-44A8-AC89-DF598AD37D44}"/>
    <hyperlink ref="R439" r:id="rId1097" xr:uid="{D56C7F32-5C45-40FE-8DD3-317238535FB6}"/>
    <hyperlink ref="P440" r:id="rId1098" xr:uid="{C3CE7720-5CEA-4350-BB0A-56FC6859C5D7}"/>
    <hyperlink ref="Q440" r:id="rId1099" xr:uid="{AC4B057B-26A3-443E-9C4A-986E983090D0}"/>
    <hyperlink ref="R440" r:id="rId1100" xr:uid="{7C6CBF39-4103-46F5-B10B-92577F95D835}"/>
    <hyperlink ref="Q441" r:id="rId1101" xr:uid="{29FA68A8-7B9B-4A1B-9A91-9BE8F0EFA3FD}"/>
    <hyperlink ref="P442" r:id="rId1102" xr:uid="{CB7067F9-57C7-4189-8B0B-9AE47539E0CD}"/>
    <hyperlink ref="Q442" r:id="rId1103" xr:uid="{3408A572-B889-473A-8EA8-83F22489B9FD}"/>
    <hyperlink ref="R442" r:id="rId1104" xr:uid="{B2DABB6A-18AC-4DA4-B37F-DB4E0426DC9E}"/>
    <hyperlink ref="P443" r:id="rId1105" xr:uid="{6A68F622-AECB-46D8-9D8D-B9BB01DAFE9F}"/>
    <hyperlink ref="Q443" r:id="rId1106" xr:uid="{3C9B077F-E876-4CC8-BCD7-EAF26877FE49}"/>
    <hyperlink ref="R443" r:id="rId1107" xr:uid="{049570A0-B39C-40FB-B014-771903EA2D91}"/>
    <hyperlink ref="P444" r:id="rId1108" xr:uid="{55D68EB6-7A51-4509-A23A-83FDA272D3CB}"/>
    <hyperlink ref="Q444" r:id="rId1109" xr:uid="{2E5A1925-22AA-453C-A94E-0383FD870737}"/>
    <hyperlink ref="R444" r:id="rId1110" xr:uid="{9A8335F3-3BEF-4B5D-BF95-C23C44B546AF}"/>
    <hyperlink ref="P445" r:id="rId1111" xr:uid="{23A99623-CF4C-4432-92A6-10C3848EB0EF}"/>
    <hyperlink ref="Q445" r:id="rId1112" xr:uid="{FEBA087C-EA61-42F1-A375-E28A7D9E24C8}"/>
    <hyperlink ref="R445" r:id="rId1113" xr:uid="{CE829152-813F-4988-8273-3BB38BB82C02}"/>
    <hyperlink ref="P446" r:id="rId1114" xr:uid="{E3AE7232-526D-4686-BCD7-A03A90447FBF}"/>
    <hyperlink ref="Q446" r:id="rId1115" xr:uid="{E9900676-E510-4B3A-B2D7-11C1144147EB}"/>
    <hyperlink ref="R446" r:id="rId1116" xr:uid="{16D87F41-69B7-4790-A594-1D2B685496F9}"/>
    <hyperlink ref="Q447" r:id="rId1117" xr:uid="{E2CE7497-7A9B-42AE-99DC-82E77188AB23}"/>
    <hyperlink ref="R447" r:id="rId1118" xr:uid="{B4F565D5-7619-4CC4-9BEA-343EDF219E16}"/>
    <hyperlink ref="Q448" r:id="rId1119" xr:uid="{F605AEF2-22F4-4492-A0DC-7B923921C4E4}"/>
    <hyperlink ref="R448" r:id="rId1120" xr:uid="{18171849-1967-47EB-9423-658EE96048EF}"/>
    <hyperlink ref="Q449" r:id="rId1121" xr:uid="{1F928AA1-0304-44B2-956C-328A73E433C4}"/>
    <hyperlink ref="R449" r:id="rId1122" xr:uid="{14043BCC-6DA4-4667-B910-F473F940EF6E}"/>
    <hyperlink ref="P450" r:id="rId1123" xr:uid="{ABA7C1AA-DB0F-4E5D-AC61-7DE7772459D0}"/>
    <hyperlink ref="Q450" r:id="rId1124" xr:uid="{19C3C1F1-2BA6-49C2-89DE-19D1DD04DD31}"/>
    <hyperlink ref="P451" r:id="rId1125" xr:uid="{887A0CD0-09B6-411D-93B6-31B988F5D77D}"/>
    <hyperlink ref="Q451" r:id="rId1126" xr:uid="{3EDB4DC6-B130-4F09-B2BF-55C218A52B16}"/>
    <hyperlink ref="R451" r:id="rId1127" xr:uid="{FAA0ABD1-1DAA-441D-9A8E-F93785C179C0}"/>
    <hyperlink ref="P452" r:id="rId1128" xr:uid="{E1482561-EADC-4F3B-85CE-8C8916FF0EE2}"/>
    <hyperlink ref="Q452" r:id="rId1129" xr:uid="{1891374F-BAA2-491A-A7D1-420DA4AC08C4}"/>
    <hyperlink ref="R452" r:id="rId1130" xr:uid="{A67095D9-1EB0-4887-9EE0-5659BA24FA25}"/>
    <hyperlink ref="Q453" r:id="rId1131" xr:uid="{5238CC49-B6CD-4ECC-9F23-2D5A0B8DC83B}"/>
    <hyperlink ref="R453" r:id="rId1132" xr:uid="{808AC243-95CB-4145-B116-0A832D89098A}"/>
    <hyperlink ref="Q454" r:id="rId1133" xr:uid="{73182687-1FBF-405C-8B51-A26C05F7FA9F}"/>
    <hyperlink ref="R454" r:id="rId1134" xr:uid="{A7B36F2E-517C-414D-B79B-289F26887F77}"/>
    <hyperlink ref="P455" r:id="rId1135" xr:uid="{00CBDD49-460D-4C48-B755-2A23E10042F1}"/>
    <hyperlink ref="Q455" r:id="rId1136" xr:uid="{562F3237-299A-45CB-AE6D-BA26C3F6B657}"/>
    <hyperlink ref="R455" r:id="rId1137" xr:uid="{EC447759-A9DE-4E25-AA9B-78FC83135378}"/>
    <hyperlink ref="P456" r:id="rId1138" xr:uid="{9E1F1C66-F41F-48CD-BBFA-A107B161A2C2}"/>
    <hyperlink ref="Q456" r:id="rId1139" xr:uid="{89BDF0C3-2297-42E8-B6F3-9F4476394998}"/>
    <hyperlink ref="R456" r:id="rId1140" xr:uid="{9751B84B-77AD-421F-A6FC-17A3D8FCB4AA}"/>
    <hyperlink ref="P457" r:id="rId1141" xr:uid="{92D2BD8F-F654-4EBE-B1D3-7611BBC01242}"/>
    <hyperlink ref="Q457" r:id="rId1142" xr:uid="{A64E7606-356A-487F-BFF5-6231C3199C94}"/>
    <hyperlink ref="R457" r:id="rId1143" xr:uid="{57CE3490-312C-43BC-BB4C-BDE12B7D08FA}"/>
    <hyperlink ref="Q458" r:id="rId1144" xr:uid="{42D0E6A8-814D-4913-A62F-76D0966E2D1C}"/>
    <hyperlink ref="P459" r:id="rId1145" xr:uid="{5CD5C6E8-70B2-49BF-BBD1-D532121F9D04}"/>
    <hyperlink ref="Q459" r:id="rId1146" xr:uid="{9EA7EB30-B299-48EF-9EF5-CD9438683635}"/>
    <hyperlink ref="R459" r:id="rId1147" xr:uid="{2CCD2D9F-F0A2-46E6-A05B-4ED9EFC5BAF0}"/>
    <hyperlink ref="P460" r:id="rId1148" xr:uid="{4D79C8BD-AA8F-4A0B-91B6-1B4DCFCE2D88}"/>
    <hyperlink ref="Q460" r:id="rId1149" xr:uid="{07F89F49-0BAA-43DB-980A-4D61B537CE0E}"/>
    <hyperlink ref="R460" r:id="rId1150" xr:uid="{DA8E7DDD-13E2-40C7-9541-238C7AAF6F43}"/>
    <hyperlink ref="P461" r:id="rId1151" xr:uid="{11B96D7B-F2AB-4689-A3A3-AE00F4EE5D99}"/>
    <hyperlink ref="Q461" r:id="rId1152" xr:uid="{3CDC84B0-5E78-409A-B166-EED00455D8DB}"/>
    <hyperlink ref="Q462" r:id="rId1153" xr:uid="{63E8C96B-A7A5-496C-BB56-597E4900022B}"/>
    <hyperlink ref="P463" r:id="rId1154" xr:uid="{7F085C42-C34A-4EDA-93A7-198A0F42AF79}"/>
    <hyperlink ref="Q463" r:id="rId1155" xr:uid="{197E91F1-713C-4259-AB6A-7D69B3311B08}"/>
    <hyperlink ref="P464" r:id="rId1156" xr:uid="{E6796552-5C1D-4920-BBCC-30BECE8AF9E1}"/>
    <hyperlink ref="Q464" r:id="rId1157" xr:uid="{4A0B77D4-0E76-41F2-A73E-CDB502D0F2ED}"/>
    <hyperlink ref="R464" r:id="rId1158" xr:uid="{393641CB-C20E-4025-A3F0-879F07F90C86}"/>
    <hyperlink ref="P465" r:id="rId1159" xr:uid="{88CA7AB8-8DE5-4358-854E-11EA07BE3536}"/>
    <hyperlink ref="Q465" r:id="rId1160" xr:uid="{405F44F3-ECA8-48B1-AAE0-C646F49649A4}"/>
    <hyperlink ref="R465" r:id="rId1161" xr:uid="{D398B9DA-519F-43AA-A14D-3A055F102D4A}"/>
    <hyperlink ref="P466" r:id="rId1162" xr:uid="{EEC25A7E-6FF2-4EF1-BF3F-F758008A0BA4}"/>
    <hyperlink ref="Q466" r:id="rId1163" xr:uid="{8E80DB59-38E3-48CE-A95B-BFBD7E8FBFB1}"/>
    <hyperlink ref="P467" r:id="rId1164" xr:uid="{7BEE48CE-18C5-444B-9924-3792E58E1E4E}"/>
    <hyperlink ref="Q467" r:id="rId1165" xr:uid="{E9036DAD-9585-4ABA-B10D-21CE6657F1C0}"/>
    <hyperlink ref="R467" r:id="rId1166" xr:uid="{6D4BE36B-1620-4657-BB5F-A70048FB8C63}"/>
    <hyperlink ref="Q468" r:id="rId1167" xr:uid="{ED6C02BC-F094-406C-A24A-2AA03EBA2CD6}"/>
  </hyperlinks>
  <pageMargins left="0.7" right="0.7" top="0.75" bottom="0.75" header="0.3" footer="0.3"/>
  <pageSetup orientation="portrait"/>
  <headerFooter>
    <oddFooter>&amp;C&amp;"Helvetica Neue,Regular"&amp;12&amp;K000000&amp;P</oddFooter>
  </headerFooter>
  <tableParts count="1">
    <tablePart r:id="rId116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468"/>
  <sheetViews>
    <sheetView showGridLines="0" tabSelected="1" topLeftCell="V447" zoomScale="94" workbookViewId="0">
      <selection activeCell="E468" sqref="E468"/>
    </sheetView>
  </sheetViews>
  <sheetFormatPr defaultColWidth="9" defaultRowHeight="12.75" customHeight="1"/>
  <cols>
    <col min="1" max="1" width="14.8984375" style="1" bestFit="1" customWidth="1"/>
    <col min="2" max="2" width="39.19921875" style="1" hidden="1" customWidth="1"/>
    <col min="3" max="3" width="31.3984375" style="1" customWidth="1"/>
    <col min="4" max="4" width="13.8984375" style="1" hidden="1" customWidth="1"/>
    <col min="5" max="5" width="96" style="1" customWidth="1"/>
    <col min="6" max="6" width="11.8984375" style="1" customWidth="1"/>
    <col min="7" max="7" width="11.09765625" style="1" customWidth="1"/>
    <col min="8" max="8" width="8.5" style="1" customWidth="1"/>
    <col min="9" max="9" width="255.69921875" style="1" customWidth="1"/>
    <col min="10" max="10" width="30.09765625" style="1" customWidth="1"/>
    <col min="11" max="11" width="55.3984375" style="1" bestFit="1" customWidth="1"/>
    <col min="12" max="12" width="26" style="1" bestFit="1" customWidth="1"/>
    <col min="13" max="13" width="18.8984375" style="1" bestFit="1" customWidth="1"/>
    <col min="14" max="14" width="17" style="1" hidden="1" customWidth="1"/>
    <col min="15" max="15" width="7.5" style="1" hidden="1" customWidth="1"/>
    <col min="16" max="16" width="50.5" style="1" hidden="1" customWidth="1"/>
    <col min="17" max="17" width="91.59765625" style="1" customWidth="1"/>
    <col min="18" max="18" width="107" style="1" customWidth="1"/>
    <col min="19" max="19" width="92.5" style="1" hidden="1" customWidth="1"/>
    <col min="20" max="20" width="16.09765625" style="1" hidden="1" customWidth="1"/>
    <col min="21" max="21" width="49.69921875" style="1" hidden="1" customWidth="1"/>
    <col min="22" max="22" width="100.796875" style="1" bestFit="1" customWidth="1"/>
    <col min="23" max="23" width="9" style="468" customWidth="1"/>
    <col min="24" max="16384" width="9" style="1"/>
  </cols>
  <sheetData>
    <row r="1" spans="1:23" ht="13.75" customHeight="1">
      <c r="A1" s="458" t="s">
        <v>251</v>
      </c>
      <c r="B1" s="459" t="s">
        <v>252</v>
      </c>
      <c r="C1" s="459" t="s">
        <v>253</v>
      </c>
      <c r="D1" s="459" t="s">
        <v>254</v>
      </c>
      <c r="E1" s="459" t="s">
        <v>255</v>
      </c>
      <c r="F1" s="459" t="s">
        <v>256</v>
      </c>
      <c r="G1" s="459" t="s">
        <v>257</v>
      </c>
      <c r="H1" s="459" t="s">
        <v>258</v>
      </c>
      <c r="I1" s="459" t="s">
        <v>259</v>
      </c>
      <c r="J1" s="459" t="s">
        <v>260</v>
      </c>
      <c r="K1" s="459" t="s">
        <v>261</v>
      </c>
      <c r="L1" s="459" t="s">
        <v>262</v>
      </c>
      <c r="M1" s="459" t="s">
        <v>263</v>
      </c>
      <c r="N1" s="459" t="s">
        <v>264</v>
      </c>
      <c r="O1" s="459" t="s">
        <v>265</v>
      </c>
      <c r="P1" s="459" t="s">
        <v>266</v>
      </c>
      <c r="Q1" s="459" t="s">
        <v>267</v>
      </c>
      <c r="R1" s="459" t="s">
        <v>268</v>
      </c>
      <c r="S1" s="459" t="s">
        <v>269</v>
      </c>
      <c r="T1" s="459" t="s">
        <v>270</v>
      </c>
      <c r="U1" s="460" t="s">
        <v>271</v>
      </c>
      <c r="V1" s="480" t="s">
        <v>2150</v>
      </c>
      <c r="W1" s="467" t="s">
        <v>2149</v>
      </c>
    </row>
    <row r="2" spans="1:23" ht="13.75" customHeight="1">
      <c r="A2" s="482" t="s">
        <v>1635</v>
      </c>
      <c r="B2" s="483" t="s">
        <v>1636</v>
      </c>
      <c r="C2" s="483" t="s">
        <v>1559</v>
      </c>
      <c r="D2" s="484">
        <v>2021</v>
      </c>
      <c r="E2" s="483" t="s">
        <v>1637</v>
      </c>
      <c r="F2" s="472" t="s">
        <v>475</v>
      </c>
      <c r="G2" s="472" t="s">
        <v>475</v>
      </c>
      <c r="H2" s="473">
        <v>20221</v>
      </c>
      <c r="I2" s="483" t="s">
        <v>1638</v>
      </c>
      <c r="J2" s="472" t="s">
        <v>278</v>
      </c>
      <c r="K2" s="490" t="s">
        <v>2157</v>
      </c>
      <c r="L2" s="483" t="s">
        <v>438</v>
      </c>
      <c r="M2" s="483" t="s">
        <v>292</v>
      </c>
      <c r="N2" s="473">
        <v>150</v>
      </c>
      <c r="O2" s="484">
        <v>10</v>
      </c>
      <c r="P2" s="472" t="s">
        <v>1639</v>
      </c>
      <c r="Q2" s="483" t="s">
        <v>2262</v>
      </c>
      <c r="R2" s="474"/>
      <c r="S2" s="474"/>
      <c r="T2" s="474"/>
      <c r="U2" s="475" t="s">
        <v>1641</v>
      </c>
      <c r="V2" s="485" t="str">
        <f>CLEAN(TRIM(Table2[[#This Row],[Status]] &amp; "|" &amp; Table2[[#This Row],[Level]] &amp; "|" &amp; Table2[[#This Row],[Participant As]]))</f>
        <v>Pembicara pada pelatihan/seminar/event berskala|External Regional|Individual</v>
      </c>
      <c r="W2" s="486">
        <f>IFERROR(INDEX(GradingSimkat[Score], MATCH(Table2[[#This Row],[Criteria]], GradingSimkat[Criteria], 0)), 0)</f>
        <v>0</v>
      </c>
    </row>
    <row r="3" spans="1:23" s="478" customFormat="1" ht="13.75" customHeight="1">
      <c r="A3" s="482" t="s">
        <v>1635</v>
      </c>
      <c r="B3" s="483" t="s">
        <v>1636</v>
      </c>
      <c r="C3" s="483" t="s">
        <v>1559</v>
      </c>
      <c r="D3" s="484">
        <v>2021</v>
      </c>
      <c r="E3" s="483" t="s">
        <v>1642</v>
      </c>
      <c r="F3" s="472" t="s">
        <v>1643</v>
      </c>
      <c r="G3" s="472" t="s">
        <v>1643</v>
      </c>
      <c r="H3" s="473">
        <v>20222</v>
      </c>
      <c r="I3" s="483" t="s">
        <v>1644</v>
      </c>
      <c r="J3" s="472" t="s">
        <v>278</v>
      </c>
      <c r="K3" s="483" t="s">
        <v>279</v>
      </c>
      <c r="L3" s="483" t="s">
        <v>291</v>
      </c>
      <c r="M3" s="483" t="s">
        <v>292</v>
      </c>
      <c r="N3" s="473">
        <v>100</v>
      </c>
      <c r="O3" s="484">
        <v>5</v>
      </c>
      <c r="P3" s="472" t="s">
        <v>1645</v>
      </c>
      <c r="Q3" s="483" t="s">
        <v>2263</v>
      </c>
      <c r="R3" s="472" t="s">
        <v>1647</v>
      </c>
      <c r="S3" s="474"/>
      <c r="T3" s="474"/>
      <c r="U3" s="475" t="s">
        <v>469</v>
      </c>
      <c r="V3" s="485" t="str">
        <f>CLEAN(TRIM(Table2[[#This Row],[Status]] &amp; "|" &amp; Table2[[#This Row],[Level]] &amp; "|" &amp; Table2[[#This Row],[Participant As]]))</f>
        <v>Narasumber / Pemateri Acara Seminar / Workshop / Pemakalah|Internal Sekolah / Universitas|Individual</v>
      </c>
      <c r="W3" s="486">
        <f>IFERROR(INDEX(GradingSimkat[Score], MATCH(Table2[[#This Row],[Criteria]], GradingSimkat[Criteria], 0)), 0)</f>
        <v>0</v>
      </c>
    </row>
    <row r="4" spans="1:23" s="478" customFormat="1" ht="13.75" customHeight="1">
      <c r="A4" s="482" t="s">
        <v>359</v>
      </c>
      <c r="B4" s="483" t="s">
        <v>360</v>
      </c>
      <c r="C4" s="483" t="s">
        <v>274</v>
      </c>
      <c r="D4" s="484">
        <v>2020</v>
      </c>
      <c r="E4" s="483" t="s">
        <v>361</v>
      </c>
      <c r="F4" s="472" t="s">
        <v>362</v>
      </c>
      <c r="G4" s="472" t="s">
        <v>363</v>
      </c>
      <c r="H4" s="473">
        <v>20231</v>
      </c>
      <c r="I4" s="483" t="s">
        <v>364</v>
      </c>
      <c r="J4" s="472" t="s">
        <v>278</v>
      </c>
      <c r="K4" s="483" t="s">
        <v>279</v>
      </c>
      <c r="L4" s="483" t="s">
        <v>307</v>
      </c>
      <c r="M4" s="483" t="s">
        <v>292</v>
      </c>
      <c r="N4" s="473">
        <v>500</v>
      </c>
      <c r="O4" s="484">
        <v>10</v>
      </c>
      <c r="P4" s="472" t="s">
        <v>365</v>
      </c>
      <c r="Q4" s="483" t="s">
        <v>2186</v>
      </c>
      <c r="R4" s="472" t="s">
        <v>367</v>
      </c>
      <c r="S4" s="474"/>
      <c r="T4" s="474"/>
      <c r="U4" s="475" t="s">
        <v>368</v>
      </c>
      <c r="V4" s="485" t="str">
        <f>CLEAN(TRIM(Table2[[#This Row],[Status]] &amp; "|" &amp; Table2[[#This Row],[Level]] &amp; "|" &amp; Table2[[#This Row],[Participant As]]))</f>
        <v>Narasumber / Pemateri Acara Seminar / Workshop / Pemakalah|External International|Individual</v>
      </c>
      <c r="W4" s="486">
        <f>IFERROR(INDEX(GradingSimkat[Score], MATCH(Table2[[#This Row],[Criteria]], GradingSimkat[Criteria], 0)), 0)</f>
        <v>0</v>
      </c>
    </row>
    <row r="5" spans="1:23" ht="26.75" customHeight="1">
      <c r="A5" s="482" t="s">
        <v>937</v>
      </c>
      <c r="B5" s="483" t="s">
        <v>938</v>
      </c>
      <c r="C5" s="483" t="s">
        <v>274</v>
      </c>
      <c r="D5" s="484">
        <v>2023</v>
      </c>
      <c r="E5" s="483" t="s">
        <v>361</v>
      </c>
      <c r="F5" s="472" t="s">
        <v>362</v>
      </c>
      <c r="G5" s="472" t="s">
        <v>363</v>
      </c>
      <c r="H5" s="473">
        <v>20231</v>
      </c>
      <c r="I5" s="483" t="s">
        <v>364</v>
      </c>
      <c r="J5" s="472" t="s">
        <v>278</v>
      </c>
      <c r="K5" s="490" t="s">
        <v>279</v>
      </c>
      <c r="L5" s="483" t="s">
        <v>307</v>
      </c>
      <c r="M5" s="483" t="s">
        <v>292</v>
      </c>
      <c r="N5" s="473">
        <v>500</v>
      </c>
      <c r="O5" s="484">
        <v>10</v>
      </c>
      <c r="P5" s="472" t="s">
        <v>365</v>
      </c>
      <c r="Q5" s="483" t="s">
        <v>2186</v>
      </c>
      <c r="R5" s="472" t="s">
        <v>367</v>
      </c>
      <c r="S5" s="474"/>
      <c r="T5" s="474"/>
      <c r="U5" s="475" t="s">
        <v>368</v>
      </c>
      <c r="V5" s="485" t="str">
        <f>CLEAN(TRIM(Table2[[#This Row],[Status]] &amp; "|" &amp; Table2[[#This Row],[Level]] &amp; "|" &amp; Table2[[#This Row],[Participant As]]))</f>
        <v>Narasumber / Pemateri Acara Seminar / Workshop / Pemakalah|External International|Individual</v>
      </c>
      <c r="W5" s="486">
        <f>IFERROR(INDEX(GradingSimkat[Score], MATCH(Table2[[#This Row],[Criteria]], GradingSimkat[Criteria], 0)), 0)</f>
        <v>0</v>
      </c>
    </row>
    <row r="6" spans="1:23" ht="13.75" customHeight="1">
      <c r="A6" s="482" t="s">
        <v>715</v>
      </c>
      <c r="B6" s="483" t="s">
        <v>716</v>
      </c>
      <c r="C6" s="483" t="s">
        <v>274</v>
      </c>
      <c r="D6" s="484">
        <v>2022</v>
      </c>
      <c r="E6" s="483" t="s">
        <v>361</v>
      </c>
      <c r="F6" s="472" t="s">
        <v>362</v>
      </c>
      <c r="G6" s="472" t="s">
        <v>363</v>
      </c>
      <c r="H6" s="473">
        <v>20231</v>
      </c>
      <c r="I6" s="483" t="s">
        <v>364</v>
      </c>
      <c r="J6" s="472" t="s">
        <v>278</v>
      </c>
      <c r="K6" s="490" t="s">
        <v>279</v>
      </c>
      <c r="L6" s="483" t="s">
        <v>307</v>
      </c>
      <c r="M6" s="483" t="s">
        <v>292</v>
      </c>
      <c r="N6" s="473">
        <v>500</v>
      </c>
      <c r="O6" s="484">
        <v>10</v>
      </c>
      <c r="P6" s="472" t="s">
        <v>365</v>
      </c>
      <c r="Q6" s="483" t="s">
        <v>2186</v>
      </c>
      <c r="R6" s="472" t="s">
        <v>367</v>
      </c>
      <c r="S6" s="474"/>
      <c r="T6" s="474"/>
      <c r="U6" s="475" t="s">
        <v>368</v>
      </c>
      <c r="V6" s="485" t="str">
        <f>CLEAN(TRIM(Table2[[#This Row],[Status]] &amp; "|" &amp; Table2[[#This Row],[Level]] &amp; "|" &amp; Table2[[#This Row],[Participant As]]))</f>
        <v>Narasumber / Pemateri Acara Seminar / Workshop / Pemakalah|External International|Individual</v>
      </c>
      <c r="W6" s="486">
        <f>IFERROR(INDEX(GradingSimkat[Score], MATCH(Table2[[#This Row],[Criteria]], GradingSimkat[Criteria], 0)), 0)</f>
        <v>0</v>
      </c>
    </row>
    <row r="7" spans="1:23" ht="13.75" customHeight="1">
      <c r="A7" s="482" t="s">
        <v>518</v>
      </c>
      <c r="B7" s="483" t="s">
        <v>519</v>
      </c>
      <c r="C7" s="483" t="s">
        <v>274</v>
      </c>
      <c r="D7" s="484">
        <v>2021</v>
      </c>
      <c r="E7" s="483" t="s">
        <v>361</v>
      </c>
      <c r="F7" s="472" t="s">
        <v>362</v>
      </c>
      <c r="G7" s="472" t="s">
        <v>363</v>
      </c>
      <c r="H7" s="473">
        <v>20231</v>
      </c>
      <c r="I7" s="483" t="s">
        <v>364</v>
      </c>
      <c r="J7" s="472" t="s">
        <v>278</v>
      </c>
      <c r="K7" s="490" t="s">
        <v>279</v>
      </c>
      <c r="L7" s="483" t="s">
        <v>307</v>
      </c>
      <c r="M7" s="483" t="s">
        <v>292</v>
      </c>
      <c r="N7" s="473">
        <v>500</v>
      </c>
      <c r="O7" s="484">
        <v>10</v>
      </c>
      <c r="P7" s="472" t="s">
        <v>365</v>
      </c>
      <c r="Q7" s="483" t="s">
        <v>2186</v>
      </c>
      <c r="R7" s="472" t="s">
        <v>367</v>
      </c>
      <c r="S7" s="474"/>
      <c r="T7" s="474"/>
      <c r="U7" s="475" t="s">
        <v>368</v>
      </c>
      <c r="V7" s="485" t="str">
        <f>CLEAN(TRIM(Table2[[#This Row],[Status]] &amp; "|" &amp; Table2[[#This Row],[Level]] &amp; "|" &amp; Table2[[#This Row],[Participant As]]))</f>
        <v>Narasumber / Pemateri Acara Seminar / Workshop / Pemakalah|External International|Individual</v>
      </c>
      <c r="W7" s="486">
        <f>IFERROR(INDEX(GradingSimkat[Score], MATCH(Table2[[#This Row],[Criteria]], GradingSimkat[Criteria], 0)), 0)</f>
        <v>0</v>
      </c>
    </row>
    <row r="8" spans="1:23" s="478" customFormat="1" ht="13.75" customHeight="1">
      <c r="A8" s="482" t="s">
        <v>747</v>
      </c>
      <c r="B8" s="483" t="s">
        <v>748</v>
      </c>
      <c r="C8" s="483" t="s">
        <v>274</v>
      </c>
      <c r="D8" s="484">
        <v>2022</v>
      </c>
      <c r="E8" s="483" t="s">
        <v>361</v>
      </c>
      <c r="F8" s="472" t="s">
        <v>362</v>
      </c>
      <c r="G8" s="472" t="s">
        <v>363</v>
      </c>
      <c r="H8" s="473">
        <v>20231</v>
      </c>
      <c r="I8" s="483" t="s">
        <v>364</v>
      </c>
      <c r="J8" s="472" t="s">
        <v>278</v>
      </c>
      <c r="K8" s="483" t="s">
        <v>279</v>
      </c>
      <c r="L8" s="483" t="s">
        <v>307</v>
      </c>
      <c r="M8" s="483" t="s">
        <v>292</v>
      </c>
      <c r="N8" s="473">
        <v>500</v>
      </c>
      <c r="O8" s="484">
        <v>10</v>
      </c>
      <c r="P8" s="472" t="s">
        <v>365</v>
      </c>
      <c r="Q8" s="483" t="s">
        <v>2186</v>
      </c>
      <c r="R8" s="472" t="s">
        <v>367</v>
      </c>
      <c r="S8" s="474"/>
      <c r="T8" s="474"/>
      <c r="U8" s="475" t="s">
        <v>368</v>
      </c>
      <c r="V8" s="485" t="str">
        <f>CLEAN(TRIM(Table2[[#This Row],[Status]] &amp; "|" &amp; Table2[[#This Row],[Level]] &amp; "|" &amp; Table2[[#This Row],[Participant As]]))</f>
        <v>Narasumber / Pemateri Acara Seminar / Workshop / Pemakalah|External International|Individual</v>
      </c>
      <c r="W8" s="486">
        <f>IFERROR(INDEX(GradingSimkat[Score], MATCH(Table2[[#This Row],[Criteria]], GradingSimkat[Criteria], 0)), 0)</f>
        <v>0</v>
      </c>
    </row>
    <row r="9" spans="1:23" ht="13.75" customHeight="1">
      <c r="A9" s="482" t="s">
        <v>1432</v>
      </c>
      <c r="B9" s="483" t="s">
        <v>1433</v>
      </c>
      <c r="C9" s="483" t="s">
        <v>1407</v>
      </c>
      <c r="D9" s="484">
        <v>2022</v>
      </c>
      <c r="E9" s="483" t="s">
        <v>361</v>
      </c>
      <c r="F9" s="472" t="s">
        <v>362</v>
      </c>
      <c r="G9" s="472" t="s">
        <v>363</v>
      </c>
      <c r="H9" s="473">
        <v>20231</v>
      </c>
      <c r="I9" s="483" t="s">
        <v>364</v>
      </c>
      <c r="J9" s="472" t="s">
        <v>278</v>
      </c>
      <c r="K9" s="489" t="s">
        <v>279</v>
      </c>
      <c r="L9" s="483" t="s">
        <v>307</v>
      </c>
      <c r="M9" s="483" t="s">
        <v>292</v>
      </c>
      <c r="N9" s="473">
        <v>500</v>
      </c>
      <c r="O9" s="484">
        <v>10</v>
      </c>
      <c r="P9" s="472" t="s">
        <v>365</v>
      </c>
      <c r="Q9" s="483" t="s">
        <v>2188</v>
      </c>
      <c r="R9" s="472" t="s">
        <v>389</v>
      </c>
      <c r="S9" s="474"/>
      <c r="T9" s="474"/>
      <c r="U9" s="475" t="s">
        <v>368</v>
      </c>
      <c r="V9" s="485" t="str">
        <f>CLEAN(TRIM(Table2[[#This Row],[Status]] &amp; "|" &amp; Table2[[#This Row],[Level]] &amp; "|" &amp; Table2[[#This Row],[Participant As]]))</f>
        <v>Narasumber / Pemateri Acara Seminar / Workshop / Pemakalah|External International|Individual</v>
      </c>
      <c r="W9" s="486">
        <f>IFERROR(INDEX(GradingSimkat[Score], MATCH(Table2[[#This Row],[Criteria]], GradingSimkat[Criteria], 0)), 0)</f>
        <v>0</v>
      </c>
    </row>
    <row r="10" spans="1:23" ht="26.75" customHeight="1">
      <c r="A10" s="471" t="s">
        <v>1023</v>
      </c>
      <c r="B10" s="472" t="s">
        <v>1024</v>
      </c>
      <c r="C10" s="472" t="s">
        <v>986</v>
      </c>
      <c r="D10" s="473">
        <v>2021</v>
      </c>
      <c r="E10" s="472" t="s">
        <v>1025</v>
      </c>
      <c r="F10" s="472" t="s">
        <v>1026</v>
      </c>
      <c r="G10" s="472" t="s">
        <v>1026</v>
      </c>
      <c r="H10" s="473">
        <v>20222</v>
      </c>
      <c r="I10" s="472" t="s">
        <v>1027</v>
      </c>
      <c r="J10" s="472" t="s">
        <v>278</v>
      </c>
      <c r="K10" s="472" t="s">
        <v>2160</v>
      </c>
      <c r="L10" s="472" t="s">
        <v>280</v>
      </c>
      <c r="M10" s="472" t="s">
        <v>292</v>
      </c>
      <c r="N10" s="473">
        <v>1</v>
      </c>
      <c r="O10" s="473">
        <v>32</v>
      </c>
      <c r="P10" s="474"/>
      <c r="Q10" s="474"/>
      <c r="R10" s="472" t="s">
        <v>1028</v>
      </c>
      <c r="S10" s="472" t="s">
        <v>1029</v>
      </c>
      <c r="T10" s="474"/>
      <c r="U10" s="475" t="s">
        <v>1030</v>
      </c>
      <c r="V10" s="481" t="str">
        <f>CLEAN(TRIM(Table2[[#This Row],[Status]] &amp; "|" &amp; Table2[[#This Row],[Level]] &amp; "|" &amp; Table2[[#This Row],[Participant As]]))</f>
        <v>Penulis pertama pada jurnal internasional bereputasi atau jurnal nasional terindeks SINTA 1 dan 2|External National|Individual</v>
      </c>
      <c r="W10" s="477">
        <f>IFERROR(INDEX(GradingSimkat[Score], MATCH(Table2[[#This Row],[Criteria]], GradingSimkat[Criteria], 0)), 0)</f>
        <v>5</v>
      </c>
    </row>
    <row r="11" spans="1:23" ht="52.75" customHeight="1">
      <c r="A11" s="471" t="s">
        <v>1614</v>
      </c>
      <c r="B11" s="472" t="s">
        <v>1615</v>
      </c>
      <c r="C11" s="472" t="s">
        <v>1559</v>
      </c>
      <c r="D11" s="473">
        <v>2020</v>
      </c>
      <c r="E11" s="472" t="s">
        <v>1616</v>
      </c>
      <c r="F11" s="472" t="s">
        <v>1617</v>
      </c>
      <c r="G11" s="472" t="s">
        <v>1618</v>
      </c>
      <c r="H11" s="473">
        <v>20221</v>
      </c>
      <c r="I11" s="472" t="s">
        <v>1616</v>
      </c>
      <c r="J11" s="472" t="s">
        <v>278</v>
      </c>
      <c r="K11" s="472" t="s">
        <v>2155</v>
      </c>
      <c r="L11" s="472" t="s">
        <v>291</v>
      </c>
      <c r="M11" s="472" t="s">
        <v>292</v>
      </c>
      <c r="N11" s="473">
        <v>100</v>
      </c>
      <c r="O11" s="473">
        <v>6</v>
      </c>
      <c r="P11" s="474"/>
      <c r="Q11" s="472" t="s">
        <v>1619</v>
      </c>
      <c r="R11" s="472" t="s">
        <v>1620</v>
      </c>
      <c r="S11" s="474"/>
      <c r="T11" s="474"/>
      <c r="U11" s="475" t="s">
        <v>1621</v>
      </c>
      <c r="V11" s="481" t="str">
        <f>CLEAN(TRIM(Table2[[#This Row],[Status]] &amp; "|" &amp; Table2[[#This Row],[Level]] &amp; "|" &amp; Table2[[#This Row],[Participant As]]))</f>
        <v>Juri/Pelatih/Wasit|Internal Sekolah / Universitas|Individual</v>
      </c>
      <c r="W11" s="477">
        <f>IFERROR(INDEX(GradingSimkat[Score], MATCH(Table2[[#This Row],[Criteria]], GradingSimkat[Criteria], 0)), 0)</f>
        <v>0</v>
      </c>
    </row>
    <row r="12" spans="1:23" ht="13.75" customHeight="1">
      <c r="A12" s="482" t="s">
        <v>499</v>
      </c>
      <c r="B12" s="483" t="s">
        <v>500</v>
      </c>
      <c r="C12" s="483" t="s">
        <v>274</v>
      </c>
      <c r="D12" s="484">
        <v>2021</v>
      </c>
      <c r="E12" s="483" t="s">
        <v>361</v>
      </c>
      <c r="F12" s="472" t="s">
        <v>362</v>
      </c>
      <c r="G12" s="472" t="s">
        <v>363</v>
      </c>
      <c r="H12" s="473">
        <v>20231</v>
      </c>
      <c r="I12" s="483" t="s">
        <v>364</v>
      </c>
      <c r="J12" s="472" t="s">
        <v>278</v>
      </c>
      <c r="K12" s="483" t="s">
        <v>279</v>
      </c>
      <c r="L12" s="483" t="s">
        <v>307</v>
      </c>
      <c r="M12" s="483" t="s">
        <v>292</v>
      </c>
      <c r="N12" s="473">
        <v>500</v>
      </c>
      <c r="O12" s="484">
        <v>10</v>
      </c>
      <c r="P12" s="472" t="s">
        <v>365</v>
      </c>
      <c r="Q12" s="483" t="s">
        <v>2186</v>
      </c>
      <c r="R12" s="472" t="s">
        <v>367</v>
      </c>
      <c r="S12" s="474"/>
      <c r="T12" s="474"/>
      <c r="U12" s="475" t="s">
        <v>368</v>
      </c>
      <c r="V12" s="485" t="str">
        <f>CLEAN(TRIM(Table2[[#This Row],[Status]] &amp; "|" &amp; Table2[[#This Row],[Level]] &amp; "|" &amp; Table2[[#This Row],[Participant As]]))</f>
        <v>Narasumber / Pemateri Acara Seminar / Workshop / Pemakalah|External International|Individual</v>
      </c>
      <c r="W12" s="486">
        <f>IFERROR(INDEX(GradingSimkat[Score], MATCH(Table2[[#This Row],[Criteria]], GradingSimkat[Criteria], 0)), 0)</f>
        <v>0</v>
      </c>
    </row>
    <row r="13" spans="1:23" ht="13.75" customHeight="1">
      <c r="A13" s="482" t="s">
        <v>739</v>
      </c>
      <c r="B13" s="483" t="s">
        <v>740</v>
      </c>
      <c r="C13" s="483" t="s">
        <v>274</v>
      </c>
      <c r="D13" s="484">
        <v>2022</v>
      </c>
      <c r="E13" s="483" t="s">
        <v>361</v>
      </c>
      <c r="F13" s="472" t="s">
        <v>362</v>
      </c>
      <c r="G13" s="472" t="s">
        <v>363</v>
      </c>
      <c r="H13" s="473">
        <v>20231</v>
      </c>
      <c r="I13" s="483" t="s">
        <v>364</v>
      </c>
      <c r="J13" s="472" t="s">
        <v>278</v>
      </c>
      <c r="K13" s="483" t="s">
        <v>279</v>
      </c>
      <c r="L13" s="483" t="s">
        <v>307</v>
      </c>
      <c r="M13" s="483" t="s">
        <v>292</v>
      </c>
      <c r="N13" s="473">
        <v>500</v>
      </c>
      <c r="O13" s="484">
        <v>10</v>
      </c>
      <c r="P13" s="472" t="s">
        <v>365</v>
      </c>
      <c r="Q13" s="483" t="s">
        <v>2186</v>
      </c>
      <c r="R13" s="472" t="s">
        <v>367</v>
      </c>
      <c r="S13" s="474"/>
      <c r="T13" s="474"/>
      <c r="U13" s="475" t="s">
        <v>368</v>
      </c>
      <c r="V13" s="485" t="str">
        <f>CLEAN(TRIM(Table2[[#This Row],[Status]] &amp; "|" &amp; Table2[[#This Row],[Level]] &amp; "|" &amp; Table2[[#This Row],[Participant As]]))</f>
        <v>Narasumber / Pemateri Acara Seminar / Workshop / Pemakalah|External International|Individual</v>
      </c>
      <c r="W13" s="486">
        <f>IFERROR(INDEX(GradingSimkat[Score], MATCH(Table2[[#This Row],[Criteria]], GradingSimkat[Criteria], 0)), 0)</f>
        <v>0</v>
      </c>
    </row>
    <row r="14" spans="1:23" ht="13.75" customHeight="1">
      <c r="A14" s="482" t="s">
        <v>785</v>
      </c>
      <c r="B14" s="483" t="s">
        <v>786</v>
      </c>
      <c r="C14" s="483" t="s">
        <v>274</v>
      </c>
      <c r="D14" s="484">
        <v>2023</v>
      </c>
      <c r="E14" s="483" t="s">
        <v>361</v>
      </c>
      <c r="F14" s="472" t="s">
        <v>362</v>
      </c>
      <c r="G14" s="472" t="s">
        <v>363</v>
      </c>
      <c r="H14" s="473">
        <v>20231</v>
      </c>
      <c r="I14" s="483" t="s">
        <v>364</v>
      </c>
      <c r="J14" s="472" t="s">
        <v>278</v>
      </c>
      <c r="K14" s="483" t="s">
        <v>279</v>
      </c>
      <c r="L14" s="483" t="s">
        <v>307</v>
      </c>
      <c r="M14" s="483" t="s">
        <v>292</v>
      </c>
      <c r="N14" s="473">
        <v>500</v>
      </c>
      <c r="O14" s="484">
        <v>10</v>
      </c>
      <c r="P14" s="472" t="s">
        <v>365</v>
      </c>
      <c r="Q14" s="483" t="s">
        <v>2186</v>
      </c>
      <c r="R14" s="472" t="s">
        <v>367</v>
      </c>
      <c r="S14" s="474"/>
      <c r="T14" s="474"/>
      <c r="U14" s="475" t="s">
        <v>368</v>
      </c>
      <c r="V14" s="485" t="str">
        <f>CLEAN(TRIM(Table2[[#This Row],[Status]] &amp; "|" &amp; Table2[[#This Row],[Level]] &amp; "|" &amp; Table2[[#This Row],[Participant As]]))</f>
        <v>Narasumber / Pemateri Acara Seminar / Workshop / Pemakalah|External International|Individual</v>
      </c>
      <c r="W14" s="486">
        <f>IFERROR(INDEX(GradingSimkat[Score], MATCH(Table2[[#This Row],[Criteria]], GradingSimkat[Criteria], 0)), 0)</f>
        <v>0</v>
      </c>
    </row>
    <row r="15" spans="1:23" ht="13.75" customHeight="1">
      <c r="A15" s="482" t="s">
        <v>863</v>
      </c>
      <c r="B15" s="483" t="s">
        <v>864</v>
      </c>
      <c r="C15" s="483" t="s">
        <v>274</v>
      </c>
      <c r="D15" s="484">
        <v>2023</v>
      </c>
      <c r="E15" s="483" t="s">
        <v>361</v>
      </c>
      <c r="F15" s="472" t="s">
        <v>362</v>
      </c>
      <c r="G15" s="472" t="s">
        <v>363</v>
      </c>
      <c r="H15" s="473">
        <v>20231</v>
      </c>
      <c r="I15" s="483" t="s">
        <v>364</v>
      </c>
      <c r="J15" s="472" t="s">
        <v>278</v>
      </c>
      <c r="K15" s="490" t="s">
        <v>279</v>
      </c>
      <c r="L15" s="483" t="s">
        <v>307</v>
      </c>
      <c r="M15" s="483" t="s">
        <v>292</v>
      </c>
      <c r="N15" s="473">
        <v>500</v>
      </c>
      <c r="O15" s="484">
        <v>10</v>
      </c>
      <c r="P15" s="472" t="s">
        <v>365</v>
      </c>
      <c r="Q15" s="483" t="s">
        <v>2186</v>
      </c>
      <c r="R15" s="472" t="s">
        <v>367</v>
      </c>
      <c r="S15" s="474"/>
      <c r="T15" s="474"/>
      <c r="U15" s="475" t="s">
        <v>368</v>
      </c>
      <c r="V15" s="485" t="str">
        <f>CLEAN(TRIM(Table2[[#This Row],[Status]] &amp; "|" &amp; Table2[[#This Row],[Level]] &amp; "|" &amp; Table2[[#This Row],[Participant As]]))</f>
        <v>Narasumber / Pemateri Acara Seminar / Workshop / Pemakalah|External International|Individual</v>
      </c>
      <c r="W15" s="486">
        <f>IFERROR(INDEX(GradingSimkat[Score], MATCH(Table2[[#This Row],[Criteria]], GradingSimkat[Criteria], 0)), 0)</f>
        <v>0</v>
      </c>
    </row>
    <row r="16" spans="1:23" ht="13.75" customHeight="1">
      <c r="A16" s="482" t="s">
        <v>625</v>
      </c>
      <c r="B16" s="483" t="s">
        <v>626</v>
      </c>
      <c r="C16" s="483" t="s">
        <v>274</v>
      </c>
      <c r="D16" s="484">
        <v>2022</v>
      </c>
      <c r="E16" s="483" t="s">
        <v>361</v>
      </c>
      <c r="F16" s="472" t="s">
        <v>362</v>
      </c>
      <c r="G16" s="472" t="s">
        <v>363</v>
      </c>
      <c r="H16" s="473">
        <v>20231</v>
      </c>
      <c r="I16" s="483" t="s">
        <v>364</v>
      </c>
      <c r="J16" s="472" t="s">
        <v>278</v>
      </c>
      <c r="K16" s="483" t="s">
        <v>279</v>
      </c>
      <c r="L16" s="483" t="s">
        <v>307</v>
      </c>
      <c r="M16" s="483" t="s">
        <v>292</v>
      </c>
      <c r="N16" s="473">
        <v>500</v>
      </c>
      <c r="O16" s="484">
        <v>10</v>
      </c>
      <c r="P16" s="472" t="s">
        <v>365</v>
      </c>
      <c r="Q16" s="483" t="s">
        <v>2186</v>
      </c>
      <c r="R16" s="472" t="s">
        <v>367</v>
      </c>
      <c r="S16" s="474"/>
      <c r="T16" s="474"/>
      <c r="U16" s="475" t="s">
        <v>368</v>
      </c>
      <c r="V16" s="485" t="str">
        <f>CLEAN(TRIM(Table2[[#This Row],[Status]] &amp; "|" &amp; Table2[[#This Row],[Level]] &amp; "|" &amp; Table2[[#This Row],[Participant As]]))</f>
        <v>Narasumber / Pemateri Acara Seminar / Workshop / Pemakalah|External International|Individual</v>
      </c>
      <c r="W16" s="486">
        <f>IFERROR(INDEX(GradingSimkat[Score], MATCH(Table2[[#This Row],[Criteria]], GradingSimkat[Criteria], 0)), 0)</f>
        <v>0</v>
      </c>
    </row>
    <row r="17" spans="1:23" s="478" customFormat="1" ht="13.75" customHeight="1">
      <c r="A17" s="482" t="s">
        <v>1150</v>
      </c>
      <c r="B17" s="483" t="s">
        <v>1151</v>
      </c>
      <c r="C17" s="483" t="s">
        <v>986</v>
      </c>
      <c r="D17" s="484">
        <v>2022</v>
      </c>
      <c r="E17" s="483" t="s">
        <v>1152</v>
      </c>
      <c r="F17" s="472" t="s">
        <v>1153</v>
      </c>
      <c r="G17" s="472" t="s">
        <v>1153</v>
      </c>
      <c r="H17" s="473">
        <v>20222</v>
      </c>
      <c r="I17" s="487"/>
      <c r="J17" s="472" t="s">
        <v>278</v>
      </c>
      <c r="K17" s="483" t="s">
        <v>2157</v>
      </c>
      <c r="L17" s="483" t="s">
        <v>438</v>
      </c>
      <c r="M17" s="483" t="s">
        <v>292</v>
      </c>
      <c r="N17" s="473">
        <v>20</v>
      </c>
      <c r="O17" s="484">
        <v>10</v>
      </c>
      <c r="P17" s="474"/>
      <c r="Q17" s="483" t="s">
        <v>2229</v>
      </c>
      <c r="R17" s="474"/>
      <c r="S17" s="474"/>
      <c r="T17" s="474"/>
      <c r="U17" s="475" t="s">
        <v>1155</v>
      </c>
      <c r="V17" s="485" t="str">
        <f>CLEAN(TRIM(Table2[[#This Row],[Status]] &amp; "|" &amp; Table2[[#This Row],[Level]] &amp; "|" &amp; Table2[[#This Row],[Participant As]]))</f>
        <v>Pembicara pada pelatihan/seminar/event berskala|External Regional|Individual</v>
      </c>
      <c r="W17" s="486">
        <f>IFERROR(INDEX(GradingSimkat[Score], MATCH(Table2[[#This Row],[Criteria]], GradingSimkat[Criteria], 0)), 0)</f>
        <v>0</v>
      </c>
    </row>
    <row r="18" spans="1:23" ht="13.75" customHeight="1">
      <c r="A18" s="482" t="s">
        <v>1890</v>
      </c>
      <c r="B18" s="483" t="s">
        <v>1891</v>
      </c>
      <c r="C18" s="483" t="s">
        <v>1857</v>
      </c>
      <c r="D18" s="484">
        <v>2020</v>
      </c>
      <c r="E18" s="483" t="s">
        <v>361</v>
      </c>
      <c r="F18" s="472" t="s">
        <v>362</v>
      </c>
      <c r="G18" s="472" t="s">
        <v>363</v>
      </c>
      <c r="H18" s="473">
        <v>20231</v>
      </c>
      <c r="I18" s="483" t="s">
        <v>364</v>
      </c>
      <c r="J18" s="472" t="s">
        <v>278</v>
      </c>
      <c r="K18" s="483" t="s">
        <v>279</v>
      </c>
      <c r="L18" s="483" t="s">
        <v>307</v>
      </c>
      <c r="M18" s="483" t="s">
        <v>292</v>
      </c>
      <c r="N18" s="473">
        <v>500</v>
      </c>
      <c r="O18" s="484">
        <v>10</v>
      </c>
      <c r="P18" s="472" t="s">
        <v>365</v>
      </c>
      <c r="Q18" s="483" t="s">
        <v>2188</v>
      </c>
      <c r="R18" s="472" t="s">
        <v>389</v>
      </c>
      <c r="S18" s="474"/>
      <c r="T18" s="474"/>
      <c r="U18" s="475" t="s">
        <v>368</v>
      </c>
      <c r="V18" s="485" t="str">
        <f>CLEAN(TRIM(Table2[[#This Row],[Status]] &amp; "|" &amp; Table2[[#This Row],[Level]] &amp; "|" &amp; Table2[[#This Row],[Participant As]]))</f>
        <v>Narasumber / Pemateri Acara Seminar / Workshop / Pemakalah|External International|Individual</v>
      </c>
      <c r="W18" s="486">
        <f>IFERROR(INDEX(GradingSimkat[Score], MATCH(Table2[[#This Row],[Criteria]], GradingSimkat[Criteria], 0)), 0)</f>
        <v>0</v>
      </c>
    </row>
    <row r="19" spans="1:23" ht="13.75" customHeight="1">
      <c r="A19" s="482" t="s">
        <v>791</v>
      </c>
      <c r="B19" s="483" t="s">
        <v>792</v>
      </c>
      <c r="C19" s="483" t="s">
        <v>274</v>
      </c>
      <c r="D19" s="484">
        <v>2023</v>
      </c>
      <c r="E19" s="483" t="s">
        <v>361</v>
      </c>
      <c r="F19" s="472" t="s">
        <v>362</v>
      </c>
      <c r="G19" s="472" t="s">
        <v>363</v>
      </c>
      <c r="H19" s="473">
        <v>20231</v>
      </c>
      <c r="I19" s="483" t="s">
        <v>364</v>
      </c>
      <c r="J19" s="472" t="s">
        <v>278</v>
      </c>
      <c r="K19" s="483" t="s">
        <v>279</v>
      </c>
      <c r="L19" s="483" t="s">
        <v>307</v>
      </c>
      <c r="M19" s="483" t="s">
        <v>292</v>
      </c>
      <c r="N19" s="473">
        <v>500</v>
      </c>
      <c r="O19" s="484">
        <v>10</v>
      </c>
      <c r="P19" s="472" t="s">
        <v>365</v>
      </c>
      <c r="Q19" s="483" t="s">
        <v>2186</v>
      </c>
      <c r="R19" s="472" t="s">
        <v>367</v>
      </c>
      <c r="S19" s="474"/>
      <c r="T19" s="474"/>
      <c r="U19" s="475" t="s">
        <v>368</v>
      </c>
      <c r="V19" s="485" t="str">
        <f>CLEAN(TRIM(Table2[[#This Row],[Status]] &amp; "|" &amp; Table2[[#This Row],[Level]] &amp; "|" &amp; Table2[[#This Row],[Participant As]]))</f>
        <v>Narasumber / Pemateri Acara Seminar / Workshop / Pemakalah|External International|Individual</v>
      </c>
      <c r="W19" s="486">
        <f>IFERROR(INDEX(GradingSimkat[Score], MATCH(Table2[[#This Row],[Criteria]], GradingSimkat[Criteria], 0)), 0)</f>
        <v>0</v>
      </c>
    </row>
    <row r="20" spans="1:23" ht="13.75" customHeight="1">
      <c r="A20" s="482" t="s">
        <v>575</v>
      </c>
      <c r="B20" s="483" t="s">
        <v>576</v>
      </c>
      <c r="C20" s="483" t="s">
        <v>274</v>
      </c>
      <c r="D20" s="484">
        <v>2022</v>
      </c>
      <c r="E20" s="483" t="s">
        <v>361</v>
      </c>
      <c r="F20" s="472" t="s">
        <v>362</v>
      </c>
      <c r="G20" s="472" t="s">
        <v>363</v>
      </c>
      <c r="H20" s="473">
        <v>20231</v>
      </c>
      <c r="I20" s="483" t="s">
        <v>364</v>
      </c>
      <c r="J20" s="472" t="s">
        <v>278</v>
      </c>
      <c r="K20" s="483" t="s">
        <v>279</v>
      </c>
      <c r="L20" s="483" t="s">
        <v>307</v>
      </c>
      <c r="M20" s="483" t="s">
        <v>292</v>
      </c>
      <c r="N20" s="473">
        <v>500</v>
      </c>
      <c r="O20" s="484">
        <v>10</v>
      </c>
      <c r="P20" s="472" t="s">
        <v>365</v>
      </c>
      <c r="Q20" s="483" t="s">
        <v>2186</v>
      </c>
      <c r="R20" s="472" t="s">
        <v>367</v>
      </c>
      <c r="S20" s="474"/>
      <c r="T20" s="474"/>
      <c r="U20" s="475" t="s">
        <v>368</v>
      </c>
      <c r="V20" s="485" t="str">
        <f>CLEAN(TRIM(Table2[[#This Row],[Status]] &amp; "|" &amp; Table2[[#This Row],[Level]] &amp; "|" &amp; Table2[[#This Row],[Participant As]]))</f>
        <v>Narasumber / Pemateri Acara Seminar / Workshop / Pemakalah|External International|Individual</v>
      </c>
      <c r="W20" s="486">
        <f>IFERROR(INDEX(GradingSimkat[Score], MATCH(Table2[[#This Row],[Criteria]], GradingSimkat[Criteria], 0)), 0)</f>
        <v>0</v>
      </c>
    </row>
    <row r="21" spans="1:23" ht="13.75" customHeight="1">
      <c r="A21" s="482" t="s">
        <v>939</v>
      </c>
      <c r="B21" s="483" t="s">
        <v>940</v>
      </c>
      <c r="C21" s="483" t="s">
        <v>274</v>
      </c>
      <c r="D21" s="484">
        <v>2023</v>
      </c>
      <c r="E21" s="483" t="s">
        <v>361</v>
      </c>
      <c r="F21" s="472" t="s">
        <v>362</v>
      </c>
      <c r="G21" s="472" t="s">
        <v>363</v>
      </c>
      <c r="H21" s="473">
        <v>20231</v>
      </c>
      <c r="I21" s="483" t="s">
        <v>364</v>
      </c>
      <c r="J21" s="472" t="s">
        <v>278</v>
      </c>
      <c r="K21" s="483" t="s">
        <v>279</v>
      </c>
      <c r="L21" s="483" t="s">
        <v>307</v>
      </c>
      <c r="M21" s="483" t="s">
        <v>292</v>
      </c>
      <c r="N21" s="473">
        <v>500</v>
      </c>
      <c r="O21" s="484">
        <v>10</v>
      </c>
      <c r="P21" s="472" t="s">
        <v>365</v>
      </c>
      <c r="Q21" s="483" t="s">
        <v>2186</v>
      </c>
      <c r="R21" s="472" t="s">
        <v>367</v>
      </c>
      <c r="S21" s="474"/>
      <c r="T21" s="474"/>
      <c r="U21" s="475" t="s">
        <v>368</v>
      </c>
      <c r="V21" s="485" t="str">
        <f>CLEAN(TRIM(Table2[[#This Row],[Status]] &amp; "|" &amp; Table2[[#This Row],[Level]] &amp; "|" &amp; Table2[[#This Row],[Participant As]]))</f>
        <v>Narasumber / Pemateri Acara Seminar / Workshop / Pemakalah|External International|Individual</v>
      </c>
      <c r="W21" s="486">
        <f>IFERROR(INDEX(GradingSimkat[Score], MATCH(Table2[[#This Row],[Criteria]], GradingSimkat[Criteria], 0)), 0)</f>
        <v>0</v>
      </c>
    </row>
    <row r="22" spans="1:23" s="478" customFormat="1" ht="13.75" customHeight="1">
      <c r="A22" s="482" t="s">
        <v>380</v>
      </c>
      <c r="B22" s="483" t="s">
        <v>381</v>
      </c>
      <c r="C22" s="483" t="s">
        <v>274</v>
      </c>
      <c r="D22" s="484">
        <v>2020</v>
      </c>
      <c r="E22" s="483" t="s">
        <v>382</v>
      </c>
      <c r="F22" s="472" t="s">
        <v>383</v>
      </c>
      <c r="G22" s="472" t="s">
        <v>383</v>
      </c>
      <c r="H22" s="473">
        <v>20222</v>
      </c>
      <c r="I22" s="483" t="s">
        <v>384</v>
      </c>
      <c r="J22" s="472" t="s">
        <v>278</v>
      </c>
      <c r="K22" s="491" t="s">
        <v>2157</v>
      </c>
      <c r="L22" s="483" t="s">
        <v>280</v>
      </c>
      <c r="M22" s="483" t="s">
        <v>292</v>
      </c>
      <c r="N22" s="473">
        <v>3</v>
      </c>
      <c r="O22" s="484">
        <v>15</v>
      </c>
      <c r="P22" s="474"/>
      <c r="Q22" s="483" t="s">
        <v>2187</v>
      </c>
      <c r="R22" s="472" t="s">
        <v>386</v>
      </c>
      <c r="S22" s="474"/>
      <c r="T22" s="474"/>
      <c r="U22" s="475" t="s">
        <v>387</v>
      </c>
      <c r="V22" s="485" t="str">
        <f>CLEAN(TRIM(Table2[[#This Row],[Status]] &amp; "|" &amp; Table2[[#This Row],[Level]] &amp; "|" &amp; Table2[[#This Row],[Participant As]]))</f>
        <v>Pembicara pada pelatihan/seminar/event berskala|External National|Individual</v>
      </c>
      <c r="W22" s="486">
        <f>IFERROR(INDEX(GradingSimkat[Score], MATCH(Table2[[#This Row],[Criteria]], GradingSimkat[Criteria], 0)), 0)</f>
        <v>4</v>
      </c>
    </row>
    <row r="23" spans="1:23" s="478" customFormat="1" ht="13.75" customHeight="1">
      <c r="A23" s="482" t="s">
        <v>380</v>
      </c>
      <c r="B23" s="483" t="s">
        <v>381</v>
      </c>
      <c r="C23" s="483" t="s">
        <v>274</v>
      </c>
      <c r="D23" s="484">
        <v>2020</v>
      </c>
      <c r="E23" s="483" t="s">
        <v>361</v>
      </c>
      <c r="F23" s="472" t="s">
        <v>362</v>
      </c>
      <c r="G23" s="472" t="s">
        <v>363</v>
      </c>
      <c r="H23" s="473">
        <v>20231</v>
      </c>
      <c r="I23" s="483" t="s">
        <v>364</v>
      </c>
      <c r="J23" s="472" t="s">
        <v>278</v>
      </c>
      <c r="K23" s="483" t="s">
        <v>279</v>
      </c>
      <c r="L23" s="483" t="s">
        <v>307</v>
      </c>
      <c r="M23" s="483" t="s">
        <v>292</v>
      </c>
      <c r="N23" s="473">
        <v>500</v>
      </c>
      <c r="O23" s="484">
        <v>10</v>
      </c>
      <c r="P23" s="472" t="s">
        <v>365</v>
      </c>
      <c r="Q23" s="483" t="s">
        <v>2188</v>
      </c>
      <c r="R23" s="472" t="s">
        <v>389</v>
      </c>
      <c r="S23" s="474"/>
      <c r="T23" s="474"/>
      <c r="U23" s="475" t="s">
        <v>368</v>
      </c>
      <c r="V23" s="485" t="str">
        <f>CLEAN(TRIM(Table2[[#This Row],[Status]] &amp; "|" &amp; Table2[[#This Row],[Level]] &amp; "|" &amp; Table2[[#This Row],[Participant As]]))</f>
        <v>Narasumber / Pemateri Acara Seminar / Workshop / Pemakalah|External International|Individual</v>
      </c>
      <c r="W23" s="486">
        <f>IFERROR(INDEX(GradingSimkat[Score], MATCH(Table2[[#This Row],[Criteria]], GradingSimkat[Criteria], 0)), 0)</f>
        <v>0</v>
      </c>
    </row>
    <row r="24" spans="1:23" ht="13.75" customHeight="1">
      <c r="A24" s="482" t="s">
        <v>879</v>
      </c>
      <c r="B24" s="483" t="s">
        <v>880</v>
      </c>
      <c r="C24" s="483" t="s">
        <v>274</v>
      </c>
      <c r="D24" s="484">
        <v>2023</v>
      </c>
      <c r="E24" s="483" t="s">
        <v>361</v>
      </c>
      <c r="F24" s="472" t="s">
        <v>362</v>
      </c>
      <c r="G24" s="472" t="s">
        <v>363</v>
      </c>
      <c r="H24" s="473">
        <v>20231</v>
      </c>
      <c r="I24" s="483" t="s">
        <v>364</v>
      </c>
      <c r="J24" s="472" t="s">
        <v>278</v>
      </c>
      <c r="K24" s="483" t="s">
        <v>279</v>
      </c>
      <c r="L24" s="483" t="s">
        <v>307</v>
      </c>
      <c r="M24" s="483" t="s">
        <v>292</v>
      </c>
      <c r="N24" s="473">
        <v>500</v>
      </c>
      <c r="O24" s="484">
        <v>10</v>
      </c>
      <c r="P24" s="472" t="s">
        <v>365</v>
      </c>
      <c r="Q24" s="483" t="s">
        <v>2186</v>
      </c>
      <c r="R24" s="472" t="s">
        <v>367</v>
      </c>
      <c r="S24" s="474"/>
      <c r="T24" s="474"/>
      <c r="U24" s="475" t="s">
        <v>368</v>
      </c>
      <c r="V24" s="485" t="str">
        <f>CLEAN(TRIM(Table2[[#This Row],[Status]] &amp; "|" &amp; Table2[[#This Row],[Level]] &amp; "|" &amp; Table2[[#This Row],[Participant As]]))</f>
        <v>Narasumber / Pemateri Acara Seminar / Workshop / Pemakalah|External International|Individual</v>
      </c>
      <c r="W24" s="486">
        <f>IFERROR(INDEX(GradingSimkat[Score], MATCH(Table2[[#This Row],[Criteria]], GradingSimkat[Criteria], 0)), 0)</f>
        <v>0</v>
      </c>
    </row>
    <row r="25" spans="1:23" s="478" customFormat="1" ht="13.75" customHeight="1">
      <c r="A25" s="482" t="s">
        <v>497</v>
      </c>
      <c r="B25" s="483" t="s">
        <v>498</v>
      </c>
      <c r="C25" s="483" t="s">
        <v>274</v>
      </c>
      <c r="D25" s="484">
        <v>2021</v>
      </c>
      <c r="E25" s="483" t="s">
        <v>361</v>
      </c>
      <c r="F25" s="472" t="s">
        <v>362</v>
      </c>
      <c r="G25" s="472" t="s">
        <v>363</v>
      </c>
      <c r="H25" s="473">
        <v>20231</v>
      </c>
      <c r="I25" s="483" t="s">
        <v>364</v>
      </c>
      <c r="J25" s="472" t="s">
        <v>278</v>
      </c>
      <c r="K25" s="483" t="s">
        <v>279</v>
      </c>
      <c r="L25" s="483" t="s">
        <v>307</v>
      </c>
      <c r="M25" s="483" t="s">
        <v>292</v>
      </c>
      <c r="N25" s="473">
        <v>500</v>
      </c>
      <c r="O25" s="484">
        <v>10</v>
      </c>
      <c r="P25" s="472" t="s">
        <v>365</v>
      </c>
      <c r="Q25" s="483" t="s">
        <v>2186</v>
      </c>
      <c r="R25" s="472" t="s">
        <v>367</v>
      </c>
      <c r="S25" s="474"/>
      <c r="T25" s="474"/>
      <c r="U25" s="475" t="s">
        <v>368</v>
      </c>
      <c r="V25" s="485" t="str">
        <f>CLEAN(TRIM(Table2[[#This Row],[Status]] &amp; "|" &amp; Table2[[#This Row],[Level]] &amp; "|" &amp; Table2[[#This Row],[Participant As]]))</f>
        <v>Narasumber / Pemateri Acara Seminar / Workshop / Pemakalah|External International|Individual</v>
      </c>
      <c r="W25" s="486">
        <f>IFERROR(INDEX(GradingSimkat[Score], MATCH(Table2[[#This Row],[Criteria]], GradingSimkat[Criteria], 0)), 0)</f>
        <v>0</v>
      </c>
    </row>
    <row r="26" spans="1:23" ht="13.75" customHeight="1">
      <c r="A26" s="482" t="s">
        <v>753</v>
      </c>
      <c r="B26" s="483" t="s">
        <v>754</v>
      </c>
      <c r="C26" s="483" t="s">
        <v>274</v>
      </c>
      <c r="D26" s="484">
        <v>2022</v>
      </c>
      <c r="E26" s="483" t="s">
        <v>361</v>
      </c>
      <c r="F26" s="472" t="s">
        <v>362</v>
      </c>
      <c r="G26" s="472" t="s">
        <v>363</v>
      </c>
      <c r="H26" s="473">
        <v>20231</v>
      </c>
      <c r="I26" s="483" t="s">
        <v>364</v>
      </c>
      <c r="J26" s="472" t="s">
        <v>278</v>
      </c>
      <c r="K26" s="483" t="s">
        <v>279</v>
      </c>
      <c r="L26" s="483" t="s">
        <v>307</v>
      </c>
      <c r="M26" s="483" t="s">
        <v>292</v>
      </c>
      <c r="N26" s="473">
        <v>500</v>
      </c>
      <c r="O26" s="484">
        <v>10</v>
      </c>
      <c r="P26" s="472" t="s">
        <v>365</v>
      </c>
      <c r="Q26" s="483" t="s">
        <v>2186</v>
      </c>
      <c r="R26" s="472" t="s">
        <v>367</v>
      </c>
      <c r="S26" s="474"/>
      <c r="T26" s="474"/>
      <c r="U26" s="475" t="s">
        <v>368</v>
      </c>
      <c r="V26" s="485" t="str">
        <f>CLEAN(TRIM(Table2[[#This Row],[Status]] &amp; "|" &amp; Table2[[#This Row],[Level]] &amp; "|" &amp; Table2[[#This Row],[Participant As]]))</f>
        <v>Narasumber / Pemateri Acara Seminar / Workshop / Pemakalah|External International|Individual</v>
      </c>
      <c r="W26" s="486">
        <f>IFERROR(INDEX(GradingSimkat[Score], MATCH(Table2[[#This Row],[Criteria]], GradingSimkat[Criteria], 0)), 0)</f>
        <v>0</v>
      </c>
    </row>
    <row r="27" spans="1:23" s="478" customFormat="1" ht="13.75" customHeight="1">
      <c r="A27" s="482" t="s">
        <v>1853</v>
      </c>
      <c r="B27" s="483" t="s">
        <v>1854</v>
      </c>
      <c r="C27" s="483" t="s">
        <v>1794</v>
      </c>
      <c r="D27" s="484">
        <v>2023</v>
      </c>
      <c r="E27" s="483" t="s">
        <v>361</v>
      </c>
      <c r="F27" s="472" t="s">
        <v>362</v>
      </c>
      <c r="G27" s="472" t="s">
        <v>363</v>
      </c>
      <c r="H27" s="473">
        <v>20231</v>
      </c>
      <c r="I27" s="483" t="s">
        <v>364</v>
      </c>
      <c r="J27" s="472" t="s">
        <v>278</v>
      </c>
      <c r="K27" s="483" t="s">
        <v>279</v>
      </c>
      <c r="L27" s="483" t="s">
        <v>307</v>
      </c>
      <c r="M27" s="483" t="s">
        <v>292</v>
      </c>
      <c r="N27" s="473">
        <v>500</v>
      </c>
      <c r="O27" s="484">
        <v>10</v>
      </c>
      <c r="P27" s="472" t="s">
        <v>365</v>
      </c>
      <c r="Q27" s="483" t="s">
        <v>2188</v>
      </c>
      <c r="R27" s="472" t="s">
        <v>389</v>
      </c>
      <c r="S27" s="474"/>
      <c r="T27" s="474"/>
      <c r="U27" s="475" t="s">
        <v>368</v>
      </c>
      <c r="V27" s="485" t="str">
        <f>CLEAN(TRIM(Table2[[#This Row],[Status]] &amp; "|" &amp; Table2[[#This Row],[Level]] &amp; "|" &amp; Table2[[#This Row],[Participant As]]))</f>
        <v>Narasumber / Pemateri Acara Seminar / Workshop / Pemakalah|External International|Individual</v>
      </c>
      <c r="W27" s="486">
        <f>IFERROR(INDEX(GradingSimkat[Score], MATCH(Table2[[#This Row],[Criteria]], GradingSimkat[Criteria], 0)), 0)</f>
        <v>0</v>
      </c>
    </row>
    <row r="28" spans="1:23" ht="13.75" customHeight="1">
      <c r="A28" s="482" t="s">
        <v>1476</v>
      </c>
      <c r="B28" s="483" t="s">
        <v>1477</v>
      </c>
      <c r="C28" s="483" t="s">
        <v>1444</v>
      </c>
      <c r="D28" s="484">
        <v>2020</v>
      </c>
      <c r="E28" s="483" t="s">
        <v>361</v>
      </c>
      <c r="F28" s="472" t="s">
        <v>362</v>
      </c>
      <c r="G28" s="472" t="s">
        <v>363</v>
      </c>
      <c r="H28" s="473">
        <v>20231</v>
      </c>
      <c r="I28" s="483" t="s">
        <v>364</v>
      </c>
      <c r="J28" s="472" t="s">
        <v>278</v>
      </c>
      <c r="K28" s="483" t="s">
        <v>279</v>
      </c>
      <c r="L28" s="483" t="s">
        <v>307</v>
      </c>
      <c r="M28" s="483" t="s">
        <v>292</v>
      </c>
      <c r="N28" s="473">
        <v>500</v>
      </c>
      <c r="O28" s="484">
        <v>10</v>
      </c>
      <c r="P28" s="472" t="s">
        <v>365</v>
      </c>
      <c r="Q28" s="483" t="s">
        <v>2188</v>
      </c>
      <c r="R28" s="472" t="s">
        <v>389</v>
      </c>
      <c r="S28" s="474"/>
      <c r="T28" s="474"/>
      <c r="U28" s="475" t="s">
        <v>368</v>
      </c>
      <c r="V28" s="485" t="str">
        <f>CLEAN(TRIM(Table2[[#This Row],[Status]] &amp; "|" &amp; Table2[[#This Row],[Level]] &amp; "|" &amp; Table2[[#This Row],[Participant As]]))</f>
        <v>Narasumber / Pemateri Acara Seminar / Workshop / Pemakalah|External International|Individual</v>
      </c>
      <c r="W28" s="486">
        <f>IFERROR(INDEX(GradingSimkat[Score], MATCH(Table2[[#This Row],[Criteria]], GradingSimkat[Criteria], 0)), 0)</f>
        <v>0</v>
      </c>
    </row>
    <row r="29" spans="1:23" ht="13.75" customHeight="1">
      <c r="A29" s="482" t="s">
        <v>1730</v>
      </c>
      <c r="B29" s="483" t="s">
        <v>1731</v>
      </c>
      <c r="C29" s="483" t="s">
        <v>1684</v>
      </c>
      <c r="D29" s="484">
        <v>2020</v>
      </c>
      <c r="E29" s="483" t="s">
        <v>1732</v>
      </c>
      <c r="F29" s="472" t="s">
        <v>1186</v>
      </c>
      <c r="G29" s="472" t="s">
        <v>1186</v>
      </c>
      <c r="H29" s="473">
        <v>20222</v>
      </c>
      <c r="I29" s="483" t="s">
        <v>1733</v>
      </c>
      <c r="J29" s="472" t="s">
        <v>278</v>
      </c>
      <c r="K29" s="483" t="s">
        <v>279</v>
      </c>
      <c r="L29" s="483" t="s">
        <v>291</v>
      </c>
      <c r="M29" s="483" t="s">
        <v>292</v>
      </c>
      <c r="N29" s="473">
        <v>100</v>
      </c>
      <c r="O29" s="484">
        <v>5</v>
      </c>
      <c r="P29" s="474"/>
      <c r="Q29" s="483" t="s">
        <v>2269</v>
      </c>
      <c r="R29" s="474"/>
      <c r="S29" s="474"/>
      <c r="T29" s="474"/>
      <c r="U29" s="475" t="s">
        <v>1735</v>
      </c>
      <c r="V29" s="485" t="str">
        <f>CLEAN(TRIM(Table2[[#This Row],[Status]] &amp; "|" &amp; Table2[[#This Row],[Level]] &amp; "|" &amp; Table2[[#This Row],[Participant As]]))</f>
        <v>Narasumber / Pemateri Acara Seminar / Workshop / Pemakalah|Internal Sekolah / Universitas|Individual</v>
      </c>
      <c r="W29" s="486">
        <f>IFERROR(INDEX(GradingSimkat[Score], MATCH(Table2[[#This Row],[Criteria]], GradingSimkat[Criteria], 0)), 0)</f>
        <v>0</v>
      </c>
    </row>
    <row r="30" spans="1:23" ht="13.75" customHeight="1">
      <c r="A30" s="482" t="s">
        <v>1730</v>
      </c>
      <c r="B30" s="483" t="s">
        <v>1731</v>
      </c>
      <c r="C30" s="483" t="s">
        <v>1684</v>
      </c>
      <c r="D30" s="484">
        <v>2020</v>
      </c>
      <c r="E30" s="483" t="s">
        <v>1736</v>
      </c>
      <c r="F30" s="472" t="s">
        <v>1737</v>
      </c>
      <c r="G30" s="472" t="s">
        <v>1737</v>
      </c>
      <c r="H30" s="473">
        <v>20231</v>
      </c>
      <c r="I30" s="483" t="s">
        <v>1738</v>
      </c>
      <c r="J30" s="472" t="s">
        <v>278</v>
      </c>
      <c r="K30" s="483" t="s">
        <v>279</v>
      </c>
      <c r="L30" s="483" t="s">
        <v>291</v>
      </c>
      <c r="M30" s="483" t="s">
        <v>292</v>
      </c>
      <c r="N30" s="473">
        <v>20</v>
      </c>
      <c r="O30" s="484">
        <v>5</v>
      </c>
      <c r="P30" s="474"/>
      <c r="Q30" s="483" t="s">
        <v>2270</v>
      </c>
      <c r="R30" s="474"/>
      <c r="S30" s="474"/>
      <c r="T30" s="474"/>
      <c r="U30" s="475" t="s">
        <v>44</v>
      </c>
      <c r="V30" s="485" t="str">
        <f>CLEAN(TRIM(Table2[[#This Row],[Status]] &amp; "|" &amp; Table2[[#This Row],[Level]] &amp; "|" &amp; Table2[[#This Row],[Participant As]]))</f>
        <v>Narasumber / Pemateri Acara Seminar / Workshop / Pemakalah|Internal Sekolah / Universitas|Individual</v>
      </c>
      <c r="W30" s="486">
        <f>IFERROR(INDEX(GradingSimkat[Score], MATCH(Table2[[#This Row],[Criteria]], GradingSimkat[Criteria], 0)), 0)</f>
        <v>0</v>
      </c>
    </row>
    <row r="31" spans="1:23" ht="13.75" customHeight="1">
      <c r="A31" s="482" t="s">
        <v>1730</v>
      </c>
      <c r="B31" s="483" t="s">
        <v>1731</v>
      </c>
      <c r="C31" s="483" t="s">
        <v>1684</v>
      </c>
      <c r="D31" s="484">
        <v>2020</v>
      </c>
      <c r="E31" s="483" t="s">
        <v>361</v>
      </c>
      <c r="F31" s="472" t="s">
        <v>362</v>
      </c>
      <c r="G31" s="472" t="s">
        <v>363</v>
      </c>
      <c r="H31" s="473">
        <v>20231</v>
      </c>
      <c r="I31" s="483" t="s">
        <v>364</v>
      </c>
      <c r="J31" s="472" t="s">
        <v>278</v>
      </c>
      <c r="K31" s="483" t="s">
        <v>279</v>
      </c>
      <c r="L31" s="483" t="s">
        <v>307</v>
      </c>
      <c r="M31" s="483" t="s">
        <v>292</v>
      </c>
      <c r="N31" s="473">
        <v>500</v>
      </c>
      <c r="O31" s="484">
        <v>10</v>
      </c>
      <c r="P31" s="472" t="s">
        <v>365</v>
      </c>
      <c r="Q31" s="483" t="s">
        <v>2188</v>
      </c>
      <c r="R31" s="472" t="s">
        <v>389</v>
      </c>
      <c r="S31" s="474"/>
      <c r="T31" s="474"/>
      <c r="U31" s="475" t="s">
        <v>368</v>
      </c>
      <c r="V31" s="485" t="str">
        <f>CLEAN(TRIM(Table2[[#This Row],[Status]] &amp; "|" &amp; Table2[[#This Row],[Level]] &amp; "|" &amp; Table2[[#This Row],[Participant As]]))</f>
        <v>Narasumber / Pemateri Acara Seminar / Workshop / Pemakalah|External International|Individual</v>
      </c>
      <c r="W31" s="486">
        <f>IFERROR(INDEX(GradingSimkat[Score], MATCH(Table2[[#This Row],[Criteria]], GradingSimkat[Criteria], 0)), 0)</f>
        <v>0</v>
      </c>
    </row>
    <row r="32" spans="1:23" ht="13.75" customHeight="1">
      <c r="A32" s="471" t="s">
        <v>1236</v>
      </c>
      <c r="B32" s="472" t="s">
        <v>1237</v>
      </c>
      <c r="C32" s="472" t="s">
        <v>1227</v>
      </c>
      <c r="D32" s="473">
        <v>2020</v>
      </c>
      <c r="E32" s="472" t="s">
        <v>1238</v>
      </c>
      <c r="F32" s="472" t="s">
        <v>1239</v>
      </c>
      <c r="G32" s="472" t="s">
        <v>1240</v>
      </c>
      <c r="H32" s="473">
        <v>20211</v>
      </c>
      <c r="I32" s="472" t="s">
        <v>1241</v>
      </c>
      <c r="J32" s="472" t="s">
        <v>278</v>
      </c>
      <c r="K32" s="472" t="s">
        <v>2159</v>
      </c>
      <c r="L32" s="472" t="s">
        <v>307</v>
      </c>
      <c r="M32" s="472" t="s">
        <v>281</v>
      </c>
      <c r="N32" s="473">
        <v>200</v>
      </c>
      <c r="O32" s="473">
        <v>35</v>
      </c>
      <c r="P32" s="474"/>
      <c r="Q32" s="474"/>
      <c r="R32" s="474"/>
      <c r="S32" s="472" t="s">
        <v>1242</v>
      </c>
      <c r="T32" s="474"/>
      <c r="U32" s="475" t="s">
        <v>1243</v>
      </c>
      <c r="V32" s="481" t="str">
        <f>CLEAN(TRIM(Table2[[#This Row],[Status]] &amp; "|" &amp; Table2[[#This Row],[Level]] &amp; "|" &amp; Table2[[#This Row],[Participant As]]))</f>
        <v>Penulis pertama buku ber-ISBN|External International|Team</v>
      </c>
      <c r="W32" s="477">
        <f>IFERROR(INDEX(GradingSimkat[Score], MATCH(Table2[[#This Row],[Criteria]], GradingSimkat[Criteria], 0)), 0)</f>
        <v>6</v>
      </c>
    </row>
    <row r="33" spans="1:23" ht="13.75" customHeight="1">
      <c r="A33" s="471" t="s">
        <v>1236</v>
      </c>
      <c r="B33" s="472" t="s">
        <v>1237</v>
      </c>
      <c r="C33" s="472" t="s">
        <v>1227</v>
      </c>
      <c r="D33" s="473">
        <v>2020</v>
      </c>
      <c r="E33" s="472" t="s">
        <v>1244</v>
      </c>
      <c r="F33" s="472" t="s">
        <v>1245</v>
      </c>
      <c r="G33" s="472" t="s">
        <v>1246</v>
      </c>
      <c r="H33" s="473">
        <v>20222</v>
      </c>
      <c r="I33" s="472" t="s">
        <v>1247</v>
      </c>
      <c r="J33" s="472" t="s">
        <v>278</v>
      </c>
      <c r="K33" s="472" t="s">
        <v>2159</v>
      </c>
      <c r="L33" s="472" t="s">
        <v>280</v>
      </c>
      <c r="M33" s="472" t="s">
        <v>292</v>
      </c>
      <c r="N33" s="473">
        <v>40</v>
      </c>
      <c r="O33" s="473">
        <v>30</v>
      </c>
      <c r="P33" s="474"/>
      <c r="Q33" s="474"/>
      <c r="R33" s="474"/>
      <c r="S33" s="472" t="s">
        <v>1248</v>
      </c>
      <c r="T33" s="474"/>
      <c r="U33" s="475" t="s">
        <v>469</v>
      </c>
      <c r="V33" s="481" t="str">
        <f>CLEAN(TRIM(Table2[[#This Row],[Status]] &amp; "|" &amp; Table2[[#This Row],[Level]] &amp; "|" &amp; Table2[[#This Row],[Participant As]]))</f>
        <v>Penulis pertama buku ber-ISBN|External National|Individual</v>
      </c>
      <c r="W33" s="477">
        <f>IFERROR(INDEX(GradingSimkat[Score], MATCH(Table2[[#This Row],[Criteria]], GradingSimkat[Criteria], 0)), 0)</f>
        <v>6</v>
      </c>
    </row>
    <row r="34" spans="1:23" ht="13.75" customHeight="1">
      <c r="A34" s="482" t="s">
        <v>1236</v>
      </c>
      <c r="B34" s="483" t="s">
        <v>1237</v>
      </c>
      <c r="C34" s="483" t="s">
        <v>1227</v>
      </c>
      <c r="D34" s="484">
        <v>2020</v>
      </c>
      <c r="E34" s="483" t="s">
        <v>361</v>
      </c>
      <c r="F34" s="472" t="s">
        <v>362</v>
      </c>
      <c r="G34" s="472" t="s">
        <v>363</v>
      </c>
      <c r="H34" s="473">
        <v>20231</v>
      </c>
      <c r="I34" s="483" t="s">
        <v>364</v>
      </c>
      <c r="J34" s="472" t="s">
        <v>278</v>
      </c>
      <c r="K34" s="483" t="s">
        <v>279</v>
      </c>
      <c r="L34" s="483" t="s">
        <v>307</v>
      </c>
      <c r="M34" s="483" t="s">
        <v>292</v>
      </c>
      <c r="N34" s="473">
        <v>500</v>
      </c>
      <c r="O34" s="484">
        <v>10</v>
      </c>
      <c r="P34" s="472" t="s">
        <v>365</v>
      </c>
      <c r="Q34" s="483" t="s">
        <v>2188</v>
      </c>
      <c r="R34" s="472" t="s">
        <v>389</v>
      </c>
      <c r="S34" s="474"/>
      <c r="T34" s="474"/>
      <c r="U34" s="475" t="s">
        <v>368</v>
      </c>
      <c r="V34" s="485" t="str">
        <f>CLEAN(TRIM(Table2[[#This Row],[Status]] &amp; "|" &amp; Table2[[#This Row],[Level]] &amp; "|" &amp; Table2[[#This Row],[Participant As]]))</f>
        <v>Narasumber / Pemateri Acara Seminar / Workshop / Pemakalah|External International|Individual</v>
      </c>
      <c r="W34" s="486">
        <f>IFERROR(INDEX(GradingSimkat[Score], MATCH(Table2[[#This Row],[Criteria]], GradingSimkat[Criteria], 0)), 0)</f>
        <v>0</v>
      </c>
    </row>
    <row r="35" spans="1:23" ht="13.75" customHeight="1">
      <c r="A35" s="482" t="s">
        <v>621</v>
      </c>
      <c r="B35" s="483" t="s">
        <v>622</v>
      </c>
      <c r="C35" s="483" t="s">
        <v>274</v>
      </c>
      <c r="D35" s="484">
        <v>2022</v>
      </c>
      <c r="E35" s="483" t="s">
        <v>361</v>
      </c>
      <c r="F35" s="472" t="s">
        <v>362</v>
      </c>
      <c r="G35" s="472" t="s">
        <v>363</v>
      </c>
      <c r="H35" s="473">
        <v>20231</v>
      </c>
      <c r="I35" s="483" t="s">
        <v>364</v>
      </c>
      <c r="J35" s="472" t="s">
        <v>278</v>
      </c>
      <c r="K35" s="483" t="s">
        <v>279</v>
      </c>
      <c r="L35" s="483" t="s">
        <v>307</v>
      </c>
      <c r="M35" s="483" t="s">
        <v>292</v>
      </c>
      <c r="N35" s="473">
        <v>500</v>
      </c>
      <c r="O35" s="484">
        <v>10</v>
      </c>
      <c r="P35" s="472" t="s">
        <v>365</v>
      </c>
      <c r="Q35" s="483" t="s">
        <v>2186</v>
      </c>
      <c r="R35" s="472" t="s">
        <v>367</v>
      </c>
      <c r="S35" s="474"/>
      <c r="T35" s="474"/>
      <c r="U35" s="475" t="s">
        <v>368</v>
      </c>
      <c r="V35" s="485" t="str">
        <f>CLEAN(TRIM(Table2[[#This Row],[Status]] &amp; "|" &amp; Table2[[#This Row],[Level]] &amp; "|" &amp; Table2[[#This Row],[Participant As]]))</f>
        <v>Narasumber / Pemateri Acara Seminar / Workshop / Pemakalah|External International|Individual</v>
      </c>
      <c r="W35" s="486">
        <f>IFERROR(INDEX(GradingSimkat[Score], MATCH(Table2[[#This Row],[Criteria]], GradingSimkat[Criteria], 0)), 0)</f>
        <v>0</v>
      </c>
    </row>
    <row r="36" spans="1:23" ht="13.75" customHeight="1">
      <c r="A36" s="482" t="s">
        <v>681</v>
      </c>
      <c r="B36" s="483" t="s">
        <v>682</v>
      </c>
      <c r="C36" s="483" t="s">
        <v>274</v>
      </c>
      <c r="D36" s="484">
        <v>2022</v>
      </c>
      <c r="E36" s="483" t="s">
        <v>361</v>
      </c>
      <c r="F36" s="472" t="s">
        <v>362</v>
      </c>
      <c r="G36" s="472" t="s">
        <v>363</v>
      </c>
      <c r="H36" s="473">
        <v>20231</v>
      </c>
      <c r="I36" s="483" t="s">
        <v>364</v>
      </c>
      <c r="J36" s="472" t="s">
        <v>278</v>
      </c>
      <c r="K36" s="483" t="s">
        <v>279</v>
      </c>
      <c r="L36" s="483" t="s">
        <v>307</v>
      </c>
      <c r="M36" s="483" t="s">
        <v>292</v>
      </c>
      <c r="N36" s="473">
        <v>500</v>
      </c>
      <c r="O36" s="484">
        <v>10</v>
      </c>
      <c r="P36" s="472" t="s">
        <v>365</v>
      </c>
      <c r="Q36" s="483" t="s">
        <v>2186</v>
      </c>
      <c r="R36" s="472" t="s">
        <v>367</v>
      </c>
      <c r="S36" s="474"/>
      <c r="T36" s="474"/>
      <c r="U36" s="475" t="s">
        <v>368</v>
      </c>
      <c r="V36" s="485" t="str">
        <f>CLEAN(TRIM(Table2[[#This Row],[Status]] &amp; "|" &amp; Table2[[#This Row],[Level]] &amp; "|" &amp; Table2[[#This Row],[Participant As]]))</f>
        <v>Narasumber / Pemateri Acara Seminar / Workshop / Pemakalah|External International|Individual</v>
      </c>
      <c r="W36" s="486">
        <f>IFERROR(INDEX(GradingSimkat[Score], MATCH(Table2[[#This Row],[Criteria]], GradingSimkat[Criteria], 0)), 0)</f>
        <v>0</v>
      </c>
    </row>
    <row r="37" spans="1:23" ht="13.75" customHeight="1">
      <c r="A37" s="482" t="s">
        <v>451</v>
      </c>
      <c r="B37" s="483" t="s">
        <v>452</v>
      </c>
      <c r="C37" s="483" t="s">
        <v>274</v>
      </c>
      <c r="D37" s="484">
        <v>2021</v>
      </c>
      <c r="E37" s="483" t="s">
        <v>361</v>
      </c>
      <c r="F37" s="472" t="s">
        <v>362</v>
      </c>
      <c r="G37" s="472" t="s">
        <v>363</v>
      </c>
      <c r="H37" s="473">
        <v>20231</v>
      </c>
      <c r="I37" s="483" t="s">
        <v>364</v>
      </c>
      <c r="J37" s="472" t="s">
        <v>278</v>
      </c>
      <c r="K37" s="483" t="s">
        <v>279</v>
      </c>
      <c r="L37" s="483" t="s">
        <v>307</v>
      </c>
      <c r="M37" s="483" t="s">
        <v>292</v>
      </c>
      <c r="N37" s="473">
        <v>500</v>
      </c>
      <c r="O37" s="484">
        <v>10</v>
      </c>
      <c r="P37" s="472" t="s">
        <v>365</v>
      </c>
      <c r="Q37" s="483" t="s">
        <v>2186</v>
      </c>
      <c r="R37" s="472" t="s">
        <v>367</v>
      </c>
      <c r="S37" s="474"/>
      <c r="T37" s="474"/>
      <c r="U37" s="475" t="s">
        <v>368</v>
      </c>
      <c r="V37" s="485" t="str">
        <f>CLEAN(TRIM(Table2[[#This Row],[Status]] &amp; "|" &amp; Table2[[#This Row],[Level]] &amp; "|" &amp; Table2[[#This Row],[Participant As]]))</f>
        <v>Narasumber / Pemateri Acara Seminar / Workshop / Pemakalah|External International|Individual</v>
      </c>
      <c r="W37" s="486">
        <f>IFERROR(INDEX(GradingSimkat[Score], MATCH(Table2[[#This Row],[Criteria]], GradingSimkat[Criteria], 0)), 0)</f>
        <v>0</v>
      </c>
    </row>
    <row r="38" spans="1:23" ht="13.75" customHeight="1">
      <c r="A38" s="471" t="s">
        <v>969</v>
      </c>
      <c r="B38" s="472" t="s">
        <v>970</v>
      </c>
      <c r="C38" s="472" t="s">
        <v>966</v>
      </c>
      <c r="D38" s="473">
        <v>2020</v>
      </c>
      <c r="E38" s="472" t="s">
        <v>971</v>
      </c>
      <c r="F38" s="472" t="s">
        <v>972</v>
      </c>
      <c r="G38" s="472" t="s">
        <v>972</v>
      </c>
      <c r="H38" s="473">
        <v>20221</v>
      </c>
      <c r="I38" s="474"/>
      <c r="J38" s="472" t="s">
        <v>278</v>
      </c>
      <c r="K38" s="472" t="s">
        <v>2159</v>
      </c>
      <c r="L38" s="472" t="s">
        <v>280</v>
      </c>
      <c r="M38" s="472" t="s">
        <v>292</v>
      </c>
      <c r="N38" s="473">
        <v>1</v>
      </c>
      <c r="O38" s="473">
        <v>30</v>
      </c>
      <c r="P38" s="472" t="s">
        <v>973</v>
      </c>
      <c r="Q38" s="472" t="s">
        <v>974</v>
      </c>
      <c r="R38" s="474"/>
      <c r="S38" s="472" t="s">
        <v>975</v>
      </c>
      <c r="T38" s="474"/>
      <c r="U38" s="475" t="s">
        <v>976</v>
      </c>
      <c r="V38" s="481" t="str">
        <f>CLEAN(TRIM(Table2[[#This Row],[Status]] &amp; "|" &amp; Table2[[#This Row],[Level]] &amp; "|" &amp; Table2[[#This Row],[Participant As]]))</f>
        <v>Penulis pertama buku ber-ISBN|External National|Individual</v>
      </c>
      <c r="W38" s="477">
        <f>IFERROR(INDEX(GradingSimkat[Score], MATCH(Table2[[#This Row],[Criteria]], GradingSimkat[Criteria], 0)), 0)</f>
        <v>6</v>
      </c>
    </row>
    <row r="39" spans="1:23" ht="13.75" customHeight="1">
      <c r="A39" s="471" t="s">
        <v>969</v>
      </c>
      <c r="B39" s="472" t="s">
        <v>970</v>
      </c>
      <c r="C39" s="472" t="s">
        <v>966</v>
      </c>
      <c r="D39" s="473">
        <v>2020</v>
      </c>
      <c r="E39" s="472" t="s">
        <v>977</v>
      </c>
      <c r="F39" s="472" t="s">
        <v>978</v>
      </c>
      <c r="G39" s="472" t="s">
        <v>978</v>
      </c>
      <c r="H39" s="473">
        <v>20222</v>
      </c>
      <c r="I39" s="492" t="s">
        <v>979</v>
      </c>
      <c r="J39" s="472" t="s">
        <v>278</v>
      </c>
      <c r="K39" s="472" t="s">
        <v>2160</v>
      </c>
      <c r="L39" s="472" t="s">
        <v>280</v>
      </c>
      <c r="M39" s="472" t="s">
        <v>281</v>
      </c>
      <c r="N39" s="473">
        <v>2</v>
      </c>
      <c r="O39" s="473">
        <v>48</v>
      </c>
      <c r="P39" s="474"/>
      <c r="Q39" s="472" t="s">
        <v>980</v>
      </c>
      <c r="R39" s="474"/>
      <c r="S39" s="474"/>
      <c r="T39" s="474"/>
      <c r="U39" s="475" t="s">
        <v>981</v>
      </c>
      <c r="V39" s="481" t="str">
        <f>CLEAN(TRIM(Table2[[#This Row],[Status]] &amp; "|" &amp; Table2[[#This Row],[Level]] &amp; "|" &amp; Table2[[#This Row],[Participant As]]))</f>
        <v>Penulis pertama pada jurnal internasional bereputasi atau jurnal nasional terindeks SINTA 1 dan 2|External National|Team</v>
      </c>
      <c r="W39" s="477">
        <f>IFERROR(INDEX(GradingSimkat[Score], MATCH(Table2[[#This Row],[Criteria]], GradingSimkat[Criteria], 0)), 0)</f>
        <v>5</v>
      </c>
    </row>
    <row r="40" spans="1:23" s="478" customFormat="1" ht="13.75" customHeight="1">
      <c r="A40" s="482" t="s">
        <v>585</v>
      </c>
      <c r="B40" s="483" t="s">
        <v>586</v>
      </c>
      <c r="C40" s="483" t="s">
        <v>274</v>
      </c>
      <c r="D40" s="484">
        <v>2022</v>
      </c>
      <c r="E40" s="483" t="s">
        <v>361</v>
      </c>
      <c r="F40" s="472" t="s">
        <v>362</v>
      </c>
      <c r="G40" s="472" t="s">
        <v>363</v>
      </c>
      <c r="H40" s="473">
        <v>20231</v>
      </c>
      <c r="I40" s="483" t="s">
        <v>364</v>
      </c>
      <c r="J40" s="472" t="s">
        <v>278</v>
      </c>
      <c r="K40" s="483" t="s">
        <v>279</v>
      </c>
      <c r="L40" s="483" t="s">
        <v>307</v>
      </c>
      <c r="M40" s="483" t="s">
        <v>292</v>
      </c>
      <c r="N40" s="473">
        <v>500</v>
      </c>
      <c r="O40" s="484">
        <v>10</v>
      </c>
      <c r="P40" s="472" t="s">
        <v>365</v>
      </c>
      <c r="Q40" s="483" t="s">
        <v>2186</v>
      </c>
      <c r="R40" s="472" t="s">
        <v>367</v>
      </c>
      <c r="S40" s="474"/>
      <c r="T40" s="474"/>
      <c r="U40" s="475" t="s">
        <v>368</v>
      </c>
      <c r="V40" s="485" t="str">
        <f>CLEAN(TRIM(Table2[[#This Row],[Status]] &amp; "|" &amp; Table2[[#This Row],[Level]] &amp; "|" &amp; Table2[[#This Row],[Participant As]]))</f>
        <v>Narasumber / Pemateri Acara Seminar / Workshop / Pemakalah|External International|Individual</v>
      </c>
      <c r="W40" s="486">
        <f>IFERROR(INDEX(GradingSimkat[Score], MATCH(Table2[[#This Row],[Criteria]], GradingSimkat[Criteria], 0)), 0)</f>
        <v>0</v>
      </c>
    </row>
    <row r="41" spans="1:23" ht="13.75" customHeight="1">
      <c r="A41" s="482" t="s">
        <v>1270</v>
      </c>
      <c r="B41" s="483" t="s">
        <v>1271</v>
      </c>
      <c r="C41" s="483" t="s">
        <v>1227</v>
      </c>
      <c r="D41" s="484">
        <v>2021</v>
      </c>
      <c r="E41" s="483" t="s">
        <v>361</v>
      </c>
      <c r="F41" s="472" t="s">
        <v>362</v>
      </c>
      <c r="G41" s="472" t="s">
        <v>363</v>
      </c>
      <c r="H41" s="473">
        <v>20231</v>
      </c>
      <c r="I41" s="483" t="s">
        <v>364</v>
      </c>
      <c r="J41" s="472" t="s">
        <v>278</v>
      </c>
      <c r="K41" s="483" t="s">
        <v>279</v>
      </c>
      <c r="L41" s="483" t="s">
        <v>307</v>
      </c>
      <c r="M41" s="483" t="s">
        <v>292</v>
      </c>
      <c r="N41" s="473">
        <v>500</v>
      </c>
      <c r="O41" s="484">
        <v>10</v>
      </c>
      <c r="P41" s="472" t="s">
        <v>365</v>
      </c>
      <c r="Q41" s="483" t="s">
        <v>2188</v>
      </c>
      <c r="R41" s="472" t="s">
        <v>389</v>
      </c>
      <c r="S41" s="474"/>
      <c r="T41" s="474"/>
      <c r="U41" s="475" t="s">
        <v>368</v>
      </c>
      <c r="V41" s="485" t="str">
        <f>CLEAN(TRIM(Table2[[#This Row],[Status]] &amp; "|" &amp; Table2[[#This Row],[Level]] &amp; "|" &amp; Table2[[#This Row],[Participant As]]))</f>
        <v>Narasumber / Pemateri Acara Seminar / Workshop / Pemakalah|External International|Individual</v>
      </c>
      <c r="W41" s="486">
        <f>IFERROR(INDEX(GradingSimkat[Score], MATCH(Table2[[#This Row],[Criteria]], GradingSimkat[Criteria], 0)), 0)</f>
        <v>0</v>
      </c>
    </row>
    <row r="42" spans="1:23" ht="13.75" customHeight="1">
      <c r="A42" s="482" t="s">
        <v>921</v>
      </c>
      <c r="B42" s="483" t="s">
        <v>922</v>
      </c>
      <c r="C42" s="483" t="s">
        <v>274</v>
      </c>
      <c r="D42" s="484">
        <v>2023</v>
      </c>
      <c r="E42" s="483" t="s">
        <v>361</v>
      </c>
      <c r="F42" s="472" t="s">
        <v>362</v>
      </c>
      <c r="G42" s="472" t="s">
        <v>363</v>
      </c>
      <c r="H42" s="473">
        <v>20231</v>
      </c>
      <c r="I42" s="483" t="s">
        <v>364</v>
      </c>
      <c r="J42" s="472" t="s">
        <v>278</v>
      </c>
      <c r="K42" s="483" t="s">
        <v>279</v>
      </c>
      <c r="L42" s="483" t="s">
        <v>307</v>
      </c>
      <c r="M42" s="483" t="s">
        <v>292</v>
      </c>
      <c r="N42" s="473">
        <v>500</v>
      </c>
      <c r="O42" s="484">
        <v>10</v>
      </c>
      <c r="P42" s="472" t="s">
        <v>365</v>
      </c>
      <c r="Q42" s="483" t="s">
        <v>2186</v>
      </c>
      <c r="R42" s="472" t="s">
        <v>367</v>
      </c>
      <c r="S42" s="474"/>
      <c r="T42" s="474"/>
      <c r="U42" s="475" t="s">
        <v>368</v>
      </c>
      <c r="V42" s="485" t="str">
        <f>CLEAN(TRIM(Table2[[#This Row],[Status]] &amp; "|" &amp; Table2[[#This Row],[Level]] &amp; "|" &amp; Table2[[#This Row],[Participant As]]))</f>
        <v>Narasumber / Pemateri Acara Seminar / Workshop / Pemakalah|External International|Individual</v>
      </c>
      <c r="W42" s="486">
        <f>IFERROR(INDEX(GradingSimkat[Score], MATCH(Table2[[#This Row],[Criteria]], GradingSimkat[Criteria], 0)), 0)</f>
        <v>0</v>
      </c>
    </row>
    <row r="43" spans="1:23" ht="13.75" customHeight="1">
      <c r="A43" s="482" t="s">
        <v>701</v>
      </c>
      <c r="B43" s="483" t="s">
        <v>702</v>
      </c>
      <c r="C43" s="483" t="s">
        <v>274</v>
      </c>
      <c r="D43" s="484">
        <v>2022</v>
      </c>
      <c r="E43" s="483" t="s">
        <v>361</v>
      </c>
      <c r="F43" s="472" t="s">
        <v>362</v>
      </c>
      <c r="G43" s="472" t="s">
        <v>363</v>
      </c>
      <c r="H43" s="473">
        <v>20231</v>
      </c>
      <c r="I43" s="483" t="s">
        <v>364</v>
      </c>
      <c r="J43" s="472" t="s">
        <v>278</v>
      </c>
      <c r="K43" s="483" t="s">
        <v>279</v>
      </c>
      <c r="L43" s="483" t="s">
        <v>307</v>
      </c>
      <c r="M43" s="483" t="s">
        <v>292</v>
      </c>
      <c r="N43" s="473">
        <v>500</v>
      </c>
      <c r="O43" s="484">
        <v>10</v>
      </c>
      <c r="P43" s="472" t="s">
        <v>365</v>
      </c>
      <c r="Q43" s="483" t="s">
        <v>2186</v>
      </c>
      <c r="R43" s="472" t="s">
        <v>367</v>
      </c>
      <c r="S43" s="474"/>
      <c r="T43" s="474"/>
      <c r="U43" s="475" t="s">
        <v>368</v>
      </c>
      <c r="V43" s="485" t="str">
        <f>CLEAN(TRIM(Table2[[#This Row],[Status]] &amp; "|" &amp; Table2[[#This Row],[Level]] &amp; "|" &amp; Table2[[#This Row],[Participant As]]))</f>
        <v>Narasumber / Pemateri Acara Seminar / Workshop / Pemakalah|External International|Individual</v>
      </c>
      <c r="W43" s="486">
        <f>IFERROR(INDEX(GradingSimkat[Score], MATCH(Table2[[#This Row],[Criteria]], GradingSimkat[Criteria], 0)), 0)</f>
        <v>0</v>
      </c>
    </row>
    <row r="44" spans="1:23" ht="13.75" customHeight="1">
      <c r="A44" s="482" t="s">
        <v>1557</v>
      </c>
      <c r="B44" s="483" t="s">
        <v>1558</v>
      </c>
      <c r="C44" s="483" t="s">
        <v>1559</v>
      </c>
      <c r="D44" s="484">
        <v>2019</v>
      </c>
      <c r="E44" s="483" t="s">
        <v>1560</v>
      </c>
      <c r="F44" s="472" t="s">
        <v>1561</v>
      </c>
      <c r="G44" s="472" t="s">
        <v>1561</v>
      </c>
      <c r="H44" s="473">
        <v>20221</v>
      </c>
      <c r="I44" s="483" t="s">
        <v>1562</v>
      </c>
      <c r="J44" s="472" t="s">
        <v>278</v>
      </c>
      <c r="K44" s="483" t="s">
        <v>279</v>
      </c>
      <c r="L44" s="483" t="s">
        <v>291</v>
      </c>
      <c r="M44" s="483" t="s">
        <v>292</v>
      </c>
      <c r="N44" s="473">
        <v>0</v>
      </c>
      <c r="O44" s="484">
        <v>5</v>
      </c>
      <c r="P44" s="474"/>
      <c r="Q44" s="483" t="s">
        <v>2258</v>
      </c>
      <c r="R44" s="474"/>
      <c r="S44" s="474"/>
      <c r="T44" s="474"/>
      <c r="U44" s="475" t="s">
        <v>1564</v>
      </c>
      <c r="V44" s="485" t="str">
        <f>CLEAN(TRIM(Table2[[#This Row],[Status]] &amp; "|" &amp; Table2[[#This Row],[Level]] &amp; "|" &amp; Table2[[#This Row],[Participant As]]))</f>
        <v>Narasumber / Pemateri Acara Seminar / Workshop / Pemakalah|Internal Sekolah / Universitas|Individual</v>
      </c>
      <c r="W44" s="486">
        <f>IFERROR(INDEX(GradingSimkat[Score], MATCH(Table2[[#This Row],[Criteria]], GradingSimkat[Criteria], 0)), 0)</f>
        <v>0</v>
      </c>
    </row>
    <row r="45" spans="1:23" ht="13.75" customHeight="1">
      <c r="A45" s="471" t="s">
        <v>1557</v>
      </c>
      <c r="B45" s="472" t="s">
        <v>1558</v>
      </c>
      <c r="C45" s="472" t="s">
        <v>1559</v>
      </c>
      <c r="D45" s="473">
        <v>2019</v>
      </c>
      <c r="E45" s="472" t="s">
        <v>2172</v>
      </c>
      <c r="F45" s="472" t="s">
        <v>1566</v>
      </c>
      <c r="G45" s="472" t="s">
        <v>1566</v>
      </c>
      <c r="H45" s="473">
        <v>20221</v>
      </c>
      <c r="I45" s="472" t="s">
        <v>2173</v>
      </c>
      <c r="J45" s="472" t="s">
        <v>278</v>
      </c>
      <c r="K45" s="476" t="s">
        <v>2155</v>
      </c>
      <c r="L45" s="472" t="s">
        <v>438</v>
      </c>
      <c r="M45" s="472" t="s">
        <v>292</v>
      </c>
      <c r="N45" s="473">
        <v>38</v>
      </c>
      <c r="O45" s="473">
        <v>10</v>
      </c>
      <c r="P45" s="474"/>
      <c r="Q45" s="472" t="s">
        <v>1568</v>
      </c>
      <c r="R45" s="474"/>
      <c r="S45" s="474"/>
      <c r="T45" s="474"/>
      <c r="U45" s="475" t="s">
        <v>1569</v>
      </c>
      <c r="V45" s="481" t="str">
        <f>CLEAN(TRIM(Table2[[#This Row],[Status]] &amp; "|" &amp; Table2[[#This Row],[Level]] &amp; "|" &amp; Table2[[#This Row],[Participant As]]))</f>
        <v>Juri/Pelatih/Wasit|External Regional|Individual</v>
      </c>
      <c r="W45" s="477">
        <f>IFERROR(INDEX(GradingSimkat[Score], MATCH(Table2[[#This Row],[Criteria]], GradingSimkat[Criteria], 0)), 0)</f>
        <v>0</v>
      </c>
    </row>
    <row r="46" spans="1:23" ht="13.75" customHeight="1">
      <c r="A46" s="482" t="s">
        <v>597</v>
      </c>
      <c r="B46" s="483" t="s">
        <v>598</v>
      </c>
      <c r="C46" s="483" t="s">
        <v>274</v>
      </c>
      <c r="D46" s="484">
        <v>2022</v>
      </c>
      <c r="E46" s="483" t="s">
        <v>361</v>
      </c>
      <c r="F46" s="472" t="s">
        <v>362</v>
      </c>
      <c r="G46" s="472" t="s">
        <v>363</v>
      </c>
      <c r="H46" s="473">
        <v>20231</v>
      </c>
      <c r="I46" s="483" t="s">
        <v>364</v>
      </c>
      <c r="J46" s="472" t="s">
        <v>278</v>
      </c>
      <c r="K46" s="483" t="s">
        <v>279</v>
      </c>
      <c r="L46" s="483" t="s">
        <v>307</v>
      </c>
      <c r="M46" s="483" t="s">
        <v>292</v>
      </c>
      <c r="N46" s="473">
        <v>500</v>
      </c>
      <c r="O46" s="484">
        <v>10</v>
      </c>
      <c r="P46" s="472" t="s">
        <v>365</v>
      </c>
      <c r="Q46" s="483" t="s">
        <v>2186</v>
      </c>
      <c r="R46" s="472" t="s">
        <v>367</v>
      </c>
      <c r="S46" s="474"/>
      <c r="T46" s="474"/>
      <c r="U46" s="475" t="s">
        <v>368</v>
      </c>
      <c r="V46" s="485" t="str">
        <f>CLEAN(TRIM(Table2[[#This Row],[Status]] &amp; "|" &amp; Table2[[#This Row],[Level]] &amp; "|" &amp; Table2[[#This Row],[Participant As]]))</f>
        <v>Narasumber / Pemateri Acara Seminar / Workshop / Pemakalah|External International|Individual</v>
      </c>
      <c r="W46" s="486">
        <f>IFERROR(INDEX(GradingSimkat[Score], MATCH(Table2[[#This Row],[Criteria]], GradingSimkat[Criteria], 0)), 0)</f>
        <v>0</v>
      </c>
    </row>
    <row r="47" spans="1:23" ht="13.75" customHeight="1">
      <c r="A47" s="482" t="s">
        <v>1080</v>
      </c>
      <c r="B47" s="483" t="s">
        <v>1081</v>
      </c>
      <c r="C47" s="483" t="s">
        <v>986</v>
      </c>
      <c r="D47" s="484">
        <v>2021</v>
      </c>
      <c r="E47" s="483" t="s">
        <v>1082</v>
      </c>
      <c r="F47" s="472" t="s">
        <v>1083</v>
      </c>
      <c r="G47" s="472" t="s">
        <v>1083</v>
      </c>
      <c r="H47" s="473">
        <v>20221</v>
      </c>
      <c r="I47" s="483" t="s">
        <v>1084</v>
      </c>
      <c r="J47" s="472" t="s">
        <v>278</v>
      </c>
      <c r="K47" s="483" t="s">
        <v>279</v>
      </c>
      <c r="L47" s="483" t="s">
        <v>291</v>
      </c>
      <c r="M47" s="483" t="s">
        <v>292</v>
      </c>
      <c r="N47" s="473">
        <v>200</v>
      </c>
      <c r="O47" s="484">
        <v>5</v>
      </c>
      <c r="P47" s="474"/>
      <c r="Q47" s="483" t="s">
        <v>2220</v>
      </c>
      <c r="R47" s="472" t="s">
        <v>1086</v>
      </c>
      <c r="S47" s="474"/>
      <c r="T47" s="474"/>
      <c r="U47" s="475" t="s">
        <v>1087</v>
      </c>
      <c r="V47" s="485" t="str">
        <f>CLEAN(TRIM(Table2[[#This Row],[Status]] &amp; "|" &amp; Table2[[#This Row],[Level]] &amp; "|" &amp; Table2[[#This Row],[Participant As]]))</f>
        <v>Narasumber / Pemateri Acara Seminar / Workshop / Pemakalah|Internal Sekolah / Universitas|Individual</v>
      </c>
      <c r="W47" s="486">
        <f>IFERROR(INDEX(GradingSimkat[Score], MATCH(Table2[[#This Row],[Criteria]], GradingSimkat[Criteria], 0)), 0)</f>
        <v>0</v>
      </c>
    </row>
    <row r="48" spans="1:23" ht="13.75" customHeight="1">
      <c r="A48" s="482" t="s">
        <v>899</v>
      </c>
      <c r="B48" s="483" t="s">
        <v>900</v>
      </c>
      <c r="C48" s="483" t="s">
        <v>274</v>
      </c>
      <c r="D48" s="484">
        <v>2023</v>
      </c>
      <c r="E48" s="483" t="s">
        <v>361</v>
      </c>
      <c r="F48" s="472" t="s">
        <v>362</v>
      </c>
      <c r="G48" s="472" t="s">
        <v>363</v>
      </c>
      <c r="H48" s="473">
        <v>20231</v>
      </c>
      <c r="I48" s="483" t="s">
        <v>364</v>
      </c>
      <c r="J48" s="472" t="s">
        <v>278</v>
      </c>
      <c r="K48" s="483" t="s">
        <v>279</v>
      </c>
      <c r="L48" s="483" t="s">
        <v>307</v>
      </c>
      <c r="M48" s="483" t="s">
        <v>292</v>
      </c>
      <c r="N48" s="473">
        <v>500</v>
      </c>
      <c r="O48" s="484">
        <v>10</v>
      </c>
      <c r="P48" s="472" t="s">
        <v>365</v>
      </c>
      <c r="Q48" s="483" t="s">
        <v>2186</v>
      </c>
      <c r="R48" s="472" t="s">
        <v>367</v>
      </c>
      <c r="S48" s="474"/>
      <c r="T48" s="474"/>
      <c r="U48" s="475" t="s">
        <v>368</v>
      </c>
      <c r="V48" s="485" t="str">
        <f>CLEAN(TRIM(Table2[[#This Row],[Status]] &amp; "|" &amp; Table2[[#This Row],[Level]] &amp; "|" &amp; Table2[[#This Row],[Participant As]]))</f>
        <v>Narasumber / Pemateri Acara Seminar / Workshop / Pemakalah|External International|Individual</v>
      </c>
      <c r="W48" s="486">
        <f>IFERROR(INDEX(GradingSimkat[Score], MATCH(Table2[[#This Row],[Criteria]], GradingSimkat[Criteria], 0)), 0)</f>
        <v>0</v>
      </c>
    </row>
    <row r="49" spans="1:23" s="478" customFormat="1" ht="13.75" customHeight="1">
      <c r="A49" s="482" t="s">
        <v>1278</v>
      </c>
      <c r="B49" s="483" t="s">
        <v>1279</v>
      </c>
      <c r="C49" s="483" t="s">
        <v>1227</v>
      </c>
      <c r="D49" s="484">
        <v>2021</v>
      </c>
      <c r="E49" s="483" t="s">
        <v>361</v>
      </c>
      <c r="F49" s="472" t="s">
        <v>362</v>
      </c>
      <c r="G49" s="472" t="s">
        <v>363</v>
      </c>
      <c r="H49" s="473">
        <v>20231</v>
      </c>
      <c r="I49" s="483" t="s">
        <v>364</v>
      </c>
      <c r="J49" s="472" t="s">
        <v>278</v>
      </c>
      <c r="K49" s="483" t="s">
        <v>279</v>
      </c>
      <c r="L49" s="483" t="s">
        <v>307</v>
      </c>
      <c r="M49" s="483" t="s">
        <v>292</v>
      </c>
      <c r="N49" s="473">
        <v>500</v>
      </c>
      <c r="O49" s="484">
        <v>10</v>
      </c>
      <c r="P49" s="472" t="s">
        <v>365</v>
      </c>
      <c r="Q49" s="483" t="s">
        <v>2188</v>
      </c>
      <c r="R49" s="472" t="s">
        <v>389</v>
      </c>
      <c r="S49" s="474"/>
      <c r="T49" s="474"/>
      <c r="U49" s="475" t="s">
        <v>368</v>
      </c>
      <c r="V49" s="485" t="str">
        <f>CLEAN(TRIM(Table2[[#This Row],[Status]] &amp; "|" &amp; Table2[[#This Row],[Level]] &amp; "|" &amp; Table2[[#This Row],[Participant As]]))</f>
        <v>Narasumber / Pemateri Acara Seminar / Workshop / Pemakalah|External International|Individual</v>
      </c>
      <c r="W49" s="486">
        <f>IFERROR(INDEX(GradingSimkat[Score], MATCH(Table2[[#This Row],[Criteria]], GradingSimkat[Criteria], 0)), 0)</f>
        <v>0</v>
      </c>
    </row>
    <row r="50" spans="1:23" ht="13.75" customHeight="1">
      <c r="A50" s="482" t="s">
        <v>855</v>
      </c>
      <c r="B50" s="483" t="s">
        <v>856</v>
      </c>
      <c r="C50" s="483" t="s">
        <v>274</v>
      </c>
      <c r="D50" s="484">
        <v>2023</v>
      </c>
      <c r="E50" s="483" t="s">
        <v>361</v>
      </c>
      <c r="F50" s="472" t="s">
        <v>362</v>
      </c>
      <c r="G50" s="472" t="s">
        <v>363</v>
      </c>
      <c r="H50" s="473">
        <v>20231</v>
      </c>
      <c r="I50" s="483" t="s">
        <v>364</v>
      </c>
      <c r="J50" s="472" t="s">
        <v>278</v>
      </c>
      <c r="K50" s="489" t="s">
        <v>279</v>
      </c>
      <c r="L50" s="483" t="s">
        <v>307</v>
      </c>
      <c r="M50" s="483" t="s">
        <v>292</v>
      </c>
      <c r="N50" s="473">
        <v>500</v>
      </c>
      <c r="O50" s="484">
        <v>10</v>
      </c>
      <c r="P50" s="472" t="s">
        <v>365</v>
      </c>
      <c r="Q50" s="483" t="s">
        <v>2186</v>
      </c>
      <c r="R50" s="472" t="s">
        <v>367</v>
      </c>
      <c r="S50" s="474"/>
      <c r="T50" s="474"/>
      <c r="U50" s="475" t="s">
        <v>368</v>
      </c>
      <c r="V50" s="485" t="str">
        <f>CLEAN(TRIM(Table2[[#This Row],[Status]] &amp; "|" &amp; Table2[[#This Row],[Level]] &amp; "|" &amp; Table2[[#This Row],[Participant As]]))</f>
        <v>Narasumber / Pemateri Acara Seminar / Workshop / Pemakalah|External International|Individual</v>
      </c>
      <c r="W50" s="486">
        <f>IFERROR(INDEX(GradingSimkat[Score], MATCH(Table2[[#This Row],[Criteria]], GradingSimkat[Criteria], 0)), 0)</f>
        <v>0</v>
      </c>
    </row>
    <row r="51" spans="1:23" ht="13.75" customHeight="1">
      <c r="A51" s="482" t="s">
        <v>1674</v>
      </c>
      <c r="B51" s="483" t="s">
        <v>1675</v>
      </c>
      <c r="C51" s="483" t="s">
        <v>1559</v>
      </c>
      <c r="D51" s="484">
        <v>2023</v>
      </c>
      <c r="E51" s="483" t="s">
        <v>1676</v>
      </c>
      <c r="F51" s="472" t="s">
        <v>1677</v>
      </c>
      <c r="G51" s="472" t="s">
        <v>1678</v>
      </c>
      <c r="H51" s="473">
        <v>20231</v>
      </c>
      <c r="I51" s="483" t="s">
        <v>1679</v>
      </c>
      <c r="J51" s="472" t="s">
        <v>278</v>
      </c>
      <c r="K51" s="483" t="s">
        <v>279</v>
      </c>
      <c r="L51" s="483" t="s">
        <v>291</v>
      </c>
      <c r="M51" s="483" t="s">
        <v>281</v>
      </c>
      <c r="N51" s="473">
        <v>30</v>
      </c>
      <c r="O51" s="484">
        <v>5</v>
      </c>
      <c r="P51" s="474"/>
      <c r="Q51" s="483" t="s">
        <v>2266</v>
      </c>
      <c r="R51" s="474"/>
      <c r="S51" s="474"/>
      <c r="T51" s="474"/>
      <c r="U51" s="475" t="s">
        <v>1681</v>
      </c>
      <c r="V51" s="485" t="str">
        <f>CLEAN(TRIM(Table2[[#This Row],[Status]] &amp; "|" &amp; Table2[[#This Row],[Level]] &amp; "|" &amp; Table2[[#This Row],[Participant As]]))</f>
        <v>Narasumber / Pemateri Acara Seminar / Workshop / Pemakalah|Internal Sekolah / Universitas|Team</v>
      </c>
      <c r="W51" s="486">
        <f>IFERROR(INDEX(GradingSimkat[Score], MATCH(Table2[[#This Row],[Criteria]], GradingSimkat[Criteria], 0)), 0)</f>
        <v>0</v>
      </c>
    </row>
    <row r="52" spans="1:23" ht="13.75" customHeight="1">
      <c r="A52" s="482" t="s">
        <v>797</v>
      </c>
      <c r="B52" s="483" t="s">
        <v>798</v>
      </c>
      <c r="C52" s="483" t="s">
        <v>274</v>
      </c>
      <c r="D52" s="484">
        <v>2023</v>
      </c>
      <c r="E52" s="483" t="s">
        <v>361</v>
      </c>
      <c r="F52" s="472" t="s">
        <v>362</v>
      </c>
      <c r="G52" s="472" t="s">
        <v>363</v>
      </c>
      <c r="H52" s="473">
        <v>20231</v>
      </c>
      <c r="I52" s="483" t="s">
        <v>364</v>
      </c>
      <c r="J52" s="472" t="s">
        <v>278</v>
      </c>
      <c r="K52" s="483" t="s">
        <v>279</v>
      </c>
      <c r="L52" s="483" t="s">
        <v>307</v>
      </c>
      <c r="M52" s="483" t="s">
        <v>292</v>
      </c>
      <c r="N52" s="473">
        <v>500</v>
      </c>
      <c r="O52" s="484">
        <v>10</v>
      </c>
      <c r="P52" s="472" t="s">
        <v>365</v>
      </c>
      <c r="Q52" s="483" t="s">
        <v>2186</v>
      </c>
      <c r="R52" s="472" t="s">
        <v>367</v>
      </c>
      <c r="S52" s="474"/>
      <c r="T52" s="474"/>
      <c r="U52" s="475" t="s">
        <v>368</v>
      </c>
      <c r="V52" s="485" t="str">
        <f>CLEAN(TRIM(Table2[[#This Row],[Status]] &amp; "|" &amp; Table2[[#This Row],[Level]] &amp; "|" &amp; Table2[[#This Row],[Participant As]]))</f>
        <v>Narasumber / Pemateri Acara Seminar / Workshop / Pemakalah|External International|Individual</v>
      </c>
      <c r="W52" s="486">
        <f>IFERROR(INDEX(GradingSimkat[Score], MATCH(Table2[[#This Row],[Criteria]], GradingSimkat[Criteria], 0)), 0)</f>
        <v>0</v>
      </c>
    </row>
    <row r="53" spans="1:23" ht="13.75" customHeight="1">
      <c r="A53" s="482" t="s">
        <v>849</v>
      </c>
      <c r="B53" s="483" t="s">
        <v>850</v>
      </c>
      <c r="C53" s="483" t="s">
        <v>274</v>
      </c>
      <c r="D53" s="484">
        <v>2023</v>
      </c>
      <c r="E53" s="483" t="s">
        <v>361</v>
      </c>
      <c r="F53" s="472" t="s">
        <v>362</v>
      </c>
      <c r="G53" s="472" t="s">
        <v>363</v>
      </c>
      <c r="H53" s="473">
        <v>20231</v>
      </c>
      <c r="I53" s="483" t="s">
        <v>364</v>
      </c>
      <c r="J53" s="472" t="s">
        <v>278</v>
      </c>
      <c r="K53" s="483" t="s">
        <v>279</v>
      </c>
      <c r="L53" s="483" t="s">
        <v>307</v>
      </c>
      <c r="M53" s="483" t="s">
        <v>292</v>
      </c>
      <c r="N53" s="473">
        <v>500</v>
      </c>
      <c r="O53" s="484">
        <v>10</v>
      </c>
      <c r="P53" s="472" t="s">
        <v>365</v>
      </c>
      <c r="Q53" s="483" t="s">
        <v>2186</v>
      </c>
      <c r="R53" s="472" t="s">
        <v>367</v>
      </c>
      <c r="S53" s="474"/>
      <c r="T53" s="474"/>
      <c r="U53" s="475" t="s">
        <v>368</v>
      </c>
      <c r="V53" s="485" t="str">
        <f>CLEAN(TRIM(Table2[[#This Row],[Status]] &amp; "|" &amp; Table2[[#This Row],[Level]] &amp; "|" &amp; Table2[[#This Row],[Participant As]]))</f>
        <v>Narasumber / Pemateri Acara Seminar / Workshop / Pemakalah|External International|Individual</v>
      </c>
      <c r="W53" s="486">
        <f>IFERROR(INDEX(GradingSimkat[Score], MATCH(Table2[[#This Row],[Criteria]], GradingSimkat[Criteria], 0)), 0)</f>
        <v>0</v>
      </c>
    </row>
    <row r="54" spans="1:23" ht="13.75" customHeight="1">
      <c r="A54" s="482" t="s">
        <v>811</v>
      </c>
      <c r="B54" s="483" t="s">
        <v>812</v>
      </c>
      <c r="C54" s="483" t="s">
        <v>274</v>
      </c>
      <c r="D54" s="484">
        <v>2023</v>
      </c>
      <c r="E54" s="483" t="s">
        <v>361</v>
      </c>
      <c r="F54" s="472" t="s">
        <v>362</v>
      </c>
      <c r="G54" s="472" t="s">
        <v>363</v>
      </c>
      <c r="H54" s="473">
        <v>20231</v>
      </c>
      <c r="I54" s="483" t="s">
        <v>364</v>
      </c>
      <c r="J54" s="472" t="s">
        <v>278</v>
      </c>
      <c r="K54" s="483" t="s">
        <v>279</v>
      </c>
      <c r="L54" s="483" t="s">
        <v>307</v>
      </c>
      <c r="M54" s="483" t="s">
        <v>292</v>
      </c>
      <c r="N54" s="473">
        <v>500</v>
      </c>
      <c r="O54" s="484">
        <v>10</v>
      </c>
      <c r="P54" s="472" t="s">
        <v>365</v>
      </c>
      <c r="Q54" s="483" t="s">
        <v>2186</v>
      </c>
      <c r="R54" s="472" t="s">
        <v>367</v>
      </c>
      <c r="S54" s="474"/>
      <c r="T54" s="474"/>
      <c r="U54" s="475" t="s">
        <v>368</v>
      </c>
      <c r="V54" s="485" t="str">
        <f>CLEAN(TRIM(Table2[[#This Row],[Status]] &amp; "|" &amp; Table2[[#This Row],[Level]] &amp; "|" &amp; Table2[[#This Row],[Participant As]]))</f>
        <v>Narasumber / Pemateri Acara Seminar / Workshop / Pemakalah|External International|Individual</v>
      </c>
      <c r="W54" s="486">
        <f>IFERROR(INDEX(GradingSimkat[Score], MATCH(Table2[[#This Row],[Criteria]], GradingSimkat[Criteria], 0)), 0)</f>
        <v>0</v>
      </c>
    </row>
    <row r="55" spans="1:23" ht="13.75" customHeight="1">
      <c r="A55" s="482" t="s">
        <v>693</v>
      </c>
      <c r="B55" s="483" t="s">
        <v>694</v>
      </c>
      <c r="C55" s="483" t="s">
        <v>274</v>
      </c>
      <c r="D55" s="484">
        <v>2022</v>
      </c>
      <c r="E55" s="483" t="s">
        <v>361</v>
      </c>
      <c r="F55" s="472" t="s">
        <v>362</v>
      </c>
      <c r="G55" s="472" t="s">
        <v>363</v>
      </c>
      <c r="H55" s="473">
        <v>20231</v>
      </c>
      <c r="I55" s="483" t="s">
        <v>364</v>
      </c>
      <c r="J55" s="472" t="s">
        <v>278</v>
      </c>
      <c r="K55" s="483" t="s">
        <v>279</v>
      </c>
      <c r="L55" s="483" t="s">
        <v>307</v>
      </c>
      <c r="M55" s="483" t="s">
        <v>292</v>
      </c>
      <c r="N55" s="473">
        <v>500</v>
      </c>
      <c r="O55" s="484">
        <v>10</v>
      </c>
      <c r="P55" s="472" t="s">
        <v>365</v>
      </c>
      <c r="Q55" s="483" t="s">
        <v>2186</v>
      </c>
      <c r="R55" s="472" t="s">
        <v>367</v>
      </c>
      <c r="S55" s="474"/>
      <c r="T55" s="474"/>
      <c r="U55" s="475" t="s">
        <v>368</v>
      </c>
      <c r="V55" s="485" t="str">
        <f>CLEAN(TRIM(Table2[[#This Row],[Status]] &amp; "|" &amp; Table2[[#This Row],[Level]] &amp; "|" &amp; Table2[[#This Row],[Participant As]]))</f>
        <v>Narasumber / Pemateri Acara Seminar / Workshop / Pemakalah|External International|Individual</v>
      </c>
      <c r="W55" s="486">
        <f>IFERROR(INDEX(GradingSimkat[Score], MATCH(Table2[[#This Row],[Criteria]], GradingSimkat[Criteria], 0)), 0)</f>
        <v>0</v>
      </c>
    </row>
    <row r="56" spans="1:23" ht="26.75" customHeight="1">
      <c r="A56" s="482" t="s">
        <v>1419</v>
      </c>
      <c r="B56" s="483" t="s">
        <v>1420</v>
      </c>
      <c r="C56" s="483" t="s">
        <v>1407</v>
      </c>
      <c r="D56" s="484">
        <v>2020</v>
      </c>
      <c r="E56" s="483" t="s">
        <v>361</v>
      </c>
      <c r="F56" s="472" t="s">
        <v>362</v>
      </c>
      <c r="G56" s="472" t="s">
        <v>363</v>
      </c>
      <c r="H56" s="473">
        <v>20231</v>
      </c>
      <c r="I56" s="483" t="s">
        <v>364</v>
      </c>
      <c r="J56" s="472" t="s">
        <v>278</v>
      </c>
      <c r="K56" s="489" t="s">
        <v>279</v>
      </c>
      <c r="L56" s="483" t="s">
        <v>307</v>
      </c>
      <c r="M56" s="483" t="s">
        <v>292</v>
      </c>
      <c r="N56" s="473">
        <v>500</v>
      </c>
      <c r="O56" s="484">
        <v>10</v>
      </c>
      <c r="P56" s="472" t="s">
        <v>365</v>
      </c>
      <c r="Q56" s="483" t="s">
        <v>2188</v>
      </c>
      <c r="R56" s="472" t="s">
        <v>389</v>
      </c>
      <c r="S56" s="474"/>
      <c r="T56" s="474"/>
      <c r="U56" s="475" t="s">
        <v>368</v>
      </c>
      <c r="V56" s="485" t="str">
        <f>CLEAN(TRIM(Table2[[#This Row],[Status]] &amp; "|" &amp; Table2[[#This Row],[Level]] &amp; "|" &amp; Table2[[#This Row],[Participant As]]))</f>
        <v>Narasumber / Pemateri Acara Seminar / Workshop / Pemakalah|External International|Individual</v>
      </c>
      <c r="W56" s="486">
        <f>IFERROR(INDEX(GradingSimkat[Score], MATCH(Table2[[#This Row],[Criteria]], GradingSimkat[Criteria], 0)), 0)</f>
        <v>0</v>
      </c>
    </row>
    <row r="57" spans="1:23" ht="13.75" customHeight="1">
      <c r="A57" s="482" t="s">
        <v>723</v>
      </c>
      <c r="B57" s="483" t="s">
        <v>724</v>
      </c>
      <c r="C57" s="483" t="s">
        <v>274</v>
      </c>
      <c r="D57" s="484">
        <v>2022</v>
      </c>
      <c r="E57" s="483" t="s">
        <v>361</v>
      </c>
      <c r="F57" s="472" t="s">
        <v>362</v>
      </c>
      <c r="G57" s="472" t="s">
        <v>363</v>
      </c>
      <c r="H57" s="473">
        <v>20231</v>
      </c>
      <c r="I57" s="483" t="s">
        <v>364</v>
      </c>
      <c r="J57" s="472" t="s">
        <v>278</v>
      </c>
      <c r="K57" s="483" t="s">
        <v>279</v>
      </c>
      <c r="L57" s="483" t="s">
        <v>307</v>
      </c>
      <c r="M57" s="483" t="s">
        <v>292</v>
      </c>
      <c r="N57" s="473">
        <v>500</v>
      </c>
      <c r="O57" s="484">
        <v>10</v>
      </c>
      <c r="P57" s="472" t="s">
        <v>365</v>
      </c>
      <c r="Q57" s="483" t="s">
        <v>2186</v>
      </c>
      <c r="R57" s="472" t="s">
        <v>367</v>
      </c>
      <c r="S57" s="474"/>
      <c r="T57" s="474"/>
      <c r="U57" s="475" t="s">
        <v>368</v>
      </c>
      <c r="V57" s="485" t="str">
        <f>CLEAN(TRIM(Table2[[#This Row],[Status]] &amp; "|" &amp; Table2[[#This Row],[Level]] &amp; "|" &amp; Table2[[#This Row],[Participant As]]))</f>
        <v>Narasumber / Pemateri Acara Seminar / Workshop / Pemakalah|External International|Individual</v>
      </c>
      <c r="W57" s="486">
        <f>IFERROR(INDEX(GradingSimkat[Score], MATCH(Table2[[#This Row],[Criteria]], GradingSimkat[Criteria], 0)), 0)</f>
        <v>0</v>
      </c>
    </row>
    <row r="58" spans="1:23" ht="13.75" customHeight="1">
      <c r="A58" s="482" t="s">
        <v>911</v>
      </c>
      <c r="B58" s="483" t="s">
        <v>912</v>
      </c>
      <c r="C58" s="483" t="s">
        <v>274</v>
      </c>
      <c r="D58" s="484">
        <v>2023</v>
      </c>
      <c r="E58" s="483" t="s">
        <v>361</v>
      </c>
      <c r="F58" s="472" t="s">
        <v>362</v>
      </c>
      <c r="G58" s="472" t="s">
        <v>363</v>
      </c>
      <c r="H58" s="473">
        <v>20231</v>
      </c>
      <c r="I58" s="483" t="s">
        <v>364</v>
      </c>
      <c r="J58" s="472" t="s">
        <v>278</v>
      </c>
      <c r="K58" s="483" t="s">
        <v>279</v>
      </c>
      <c r="L58" s="483" t="s">
        <v>307</v>
      </c>
      <c r="M58" s="483" t="s">
        <v>292</v>
      </c>
      <c r="N58" s="473">
        <v>500</v>
      </c>
      <c r="O58" s="484">
        <v>10</v>
      </c>
      <c r="P58" s="472" t="s">
        <v>365</v>
      </c>
      <c r="Q58" s="483" t="s">
        <v>2186</v>
      </c>
      <c r="R58" s="472" t="s">
        <v>367</v>
      </c>
      <c r="S58" s="474"/>
      <c r="T58" s="474"/>
      <c r="U58" s="475" t="s">
        <v>368</v>
      </c>
      <c r="V58" s="485" t="str">
        <f>CLEAN(TRIM(Table2[[#This Row],[Status]] &amp; "|" &amp; Table2[[#This Row],[Level]] &amp; "|" &amp; Table2[[#This Row],[Participant As]]))</f>
        <v>Narasumber / Pemateri Acara Seminar / Workshop / Pemakalah|External International|Individual</v>
      </c>
      <c r="W58" s="486">
        <f>IFERROR(INDEX(GradingSimkat[Score], MATCH(Table2[[#This Row],[Criteria]], GradingSimkat[Criteria], 0)), 0)</f>
        <v>0</v>
      </c>
    </row>
    <row r="59" spans="1:23" ht="13.75" customHeight="1">
      <c r="A59" s="482" t="s">
        <v>967</v>
      </c>
      <c r="B59" s="483" t="s">
        <v>968</v>
      </c>
      <c r="C59" s="483" t="s">
        <v>966</v>
      </c>
      <c r="D59" s="484">
        <v>2020</v>
      </c>
      <c r="E59" s="483" t="s">
        <v>418</v>
      </c>
      <c r="F59" s="472" t="s">
        <v>419</v>
      </c>
      <c r="G59" s="472" t="s">
        <v>419</v>
      </c>
      <c r="H59" s="473">
        <v>20231</v>
      </c>
      <c r="I59" s="483" t="s">
        <v>420</v>
      </c>
      <c r="J59" s="472" t="s">
        <v>278</v>
      </c>
      <c r="K59" s="483" t="s">
        <v>279</v>
      </c>
      <c r="L59" s="483" t="s">
        <v>291</v>
      </c>
      <c r="M59" s="483" t="s">
        <v>292</v>
      </c>
      <c r="N59" s="473">
        <v>250</v>
      </c>
      <c r="O59" s="484">
        <v>4</v>
      </c>
      <c r="P59" s="474"/>
      <c r="Q59" s="483" t="s">
        <v>2191</v>
      </c>
      <c r="R59" s="472" t="s">
        <v>422</v>
      </c>
      <c r="S59" s="474"/>
      <c r="T59" s="474"/>
      <c r="U59" s="475" t="s">
        <v>423</v>
      </c>
      <c r="V59" s="485" t="str">
        <f>CLEAN(TRIM(Table2[[#This Row],[Status]] &amp; "|" &amp; Table2[[#This Row],[Level]] &amp; "|" &amp; Table2[[#This Row],[Participant As]]))</f>
        <v>Narasumber / Pemateri Acara Seminar / Workshop / Pemakalah|Internal Sekolah / Universitas|Individual</v>
      </c>
      <c r="W59" s="486">
        <f>IFERROR(INDEX(GradingSimkat[Score], MATCH(Table2[[#This Row],[Criteria]], GradingSimkat[Criteria], 0)), 0)</f>
        <v>0</v>
      </c>
    </row>
    <row r="60" spans="1:23" ht="13.75" customHeight="1">
      <c r="A60" s="482" t="s">
        <v>1744</v>
      </c>
      <c r="B60" s="483" t="s">
        <v>1745</v>
      </c>
      <c r="C60" s="483" t="s">
        <v>1684</v>
      </c>
      <c r="D60" s="484">
        <v>2020</v>
      </c>
      <c r="E60" s="483" t="s">
        <v>1746</v>
      </c>
      <c r="F60" s="472" t="s">
        <v>1747</v>
      </c>
      <c r="G60" s="472" t="s">
        <v>1747</v>
      </c>
      <c r="H60" s="473">
        <v>20212</v>
      </c>
      <c r="I60" s="483" t="s">
        <v>1748</v>
      </c>
      <c r="J60" s="472" t="s">
        <v>278</v>
      </c>
      <c r="K60" s="483" t="s">
        <v>2157</v>
      </c>
      <c r="L60" s="483" t="s">
        <v>438</v>
      </c>
      <c r="M60" s="483" t="s">
        <v>281</v>
      </c>
      <c r="N60" s="473">
        <v>50</v>
      </c>
      <c r="O60" s="484">
        <v>10</v>
      </c>
      <c r="P60" s="474"/>
      <c r="Q60" s="483" t="s">
        <v>2271</v>
      </c>
      <c r="R60" s="474"/>
      <c r="S60" s="474"/>
      <c r="T60" s="474"/>
      <c r="U60" s="475" t="s">
        <v>1750</v>
      </c>
      <c r="V60" s="485" t="str">
        <f>CLEAN(TRIM(Table2[[#This Row],[Status]] &amp; "|" &amp; Table2[[#This Row],[Level]] &amp; "|" &amp; Table2[[#This Row],[Participant As]]))</f>
        <v>Pembicara pada pelatihan/seminar/event berskala|External Regional|Team</v>
      </c>
      <c r="W60" s="486">
        <f>IFERROR(INDEX(GradingSimkat[Score], MATCH(Table2[[#This Row],[Criteria]], GradingSimkat[Criteria], 0)), 0)</f>
        <v>0</v>
      </c>
    </row>
    <row r="61" spans="1:23" ht="13.75" customHeight="1">
      <c r="A61" s="482" t="s">
        <v>1530</v>
      </c>
      <c r="B61" s="483" t="s">
        <v>1531</v>
      </c>
      <c r="C61" s="483" t="s">
        <v>1499</v>
      </c>
      <c r="D61" s="484">
        <v>2021</v>
      </c>
      <c r="E61" s="483" t="s">
        <v>1051</v>
      </c>
      <c r="F61" s="472" t="s">
        <v>339</v>
      </c>
      <c r="G61" s="472" t="s">
        <v>1532</v>
      </c>
      <c r="H61" s="473">
        <v>20221</v>
      </c>
      <c r="I61" s="483" t="s">
        <v>1533</v>
      </c>
      <c r="J61" s="472" t="s">
        <v>278</v>
      </c>
      <c r="K61" s="489" t="s">
        <v>2156</v>
      </c>
      <c r="L61" s="483" t="s">
        <v>280</v>
      </c>
      <c r="M61" s="483" t="s">
        <v>281</v>
      </c>
      <c r="N61" s="473">
        <v>200</v>
      </c>
      <c r="O61" s="484">
        <v>15</v>
      </c>
      <c r="P61" s="472" t="s">
        <v>1534</v>
      </c>
      <c r="Q61" s="483" t="s">
        <v>2255</v>
      </c>
      <c r="R61" s="474"/>
      <c r="S61" s="474"/>
      <c r="T61" s="474"/>
      <c r="U61" s="475" t="s">
        <v>1054</v>
      </c>
      <c r="V61" s="485" t="str">
        <f>CLEAN(TRIM(Table2[[#This Row],[Status]] &amp; "|" &amp; Table2[[#This Row],[Level]] &amp; "|" &amp; Table2[[#This Row],[Participant As]]))</f>
        <v>Pemakalah dalam Conference/Seminar Ilmiah|External National|Team</v>
      </c>
      <c r="W61" s="486">
        <f>IFERROR(INDEX(GradingSimkat[Score], MATCH(Table2[[#This Row],[Criteria]], GradingSimkat[Criteria], 0)), 0)</f>
        <v>4</v>
      </c>
    </row>
    <row r="62" spans="1:23" ht="13.75" customHeight="1">
      <c r="A62" s="482" t="s">
        <v>1365</v>
      </c>
      <c r="B62" s="483" t="s">
        <v>1366</v>
      </c>
      <c r="C62" s="483" t="s">
        <v>1356</v>
      </c>
      <c r="D62" s="484">
        <v>2020</v>
      </c>
      <c r="E62" s="483" t="s">
        <v>361</v>
      </c>
      <c r="F62" s="472" t="s">
        <v>362</v>
      </c>
      <c r="G62" s="472" t="s">
        <v>363</v>
      </c>
      <c r="H62" s="473">
        <v>20231</v>
      </c>
      <c r="I62" s="483" t="s">
        <v>364</v>
      </c>
      <c r="J62" s="472" t="s">
        <v>278</v>
      </c>
      <c r="K62" s="483" t="s">
        <v>279</v>
      </c>
      <c r="L62" s="483" t="s">
        <v>307</v>
      </c>
      <c r="M62" s="483" t="s">
        <v>292</v>
      </c>
      <c r="N62" s="473">
        <v>500</v>
      </c>
      <c r="O62" s="484">
        <v>10</v>
      </c>
      <c r="P62" s="472" t="s">
        <v>365</v>
      </c>
      <c r="Q62" s="483" t="s">
        <v>2188</v>
      </c>
      <c r="R62" s="472" t="s">
        <v>389</v>
      </c>
      <c r="S62" s="474"/>
      <c r="T62" s="474"/>
      <c r="U62" s="475" t="s">
        <v>368</v>
      </c>
      <c r="V62" s="485" t="str">
        <f>CLEAN(TRIM(Table2[[#This Row],[Status]] &amp; "|" &amp; Table2[[#This Row],[Level]] &amp; "|" &amp; Table2[[#This Row],[Participant As]]))</f>
        <v>Narasumber / Pemateri Acara Seminar / Workshop / Pemakalah|External International|Individual</v>
      </c>
      <c r="W62" s="486">
        <f>IFERROR(INDEX(GradingSimkat[Score], MATCH(Table2[[#This Row],[Criteria]], GradingSimkat[Criteria], 0)), 0)</f>
        <v>0</v>
      </c>
    </row>
    <row r="63" spans="1:23" ht="13.75" customHeight="1">
      <c r="A63" s="482" t="s">
        <v>433</v>
      </c>
      <c r="B63" s="483" t="s">
        <v>434</v>
      </c>
      <c r="C63" s="483" t="s">
        <v>274</v>
      </c>
      <c r="D63" s="484">
        <v>2021</v>
      </c>
      <c r="E63" s="483" t="s">
        <v>435</v>
      </c>
      <c r="F63" s="472" t="s">
        <v>436</v>
      </c>
      <c r="G63" s="472" t="s">
        <v>339</v>
      </c>
      <c r="H63" s="473">
        <v>20212</v>
      </c>
      <c r="I63" s="483" t="s">
        <v>437</v>
      </c>
      <c r="J63" s="472" t="s">
        <v>278</v>
      </c>
      <c r="K63" s="483" t="s">
        <v>279</v>
      </c>
      <c r="L63" s="483" t="s">
        <v>438</v>
      </c>
      <c r="M63" s="483" t="s">
        <v>281</v>
      </c>
      <c r="N63" s="473">
        <v>18</v>
      </c>
      <c r="O63" s="484">
        <v>10</v>
      </c>
      <c r="P63" s="474"/>
      <c r="Q63" s="483" t="s">
        <v>2193</v>
      </c>
      <c r="R63" s="474"/>
      <c r="S63" s="474"/>
      <c r="T63" s="474"/>
      <c r="U63" s="475" t="s">
        <v>440</v>
      </c>
      <c r="V63" s="485" t="str">
        <f>CLEAN(TRIM(Table2[[#This Row],[Status]] &amp; "|" &amp; Table2[[#This Row],[Level]] &amp; "|" &amp; Table2[[#This Row],[Participant As]]))</f>
        <v>Narasumber / Pemateri Acara Seminar / Workshop / Pemakalah|External Regional|Team</v>
      </c>
      <c r="W63" s="486">
        <f>IFERROR(INDEX(GradingSimkat[Score], MATCH(Table2[[#This Row],[Criteria]], GradingSimkat[Criteria], 0)), 0)</f>
        <v>0</v>
      </c>
    </row>
    <row r="64" spans="1:23" ht="13.75" customHeight="1">
      <c r="A64" s="471" t="s">
        <v>1555</v>
      </c>
      <c r="B64" s="472" t="s">
        <v>1556</v>
      </c>
      <c r="C64" s="472" t="s">
        <v>1540</v>
      </c>
      <c r="D64" s="473">
        <v>2022</v>
      </c>
      <c r="E64" s="472" t="s">
        <v>505</v>
      </c>
      <c r="F64" s="472" t="s">
        <v>506</v>
      </c>
      <c r="G64" s="472" t="s">
        <v>506</v>
      </c>
      <c r="H64" s="473">
        <v>20231</v>
      </c>
      <c r="I64" s="474"/>
      <c r="J64" s="472" t="s">
        <v>278</v>
      </c>
      <c r="K64" s="472" t="s">
        <v>2155</v>
      </c>
      <c r="L64" s="472" t="s">
        <v>291</v>
      </c>
      <c r="M64" s="472" t="s">
        <v>292</v>
      </c>
      <c r="N64" s="473">
        <v>50</v>
      </c>
      <c r="O64" s="473">
        <v>4</v>
      </c>
      <c r="P64" s="474"/>
      <c r="Q64" s="472" t="s">
        <v>507</v>
      </c>
      <c r="R64" s="472" t="s">
        <v>508</v>
      </c>
      <c r="S64" s="474"/>
      <c r="T64" s="474"/>
      <c r="U64" s="475" t="s">
        <v>440</v>
      </c>
      <c r="V64" s="481" t="str">
        <f>CLEAN(TRIM(Table2[[#This Row],[Status]] &amp; "|" &amp; Table2[[#This Row],[Level]] &amp; "|" &amp; Table2[[#This Row],[Participant As]]))</f>
        <v>Juri/Pelatih/Wasit|Internal Sekolah / Universitas|Individual</v>
      </c>
      <c r="W64" s="477">
        <f>IFERROR(INDEX(GradingSimkat[Score], MATCH(Table2[[#This Row],[Criteria]], GradingSimkat[Criteria], 0)), 0)</f>
        <v>0</v>
      </c>
    </row>
    <row r="65" spans="1:23" s="478" customFormat="1" ht="13.75" customHeight="1">
      <c r="A65" s="482" t="s">
        <v>561</v>
      </c>
      <c r="B65" s="483" t="s">
        <v>562</v>
      </c>
      <c r="C65" s="483" t="s">
        <v>274</v>
      </c>
      <c r="D65" s="484">
        <v>2022</v>
      </c>
      <c r="E65" s="483" t="s">
        <v>361</v>
      </c>
      <c r="F65" s="472" t="s">
        <v>362</v>
      </c>
      <c r="G65" s="472" t="s">
        <v>363</v>
      </c>
      <c r="H65" s="473">
        <v>20231</v>
      </c>
      <c r="I65" s="483" t="s">
        <v>364</v>
      </c>
      <c r="J65" s="472" t="s">
        <v>278</v>
      </c>
      <c r="K65" s="483" t="s">
        <v>279</v>
      </c>
      <c r="L65" s="483" t="s">
        <v>307</v>
      </c>
      <c r="M65" s="483" t="s">
        <v>292</v>
      </c>
      <c r="N65" s="473">
        <v>500</v>
      </c>
      <c r="O65" s="484">
        <v>10</v>
      </c>
      <c r="P65" s="472" t="s">
        <v>365</v>
      </c>
      <c r="Q65" s="483" t="s">
        <v>2186</v>
      </c>
      <c r="R65" s="472" t="s">
        <v>367</v>
      </c>
      <c r="S65" s="474"/>
      <c r="T65" s="474"/>
      <c r="U65" s="475" t="s">
        <v>368</v>
      </c>
      <c r="V65" s="485" t="str">
        <f>CLEAN(TRIM(Table2[[#This Row],[Status]] &amp; "|" &amp; Table2[[#This Row],[Level]] &amp; "|" &amp; Table2[[#This Row],[Participant As]]))</f>
        <v>Narasumber / Pemateri Acara Seminar / Workshop / Pemakalah|External International|Individual</v>
      </c>
      <c r="W65" s="486">
        <f>IFERROR(INDEX(GradingSimkat[Score], MATCH(Table2[[#This Row],[Criteria]], GradingSimkat[Criteria], 0)), 0)</f>
        <v>0</v>
      </c>
    </row>
    <row r="66" spans="1:23" s="478" customFormat="1" ht="13.75" customHeight="1">
      <c r="A66" s="482" t="s">
        <v>839</v>
      </c>
      <c r="B66" s="483" t="s">
        <v>840</v>
      </c>
      <c r="C66" s="483" t="s">
        <v>274</v>
      </c>
      <c r="D66" s="484">
        <v>2023</v>
      </c>
      <c r="E66" s="483" t="s">
        <v>361</v>
      </c>
      <c r="F66" s="472" t="s">
        <v>362</v>
      </c>
      <c r="G66" s="472" t="s">
        <v>363</v>
      </c>
      <c r="H66" s="473">
        <v>20231</v>
      </c>
      <c r="I66" s="483" t="s">
        <v>364</v>
      </c>
      <c r="J66" s="472" t="s">
        <v>278</v>
      </c>
      <c r="K66" s="483" t="s">
        <v>279</v>
      </c>
      <c r="L66" s="483" t="s">
        <v>307</v>
      </c>
      <c r="M66" s="483" t="s">
        <v>292</v>
      </c>
      <c r="N66" s="473">
        <v>500</v>
      </c>
      <c r="O66" s="484">
        <v>10</v>
      </c>
      <c r="P66" s="472" t="s">
        <v>365</v>
      </c>
      <c r="Q66" s="483" t="s">
        <v>2186</v>
      </c>
      <c r="R66" s="472" t="s">
        <v>367</v>
      </c>
      <c r="S66" s="474"/>
      <c r="T66" s="474"/>
      <c r="U66" s="475" t="s">
        <v>368</v>
      </c>
      <c r="V66" s="485" t="str">
        <f>CLEAN(TRIM(Table2[[#This Row],[Status]] &amp; "|" &amp; Table2[[#This Row],[Level]] &amp; "|" &amp; Table2[[#This Row],[Participant As]]))</f>
        <v>Narasumber / Pemateri Acara Seminar / Workshop / Pemakalah|External International|Individual</v>
      </c>
      <c r="W66" s="486">
        <f>IFERROR(INDEX(GradingSimkat[Score], MATCH(Table2[[#This Row],[Criteria]], GradingSimkat[Criteria], 0)), 0)</f>
        <v>0</v>
      </c>
    </row>
    <row r="67" spans="1:23" ht="13.75" customHeight="1">
      <c r="A67" s="471" t="s">
        <v>1583</v>
      </c>
      <c r="B67" s="472" t="s">
        <v>1584</v>
      </c>
      <c r="C67" s="472" t="s">
        <v>1559</v>
      </c>
      <c r="D67" s="473">
        <v>2020</v>
      </c>
      <c r="E67" s="472" t="s">
        <v>1585</v>
      </c>
      <c r="F67" s="472" t="s">
        <v>1586</v>
      </c>
      <c r="G67" s="472" t="s">
        <v>1587</v>
      </c>
      <c r="H67" s="473">
        <v>20211</v>
      </c>
      <c r="I67" s="492" t="s">
        <v>1588</v>
      </c>
      <c r="J67" s="472" t="s">
        <v>278</v>
      </c>
      <c r="K67" s="472" t="s">
        <v>2160</v>
      </c>
      <c r="L67" s="472" t="s">
        <v>307</v>
      </c>
      <c r="M67" s="472" t="s">
        <v>281</v>
      </c>
      <c r="N67" s="473">
        <v>2</v>
      </c>
      <c r="O67" s="473">
        <v>20</v>
      </c>
      <c r="P67" s="474"/>
      <c r="Q67" s="472" t="s">
        <v>1589</v>
      </c>
      <c r="R67" s="474"/>
      <c r="S67" s="474"/>
      <c r="T67" s="474"/>
      <c r="U67" s="475" t="s">
        <v>469</v>
      </c>
      <c r="V67" s="481" t="str">
        <f>CLEAN(TRIM(Table2[[#This Row],[Status]] &amp; "|" &amp; Table2[[#This Row],[Level]] &amp; "|" &amp; Table2[[#This Row],[Participant As]]))</f>
        <v>Penulis pertama pada jurnal internasional bereputasi atau jurnal nasional terindeks SINTA 1 dan 2|External International|Team</v>
      </c>
      <c r="W67" s="477">
        <f>IFERROR(INDEX(GradingSimkat[Score], MATCH(Table2[[#This Row],[Criteria]], GradingSimkat[Criteria], 0)), 0)</f>
        <v>5</v>
      </c>
    </row>
    <row r="68" spans="1:23" ht="13.75" customHeight="1">
      <c r="A68" s="471" t="s">
        <v>1344</v>
      </c>
      <c r="B68" s="472" t="s">
        <v>1345</v>
      </c>
      <c r="C68" s="472" t="s">
        <v>1304</v>
      </c>
      <c r="D68" s="473">
        <v>2020</v>
      </c>
      <c r="E68" s="472" t="s">
        <v>328</v>
      </c>
      <c r="F68" s="472" t="s">
        <v>329</v>
      </c>
      <c r="G68" s="472" t="s">
        <v>330</v>
      </c>
      <c r="H68" s="473">
        <v>20221</v>
      </c>
      <c r="I68" s="472" t="s">
        <v>2164</v>
      </c>
      <c r="J68" s="472" t="s">
        <v>278</v>
      </c>
      <c r="K68" s="472" t="s">
        <v>2155</v>
      </c>
      <c r="L68" s="472" t="s">
        <v>291</v>
      </c>
      <c r="M68" s="472" t="s">
        <v>292</v>
      </c>
      <c r="N68" s="473">
        <v>7</v>
      </c>
      <c r="O68" s="473">
        <v>5</v>
      </c>
      <c r="P68" s="474"/>
      <c r="Q68" s="472" t="s">
        <v>333</v>
      </c>
      <c r="R68" s="472" t="s">
        <v>334</v>
      </c>
      <c r="S68" s="474"/>
      <c r="T68" s="474"/>
      <c r="U68" s="475" t="s">
        <v>335</v>
      </c>
      <c r="V68" s="481" t="str">
        <f>CLEAN(TRIM(Table2[[#This Row],[Status]] &amp; "|" &amp; Table2[[#This Row],[Level]] &amp; "|" &amp; Table2[[#This Row],[Participant As]]))</f>
        <v>Juri/Pelatih/Wasit|Internal Sekolah / Universitas|Individual</v>
      </c>
      <c r="W68" s="477">
        <f>IFERROR(INDEX(GradingSimkat[Score], MATCH(Table2[[#This Row],[Criteria]], GradingSimkat[Criteria], 0)), 0)</f>
        <v>0</v>
      </c>
    </row>
    <row r="69" spans="1:23" ht="13.75" customHeight="1">
      <c r="A69" s="482" t="s">
        <v>707</v>
      </c>
      <c r="B69" s="483" t="s">
        <v>708</v>
      </c>
      <c r="C69" s="483" t="s">
        <v>274</v>
      </c>
      <c r="D69" s="484">
        <v>2022</v>
      </c>
      <c r="E69" s="483" t="s">
        <v>361</v>
      </c>
      <c r="F69" s="472" t="s">
        <v>362</v>
      </c>
      <c r="G69" s="472" t="s">
        <v>363</v>
      </c>
      <c r="H69" s="473">
        <v>20231</v>
      </c>
      <c r="I69" s="483" t="s">
        <v>364</v>
      </c>
      <c r="J69" s="472" t="s">
        <v>278</v>
      </c>
      <c r="K69" s="483" t="s">
        <v>279</v>
      </c>
      <c r="L69" s="483" t="s">
        <v>307</v>
      </c>
      <c r="M69" s="483" t="s">
        <v>292</v>
      </c>
      <c r="N69" s="473">
        <v>500</v>
      </c>
      <c r="O69" s="484">
        <v>10</v>
      </c>
      <c r="P69" s="472" t="s">
        <v>365</v>
      </c>
      <c r="Q69" s="483" t="s">
        <v>2186</v>
      </c>
      <c r="R69" s="472" t="s">
        <v>367</v>
      </c>
      <c r="S69" s="474"/>
      <c r="T69" s="474"/>
      <c r="U69" s="475" t="s">
        <v>368</v>
      </c>
      <c r="V69" s="485" t="str">
        <f>CLEAN(TRIM(Table2[[#This Row],[Status]] &amp; "|" &amp; Table2[[#This Row],[Level]] &amp; "|" &amp; Table2[[#This Row],[Participant As]]))</f>
        <v>Narasumber / Pemateri Acara Seminar / Workshop / Pemakalah|External International|Individual</v>
      </c>
      <c r="W69" s="486">
        <f>IFERROR(INDEX(GradingSimkat[Score], MATCH(Table2[[#This Row],[Criteria]], GradingSimkat[Criteria], 0)), 0)</f>
        <v>0</v>
      </c>
    </row>
    <row r="70" spans="1:23" ht="13.75" customHeight="1">
      <c r="A70" s="482" t="s">
        <v>1387</v>
      </c>
      <c r="B70" s="483" t="s">
        <v>1388</v>
      </c>
      <c r="C70" s="483" t="s">
        <v>1356</v>
      </c>
      <c r="D70" s="484">
        <v>2020</v>
      </c>
      <c r="E70" s="483" t="s">
        <v>361</v>
      </c>
      <c r="F70" s="472" t="s">
        <v>362</v>
      </c>
      <c r="G70" s="472" t="s">
        <v>363</v>
      </c>
      <c r="H70" s="473">
        <v>20231</v>
      </c>
      <c r="I70" s="483" t="s">
        <v>364</v>
      </c>
      <c r="J70" s="472" t="s">
        <v>278</v>
      </c>
      <c r="K70" s="483" t="s">
        <v>279</v>
      </c>
      <c r="L70" s="483" t="s">
        <v>307</v>
      </c>
      <c r="M70" s="483" t="s">
        <v>292</v>
      </c>
      <c r="N70" s="473">
        <v>500</v>
      </c>
      <c r="O70" s="484">
        <v>10</v>
      </c>
      <c r="P70" s="472" t="s">
        <v>365</v>
      </c>
      <c r="Q70" s="483" t="s">
        <v>2188</v>
      </c>
      <c r="R70" s="472" t="s">
        <v>389</v>
      </c>
      <c r="S70" s="474"/>
      <c r="T70" s="474"/>
      <c r="U70" s="475" t="s">
        <v>368</v>
      </c>
      <c r="V70" s="485" t="str">
        <f>CLEAN(TRIM(Table2[[#This Row],[Status]] &amp; "|" &amp; Table2[[#This Row],[Level]] &amp; "|" &amp; Table2[[#This Row],[Participant As]]))</f>
        <v>Narasumber / Pemateri Acara Seminar / Workshop / Pemakalah|External International|Individual</v>
      </c>
      <c r="W70" s="486">
        <f>IFERROR(INDEX(GradingSimkat[Score], MATCH(Table2[[#This Row],[Criteria]], GradingSimkat[Criteria], 0)), 0)</f>
        <v>0</v>
      </c>
    </row>
    <row r="71" spans="1:23" ht="13.75" customHeight="1">
      <c r="A71" s="482" t="s">
        <v>1421</v>
      </c>
      <c r="B71" s="483" t="s">
        <v>1422</v>
      </c>
      <c r="C71" s="483" t="s">
        <v>1407</v>
      </c>
      <c r="D71" s="484">
        <v>2021</v>
      </c>
      <c r="E71" s="483" t="s">
        <v>418</v>
      </c>
      <c r="F71" s="472" t="s">
        <v>419</v>
      </c>
      <c r="G71" s="472" t="s">
        <v>419</v>
      </c>
      <c r="H71" s="473">
        <v>20231</v>
      </c>
      <c r="I71" s="483" t="s">
        <v>420</v>
      </c>
      <c r="J71" s="472" t="s">
        <v>278</v>
      </c>
      <c r="K71" s="483" t="s">
        <v>279</v>
      </c>
      <c r="L71" s="483" t="s">
        <v>291</v>
      </c>
      <c r="M71" s="483" t="s">
        <v>292</v>
      </c>
      <c r="N71" s="473">
        <v>250</v>
      </c>
      <c r="O71" s="484">
        <v>4</v>
      </c>
      <c r="P71" s="474"/>
      <c r="Q71" s="483" t="s">
        <v>2191</v>
      </c>
      <c r="R71" s="472" t="s">
        <v>422</v>
      </c>
      <c r="S71" s="474"/>
      <c r="T71" s="474"/>
      <c r="U71" s="475" t="s">
        <v>423</v>
      </c>
      <c r="V71" s="485" t="str">
        <f>CLEAN(TRIM(Table2[[#This Row],[Status]] &amp; "|" &amp; Table2[[#This Row],[Level]] &amp; "|" &amp; Table2[[#This Row],[Participant As]]))</f>
        <v>Narasumber / Pemateri Acara Seminar / Workshop / Pemakalah|Internal Sekolah / Universitas|Individual</v>
      </c>
      <c r="W71" s="486">
        <f>IFERROR(INDEX(GradingSimkat[Score], MATCH(Table2[[#This Row],[Criteria]], GradingSimkat[Criteria], 0)), 0)</f>
        <v>0</v>
      </c>
    </row>
    <row r="72" spans="1:23" ht="13.75" customHeight="1">
      <c r="A72" s="482" t="s">
        <v>1421</v>
      </c>
      <c r="B72" s="483" t="s">
        <v>1422</v>
      </c>
      <c r="C72" s="483" t="s">
        <v>1407</v>
      </c>
      <c r="D72" s="484">
        <v>2021</v>
      </c>
      <c r="E72" s="483" t="s">
        <v>1423</v>
      </c>
      <c r="F72" s="472" t="s">
        <v>1372</v>
      </c>
      <c r="G72" s="472" t="s">
        <v>1372</v>
      </c>
      <c r="H72" s="473">
        <v>20231</v>
      </c>
      <c r="I72" s="483" t="s">
        <v>1424</v>
      </c>
      <c r="J72" s="472" t="s">
        <v>278</v>
      </c>
      <c r="K72" s="483" t="s">
        <v>279</v>
      </c>
      <c r="L72" s="483" t="s">
        <v>291</v>
      </c>
      <c r="M72" s="483" t="s">
        <v>292</v>
      </c>
      <c r="N72" s="473">
        <v>26</v>
      </c>
      <c r="O72" s="484">
        <v>5</v>
      </c>
      <c r="P72" s="474"/>
      <c r="Q72" s="483" t="s">
        <v>2250</v>
      </c>
      <c r="R72" s="472" t="s">
        <v>1426</v>
      </c>
      <c r="S72" s="474"/>
      <c r="T72" s="474"/>
      <c r="U72" s="475" t="s">
        <v>1427</v>
      </c>
      <c r="V72" s="485" t="str">
        <f>CLEAN(TRIM(Table2[[#This Row],[Status]] &amp; "|" &amp; Table2[[#This Row],[Level]] &amp; "|" &amp; Table2[[#This Row],[Participant As]]))</f>
        <v>Narasumber / Pemateri Acara Seminar / Workshop / Pemakalah|Internal Sekolah / Universitas|Individual</v>
      </c>
      <c r="W72" s="486">
        <f>IFERROR(INDEX(GradingSimkat[Score], MATCH(Table2[[#This Row],[Criteria]], GradingSimkat[Criteria], 0)), 0)</f>
        <v>0</v>
      </c>
    </row>
    <row r="73" spans="1:23" ht="13.75" customHeight="1">
      <c r="A73" s="482" t="s">
        <v>996</v>
      </c>
      <c r="B73" s="483" t="s">
        <v>997</v>
      </c>
      <c r="C73" s="483" t="s">
        <v>986</v>
      </c>
      <c r="D73" s="484">
        <v>2020</v>
      </c>
      <c r="E73" s="483" t="s">
        <v>998</v>
      </c>
      <c r="F73" s="472" t="s">
        <v>999</v>
      </c>
      <c r="G73" s="472" t="s">
        <v>999</v>
      </c>
      <c r="H73" s="473">
        <v>20221</v>
      </c>
      <c r="I73" s="483" t="s">
        <v>1000</v>
      </c>
      <c r="J73" s="472" t="s">
        <v>278</v>
      </c>
      <c r="K73" s="483" t="s">
        <v>279</v>
      </c>
      <c r="L73" s="483" t="s">
        <v>291</v>
      </c>
      <c r="M73" s="483" t="s">
        <v>292</v>
      </c>
      <c r="N73" s="473">
        <v>1</v>
      </c>
      <c r="O73" s="484">
        <v>5</v>
      </c>
      <c r="P73" s="474"/>
      <c r="Q73" s="483" t="s">
        <v>2208</v>
      </c>
      <c r="R73" s="474"/>
      <c r="S73" s="474"/>
      <c r="T73" s="474"/>
      <c r="U73" s="475" t="s">
        <v>1002</v>
      </c>
      <c r="V73" s="485" t="str">
        <f>CLEAN(TRIM(Table2[[#This Row],[Status]] &amp; "|" &amp; Table2[[#This Row],[Level]] &amp; "|" &amp; Table2[[#This Row],[Participant As]]))</f>
        <v>Narasumber / Pemateri Acara Seminar / Workshop / Pemakalah|Internal Sekolah / Universitas|Individual</v>
      </c>
      <c r="W73" s="486">
        <f>IFERROR(INDEX(GradingSimkat[Score], MATCH(Table2[[#This Row],[Criteria]], GradingSimkat[Criteria], 0)), 0)</f>
        <v>0</v>
      </c>
    </row>
    <row r="74" spans="1:23" ht="13.75" customHeight="1">
      <c r="A74" s="482" t="s">
        <v>837</v>
      </c>
      <c r="B74" s="483" t="s">
        <v>838</v>
      </c>
      <c r="C74" s="483" t="s">
        <v>274</v>
      </c>
      <c r="D74" s="484">
        <v>2023</v>
      </c>
      <c r="E74" s="483" t="s">
        <v>361</v>
      </c>
      <c r="F74" s="472" t="s">
        <v>362</v>
      </c>
      <c r="G74" s="472" t="s">
        <v>363</v>
      </c>
      <c r="H74" s="473">
        <v>20231</v>
      </c>
      <c r="I74" s="483" t="s">
        <v>364</v>
      </c>
      <c r="J74" s="472" t="s">
        <v>278</v>
      </c>
      <c r="K74" s="483" t="s">
        <v>279</v>
      </c>
      <c r="L74" s="483" t="s">
        <v>307</v>
      </c>
      <c r="M74" s="483" t="s">
        <v>292</v>
      </c>
      <c r="N74" s="473">
        <v>500</v>
      </c>
      <c r="O74" s="484">
        <v>10</v>
      </c>
      <c r="P74" s="472" t="s">
        <v>365</v>
      </c>
      <c r="Q74" s="483" t="s">
        <v>2186</v>
      </c>
      <c r="R74" s="472" t="s">
        <v>367</v>
      </c>
      <c r="S74" s="474"/>
      <c r="T74" s="474"/>
      <c r="U74" s="475" t="s">
        <v>368</v>
      </c>
      <c r="V74" s="485" t="str">
        <f>CLEAN(TRIM(Table2[[#This Row],[Status]] &amp; "|" &amp; Table2[[#This Row],[Level]] &amp; "|" &amp; Table2[[#This Row],[Participant As]]))</f>
        <v>Narasumber / Pemateri Acara Seminar / Workshop / Pemakalah|External International|Individual</v>
      </c>
      <c r="W74" s="486">
        <f>IFERROR(INDEX(GradingSimkat[Score], MATCH(Table2[[#This Row],[Criteria]], GradingSimkat[Criteria], 0)), 0)</f>
        <v>0</v>
      </c>
    </row>
    <row r="75" spans="1:23" ht="13.75" customHeight="1">
      <c r="A75" s="482" t="s">
        <v>865</v>
      </c>
      <c r="B75" s="483" t="s">
        <v>866</v>
      </c>
      <c r="C75" s="483" t="s">
        <v>274</v>
      </c>
      <c r="D75" s="484">
        <v>2023</v>
      </c>
      <c r="E75" s="483" t="s">
        <v>361</v>
      </c>
      <c r="F75" s="472" t="s">
        <v>362</v>
      </c>
      <c r="G75" s="472" t="s">
        <v>363</v>
      </c>
      <c r="H75" s="473">
        <v>20231</v>
      </c>
      <c r="I75" s="483" t="s">
        <v>364</v>
      </c>
      <c r="J75" s="472" t="s">
        <v>278</v>
      </c>
      <c r="K75" s="483" t="s">
        <v>279</v>
      </c>
      <c r="L75" s="483" t="s">
        <v>307</v>
      </c>
      <c r="M75" s="483" t="s">
        <v>292</v>
      </c>
      <c r="N75" s="473">
        <v>500</v>
      </c>
      <c r="O75" s="484">
        <v>10</v>
      </c>
      <c r="P75" s="472" t="s">
        <v>365</v>
      </c>
      <c r="Q75" s="483" t="s">
        <v>2186</v>
      </c>
      <c r="R75" s="472" t="s">
        <v>367</v>
      </c>
      <c r="S75" s="474"/>
      <c r="T75" s="474"/>
      <c r="U75" s="475" t="s">
        <v>368</v>
      </c>
      <c r="V75" s="485" t="str">
        <f>CLEAN(TRIM(Table2[[#This Row],[Status]] &amp; "|" &amp; Table2[[#This Row],[Level]] &amp; "|" &amp; Table2[[#This Row],[Participant As]]))</f>
        <v>Narasumber / Pemateri Acara Seminar / Workshop / Pemakalah|External International|Individual</v>
      </c>
      <c r="W75" s="486">
        <f>IFERROR(INDEX(GradingSimkat[Score], MATCH(Table2[[#This Row],[Criteria]], GradingSimkat[Criteria], 0)), 0)</f>
        <v>0</v>
      </c>
    </row>
    <row r="76" spans="1:23" ht="13.75" customHeight="1">
      <c r="A76" s="482" t="s">
        <v>697</v>
      </c>
      <c r="B76" s="483" t="s">
        <v>698</v>
      </c>
      <c r="C76" s="483" t="s">
        <v>274</v>
      </c>
      <c r="D76" s="484">
        <v>2022</v>
      </c>
      <c r="E76" s="483" t="s">
        <v>361</v>
      </c>
      <c r="F76" s="472" t="s">
        <v>362</v>
      </c>
      <c r="G76" s="472" t="s">
        <v>363</v>
      </c>
      <c r="H76" s="473">
        <v>20231</v>
      </c>
      <c r="I76" s="483" t="s">
        <v>364</v>
      </c>
      <c r="J76" s="472" t="s">
        <v>278</v>
      </c>
      <c r="K76" s="483" t="s">
        <v>279</v>
      </c>
      <c r="L76" s="483" t="s">
        <v>307</v>
      </c>
      <c r="M76" s="483" t="s">
        <v>292</v>
      </c>
      <c r="N76" s="473">
        <v>500</v>
      </c>
      <c r="O76" s="484">
        <v>10</v>
      </c>
      <c r="P76" s="472" t="s">
        <v>365</v>
      </c>
      <c r="Q76" s="483" t="s">
        <v>2186</v>
      </c>
      <c r="R76" s="472" t="s">
        <v>367</v>
      </c>
      <c r="S76" s="474"/>
      <c r="T76" s="474"/>
      <c r="U76" s="475" t="s">
        <v>368</v>
      </c>
      <c r="V76" s="485" t="str">
        <f>CLEAN(TRIM(Table2[[#This Row],[Status]] &amp; "|" &amp; Table2[[#This Row],[Level]] &amp; "|" &amp; Table2[[#This Row],[Participant As]]))</f>
        <v>Narasumber / Pemateri Acara Seminar / Workshop / Pemakalah|External International|Individual</v>
      </c>
      <c r="W76" s="486">
        <f>IFERROR(INDEX(GradingSimkat[Score], MATCH(Table2[[#This Row],[Criteria]], GradingSimkat[Criteria], 0)), 0)</f>
        <v>0</v>
      </c>
    </row>
    <row r="77" spans="1:23" ht="13.75" customHeight="1">
      <c r="A77" s="482" t="s">
        <v>727</v>
      </c>
      <c r="B77" s="483" t="s">
        <v>728</v>
      </c>
      <c r="C77" s="483" t="s">
        <v>274</v>
      </c>
      <c r="D77" s="484">
        <v>2022</v>
      </c>
      <c r="E77" s="483" t="s">
        <v>361</v>
      </c>
      <c r="F77" s="472" t="s">
        <v>362</v>
      </c>
      <c r="G77" s="472" t="s">
        <v>363</v>
      </c>
      <c r="H77" s="473">
        <v>20231</v>
      </c>
      <c r="I77" s="483" t="s">
        <v>364</v>
      </c>
      <c r="J77" s="472" t="s">
        <v>278</v>
      </c>
      <c r="K77" s="483" t="s">
        <v>279</v>
      </c>
      <c r="L77" s="483" t="s">
        <v>307</v>
      </c>
      <c r="M77" s="483" t="s">
        <v>292</v>
      </c>
      <c r="N77" s="473">
        <v>500</v>
      </c>
      <c r="O77" s="484">
        <v>10</v>
      </c>
      <c r="P77" s="472" t="s">
        <v>365</v>
      </c>
      <c r="Q77" s="483" t="s">
        <v>2186</v>
      </c>
      <c r="R77" s="472" t="s">
        <v>367</v>
      </c>
      <c r="S77" s="474"/>
      <c r="T77" s="474"/>
      <c r="U77" s="475" t="s">
        <v>368</v>
      </c>
      <c r="V77" s="485" t="str">
        <f>CLEAN(TRIM(Table2[[#This Row],[Status]] &amp; "|" &amp; Table2[[#This Row],[Level]] &amp; "|" &amp; Table2[[#This Row],[Participant As]]))</f>
        <v>Narasumber / Pemateri Acara Seminar / Workshop / Pemakalah|External International|Individual</v>
      </c>
      <c r="W77" s="486">
        <f>IFERROR(INDEX(GradingSimkat[Score], MATCH(Table2[[#This Row],[Criteria]], GradingSimkat[Criteria], 0)), 0)</f>
        <v>0</v>
      </c>
    </row>
    <row r="78" spans="1:23" ht="13.75" customHeight="1">
      <c r="A78" s="482" t="s">
        <v>1865</v>
      </c>
      <c r="B78" s="483" t="s">
        <v>1866</v>
      </c>
      <c r="C78" s="483" t="s">
        <v>1857</v>
      </c>
      <c r="D78" s="484">
        <v>2020</v>
      </c>
      <c r="E78" s="483" t="s">
        <v>361</v>
      </c>
      <c r="F78" s="472" t="s">
        <v>362</v>
      </c>
      <c r="G78" s="472" t="s">
        <v>363</v>
      </c>
      <c r="H78" s="473">
        <v>20231</v>
      </c>
      <c r="I78" s="483" t="s">
        <v>364</v>
      </c>
      <c r="J78" s="472" t="s">
        <v>278</v>
      </c>
      <c r="K78" s="483" t="s">
        <v>279</v>
      </c>
      <c r="L78" s="483" t="s">
        <v>307</v>
      </c>
      <c r="M78" s="483" t="s">
        <v>292</v>
      </c>
      <c r="N78" s="473">
        <v>500</v>
      </c>
      <c r="O78" s="484">
        <v>10</v>
      </c>
      <c r="P78" s="472" t="s">
        <v>365</v>
      </c>
      <c r="Q78" s="483" t="s">
        <v>2188</v>
      </c>
      <c r="R78" s="472" t="s">
        <v>389</v>
      </c>
      <c r="S78" s="474"/>
      <c r="T78" s="474"/>
      <c r="U78" s="475" t="s">
        <v>368</v>
      </c>
      <c r="V78" s="485" t="str">
        <f>CLEAN(TRIM(Table2[[#This Row],[Status]] &amp; "|" &amp; Table2[[#This Row],[Level]] &amp; "|" &amp; Table2[[#This Row],[Participant As]]))</f>
        <v>Narasumber / Pemateri Acara Seminar / Workshop / Pemakalah|External International|Individual</v>
      </c>
      <c r="W78" s="486">
        <f>IFERROR(INDEX(GradingSimkat[Score], MATCH(Table2[[#This Row],[Criteria]], GradingSimkat[Criteria], 0)), 0)</f>
        <v>0</v>
      </c>
    </row>
    <row r="79" spans="1:23" ht="13.75" customHeight="1">
      <c r="A79" s="482" t="s">
        <v>1251</v>
      </c>
      <c r="B79" s="483" t="s">
        <v>1252</v>
      </c>
      <c r="C79" s="483" t="s">
        <v>1227</v>
      </c>
      <c r="D79" s="484">
        <v>2021</v>
      </c>
      <c r="E79" s="483" t="s">
        <v>361</v>
      </c>
      <c r="F79" s="472" t="s">
        <v>362</v>
      </c>
      <c r="G79" s="472" t="s">
        <v>363</v>
      </c>
      <c r="H79" s="473">
        <v>20231</v>
      </c>
      <c r="I79" s="483" t="s">
        <v>364</v>
      </c>
      <c r="J79" s="472" t="s">
        <v>278</v>
      </c>
      <c r="K79" s="483" t="s">
        <v>279</v>
      </c>
      <c r="L79" s="483" t="s">
        <v>307</v>
      </c>
      <c r="M79" s="483" t="s">
        <v>292</v>
      </c>
      <c r="N79" s="473">
        <v>500</v>
      </c>
      <c r="O79" s="484">
        <v>10</v>
      </c>
      <c r="P79" s="472" t="s">
        <v>365</v>
      </c>
      <c r="Q79" s="483" t="s">
        <v>2188</v>
      </c>
      <c r="R79" s="472" t="s">
        <v>389</v>
      </c>
      <c r="S79" s="474"/>
      <c r="T79" s="474"/>
      <c r="U79" s="475" t="s">
        <v>368</v>
      </c>
      <c r="V79" s="485" t="str">
        <f>CLEAN(TRIM(Table2[[#This Row],[Status]] &amp; "|" &amp; Table2[[#This Row],[Level]] &amp; "|" &amp; Table2[[#This Row],[Participant As]]))</f>
        <v>Narasumber / Pemateri Acara Seminar / Workshop / Pemakalah|External International|Individual</v>
      </c>
      <c r="W79" s="486">
        <f>IFERROR(INDEX(GradingSimkat[Score], MATCH(Table2[[#This Row],[Criteria]], GradingSimkat[Criteria], 0)), 0)</f>
        <v>0</v>
      </c>
    </row>
    <row r="80" spans="1:23" ht="13.75" customHeight="1">
      <c r="A80" s="482" t="s">
        <v>1903</v>
      </c>
      <c r="B80" s="483" t="s">
        <v>1904</v>
      </c>
      <c r="C80" s="483" t="s">
        <v>1857</v>
      </c>
      <c r="D80" s="484">
        <v>2022</v>
      </c>
      <c r="E80" s="483" t="s">
        <v>1905</v>
      </c>
      <c r="F80" s="472" t="s">
        <v>1906</v>
      </c>
      <c r="G80" s="472" t="s">
        <v>1906</v>
      </c>
      <c r="H80" s="473">
        <v>20222</v>
      </c>
      <c r="I80" s="483" t="s">
        <v>1907</v>
      </c>
      <c r="J80" s="472" t="s">
        <v>278</v>
      </c>
      <c r="K80" s="483" t="s">
        <v>279</v>
      </c>
      <c r="L80" s="483" t="s">
        <v>280</v>
      </c>
      <c r="M80" s="483" t="s">
        <v>292</v>
      </c>
      <c r="N80" s="473">
        <v>0</v>
      </c>
      <c r="O80" s="484">
        <v>6</v>
      </c>
      <c r="P80" s="474"/>
      <c r="Q80" s="483" t="s">
        <v>2279</v>
      </c>
      <c r="R80" s="474"/>
      <c r="S80" s="474"/>
      <c r="T80" s="474"/>
      <c r="U80" s="475" t="s">
        <v>1909</v>
      </c>
      <c r="V80" s="485" t="str">
        <f>CLEAN(TRIM(Table2[[#This Row],[Status]] &amp; "|" &amp; Table2[[#This Row],[Level]] &amp; "|" &amp; Table2[[#This Row],[Participant As]]))</f>
        <v>Narasumber / Pemateri Acara Seminar / Workshop / Pemakalah|External National|Individual</v>
      </c>
      <c r="W80" s="486">
        <f>IFERROR(INDEX(GradingSimkat[Score], MATCH(Table2[[#This Row],[Criteria]], GradingSimkat[Criteria], 0)), 0)</f>
        <v>0</v>
      </c>
    </row>
    <row r="81" spans="1:23" ht="13.75" customHeight="1">
      <c r="A81" s="482" t="s">
        <v>721</v>
      </c>
      <c r="B81" s="483" t="s">
        <v>722</v>
      </c>
      <c r="C81" s="483" t="s">
        <v>274</v>
      </c>
      <c r="D81" s="484">
        <v>2022</v>
      </c>
      <c r="E81" s="483" t="s">
        <v>361</v>
      </c>
      <c r="F81" s="472" t="s">
        <v>362</v>
      </c>
      <c r="G81" s="472" t="s">
        <v>363</v>
      </c>
      <c r="H81" s="473">
        <v>20231</v>
      </c>
      <c r="I81" s="483" t="s">
        <v>364</v>
      </c>
      <c r="J81" s="472" t="s">
        <v>278</v>
      </c>
      <c r="K81" s="483" t="s">
        <v>279</v>
      </c>
      <c r="L81" s="483" t="s">
        <v>307</v>
      </c>
      <c r="M81" s="483" t="s">
        <v>292</v>
      </c>
      <c r="N81" s="473">
        <v>500</v>
      </c>
      <c r="O81" s="484">
        <v>10</v>
      </c>
      <c r="P81" s="472" t="s">
        <v>365</v>
      </c>
      <c r="Q81" s="483" t="s">
        <v>2186</v>
      </c>
      <c r="R81" s="472" t="s">
        <v>367</v>
      </c>
      <c r="S81" s="474"/>
      <c r="T81" s="474"/>
      <c r="U81" s="475" t="s">
        <v>368</v>
      </c>
      <c r="V81" s="485" t="str">
        <f>CLEAN(TRIM(Table2[[#This Row],[Status]] &amp; "|" &amp; Table2[[#This Row],[Level]] &amp; "|" &amp; Table2[[#This Row],[Participant As]]))</f>
        <v>Narasumber / Pemateri Acara Seminar / Workshop / Pemakalah|External International|Individual</v>
      </c>
      <c r="W81" s="486">
        <f>IFERROR(INDEX(GradingSimkat[Score], MATCH(Table2[[#This Row],[Criteria]], GradingSimkat[Criteria], 0)), 0)</f>
        <v>0</v>
      </c>
    </row>
    <row r="82" spans="1:23" ht="13.75" customHeight="1">
      <c r="A82" s="482" t="s">
        <v>1538</v>
      </c>
      <c r="B82" s="483" t="s">
        <v>1539</v>
      </c>
      <c r="C82" s="483" t="s">
        <v>1540</v>
      </c>
      <c r="D82" s="484">
        <v>2021</v>
      </c>
      <c r="E82" s="483" t="s">
        <v>1541</v>
      </c>
      <c r="F82" s="472" t="s">
        <v>1542</v>
      </c>
      <c r="G82" s="472" t="s">
        <v>1525</v>
      </c>
      <c r="H82" s="473">
        <v>20222</v>
      </c>
      <c r="I82" s="483" t="s">
        <v>1543</v>
      </c>
      <c r="J82" s="472" t="s">
        <v>278</v>
      </c>
      <c r="K82" s="493" t="s">
        <v>2157</v>
      </c>
      <c r="L82" s="483" t="s">
        <v>438</v>
      </c>
      <c r="M82" s="483" t="s">
        <v>292</v>
      </c>
      <c r="N82" s="473">
        <v>100</v>
      </c>
      <c r="O82" s="484">
        <v>10</v>
      </c>
      <c r="P82" s="474"/>
      <c r="Q82" s="483" t="s">
        <v>2256</v>
      </c>
      <c r="R82" s="474"/>
      <c r="S82" s="474"/>
      <c r="T82" s="474"/>
      <c r="U82" s="475" t="s">
        <v>1545</v>
      </c>
      <c r="V82" s="485" t="str">
        <f>CLEAN(TRIM(Table2[[#This Row],[Status]] &amp; "|" &amp; Table2[[#This Row],[Level]] &amp; "|" &amp; Table2[[#This Row],[Participant As]]))</f>
        <v>Pembicara pada pelatihan/seminar/event berskala|External Regional|Individual</v>
      </c>
      <c r="W82" s="486">
        <f>IFERROR(INDEX(GradingSimkat[Score], MATCH(Table2[[#This Row],[Criteria]], GradingSimkat[Criteria], 0)), 0)</f>
        <v>0</v>
      </c>
    </row>
    <row r="83" spans="1:23" ht="13.75" customHeight="1">
      <c r="A83" s="471" t="s">
        <v>1538</v>
      </c>
      <c r="B83" s="472" t="s">
        <v>1539</v>
      </c>
      <c r="C83" s="472" t="s">
        <v>1540</v>
      </c>
      <c r="D83" s="473">
        <v>2021</v>
      </c>
      <c r="E83" s="472" t="s">
        <v>505</v>
      </c>
      <c r="F83" s="472" t="s">
        <v>506</v>
      </c>
      <c r="G83" s="472" t="s">
        <v>506</v>
      </c>
      <c r="H83" s="473">
        <v>20231</v>
      </c>
      <c r="I83" s="474"/>
      <c r="J83" s="472" t="s">
        <v>278</v>
      </c>
      <c r="K83" s="472" t="s">
        <v>2155</v>
      </c>
      <c r="L83" s="472" t="s">
        <v>291</v>
      </c>
      <c r="M83" s="472" t="s">
        <v>292</v>
      </c>
      <c r="N83" s="473">
        <v>50</v>
      </c>
      <c r="O83" s="473">
        <v>4</v>
      </c>
      <c r="P83" s="474"/>
      <c r="Q83" s="472" t="s">
        <v>507</v>
      </c>
      <c r="R83" s="472" t="s">
        <v>508</v>
      </c>
      <c r="S83" s="474"/>
      <c r="T83" s="474"/>
      <c r="U83" s="475" t="s">
        <v>440</v>
      </c>
      <c r="V83" s="481" t="str">
        <f>CLEAN(TRIM(Table2[[#This Row],[Status]] &amp; "|" &amp; Table2[[#This Row],[Level]] &amp; "|" &amp; Table2[[#This Row],[Participant As]]))</f>
        <v>Juri/Pelatih/Wasit|Internal Sekolah / Universitas|Individual</v>
      </c>
      <c r="W83" s="477">
        <f>IFERROR(INDEX(GradingSimkat[Score], MATCH(Table2[[#This Row],[Criteria]], GradingSimkat[Criteria], 0)), 0)</f>
        <v>0</v>
      </c>
    </row>
    <row r="84" spans="1:23" ht="13.75" customHeight="1">
      <c r="A84" s="482" t="s">
        <v>1249</v>
      </c>
      <c r="B84" s="483" t="s">
        <v>1250</v>
      </c>
      <c r="C84" s="483" t="s">
        <v>1227</v>
      </c>
      <c r="D84" s="484">
        <v>2020</v>
      </c>
      <c r="E84" s="483" t="s">
        <v>361</v>
      </c>
      <c r="F84" s="472" t="s">
        <v>362</v>
      </c>
      <c r="G84" s="472" t="s">
        <v>363</v>
      </c>
      <c r="H84" s="473">
        <v>20231</v>
      </c>
      <c r="I84" s="483" t="s">
        <v>364</v>
      </c>
      <c r="J84" s="472" t="s">
        <v>278</v>
      </c>
      <c r="K84" s="483" t="s">
        <v>279</v>
      </c>
      <c r="L84" s="483" t="s">
        <v>307</v>
      </c>
      <c r="M84" s="483" t="s">
        <v>292</v>
      </c>
      <c r="N84" s="473">
        <v>500</v>
      </c>
      <c r="O84" s="484">
        <v>10</v>
      </c>
      <c r="P84" s="472" t="s">
        <v>365</v>
      </c>
      <c r="Q84" s="483" t="s">
        <v>2188</v>
      </c>
      <c r="R84" s="472" t="s">
        <v>389</v>
      </c>
      <c r="S84" s="474"/>
      <c r="T84" s="474"/>
      <c r="U84" s="475" t="s">
        <v>368</v>
      </c>
      <c r="V84" s="485" t="str">
        <f>CLEAN(TRIM(Table2[[#This Row],[Status]] &amp; "|" &amp; Table2[[#This Row],[Level]] &amp; "|" &amp; Table2[[#This Row],[Participant As]]))</f>
        <v>Narasumber / Pemateri Acara Seminar / Workshop / Pemakalah|External International|Individual</v>
      </c>
      <c r="W84" s="486">
        <f>IFERROR(INDEX(GradingSimkat[Score], MATCH(Table2[[#This Row],[Criteria]], GradingSimkat[Criteria], 0)), 0)</f>
        <v>0</v>
      </c>
    </row>
    <row r="85" spans="1:23" ht="13.75" customHeight="1">
      <c r="A85" s="482" t="s">
        <v>509</v>
      </c>
      <c r="B85" s="483" t="s">
        <v>510</v>
      </c>
      <c r="C85" s="483" t="s">
        <v>274</v>
      </c>
      <c r="D85" s="484">
        <v>2021</v>
      </c>
      <c r="E85" s="483" t="s">
        <v>511</v>
      </c>
      <c r="F85" s="472" t="s">
        <v>419</v>
      </c>
      <c r="G85" s="472" t="s">
        <v>419</v>
      </c>
      <c r="H85" s="473">
        <v>20231</v>
      </c>
      <c r="I85" s="483" t="s">
        <v>512</v>
      </c>
      <c r="J85" s="472" t="s">
        <v>278</v>
      </c>
      <c r="K85" s="493" t="s">
        <v>2157</v>
      </c>
      <c r="L85" s="483" t="s">
        <v>438</v>
      </c>
      <c r="M85" s="483" t="s">
        <v>292</v>
      </c>
      <c r="N85" s="473">
        <v>60</v>
      </c>
      <c r="O85" s="484">
        <v>10</v>
      </c>
      <c r="P85" s="472" t="s">
        <v>513</v>
      </c>
      <c r="Q85" s="483" t="s">
        <v>2200</v>
      </c>
      <c r="R85" s="474"/>
      <c r="S85" s="474"/>
      <c r="T85" s="474"/>
      <c r="U85" s="475" t="s">
        <v>515</v>
      </c>
      <c r="V85" s="485" t="str">
        <f>CLEAN(TRIM(Table2[[#This Row],[Status]] &amp; "|" &amp; Table2[[#This Row],[Level]] &amp; "|" &amp; Table2[[#This Row],[Participant As]]))</f>
        <v>Pembicara pada pelatihan/seminar/event berskala|External Regional|Individual</v>
      </c>
      <c r="W85" s="486">
        <f>IFERROR(INDEX(GradingSimkat[Score], MATCH(Table2[[#This Row],[Criteria]], GradingSimkat[Criteria], 0)), 0)</f>
        <v>0</v>
      </c>
    </row>
    <row r="86" spans="1:23" ht="13.75" customHeight="1">
      <c r="A86" s="482" t="s">
        <v>945</v>
      </c>
      <c r="B86" s="483" t="s">
        <v>946</v>
      </c>
      <c r="C86" s="483" t="s">
        <v>274</v>
      </c>
      <c r="D86" s="484">
        <v>2023</v>
      </c>
      <c r="E86" s="483" t="s">
        <v>361</v>
      </c>
      <c r="F86" s="472" t="s">
        <v>362</v>
      </c>
      <c r="G86" s="472" t="s">
        <v>363</v>
      </c>
      <c r="H86" s="473">
        <v>20231</v>
      </c>
      <c r="I86" s="483" t="s">
        <v>364</v>
      </c>
      <c r="J86" s="472" t="s">
        <v>278</v>
      </c>
      <c r="K86" s="483" t="s">
        <v>279</v>
      </c>
      <c r="L86" s="483" t="s">
        <v>307</v>
      </c>
      <c r="M86" s="483" t="s">
        <v>292</v>
      </c>
      <c r="N86" s="473">
        <v>500</v>
      </c>
      <c r="O86" s="484">
        <v>10</v>
      </c>
      <c r="P86" s="472" t="s">
        <v>365</v>
      </c>
      <c r="Q86" s="483" t="s">
        <v>2186</v>
      </c>
      <c r="R86" s="472" t="s">
        <v>367</v>
      </c>
      <c r="S86" s="474"/>
      <c r="T86" s="474"/>
      <c r="U86" s="475" t="s">
        <v>368</v>
      </c>
      <c r="V86" s="485" t="str">
        <f>CLEAN(TRIM(Table2[[#This Row],[Status]] &amp; "|" &amp; Table2[[#This Row],[Level]] &amp; "|" &amp; Table2[[#This Row],[Participant As]]))</f>
        <v>Narasumber / Pemateri Acara Seminar / Workshop / Pemakalah|External International|Individual</v>
      </c>
      <c r="W86" s="486">
        <f>IFERROR(INDEX(GradingSimkat[Score], MATCH(Table2[[#This Row],[Criteria]], GradingSimkat[Criteria], 0)), 0)</f>
        <v>0</v>
      </c>
    </row>
    <row r="87" spans="1:23" ht="13.75" customHeight="1">
      <c r="A87" s="482" t="s">
        <v>426</v>
      </c>
      <c r="B87" s="483" t="s">
        <v>427</v>
      </c>
      <c r="C87" s="483" t="s">
        <v>274</v>
      </c>
      <c r="D87" s="484">
        <v>2021</v>
      </c>
      <c r="E87" s="483" t="s">
        <v>428</v>
      </c>
      <c r="F87" s="472" t="s">
        <v>429</v>
      </c>
      <c r="G87" s="472" t="s">
        <v>429</v>
      </c>
      <c r="H87" s="473">
        <v>20221</v>
      </c>
      <c r="I87" s="487"/>
      <c r="J87" s="472" t="s">
        <v>278</v>
      </c>
      <c r="K87" s="483" t="s">
        <v>279</v>
      </c>
      <c r="L87" s="483" t="s">
        <v>291</v>
      </c>
      <c r="M87" s="483" t="s">
        <v>292</v>
      </c>
      <c r="N87" s="473">
        <v>200</v>
      </c>
      <c r="O87" s="484">
        <v>5</v>
      </c>
      <c r="P87" s="474"/>
      <c r="Q87" s="483" t="s">
        <v>2192</v>
      </c>
      <c r="R87" s="472" t="s">
        <v>431</v>
      </c>
      <c r="S87" s="474"/>
      <c r="T87" s="474"/>
      <c r="U87" s="475" t="s">
        <v>432</v>
      </c>
      <c r="V87" s="485" t="str">
        <f>CLEAN(TRIM(Table2[[#This Row],[Status]] &amp; "|" &amp; Table2[[#This Row],[Level]] &amp; "|" &amp; Table2[[#This Row],[Participant As]]))</f>
        <v>Narasumber / Pemateri Acara Seminar / Workshop / Pemakalah|Internal Sekolah / Universitas|Individual</v>
      </c>
      <c r="W87" s="486">
        <f>IFERROR(INDEX(GradingSimkat[Score], MATCH(Table2[[#This Row],[Criteria]], GradingSimkat[Criteria], 0)), 0)</f>
        <v>0</v>
      </c>
    </row>
    <row r="88" spans="1:23" ht="13.75" customHeight="1">
      <c r="A88" s="482" t="s">
        <v>709</v>
      </c>
      <c r="B88" s="483" t="s">
        <v>710</v>
      </c>
      <c r="C88" s="483" t="s">
        <v>274</v>
      </c>
      <c r="D88" s="484">
        <v>2022</v>
      </c>
      <c r="E88" s="483" t="s">
        <v>361</v>
      </c>
      <c r="F88" s="472" t="s">
        <v>362</v>
      </c>
      <c r="G88" s="472" t="s">
        <v>363</v>
      </c>
      <c r="H88" s="473">
        <v>20231</v>
      </c>
      <c r="I88" s="483" t="s">
        <v>364</v>
      </c>
      <c r="J88" s="472" t="s">
        <v>278</v>
      </c>
      <c r="K88" s="483" t="s">
        <v>279</v>
      </c>
      <c r="L88" s="483" t="s">
        <v>307</v>
      </c>
      <c r="M88" s="483" t="s">
        <v>292</v>
      </c>
      <c r="N88" s="473">
        <v>500</v>
      </c>
      <c r="O88" s="484">
        <v>10</v>
      </c>
      <c r="P88" s="472" t="s">
        <v>365</v>
      </c>
      <c r="Q88" s="483" t="s">
        <v>2186</v>
      </c>
      <c r="R88" s="472" t="s">
        <v>367</v>
      </c>
      <c r="S88" s="474"/>
      <c r="T88" s="474"/>
      <c r="U88" s="475" t="s">
        <v>368</v>
      </c>
      <c r="V88" s="485" t="str">
        <f>CLEAN(TRIM(Table2[[#This Row],[Status]] &amp; "|" &amp; Table2[[#This Row],[Level]] &amp; "|" &amp; Table2[[#This Row],[Participant As]]))</f>
        <v>Narasumber / Pemateri Acara Seminar / Workshop / Pemakalah|External International|Individual</v>
      </c>
      <c r="W88" s="486">
        <f>IFERROR(INDEX(GradingSimkat[Score], MATCH(Table2[[#This Row],[Criteria]], GradingSimkat[Criteria], 0)), 0)</f>
        <v>0</v>
      </c>
    </row>
    <row r="89" spans="1:23" ht="13.75" customHeight="1">
      <c r="A89" s="482" t="s">
        <v>1350</v>
      </c>
      <c r="B89" s="483" t="s">
        <v>1351</v>
      </c>
      <c r="C89" s="483" t="s">
        <v>1304</v>
      </c>
      <c r="D89" s="484">
        <v>2021</v>
      </c>
      <c r="E89" s="483" t="s">
        <v>418</v>
      </c>
      <c r="F89" s="472" t="s">
        <v>419</v>
      </c>
      <c r="G89" s="472" t="s">
        <v>419</v>
      </c>
      <c r="H89" s="473">
        <v>20231</v>
      </c>
      <c r="I89" s="483" t="s">
        <v>420</v>
      </c>
      <c r="J89" s="472" t="s">
        <v>278</v>
      </c>
      <c r="K89" s="483" t="s">
        <v>279</v>
      </c>
      <c r="L89" s="483" t="s">
        <v>291</v>
      </c>
      <c r="M89" s="483" t="s">
        <v>292</v>
      </c>
      <c r="N89" s="473">
        <v>250</v>
      </c>
      <c r="O89" s="484">
        <v>4</v>
      </c>
      <c r="P89" s="474"/>
      <c r="Q89" s="483" t="s">
        <v>2191</v>
      </c>
      <c r="R89" s="472" t="s">
        <v>422</v>
      </c>
      <c r="S89" s="474"/>
      <c r="T89" s="474"/>
      <c r="U89" s="475" t="s">
        <v>423</v>
      </c>
      <c r="V89" s="485" t="str">
        <f>CLEAN(TRIM(Table2[[#This Row],[Status]] &amp; "|" &amp; Table2[[#This Row],[Level]] &amp; "|" &amp; Table2[[#This Row],[Participant As]]))</f>
        <v>Narasumber / Pemateri Acara Seminar / Workshop / Pemakalah|Internal Sekolah / Universitas|Individual</v>
      </c>
      <c r="W89" s="486">
        <f>IFERROR(INDEX(GradingSimkat[Score], MATCH(Table2[[#This Row],[Criteria]], GradingSimkat[Criteria], 0)), 0)</f>
        <v>0</v>
      </c>
    </row>
    <row r="90" spans="1:23" ht="13.75" customHeight="1">
      <c r="A90" s="482" t="s">
        <v>643</v>
      </c>
      <c r="B90" s="483" t="s">
        <v>644</v>
      </c>
      <c r="C90" s="483" t="s">
        <v>274</v>
      </c>
      <c r="D90" s="484">
        <v>2022</v>
      </c>
      <c r="E90" s="483" t="s">
        <v>361</v>
      </c>
      <c r="F90" s="472" t="s">
        <v>362</v>
      </c>
      <c r="G90" s="472" t="s">
        <v>363</v>
      </c>
      <c r="H90" s="473">
        <v>20231</v>
      </c>
      <c r="I90" s="483" t="s">
        <v>364</v>
      </c>
      <c r="J90" s="472" t="s">
        <v>278</v>
      </c>
      <c r="K90" s="483" t="s">
        <v>279</v>
      </c>
      <c r="L90" s="483" t="s">
        <v>307</v>
      </c>
      <c r="M90" s="483" t="s">
        <v>292</v>
      </c>
      <c r="N90" s="473">
        <v>500</v>
      </c>
      <c r="O90" s="484">
        <v>10</v>
      </c>
      <c r="P90" s="472" t="s">
        <v>365</v>
      </c>
      <c r="Q90" s="483" t="s">
        <v>2186</v>
      </c>
      <c r="R90" s="472" t="s">
        <v>367</v>
      </c>
      <c r="S90" s="474"/>
      <c r="T90" s="474"/>
      <c r="U90" s="475" t="s">
        <v>368</v>
      </c>
      <c r="V90" s="485" t="str">
        <f>CLEAN(TRIM(Table2[[#This Row],[Status]] &amp; "|" &amp; Table2[[#This Row],[Level]] &amp; "|" &amp; Table2[[#This Row],[Participant As]]))</f>
        <v>Narasumber / Pemateri Acara Seminar / Workshop / Pemakalah|External International|Individual</v>
      </c>
      <c r="W90" s="486">
        <f>IFERROR(INDEX(GradingSimkat[Score], MATCH(Table2[[#This Row],[Criteria]], GradingSimkat[Criteria], 0)), 0)</f>
        <v>0</v>
      </c>
    </row>
    <row r="91" spans="1:23" ht="13.75" customHeight="1">
      <c r="A91" s="482" t="s">
        <v>787</v>
      </c>
      <c r="B91" s="483" t="s">
        <v>788</v>
      </c>
      <c r="C91" s="483" t="s">
        <v>274</v>
      </c>
      <c r="D91" s="484">
        <v>2023</v>
      </c>
      <c r="E91" s="483" t="s">
        <v>361</v>
      </c>
      <c r="F91" s="472" t="s">
        <v>362</v>
      </c>
      <c r="G91" s="472" t="s">
        <v>363</v>
      </c>
      <c r="H91" s="473">
        <v>20231</v>
      </c>
      <c r="I91" s="483" t="s">
        <v>364</v>
      </c>
      <c r="J91" s="472" t="s">
        <v>278</v>
      </c>
      <c r="K91" s="483" t="s">
        <v>279</v>
      </c>
      <c r="L91" s="483" t="s">
        <v>307</v>
      </c>
      <c r="M91" s="483" t="s">
        <v>292</v>
      </c>
      <c r="N91" s="473">
        <v>500</v>
      </c>
      <c r="O91" s="484">
        <v>10</v>
      </c>
      <c r="P91" s="472" t="s">
        <v>365</v>
      </c>
      <c r="Q91" s="483" t="s">
        <v>2186</v>
      </c>
      <c r="R91" s="472" t="s">
        <v>367</v>
      </c>
      <c r="S91" s="474"/>
      <c r="T91" s="474"/>
      <c r="U91" s="475" t="s">
        <v>368</v>
      </c>
      <c r="V91" s="485" t="str">
        <f>CLEAN(TRIM(Table2[[#This Row],[Status]] &amp; "|" &amp; Table2[[#This Row],[Level]] &amp; "|" &amp; Table2[[#This Row],[Participant As]]))</f>
        <v>Narasumber / Pemateri Acara Seminar / Workshop / Pemakalah|External International|Individual</v>
      </c>
      <c r="W91" s="486">
        <f>IFERROR(INDEX(GradingSimkat[Score], MATCH(Table2[[#This Row],[Criteria]], GradingSimkat[Criteria], 0)), 0)</f>
        <v>0</v>
      </c>
    </row>
    <row r="92" spans="1:23" ht="13.75" customHeight="1">
      <c r="A92" s="482" t="s">
        <v>567</v>
      </c>
      <c r="B92" s="483" t="s">
        <v>568</v>
      </c>
      <c r="C92" s="483" t="s">
        <v>274</v>
      </c>
      <c r="D92" s="484">
        <v>2022</v>
      </c>
      <c r="E92" s="483" t="s">
        <v>361</v>
      </c>
      <c r="F92" s="472" t="s">
        <v>362</v>
      </c>
      <c r="G92" s="472" t="s">
        <v>363</v>
      </c>
      <c r="H92" s="473">
        <v>20231</v>
      </c>
      <c r="I92" s="483" t="s">
        <v>364</v>
      </c>
      <c r="J92" s="472" t="s">
        <v>278</v>
      </c>
      <c r="K92" s="483" t="s">
        <v>279</v>
      </c>
      <c r="L92" s="483" t="s">
        <v>307</v>
      </c>
      <c r="M92" s="483" t="s">
        <v>292</v>
      </c>
      <c r="N92" s="473">
        <v>500</v>
      </c>
      <c r="O92" s="484">
        <v>10</v>
      </c>
      <c r="P92" s="472" t="s">
        <v>365</v>
      </c>
      <c r="Q92" s="483" t="s">
        <v>2186</v>
      </c>
      <c r="R92" s="472" t="s">
        <v>367</v>
      </c>
      <c r="S92" s="474"/>
      <c r="T92" s="474"/>
      <c r="U92" s="475" t="s">
        <v>368</v>
      </c>
      <c r="V92" s="485" t="str">
        <f>CLEAN(TRIM(Table2[[#This Row],[Status]] &amp; "|" &amp; Table2[[#This Row],[Level]] &amp; "|" &amp; Table2[[#This Row],[Participant As]]))</f>
        <v>Narasumber / Pemateri Acara Seminar / Workshop / Pemakalah|External International|Individual</v>
      </c>
      <c r="W92" s="486">
        <f>IFERROR(INDEX(GradingSimkat[Score], MATCH(Table2[[#This Row],[Criteria]], GradingSimkat[Criteria], 0)), 0)</f>
        <v>0</v>
      </c>
    </row>
    <row r="93" spans="1:23" ht="13.75" customHeight="1">
      <c r="A93" s="471" t="s">
        <v>567</v>
      </c>
      <c r="B93" s="472" t="s">
        <v>568</v>
      </c>
      <c r="C93" s="472" t="s">
        <v>274</v>
      </c>
      <c r="D93" s="473">
        <v>2022</v>
      </c>
      <c r="E93" s="472" t="s">
        <v>569</v>
      </c>
      <c r="F93" s="472" t="s">
        <v>570</v>
      </c>
      <c r="G93" s="472" t="s">
        <v>571</v>
      </c>
      <c r="H93" s="473">
        <v>20231</v>
      </c>
      <c r="I93" s="472" t="s">
        <v>572</v>
      </c>
      <c r="J93" s="472" t="s">
        <v>278</v>
      </c>
      <c r="K93" s="472" t="s">
        <v>2159</v>
      </c>
      <c r="L93" s="472" t="s">
        <v>280</v>
      </c>
      <c r="M93" s="472" t="s">
        <v>292</v>
      </c>
      <c r="N93" s="473">
        <v>43</v>
      </c>
      <c r="O93" s="473">
        <v>2</v>
      </c>
      <c r="P93" s="474"/>
      <c r="Q93" s="474"/>
      <c r="R93" s="474"/>
      <c r="S93" s="472" t="s">
        <v>573</v>
      </c>
      <c r="T93" s="474"/>
      <c r="U93" s="475" t="s">
        <v>574</v>
      </c>
      <c r="V93" s="481" t="str">
        <f>CLEAN(TRIM(Table2[[#This Row],[Status]] &amp; "|" &amp; Table2[[#This Row],[Level]] &amp; "|" &amp; Table2[[#This Row],[Participant As]]))</f>
        <v>Penulis pertama buku ber-ISBN|External National|Individual</v>
      </c>
      <c r="W93" s="477">
        <f>IFERROR(INDEX(GradingSimkat[Score], MATCH(Table2[[#This Row],[Criteria]], GradingSimkat[Criteria], 0)), 0)</f>
        <v>6</v>
      </c>
    </row>
    <row r="94" spans="1:23" ht="13.75" customHeight="1">
      <c r="A94" s="482" t="s">
        <v>803</v>
      </c>
      <c r="B94" s="483" t="s">
        <v>804</v>
      </c>
      <c r="C94" s="483" t="s">
        <v>274</v>
      </c>
      <c r="D94" s="484">
        <v>2023</v>
      </c>
      <c r="E94" s="483" t="s">
        <v>361</v>
      </c>
      <c r="F94" s="472" t="s">
        <v>362</v>
      </c>
      <c r="G94" s="472" t="s">
        <v>363</v>
      </c>
      <c r="H94" s="473">
        <v>20231</v>
      </c>
      <c r="I94" s="483" t="s">
        <v>364</v>
      </c>
      <c r="J94" s="472" t="s">
        <v>278</v>
      </c>
      <c r="K94" s="483" t="s">
        <v>279</v>
      </c>
      <c r="L94" s="483" t="s">
        <v>307</v>
      </c>
      <c r="M94" s="483" t="s">
        <v>292</v>
      </c>
      <c r="N94" s="473">
        <v>500</v>
      </c>
      <c r="O94" s="484">
        <v>10</v>
      </c>
      <c r="P94" s="472" t="s">
        <v>365</v>
      </c>
      <c r="Q94" s="483" t="s">
        <v>2186</v>
      </c>
      <c r="R94" s="472" t="s">
        <v>367</v>
      </c>
      <c r="S94" s="474"/>
      <c r="T94" s="474"/>
      <c r="U94" s="475" t="s">
        <v>368</v>
      </c>
      <c r="V94" s="485" t="str">
        <f>CLEAN(TRIM(Table2[[#This Row],[Status]] &amp; "|" &amp; Table2[[#This Row],[Level]] &amp; "|" &amp; Table2[[#This Row],[Participant As]]))</f>
        <v>Narasumber / Pemateri Acara Seminar / Workshop / Pemakalah|External International|Individual</v>
      </c>
      <c r="W94" s="486">
        <f>IFERROR(INDEX(GradingSimkat[Score], MATCH(Table2[[#This Row],[Criteria]], GradingSimkat[Criteria], 0)), 0)</f>
        <v>0</v>
      </c>
    </row>
    <row r="95" spans="1:23" ht="13.75" customHeight="1">
      <c r="A95" s="482" t="s">
        <v>677</v>
      </c>
      <c r="B95" s="483" t="s">
        <v>678</v>
      </c>
      <c r="C95" s="483" t="s">
        <v>274</v>
      </c>
      <c r="D95" s="484">
        <v>2022</v>
      </c>
      <c r="E95" s="483" t="s">
        <v>361</v>
      </c>
      <c r="F95" s="472" t="s">
        <v>362</v>
      </c>
      <c r="G95" s="472" t="s">
        <v>363</v>
      </c>
      <c r="H95" s="473">
        <v>20231</v>
      </c>
      <c r="I95" s="483" t="s">
        <v>364</v>
      </c>
      <c r="J95" s="472" t="s">
        <v>278</v>
      </c>
      <c r="K95" s="483" t="s">
        <v>279</v>
      </c>
      <c r="L95" s="483" t="s">
        <v>307</v>
      </c>
      <c r="M95" s="483" t="s">
        <v>292</v>
      </c>
      <c r="N95" s="473">
        <v>500</v>
      </c>
      <c r="O95" s="484">
        <v>10</v>
      </c>
      <c r="P95" s="472" t="s">
        <v>365</v>
      </c>
      <c r="Q95" s="483" t="s">
        <v>2186</v>
      </c>
      <c r="R95" s="472" t="s">
        <v>367</v>
      </c>
      <c r="S95" s="474"/>
      <c r="T95" s="474"/>
      <c r="U95" s="475" t="s">
        <v>368</v>
      </c>
      <c r="V95" s="485" t="str">
        <f>CLEAN(TRIM(Table2[[#This Row],[Status]] &amp; "|" &amp; Table2[[#This Row],[Level]] &amp; "|" &amp; Table2[[#This Row],[Participant As]]))</f>
        <v>Narasumber / Pemateri Acara Seminar / Workshop / Pemakalah|External International|Individual</v>
      </c>
      <c r="W95" s="486">
        <f>IFERROR(INDEX(GradingSimkat[Score], MATCH(Table2[[#This Row],[Criteria]], GradingSimkat[Criteria], 0)), 0)</f>
        <v>0</v>
      </c>
    </row>
    <row r="96" spans="1:23" ht="13.75" customHeight="1">
      <c r="A96" s="482" t="s">
        <v>1536</v>
      </c>
      <c r="B96" s="483" t="s">
        <v>1537</v>
      </c>
      <c r="C96" s="483" t="s">
        <v>1499</v>
      </c>
      <c r="D96" s="484">
        <v>2022</v>
      </c>
      <c r="E96" s="483" t="s">
        <v>361</v>
      </c>
      <c r="F96" s="472" t="s">
        <v>362</v>
      </c>
      <c r="G96" s="472" t="s">
        <v>363</v>
      </c>
      <c r="H96" s="473">
        <v>20231</v>
      </c>
      <c r="I96" s="483" t="s">
        <v>364</v>
      </c>
      <c r="J96" s="472" t="s">
        <v>278</v>
      </c>
      <c r="K96" s="483" t="s">
        <v>279</v>
      </c>
      <c r="L96" s="483" t="s">
        <v>307</v>
      </c>
      <c r="M96" s="483" t="s">
        <v>292</v>
      </c>
      <c r="N96" s="473">
        <v>500</v>
      </c>
      <c r="O96" s="484">
        <v>10</v>
      </c>
      <c r="P96" s="472" t="s">
        <v>365</v>
      </c>
      <c r="Q96" s="483" t="s">
        <v>2188</v>
      </c>
      <c r="R96" s="472" t="s">
        <v>389</v>
      </c>
      <c r="S96" s="474"/>
      <c r="T96" s="474"/>
      <c r="U96" s="475" t="s">
        <v>368</v>
      </c>
      <c r="V96" s="485" t="str">
        <f>CLEAN(TRIM(Table2[[#This Row],[Status]] &amp; "|" &amp; Table2[[#This Row],[Level]] &amp; "|" &amp; Table2[[#This Row],[Participant As]]))</f>
        <v>Narasumber / Pemateri Acara Seminar / Workshop / Pemakalah|External International|Individual</v>
      </c>
      <c r="W96" s="486">
        <f>IFERROR(INDEX(GradingSimkat[Score], MATCH(Table2[[#This Row],[Criteria]], GradingSimkat[Criteria], 0)), 0)</f>
        <v>0</v>
      </c>
    </row>
    <row r="97" spans="1:23" ht="13.75" customHeight="1">
      <c r="A97" s="482" t="s">
        <v>272</v>
      </c>
      <c r="B97" s="483" t="s">
        <v>273</v>
      </c>
      <c r="C97" s="483" t="s">
        <v>274</v>
      </c>
      <c r="D97" s="484">
        <v>2019</v>
      </c>
      <c r="E97" s="483" t="s">
        <v>275</v>
      </c>
      <c r="F97" s="472" t="s">
        <v>276</v>
      </c>
      <c r="G97" s="472" t="s">
        <v>276</v>
      </c>
      <c r="H97" s="473">
        <v>20221</v>
      </c>
      <c r="I97" s="483" t="s">
        <v>277</v>
      </c>
      <c r="J97" s="472" t="s">
        <v>278</v>
      </c>
      <c r="K97" s="491" t="s">
        <v>2157</v>
      </c>
      <c r="L97" s="483" t="s">
        <v>280</v>
      </c>
      <c r="M97" s="483" t="s">
        <v>281</v>
      </c>
      <c r="N97" s="473">
        <v>2</v>
      </c>
      <c r="O97" s="484">
        <v>15</v>
      </c>
      <c r="P97" s="472" t="s">
        <v>282</v>
      </c>
      <c r="Q97" s="483" t="s">
        <v>2179</v>
      </c>
      <c r="R97" s="472" t="s">
        <v>284</v>
      </c>
      <c r="S97" s="474"/>
      <c r="T97" s="474"/>
      <c r="U97" s="475" t="s">
        <v>285</v>
      </c>
      <c r="V97" s="485" t="str">
        <f>CLEAN(TRIM(Table2[[#This Row],[Status]] &amp; "|" &amp; Table2[[#This Row],[Level]] &amp; "|" &amp; Table2[[#This Row],[Participant As]]))</f>
        <v>Pembicara pada pelatihan/seminar/event berskala|External National|Team</v>
      </c>
      <c r="W97" s="486">
        <f>IFERROR(INDEX(GradingSimkat[Score], MATCH(Table2[[#This Row],[Criteria]], GradingSimkat[Criteria], 0)), 0)</f>
        <v>4</v>
      </c>
    </row>
    <row r="98" spans="1:23" ht="13.75" customHeight="1">
      <c r="A98" s="482" t="s">
        <v>400</v>
      </c>
      <c r="B98" s="483" t="s">
        <v>401</v>
      </c>
      <c r="C98" s="483" t="s">
        <v>274</v>
      </c>
      <c r="D98" s="484">
        <v>2020</v>
      </c>
      <c r="E98" s="483" t="s">
        <v>402</v>
      </c>
      <c r="F98" s="472" t="s">
        <v>403</v>
      </c>
      <c r="G98" s="472" t="s">
        <v>404</v>
      </c>
      <c r="H98" s="473">
        <v>20222</v>
      </c>
      <c r="I98" s="483" t="s">
        <v>405</v>
      </c>
      <c r="J98" s="472" t="s">
        <v>278</v>
      </c>
      <c r="K98" s="483" t="s">
        <v>279</v>
      </c>
      <c r="L98" s="483" t="s">
        <v>291</v>
      </c>
      <c r="M98" s="483" t="s">
        <v>292</v>
      </c>
      <c r="N98" s="473">
        <v>100</v>
      </c>
      <c r="O98" s="484">
        <v>5</v>
      </c>
      <c r="P98" s="474"/>
      <c r="Q98" s="483" t="s">
        <v>2189</v>
      </c>
      <c r="R98" s="472" t="s">
        <v>407</v>
      </c>
      <c r="S98" s="474"/>
      <c r="T98" s="474"/>
      <c r="U98" s="475" t="s">
        <v>408</v>
      </c>
      <c r="V98" s="485" t="str">
        <f>CLEAN(TRIM(Table2[[#This Row],[Status]] &amp; "|" &amp; Table2[[#This Row],[Level]] &amp; "|" &amp; Table2[[#This Row],[Participant As]]))</f>
        <v>Narasumber / Pemateri Acara Seminar / Workshop / Pemakalah|Internal Sekolah / Universitas|Individual</v>
      </c>
      <c r="W98" s="486">
        <f>IFERROR(INDEX(GradingSimkat[Score], MATCH(Table2[[#This Row],[Criteria]], GradingSimkat[Criteria], 0)), 0)</f>
        <v>0</v>
      </c>
    </row>
    <row r="99" spans="1:23" ht="13.75" customHeight="1">
      <c r="A99" s="482" t="s">
        <v>400</v>
      </c>
      <c r="B99" s="483" t="s">
        <v>401</v>
      </c>
      <c r="C99" s="483" t="s">
        <v>274</v>
      </c>
      <c r="D99" s="484">
        <v>2020</v>
      </c>
      <c r="E99" s="483" t="s">
        <v>409</v>
      </c>
      <c r="F99" s="472" t="s">
        <v>410</v>
      </c>
      <c r="G99" s="472" t="s">
        <v>411</v>
      </c>
      <c r="H99" s="473">
        <v>20222</v>
      </c>
      <c r="I99" s="483" t="s">
        <v>409</v>
      </c>
      <c r="J99" s="472" t="s">
        <v>278</v>
      </c>
      <c r="K99" s="483" t="s">
        <v>279</v>
      </c>
      <c r="L99" s="483" t="s">
        <v>291</v>
      </c>
      <c r="M99" s="483" t="s">
        <v>292</v>
      </c>
      <c r="N99" s="473">
        <v>50</v>
      </c>
      <c r="O99" s="484">
        <v>5</v>
      </c>
      <c r="P99" s="474"/>
      <c r="Q99" s="483" t="s">
        <v>2190</v>
      </c>
      <c r="R99" s="472" t="s">
        <v>413</v>
      </c>
      <c r="S99" s="474"/>
      <c r="T99" s="474"/>
      <c r="U99" s="475" t="s">
        <v>408</v>
      </c>
      <c r="V99" s="485" t="str">
        <f>CLEAN(TRIM(Table2[[#This Row],[Status]] &amp; "|" &amp; Table2[[#This Row],[Level]] &amp; "|" &amp; Table2[[#This Row],[Participant As]]))</f>
        <v>Narasumber / Pemateri Acara Seminar / Workshop / Pemakalah|Internal Sekolah / Universitas|Individual</v>
      </c>
      <c r="W99" s="486">
        <f>IFERROR(INDEX(GradingSimkat[Score], MATCH(Table2[[#This Row],[Criteria]], GradingSimkat[Criteria], 0)), 0)</f>
        <v>0</v>
      </c>
    </row>
    <row r="100" spans="1:23" ht="13.75" customHeight="1">
      <c r="A100" s="482" t="s">
        <v>859</v>
      </c>
      <c r="B100" s="483" t="s">
        <v>860</v>
      </c>
      <c r="C100" s="483" t="s">
        <v>274</v>
      </c>
      <c r="D100" s="484">
        <v>2023</v>
      </c>
      <c r="E100" s="483" t="s">
        <v>361</v>
      </c>
      <c r="F100" s="472" t="s">
        <v>362</v>
      </c>
      <c r="G100" s="472" t="s">
        <v>363</v>
      </c>
      <c r="H100" s="473">
        <v>20231</v>
      </c>
      <c r="I100" s="483" t="s">
        <v>364</v>
      </c>
      <c r="J100" s="472" t="s">
        <v>278</v>
      </c>
      <c r="K100" s="483" t="s">
        <v>279</v>
      </c>
      <c r="L100" s="483" t="s">
        <v>307</v>
      </c>
      <c r="M100" s="483" t="s">
        <v>292</v>
      </c>
      <c r="N100" s="473">
        <v>500</v>
      </c>
      <c r="O100" s="484">
        <v>10</v>
      </c>
      <c r="P100" s="472" t="s">
        <v>365</v>
      </c>
      <c r="Q100" s="483" t="s">
        <v>2186</v>
      </c>
      <c r="R100" s="472" t="s">
        <v>367</v>
      </c>
      <c r="S100" s="474"/>
      <c r="T100" s="474"/>
      <c r="U100" s="475" t="s">
        <v>368</v>
      </c>
      <c r="V100" s="485" t="str">
        <f>CLEAN(TRIM(Table2[[#This Row],[Status]] &amp; "|" &amp; Table2[[#This Row],[Level]] &amp; "|" &amp; Table2[[#This Row],[Participant As]]))</f>
        <v>Narasumber / Pemateri Acara Seminar / Workshop / Pemakalah|External International|Individual</v>
      </c>
      <c r="W100" s="486">
        <f>IFERROR(INDEX(GradingSimkat[Score], MATCH(Table2[[#This Row],[Criteria]], GradingSimkat[Criteria], 0)), 0)</f>
        <v>0</v>
      </c>
    </row>
    <row r="101" spans="1:23" ht="13.75" customHeight="1">
      <c r="A101" s="482" t="s">
        <v>1335</v>
      </c>
      <c r="B101" s="483" t="s">
        <v>1336</v>
      </c>
      <c r="C101" s="483" t="s">
        <v>1304</v>
      </c>
      <c r="D101" s="484">
        <v>2019</v>
      </c>
      <c r="E101" s="483" t="s">
        <v>1337</v>
      </c>
      <c r="F101" s="472" t="s">
        <v>1338</v>
      </c>
      <c r="G101" s="472" t="s">
        <v>1339</v>
      </c>
      <c r="H101" s="473">
        <v>20202</v>
      </c>
      <c r="I101" s="487"/>
      <c r="J101" s="472" t="s">
        <v>278</v>
      </c>
      <c r="K101" s="483" t="s">
        <v>2157</v>
      </c>
      <c r="L101" s="483" t="s">
        <v>438</v>
      </c>
      <c r="M101" s="483" t="s">
        <v>281</v>
      </c>
      <c r="N101" s="473">
        <v>12</v>
      </c>
      <c r="O101" s="484">
        <v>10</v>
      </c>
      <c r="P101" s="474"/>
      <c r="Q101" s="483" t="s">
        <v>2246</v>
      </c>
      <c r="R101" s="474"/>
      <c r="S101" s="474"/>
      <c r="T101" s="474"/>
      <c r="U101" s="475" t="s">
        <v>1341</v>
      </c>
      <c r="V101" s="485" t="str">
        <f>CLEAN(TRIM(Table2[[#This Row],[Status]] &amp; "|" &amp; Table2[[#This Row],[Level]] &amp; "|" &amp; Table2[[#This Row],[Participant As]]))</f>
        <v>Pembicara pada pelatihan/seminar/event berskala|External Regional|Team</v>
      </c>
      <c r="W101" s="486">
        <f>IFERROR(INDEX(GradingSimkat[Score], MATCH(Table2[[#This Row],[Criteria]], GradingSimkat[Criteria], 0)), 0)</f>
        <v>0</v>
      </c>
    </row>
    <row r="102" spans="1:23" ht="13.75" customHeight="1">
      <c r="A102" s="482" t="s">
        <v>661</v>
      </c>
      <c r="B102" s="483" t="s">
        <v>662</v>
      </c>
      <c r="C102" s="483" t="s">
        <v>274</v>
      </c>
      <c r="D102" s="484">
        <v>2022</v>
      </c>
      <c r="E102" s="483" t="s">
        <v>361</v>
      </c>
      <c r="F102" s="472" t="s">
        <v>362</v>
      </c>
      <c r="G102" s="472" t="s">
        <v>363</v>
      </c>
      <c r="H102" s="473">
        <v>20231</v>
      </c>
      <c r="I102" s="483" t="s">
        <v>364</v>
      </c>
      <c r="J102" s="472" t="s">
        <v>278</v>
      </c>
      <c r="K102" s="483" t="s">
        <v>279</v>
      </c>
      <c r="L102" s="483" t="s">
        <v>307</v>
      </c>
      <c r="M102" s="483" t="s">
        <v>292</v>
      </c>
      <c r="N102" s="473">
        <v>500</v>
      </c>
      <c r="O102" s="484">
        <v>10</v>
      </c>
      <c r="P102" s="472" t="s">
        <v>365</v>
      </c>
      <c r="Q102" s="483" t="s">
        <v>2186</v>
      </c>
      <c r="R102" s="472" t="s">
        <v>367</v>
      </c>
      <c r="S102" s="474"/>
      <c r="T102" s="474"/>
      <c r="U102" s="475" t="s">
        <v>368</v>
      </c>
      <c r="V102" s="485" t="str">
        <f>CLEAN(TRIM(Table2[[#This Row],[Status]] &amp; "|" &amp; Table2[[#This Row],[Level]] &amp; "|" &amp; Table2[[#This Row],[Participant As]]))</f>
        <v>Narasumber / Pemateri Acara Seminar / Workshop / Pemakalah|External International|Individual</v>
      </c>
      <c r="W102" s="486">
        <f>IFERROR(INDEX(GradingSimkat[Score], MATCH(Table2[[#This Row],[Criteria]], GradingSimkat[Criteria], 0)), 0)</f>
        <v>0</v>
      </c>
    </row>
    <row r="103" spans="1:23" ht="13.75" customHeight="1">
      <c r="A103" s="482" t="s">
        <v>1438</v>
      </c>
      <c r="B103" s="483" t="s">
        <v>1439</v>
      </c>
      <c r="C103" s="483" t="s">
        <v>1407</v>
      </c>
      <c r="D103" s="484">
        <v>2022</v>
      </c>
      <c r="E103" s="483" t="s">
        <v>361</v>
      </c>
      <c r="F103" s="472" t="s">
        <v>362</v>
      </c>
      <c r="G103" s="472" t="s">
        <v>363</v>
      </c>
      <c r="H103" s="473">
        <v>20231</v>
      </c>
      <c r="I103" s="483" t="s">
        <v>364</v>
      </c>
      <c r="J103" s="472" t="s">
        <v>278</v>
      </c>
      <c r="K103" s="483" t="s">
        <v>279</v>
      </c>
      <c r="L103" s="483" t="s">
        <v>307</v>
      </c>
      <c r="M103" s="483" t="s">
        <v>292</v>
      </c>
      <c r="N103" s="473">
        <v>500</v>
      </c>
      <c r="O103" s="484">
        <v>10</v>
      </c>
      <c r="P103" s="472" t="s">
        <v>365</v>
      </c>
      <c r="Q103" s="483" t="s">
        <v>2188</v>
      </c>
      <c r="R103" s="472" t="s">
        <v>389</v>
      </c>
      <c r="S103" s="474"/>
      <c r="T103" s="474"/>
      <c r="U103" s="475" t="s">
        <v>368</v>
      </c>
      <c r="V103" s="485" t="str">
        <f>CLEAN(TRIM(Table2[[#This Row],[Status]] &amp; "|" &amp; Table2[[#This Row],[Level]] &amp; "|" &amp; Table2[[#This Row],[Participant As]]))</f>
        <v>Narasumber / Pemateri Acara Seminar / Workshop / Pemakalah|External International|Individual</v>
      </c>
      <c r="W103" s="486">
        <f>IFERROR(INDEX(GradingSimkat[Score], MATCH(Table2[[#This Row],[Criteria]], GradingSimkat[Criteria], 0)), 0)</f>
        <v>0</v>
      </c>
    </row>
    <row r="104" spans="1:23" ht="13.75" customHeight="1">
      <c r="A104" s="482" t="s">
        <v>1389</v>
      </c>
      <c r="B104" s="483" t="s">
        <v>1390</v>
      </c>
      <c r="C104" s="483" t="s">
        <v>1356</v>
      </c>
      <c r="D104" s="484">
        <v>2020</v>
      </c>
      <c r="E104" s="483" t="s">
        <v>361</v>
      </c>
      <c r="F104" s="472" t="s">
        <v>362</v>
      </c>
      <c r="G104" s="472" t="s">
        <v>363</v>
      </c>
      <c r="H104" s="473">
        <v>20231</v>
      </c>
      <c r="I104" s="483" t="s">
        <v>364</v>
      </c>
      <c r="J104" s="472" t="s">
        <v>278</v>
      </c>
      <c r="K104" s="483" t="s">
        <v>279</v>
      </c>
      <c r="L104" s="483" t="s">
        <v>307</v>
      </c>
      <c r="M104" s="483" t="s">
        <v>292</v>
      </c>
      <c r="N104" s="473">
        <v>500</v>
      </c>
      <c r="O104" s="484">
        <v>10</v>
      </c>
      <c r="P104" s="472" t="s">
        <v>365</v>
      </c>
      <c r="Q104" s="483" t="s">
        <v>2188</v>
      </c>
      <c r="R104" s="472" t="s">
        <v>389</v>
      </c>
      <c r="S104" s="474"/>
      <c r="T104" s="474"/>
      <c r="U104" s="475" t="s">
        <v>368</v>
      </c>
      <c r="V104" s="485" t="str">
        <f>CLEAN(TRIM(Table2[[#This Row],[Status]] &amp; "|" &amp; Table2[[#This Row],[Level]] &amp; "|" &amp; Table2[[#This Row],[Participant As]]))</f>
        <v>Narasumber / Pemateri Acara Seminar / Workshop / Pemakalah|External International|Individual</v>
      </c>
      <c r="W104" s="486">
        <f>IFERROR(INDEX(GradingSimkat[Score], MATCH(Table2[[#This Row],[Criteria]], GradingSimkat[Criteria], 0)), 0)</f>
        <v>0</v>
      </c>
    </row>
    <row r="105" spans="1:23" ht="13.75" customHeight="1">
      <c r="A105" s="482" t="s">
        <v>749</v>
      </c>
      <c r="B105" s="483" t="s">
        <v>750</v>
      </c>
      <c r="C105" s="483" t="s">
        <v>274</v>
      </c>
      <c r="D105" s="484">
        <v>2022</v>
      </c>
      <c r="E105" s="483" t="s">
        <v>361</v>
      </c>
      <c r="F105" s="472" t="s">
        <v>362</v>
      </c>
      <c r="G105" s="472" t="s">
        <v>363</v>
      </c>
      <c r="H105" s="473">
        <v>20231</v>
      </c>
      <c r="I105" s="483" t="s">
        <v>364</v>
      </c>
      <c r="J105" s="472" t="s">
        <v>278</v>
      </c>
      <c r="K105" s="483" t="s">
        <v>279</v>
      </c>
      <c r="L105" s="483" t="s">
        <v>307</v>
      </c>
      <c r="M105" s="483" t="s">
        <v>292</v>
      </c>
      <c r="N105" s="473">
        <v>500</v>
      </c>
      <c r="O105" s="484">
        <v>10</v>
      </c>
      <c r="P105" s="472" t="s">
        <v>365</v>
      </c>
      <c r="Q105" s="483" t="s">
        <v>2186</v>
      </c>
      <c r="R105" s="472" t="s">
        <v>367</v>
      </c>
      <c r="S105" s="474"/>
      <c r="T105" s="474"/>
      <c r="U105" s="475" t="s">
        <v>368</v>
      </c>
      <c r="V105" s="485" t="str">
        <f>CLEAN(TRIM(Table2[[#This Row],[Status]] &amp; "|" &amp; Table2[[#This Row],[Level]] &amp; "|" &amp; Table2[[#This Row],[Participant As]]))</f>
        <v>Narasumber / Pemateri Acara Seminar / Workshop / Pemakalah|External International|Individual</v>
      </c>
      <c r="W105" s="486">
        <f>IFERROR(INDEX(GradingSimkat[Score], MATCH(Table2[[#This Row],[Criteria]], GradingSimkat[Criteria], 0)), 0)</f>
        <v>0</v>
      </c>
    </row>
    <row r="106" spans="1:23" ht="13.75" customHeight="1">
      <c r="A106" s="471" t="s">
        <v>369</v>
      </c>
      <c r="B106" s="472" t="s">
        <v>370</v>
      </c>
      <c r="C106" s="472" t="s">
        <v>274</v>
      </c>
      <c r="D106" s="473">
        <v>2020</v>
      </c>
      <c r="E106" s="472" t="s">
        <v>371</v>
      </c>
      <c r="F106" s="472" t="s">
        <v>372</v>
      </c>
      <c r="G106" s="472" t="s">
        <v>372</v>
      </c>
      <c r="H106" s="473">
        <v>20212</v>
      </c>
      <c r="I106" s="472" t="s">
        <v>373</v>
      </c>
      <c r="J106" s="472" t="s">
        <v>278</v>
      </c>
      <c r="K106" s="472" t="s">
        <v>2160</v>
      </c>
      <c r="L106" s="472" t="s">
        <v>280</v>
      </c>
      <c r="M106" s="472" t="s">
        <v>281</v>
      </c>
      <c r="N106" s="473">
        <v>100</v>
      </c>
      <c r="O106" s="473">
        <v>12</v>
      </c>
      <c r="P106" s="472" t="s">
        <v>375</v>
      </c>
      <c r="Q106" s="474"/>
      <c r="R106" s="474"/>
      <c r="S106" s="472" t="s">
        <v>376</v>
      </c>
      <c r="T106" s="474"/>
      <c r="U106" s="475" t="s">
        <v>377</v>
      </c>
      <c r="V106" s="481" t="str">
        <f>CLEAN(TRIM(Table2[[#This Row],[Status]] &amp; "|" &amp; Table2[[#This Row],[Level]] &amp; "|" &amp; Table2[[#This Row],[Participant As]]))</f>
        <v>Penulis pertama pada jurnal internasional bereputasi atau jurnal nasional terindeks SINTA 1 dan 2|External National|Team</v>
      </c>
      <c r="W106" s="477">
        <f>IFERROR(INDEX(GradingSimkat[Score], MATCH(Table2[[#This Row],[Criteria]], GradingSimkat[Criteria], 0)), 0)</f>
        <v>5</v>
      </c>
    </row>
    <row r="107" spans="1:23" ht="13.75" customHeight="1">
      <c r="A107" s="482" t="s">
        <v>815</v>
      </c>
      <c r="B107" s="483" t="s">
        <v>816</v>
      </c>
      <c r="C107" s="483" t="s">
        <v>274</v>
      </c>
      <c r="D107" s="484">
        <v>2023</v>
      </c>
      <c r="E107" s="483" t="s">
        <v>361</v>
      </c>
      <c r="F107" s="472" t="s">
        <v>362</v>
      </c>
      <c r="G107" s="472" t="s">
        <v>363</v>
      </c>
      <c r="H107" s="473">
        <v>20231</v>
      </c>
      <c r="I107" s="483" t="s">
        <v>364</v>
      </c>
      <c r="J107" s="472" t="s">
        <v>278</v>
      </c>
      <c r="K107" s="483" t="s">
        <v>279</v>
      </c>
      <c r="L107" s="483" t="s">
        <v>307</v>
      </c>
      <c r="M107" s="483" t="s">
        <v>292</v>
      </c>
      <c r="N107" s="473">
        <v>500</v>
      </c>
      <c r="O107" s="484">
        <v>10</v>
      </c>
      <c r="P107" s="472" t="s">
        <v>365</v>
      </c>
      <c r="Q107" s="483" t="s">
        <v>2186</v>
      </c>
      <c r="R107" s="472" t="s">
        <v>367</v>
      </c>
      <c r="S107" s="474"/>
      <c r="T107" s="474"/>
      <c r="U107" s="475" t="s">
        <v>368</v>
      </c>
      <c r="V107" s="485" t="str">
        <f>CLEAN(TRIM(Table2[[#This Row],[Status]] &amp; "|" &amp; Table2[[#This Row],[Level]] &amp; "|" &amp; Table2[[#This Row],[Participant As]]))</f>
        <v>Narasumber / Pemateri Acara Seminar / Workshop / Pemakalah|External International|Individual</v>
      </c>
      <c r="W107" s="486">
        <f>IFERROR(INDEX(GradingSimkat[Score], MATCH(Table2[[#This Row],[Criteria]], GradingSimkat[Criteria], 0)), 0)</f>
        <v>0</v>
      </c>
    </row>
    <row r="108" spans="1:23" ht="13.75" customHeight="1">
      <c r="A108" s="482" t="s">
        <v>635</v>
      </c>
      <c r="B108" s="483" t="s">
        <v>636</v>
      </c>
      <c r="C108" s="483" t="s">
        <v>274</v>
      </c>
      <c r="D108" s="484">
        <v>2022</v>
      </c>
      <c r="E108" s="483" t="s">
        <v>361</v>
      </c>
      <c r="F108" s="472" t="s">
        <v>362</v>
      </c>
      <c r="G108" s="472" t="s">
        <v>363</v>
      </c>
      <c r="H108" s="473">
        <v>20231</v>
      </c>
      <c r="I108" s="483" t="s">
        <v>364</v>
      </c>
      <c r="J108" s="472" t="s">
        <v>278</v>
      </c>
      <c r="K108" s="483" t="s">
        <v>279</v>
      </c>
      <c r="L108" s="483" t="s">
        <v>307</v>
      </c>
      <c r="M108" s="483" t="s">
        <v>292</v>
      </c>
      <c r="N108" s="473">
        <v>500</v>
      </c>
      <c r="O108" s="484">
        <v>10</v>
      </c>
      <c r="P108" s="472" t="s">
        <v>365</v>
      </c>
      <c r="Q108" s="483" t="s">
        <v>2186</v>
      </c>
      <c r="R108" s="472" t="s">
        <v>367</v>
      </c>
      <c r="S108" s="474"/>
      <c r="T108" s="474"/>
      <c r="U108" s="475" t="s">
        <v>368</v>
      </c>
      <c r="V108" s="485" t="str">
        <f>CLEAN(TRIM(Table2[[#This Row],[Status]] &amp; "|" &amp; Table2[[#This Row],[Level]] &amp; "|" &amp; Table2[[#This Row],[Participant As]]))</f>
        <v>Narasumber / Pemateri Acara Seminar / Workshop / Pemakalah|External International|Individual</v>
      </c>
      <c r="W108" s="486">
        <f>IFERROR(INDEX(GradingSimkat[Score], MATCH(Table2[[#This Row],[Criteria]], GradingSimkat[Criteria], 0)), 0)</f>
        <v>0</v>
      </c>
    </row>
    <row r="109" spans="1:23" ht="13.75" customHeight="1">
      <c r="A109" s="482" t="s">
        <v>663</v>
      </c>
      <c r="B109" s="483" t="s">
        <v>664</v>
      </c>
      <c r="C109" s="483" t="s">
        <v>274</v>
      </c>
      <c r="D109" s="484">
        <v>2022</v>
      </c>
      <c r="E109" s="483" t="s">
        <v>361</v>
      </c>
      <c r="F109" s="472" t="s">
        <v>362</v>
      </c>
      <c r="G109" s="472" t="s">
        <v>363</v>
      </c>
      <c r="H109" s="473">
        <v>20231</v>
      </c>
      <c r="I109" s="483" t="s">
        <v>364</v>
      </c>
      <c r="J109" s="472" t="s">
        <v>278</v>
      </c>
      <c r="K109" s="483" t="s">
        <v>279</v>
      </c>
      <c r="L109" s="483" t="s">
        <v>307</v>
      </c>
      <c r="M109" s="483" t="s">
        <v>292</v>
      </c>
      <c r="N109" s="473">
        <v>500</v>
      </c>
      <c r="O109" s="484">
        <v>10</v>
      </c>
      <c r="P109" s="472" t="s">
        <v>365</v>
      </c>
      <c r="Q109" s="483" t="s">
        <v>2186</v>
      </c>
      <c r="R109" s="472" t="s">
        <v>367</v>
      </c>
      <c r="S109" s="474"/>
      <c r="T109" s="474"/>
      <c r="U109" s="475" t="s">
        <v>368</v>
      </c>
      <c r="V109" s="485" t="str">
        <f>CLEAN(TRIM(Table2[[#This Row],[Status]] &amp; "|" &amp; Table2[[#This Row],[Level]] &amp; "|" &amp; Table2[[#This Row],[Participant As]]))</f>
        <v>Narasumber / Pemateri Acara Seminar / Workshop / Pemakalah|External International|Individual</v>
      </c>
      <c r="W109" s="486">
        <f>IFERROR(INDEX(GradingSimkat[Score], MATCH(Table2[[#This Row],[Criteria]], GradingSimkat[Criteria], 0)), 0)</f>
        <v>0</v>
      </c>
    </row>
    <row r="110" spans="1:23" ht="13.75" customHeight="1">
      <c r="A110" s="482" t="s">
        <v>1266</v>
      </c>
      <c r="B110" s="483" t="s">
        <v>1267</v>
      </c>
      <c r="C110" s="483" t="s">
        <v>1227</v>
      </c>
      <c r="D110" s="484">
        <v>2021</v>
      </c>
      <c r="E110" s="483" t="s">
        <v>361</v>
      </c>
      <c r="F110" s="472" t="s">
        <v>362</v>
      </c>
      <c r="G110" s="472" t="s">
        <v>363</v>
      </c>
      <c r="H110" s="473">
        <v>20231</v>
      </c>
      <c r="I110" s="483" t="s">
        <v>364</v>
      </c>
      <c r="J110" s="472" t="s">
        <v>278</v>
      </c>
      <c r="K110" s="483" t="s">
        <v>279</v>
      </c>
      <c r="L110" s="483" t="s">
        <v>307</v>
      </c>
      <c r="M110" s="483" t="s">
        <v>292</v>
      </c>
      <c r="N110" s="473">
        <v>500</v>
      </c>
      <c r="O110" s="484">
        <v>10</v>
      </c>
      <c r="P110" s="472" t="s">
        <v>365</v>
      </c>
      <c r="Q110" s="483" t="s">
        <v>2188</v>
      </c>
      <c r="R110" s="472" t="s">
        <v>389</v>
      </c>
      <c r="S110" s="474"/>
      <c r="T110" s="474"/>
      <c r="U110" s="475" t="s">
        <v>368</v>
      </c>
      <c r="V110" s="485" t="str">
        <f>CLEAN(TRIM(Table2[[#This Row],[Status]] &amp; "|" &amp; Table2[[#This Row],[Level]] &amp; "|" &amp; Table2[[#This Row],[Participant As]]))</f>
        <v>Narasumber / Pemateri Acara Seminar / Workshop / Pemakalah|External International|Individual</v>
      </c>
      <c r="W110" s="486">
        <f>IFERROR(INDEX(GradingSimkat[Score], MATCH(Table2[[#This Row],[Criteria]], GradingSimkat[Criteria], 0)), 0)</f>
        <v>0</v>
      </c>
    </row>
    <row r="111" spans="1:23" s="478" customFormat="1" ht="13.75" customHeight="1">
      <c r="A111" s="482" t="s">
        <v>1652</v>
      </c>
      <c r="B111" s="483" t="s">
        <v>1653</v>
      </c>
      <c r="C111" s="483" t="s">
        <v>1559</v>
      </c>
      <c r="D111" s="484">
        <v>2021</v>
      </c>
      <c r="E111" s="483" t="s">
        <v>1654</v>
      </c>
      <c r="F111" s="472" t="s">
        <v>506</v>
      </c>
      <c r="G111" s="472" t="s">
        <v>506</v>
      </c>
      <c r="H111" s="473">
        <v>20231</v>
      </c>
      <c r="I111" s="483" t="s">
        <v>1655</v>
      </c>
      <c r="J111" s="472" t="s">
        <v>278</v>
      </c>
      <c r="K111" s="483" t="s">
        <v>279</v>
      </c>
      <c r="L111" s="483" t="s">
        <v>291</v>
      </c>
      <c r="M111" s="483" t="s">
        <v>292</v>
      </c>
      <c r="N111" s="473">
        <v>50</v>
      </c>
      <c r="O111" s="484">
        <v>5</v>
      </c>
      <c r="P111" s="474"/>
      <c r="Q111" s="483" t="s">
        <v>2264</v>
      </c>
      <c r="R111" s="474"/>
      <c r="S111" s="474"/>
      <c r="T111" s="474"/>
      <c r="U111" s="475" t="s">
        <v>1657</v>
      </c>
      <c r="V111" s="485" t="str">
        <f>CLEAN(TRIM(Table2[[#This Row],[Status]] &amp; "|" &amp; Table2[[#This Row],[Level]] &amp; "|" &amp; Table2[[#This Row],[Participant As]]))</f>
        <v>Narasumber / Pemateri Acara Seminar / Workshop / Pemakalah|Internal Sekolah / Universitas|Individual</v>
      </c>
      <c r="W111" s="486">
        <f>IFERROR(INDEX(GradingSimkat[Score], MATCH(Table2[[#This Row],[Criteria]], GradingSimkat[Criteria], 0)), 0)</f>
        <v>0</v>
      </c>
    </row>
    <row r="112" spans="1:23" ht="13.75" customHeight="1">
      <c r="A112" s="471" t="s">
        <v>1412</v>
      </c>
      <c r="B112" s="472" t="s">
        <v>1413</v>
      </c>
      <c r="C112" s="472" t="s">
        <v>1407</v>
      </c>
      <c r="D112" s="473">
        <v>2020</v>
      </c>
      <c r="E112" s="472" t="s">
        <v>1414</v>
      </c>
      <c r="F112" s="472" t="s">
        <v>1415</v>
      </c>
      <c r="G112" s="472" t="s">
        <v>1415</v>
      </c>
      <c r="H112" s="473">
        <v>20221</v>
      </c>
      <c r="I112" s="492" t="s">
        <v>1416</v>
      </c>
      <c r="J112" s="472" t="s">
        <v>278</v>
      </c>
      <c r="K112" s="472" t="s">
        <v>2159</v>
      </c>
      <c r="L112" s="472" t="s">
        <v>280</v>
      </c>
      <c r="M112" s="472" t="s">
        <v>292</v>
      </c>
      <c r="N112" s="473">
        <v>1</v>
      </c>
      <c r="O112" s="473">
        <v>30</v>
      </c>
      <c r="P112" s="474"/>
      <c r="Q112" s="474"/>
      <c r="R112" s="474"/>
      <c r="S112" s="472" t="s">
        <v>1417</v>
      </c>
      <c r="T112" s="474"/>
      <c r="U112" s="475" t="s">
        <v>1418</v>
      </c>
      <c r="V112" s="481" t="str">
        <f>CLEAN(TRIM(Table2[[#This Row],[Status]] &amp; "|" &amp; Table2[[#This Row],[Level]] &amp; "|" &amp; Table2[[#This Row],[Participant As]]))</f>
        <v>Penulis pertama buku ber-ISBN|External National|Individual</v>
      </c>
      <c r="W112" s="477">
        <f>IFERROR(INDEX(GradingSimkat[Score], MATCH(Table2[[#This Row],[Criteria]], GradingSimkat[Criteria], 0)), 0)</f>
        <v>6</v>
      </c>
    </row>
    <row r="113" spans="1:23" ht="13.75" customHeight="1">
      <c r="A113" s="482" t="s">
        <v>877</v>
      </c>
      <c r="B113" s="483" t="s">
        <v>878</v>
      </c>
      <c r="C113" s="483" t="s">
        <v>274</v>
      </c>
      <c r="D113" s="484">
        <v>2023</v>
      </c>
      <c r="E113" s="483" t="s">
        <v>361</v>
      </c>
      <c r="F113" s="472" t="s">
        <v>362</v>
      </c>
      <c r="G113" s="472" t="s">
        <v>363</v>
      </c>
      <c r="H113" s="473">
        <v>20231</v>
      </c>
      <c r="I113" s="483" t="s">
        <v>364</v>
      </c>
      <c r="J113" s="472" t="s">
        <v>278</v>
      </c>
      <c r="K113" s="483" t="s">
        <v>279</v>
      </c>
      <c r="L113" s="483" t="s">
        <v>307</v>
      </c>
      <c r="M113" s="483" t="s">
        <v>292</v>
      </c>
      <c r="N113" s="473">
        <v>500</v>
      </c>
      <c r="O113" s="484">
        <v>10</v>
      </c>
      <c r="P113" s="472" t="s">
        <v>365</v>
      </c>
      <c r="Q113" s="483" t="s">
        <v>2186</v>
      </c>
      <c r="R113" s="472" t="s">
        <v>367</v>
      </c>
      <c r="S113" s="474"/>
      <c r="T113" s="474"/>
      <c r="U113" s="475" t="s">
        <v>368</v>
      </c>
      <c r="V113" s="485" t="str">
        <f>CLEAN(TRIM(Table2[[#This Row],[Status]] &amp; "|" &amp; Table2[[#This Row],[Level]] &amp; "|" &amp; Table2[[#This Row],[Participant As]]))</f>
        <v>Narasumber / Pemateri Acara Seminar / Workshop / Pemakalah|External International|Individual</v>
      </c>
      <c r="W113" s="486">
        <f>IFERROR(INDEX(GradingSimkat[Score], MATCH(Table2[[#This Row],[Criteria]], GradingSimkat[Criteria], 0)), 0)</f>
        <v>0</v>
      </c>
    </row>
    <row r="114" spans="1:23" ht="13.75" customHeight="1">
      <c r="A114" s="482" t="s">
        <v>917</v>
      </c>
      <c r="B114" s="483" t="s">
        <v>918</v>
      </c>
      <c r="C114" s="483" t="s">
        <v>274</v>
      </c>
      <c r="D114" s="484">
        <v>2023</v>
      </c>
      <c r="E114" s="483" t="s">
        <v>361</v>
      </c>
      <c r="F114" s="472" t="s">
        <v>362</v>
      </c>
      <c r="G114" s="472" t="s">
        <v>363</v>
      </c>
      <c r="H114" s="473">
        <v>20231</v>
      </c>
      <c r="I114" s="483" t="s">
        <v>364</v>
      </c>
      <c r="J114" s="472" t="s">
        <v>278</v>
      </c>
      <c r="K114" s="483" t="s">
        <v>279</v>
      </c>
      <c r="L114" s="483" t="s">
        <v>307</v>
      </c>
      <c r="M114" s="483" t="s">
        <v>292</v>
      </c>
      <c r="N114" s="473">
        <v>500</v>
      </c>
      <c r="O114" s="484">
        <v>10</v>
      </c>
      <c r="P114" s="472" t="s">
        <v>365</v>
      </c>
      <c r="Q114" s="483" t="s">
        <v>2186</v>
      </c>
      <c r="R114" s="472" t="s">
        <v>367</v>
      </c>
      <c r="S114" s="474"/>
      <c r="T114" s="474"/>
      <c r="U114" s="475" t="s">
        <v>368</v>
      </c>
      <c r="V114" s="485" t="str">
        <f>CLEAN(TRIM(Table2[[#This Row],[Status]] &amp; "|" &amp; Table2[[#This Row],[Level]] &amp; "|" &amp; Table2[[#This Row],[Participant As]]))</f>
        <v>Narasumber / Pemateri Acara Seminar / Workshop / Pemakalah|External International|Individual</v>
      </c>
      <c r="W114" s="486">
        <f>IFERROR(INDEX(GradingSimkat[Score], MATCH(Table2[[#This Row],[Criteria]], GradingSimkat[Criteria], 0)), 0)</f>
        <v>0</v>
      </c>
    </row>
    <row r="115" spans="1:23" ht="13.75" customHeight="1">
      <c r="A115" s="471" t="s">
        <v>1357</v>
      </c>
      <c r="B115" s="472" t="s">
        <v>1358</v>
      </c>
      <c r="C115" s="472" t="s">
        <v>1356</v>
      </c>
      <c r="D115" s="473">
        <v>2019</v>
      </c>
      <c r="E115" s="472" t="s">
        <v>328</v>
      </c>
      <c r="F115" s="472" t="s">
        <v>329</v>
      </c>
      <c r="G115" s="472" t="s">
        <v>330</v>
      </c>
      <c r="H115" s="473">
        <v>20221</v>
      </c>
      <c r="I115" s="472" t="s">
        <v>2164</v>
      </c>
      <c r="J115" s="472" t="s">
        <v>278</v>
      </c>
      <c r="K115" s="472" t="s">
        <v>2155</v>
      </c>
      <c r="L115" s="472" t="s">
        <v>291</v>
      </c>
      <c r="M115" s="472" t="s">
        <v>292</v>
      </c>
      <c r="N115" s="473">
        <v>7</v>
      </c>
      <c r="O115" s="473">
        <v>5</v>
      </c>
      <c r="P115" s="474"/>
      <c r="Q115" s="472" t="s">
        <v>333</v>
      </c>
      <c r="R115" s="472" t="s">
        <v>334</v>
      </c>
      <c r="S115" s="474"/>
      <c r="T115" s="474"/>
      <c r="U115" s="475" t="s">
        <v>335</v>
      </c>
      <c r="V115" s="481" t="str">
        <f>CLEAN(TRIM(Table2[[#This Row],[Status]] &amp; "|" &amp; Table2[[#This Row],[Level]] &amp; "|" &amp; Table2[[#This Row],[Participant As]]))</f>
        <v>Juri/Pelatih/Wasit|Internal Sekolah / Universitas|Individual</v>
      </c>
      <c r="W115" s="477">
        <f>IFERROR(INDEX(GradingSimkat[Score], MATCH(Table2[[#This Row],[Criteria]], GradingSimkat[Criteria], 0)), 0)</f>
        <v>0</v>
      </c>
    </row>
    <row r="116" spans="1:23" ht="13.75" customHeight="1">
      <c r="A116" s="482" t="s">
        <v>770</v>
      </c>
      <c r="B116" s="483" t="s">
        <v>771</v>
      </c>
      <c r="C116" s="483" t="s">
        <v>274</v>
      </c>
      <c r="D116" s="484">
        <v>2023</v>
      </c>
      <c r="E116" s="483" t="s">
        <v>361</v>
      </c>
      <c r="F116" s="472" t="s">
        <v>362</v>
      </c>
      <c r="G116" s="472" t="s">
        <v>363</v>
      </c>
      <c r="H116" s="473">
        <v>20231</v>
      </c>
      <c r="I116" s="483" t="s">
        <v>364</v>
      </c>
      <c r="J116" s="472" t="s">
        <v>278</v>
      </c>
      <c r="K116" s="483" t="s">
        <v>279</v>
      </c>
      <c r="L116" s="483" t="s">
        <v>307</v>
      </c>
      <c r="M116" s="483" t="s">
        <v>292</v>
      </c>
      <c r="N116" s="473">
        <v>500</v>
      </c>
      <c r="O116" s="484">
        <v>10</v>
      </c>
      <c r="P116" s="472" t="s">
        <v>365</v>
      </c>
      <c r="Q116" s="483" t="s">
        <v>2186</v>
      </c>
      <c r="R116" s="472" t="s">
        <v>367</v>
      </c>
      <c r="S116" s="474"/>
      <c r="T116" s="474"/>
      <c r="U116" s="475" t="s">
        <v>368</v>
      </c>
      <c r="V116" s="485" t="str">
        <f>CLEAN(TRIM(Table2[[#This Row],[Status]] &amp; "|" &amp; Table2[[#This Row],[Level]] &amp; "|" &amp; Table2[[#This Row],[Participant As]]))</f>
        <v>Narasumber / Pemateri Acara Seminar / Workshop / Pemakalah|External International|Individual</v>
      </c>
      <c r="W116" s="486">
        <f>IFERROR(INDEX(GradingSimkat[Score], MATCH(Table2[[#This Row],[Criteria]], GradingSimkat[Criteria], 0)), 0)</f>
        <v>0</v>
      </c>
    </row>
    <row r="117" spans="1:23" ht="13.75" customHeight="1">
      <c r="A117" s="471" t="s">
        <v>1506</v>
      </c>
      <c r="B117" s="472" t="s">
        <v>1507</v>
      </c>
      <c r="C117" s="472" t="s">
        <v>1499</v>
      </c>
      <c r="D117" s="473">
        <v>2019</v>
      </c>
      <c r="E117" s="472" t="s">
        <v>1508</v>
      </c>
      <c r="F117" s="472" t="s">
        <v>1509</v>
      </c>
      <c r="G117" s="472" t="s">
        <v>1510</v>
      </c>
      <c r="H117" s="473">
        <v>20221</v>
      </c>
      <c r="I117" s="472" t="s">
        <v>1511</v>
      </c>
      <c r="J117" s="472" t="s">
        <v>278</v>
      </c>
      <c r="K117" s="472" t="s">
        <v>2159</v>
      </c>
      <c r="L117" s="472" t="s">
        <v>280</v>
      </c>
      <c r="M117" s="472" t="s">
        <v>292</v>
      </c>
      <c r="N117" s="473">
        <v>33</v>
      </c>
      <c r="O117" s="473">
        <v>30</v>
      </c>
      <c r="P117" s="472" t="s">
        <v>1512</v>
      </c>
      <c r="Q117" s="474"/>
      <c r="R117" s="474"/>
      <c r="S117" s="472" t="s">
        <v>1513</v>
      </c>
      <c r="T117" s="474"/>
      <c r="U117" s="475" t="s">
        <v>1514</v>
      </c>
      <c r="V117" s="481" t="str">
        <f>CLEAN(TRIM(Table2[[#This Row],[Status]] &amp; "|" &amp; Table2[[#This Row],[Level]] &amp; "|" &amp; Table2[[#This Row],[Participant As]]))</f>
        <v>Penulis pertama buku ber-ISBN|External National|Individual</v>
      </c>
      <c r="W117" s="477">
        <f>IFERROR(INDEX(GradingSimkat[Score], MATCH(Table2[[#This Row],[Criteria]], GradingSimkat[Criteria], 0)), 0)</f>
        <v>6</v>
      </c>
    </row>
    <row r="118" spans="1:23" ht="13.75" customHeight="1">
      <c r="A118" s="482" t="s">
        <v>1792</v>
      </c>
      <c r="B118" s="483" t="s">
        <v>1793</v>
      </c>
      <c r="C118" s="483" t="s">
        <v>1794</v>
      </c>
      <c r="D118" s="484">
        <v>2020</v>
      </c>
      <c r="E118" s="483" t="s">
        <v>361</v>
      </c>
      <c r="F118" s="472" t="s">
        <v>362</v>
      </c>
      <c r="G118" s="472" t="s">
        <v>363</v>
      </c>
      <c r="H118" s="473">
        <v>20231</v>
      </c>
      <c r="I118" s="483" t="s">
        <v>364</v>
      </c>
      <c r="J118" s="472" t="s">
        <v>278</v>
      </c>
      <c r="K118" s="483" t="s">
        <v>279</v>
      </c>
      <c r="L118" s="483" t="s">
        <v>307</v>
      </c>
      <c r="M118" s="483" t="s">
        <v>292</v>
      </c>
      <c r="N118" s="473">
        <v>500</v>
      </c>
      <c r="O118" s="484">
        <v>10</v>
      </c>
      <c r="P118" s="472" t="s">
        <v>365</v>
      </c>
      <c r="Q118" s="483" t="s">
        <v>2188</v>
      </c>
      <c r="R118" s="472" t="s">
        <v>389</v>
      </c>
      <c r="S118" s="474"/>
      <c r="T118" s="474"/>
      <c r="U118" s="475" t="s">
        <v>368</v>
      </c>
      <c r="V118" s="485" t="str">
        <f>CLEAN(TRIM(Table2[[#This Row],[Status]] &amp; "|" &amp; Table2[[#This Row],[Level]] &amp; "|" &amp; Table2[[#This Row],[Participant As]]))</f>
        <v>Narasumber / Pemateri Acara Seminar / Workshop / Pemakalah|External International|Individual</v>
      </c>
      <c r="W118" s="486">
        <f>IFERROR(INDEX(GradingSimkat[Score], MATCH(Table2[[#This Row],[Criteria]], GradingSimkat[Criteria], 0)), 0)</f>
        <v>0</v>
      </c>
    </row>
    <row r="119" spans="1:23" ht="13.75" customHeight="1">
      <c r="A119" s="482" t="s">
        <v>925</v>
      </c>
      <c r="B119" s="483" t="s">
        <v>926</v>
      </c>
      <c r="C119" s="483" t="s">
        <v>274</v>
      </c>
      <c r="D119" s="484">
        <v>2023</v>
      </c>
      <c r="E119" s="483" t="s">
        <v>361</v>
      </c>
      <c r="F119" s="472" t="s">
        <v>362</v>
      </c>
      <c r="G119" s="472" t="s">
        <v>363</v>
      </c>
      <c r="H119" s="473">
        <v>20231</v>
      </c>
      <c r="I119" s="483" t="s">
        <v>364</v>
      </c>
      <c r="J119" s="472" t="s">
        <v>278</v>
      </c>
      <c r="K119" s="483" t="s">
        <v>279</v>
      </c>
      <c r="L119" s="483" t="s">
        <v>307</v>
      </c>
      <c r="M119" s="483" t="s">
        <v>292</v>
      </c>
      <c r="N119" s="473">
        <v>500</v>
      </c>
      <c r="O119" s="484">
        <v>10</v>
      </c>
      <c r="P119" s="472" t="s">
        <v>365</v>
      </c>
      <c r="Q119" s="483" t="s">
        <v>2186</v>
      </c>
      <c r="R119" s="472" t="s">
        <v>367</v>
      </c>
      <c r="S119" s="474"/>
      <c r="T119" s="474"/>
      <c r="U119" s="475" t="s">
        <v>368</v>
      </c>
      <c r="V119" s="485" t="str">
        <f>CLEAN(TRIM(Table2[[#This Row],[Status]] &amp; "|" &amp; Table2[[#This Row],[Level]] &amp; "|" &amp; Table2[[#This Row],[Participant As]]))</f>
        <v>Narasumber / Pemateri Acara Seminar / Workshop / Pemakalah|External International|Individual</v>
      </c>
      <c r="W119" s="486">
        <f>IFERROR(INDEX(GradingSimkat[Score], MATCH(Table2[[#This Row],[Criteria]], GradingSimkat[Criteria], 0)), 0)</f>
        <v>0</v>
      </c>
    </row>
    <row r="120" spans="1:23" ht="13.75" customHeight="1">
      <c r="A120" s="482" t="s">
        <v>651</v>
      </c>
      <c r="B120" s="483" t="s">
        <v>652</v>
      </c>
      <c r="C120" s="483" t="s">
        <v>274</v>
      </c>
      <c r="D120" s="484">
        <v>2022</v>
      </c>
      <c r="E120" s="483" t="s">
        <v>361</v>
      </c>
      <c r="F120" s="472" t="s">
        <v>362</v>
      </c>
      <c r="G120" s="472" t="s">
        <v>363</v>
      </c>
      <c r="H120" s="473">
        <v>20231</v>
      </c>
      <c r="I120" s="483" t="s">
        <v>364</v>
      </c>
      <c r="J120" s="472" t="s">
        <v>278</v>
      </c>
      <c r="K120" s="483" t="s">
        <v>279</v>
      </c>
      <c r="L120" s="483" t="s">
        <v>307</v>
      </c>
      <c r="M120" s="483" t="s">
        <v>292</v>
      </c>
      <c r="N120" s="473">
        <v>500</v>
      </c>
      <c r="O120" s="484">
        <v>10</v>
      </c>
      <c r="P120" s="472" t="s">
        <v>365</v>
      </c>
      <c r="Q120" s="483" t="s">
        <v>2186</v>
      </c>
      <c r="R120" s="472" t="s">
        <v>367</v>
      </c>
      <c r="S120" s="474"/>
      <c r="T120" s="474"/>
      <c r="U120" s="475" t="s">
        <v>368</v>
      </c>
      <c r="V120" s="485" t="str">
        <f>CLEAN(TRIM(Table2[[#This Row],[Status]] &amp; "|" &amp; Table2[[#This Row],[Level]] &amp; "|" &amp; Table2[[#This Row],[Participant As]]))</f>
        <v>Narasumber / Pemateri Acara Seminar / Workshop / Pemakalah|External International|Individual</v>
      </c>
      <c r="W120" s="486">
        <f>IFERROR(INDEX(GradingSimkat[Score], MATCH(Table2[[#This Row],[Criteria]], GradingSimkat[Criteria], 0)), 0)</f>
        <v>0</v>
      </c>
    </row>
    <row r="121" spans="1:23" ht="13.75" customHeight="1">
      <c r="A121" s="482" t="s">
        <v>793</v>
      </c>
      <c r="B121" s="483" t="s">
        <v>794</v>
      </c>
      <c r="C121" s="483" t="s">
        <v>274</v>
      </c>
      <c r="D121" s="484">
        <v>2023</v>
      </c>
      <c r="E121" s="483" t="s">
        <v>361</v>
      </c>
      <c r="F121" s="472" t="s">
        <v>362</v>
      </c>
      <c r="G121" s="472" t="s">
        <v>363</v>
      </c>
      <c r="H121" s="473">
        <v>20231</v>
      </c>
      <c r="I121" s="483" t="s">
        <v>364</v>
      </c>
      <c r="J121" s="472" t="s">
        <v>278</v>
      </c>
      <c r="K121" s="483" t="s">
        <v>279</v>
      </c>
      <c r="L121" s="483" t="s">
        <v>307</v>
      </c>
      <c r="M121" s="483" t="s">
        <v>292</v>
      </c>
      <c r="N121" s="473">
        <v>500</v>
      </c>
      <c r="O121" s="484">
        <v>10</v>
      </c>
      <c r="P121" s="472" t="s">
        <v>365</v>
      </c>
      <c r="Q121" s="483" t="s">
        <v>2186</v>
      </c>
      <c r="R121" s="472" t="s">
        <v>367</v>
      </c>
      <c r="S121" s="474"/>
      <c r="T121" s="474"/>
      <c r="U121" s="475" t="s">
        <v>368</v>
      </c>
      <c r="V121" s="485" t="str">
        <f>CLEAN(TRIM(Table2[[#This Row],[Status]] &amp; "|" &amp; Table2[[#This Row],[Level]] &amp; "|" &amp; Table2[[#This Row],[Participant As]]))</f>
        <v>Narasumber / Pemateri Acara Seminar / Workshop / Pemakalah|External International|Individual</v>
      </c>
      <c r="W121" s="486">
        <f>IFERROR(INDEX(GradingSimkat[Score], MATCH(Table2[[#This Row],[Criteria]], GradingSimkat[Criteria], 0)), 0)</f>
        <v>0</v>
      </c>
    </row>
    <row r="122" spans="1:23" ht="13.75" customHeight="1">
      <c r="A122" s="482" t="s">
        <v>851</v>
      </c>
      <c r="B122" s="483" t="s">
        <v>852</v>
      </c>
      <c r="C122" s="483" t="s">
        <v>274</v>
      </c>
      <c r="D122" s="484">
        <v>2023</v>
      </c>
      <c r="E122" s="483" t="s">
        <v>361</v>
      </c>
      <c r="F122" s="472" t="s">
        <v>362</v>
      </c>
      <c r="G122" s="472" t="s">
        <v>363</v>
      </c>
      <c r="H122" s="473">
        <v>20231</v>
      </c>
      <c r="I122" s="483" t="s">
        <v>364</v>
      </c>
      <c r="J122" s="472" t="s">
        <v>278</v>
      </c>
      <c r="K122" s="483" t="s">
        <v>279</v>
      </c>
      <c r="L122" s="483" t="s">
        <v>307</v>
      </c>
      <c r="M122" s="483" t="s">
        <v>292</v>
      </c>
      <c r="N122" s="473">
        <v>500</v>
      </c>
      <c r="O122" s="484">
        <v>10</v>
      </c>
      <c r="P122" s="472" t="s">
        <v>365</v>
      </c>
      <c r="Q122" s="483" t="s">
        <v>2186</v>
      </c>
      <c r="R122" s="472" t="s">
        <v>367</v>
      </c>
      <c r="S122" s="474"/>
      <c r="T122" s="474"/>
      <c r="U122" s="475" t="s">
        <v>368</v>
      </c>
      <c r="V122" s="485" t="str">
        <f>CLEAN(TRIM(Table2[[#This Row],[Status]] &amp; "|" &amp; Table2[[#This Row],[Level]] &amp; "|" &amp; Table2[[#This Row],[Participant As]]))</f>
        <v>Narasumber / Pemateri Acara Seminar / Workshop / Pemakalah|External International|Individual</v>
      </c>
      <c r="W122" s="486">
        <f>IFERROR(INDEX(GradingSimkat[Score], MATCH(Table2[[#This Row],[Criteria]], GradingSimkat[Criteria], 0)), 0)</f>
        <v>0</v>
      </c>
    </row>
    <row r="123" spans="1:23" ht="13.75" customHeight="1">
      <c r="A123" s="482" t="s">
        <v>843</v>
      </c>
      <c r="B123" s="483" t="s">
        <v>844</v>
      </c>
      <c r="C123" s="483" t="s">
        <v>274</v>
      </c>
      <c r="D123" s="484">
        <v>2023</v>
      </c>
      <c r="E123" s="483" t="s">
        <v>361</v>
      </c>
      <c r="F123" s="472" t="s">
        <v>362</v>
      </c>
      <c r="G123" s="472" t="s">
        <v>363</v>
      </c>
      <c r="H123" s="473">
        <v>20231</v>
      </c>
      <c r="I123" s="483" t="s">
        <v>364</v>
      </c>
      <c r="J123" s="472" t="s">
        <v>278</v>
      </c>
      <c r="K123" s="483" t="s">
        <v>279</v>
      </c>
      <c r="L123" s="483" t="s">
        <v>307</v>
      </c>
      <c r="M123" s="483" t="s">
        <v>292</v>
      </c>
      <c r="N123" s="473">
        <v>500</v>
      </c>
      <c r="O123" s="484">
        <v>10</v>
      </c>
      <c r="P123" s="472" t="s">
        <v>365</v>
      </c>
      <c r="Q123" s="483" t="s">
        <v>2186</v>
      </c>
      <c r="R123" s="472" t="s">
        <v>367</v>
      </c>
      <c r="S123" s="474"/>
      <c r="T123" s="474"/>
      <c r="U123" s="475" t="s">
        <v>368</v>
      </c>
      <c r="V123" s="485" t="str">
        <f>CLEAN(TRIM(Table2[[#This Row],[Status]] &amp; "|" &amp; Table2[[#This Row],[Level]] &amp; "|" &amp; Table2[[#This Row],[Participant As]]))</f>
        <v>Narasumber / Pemateri Acara Seminar / Workshop / Pemakalah|External International|Individual</v>
      </c>
      <c r="W123" s="486">
        <f>IFERROR(INDEX(GradingSimkat[Score], MATCH(Table2[[#This Row],[Criteria]], GradingSimkat[Criteria], 0)), 0)</f>
        <v>0</v>
      </c>
    </row>
    <row r="124" spans="1:23" ht="13.75" customHeight="1">
      <c r="A124" s="471" t="s">
        <v>1650</v>
      </c>
      <c r="B124" s="472" t="s">
        <v>1651</v>
      </c>
      <c r="C124" s="472" t="s">
        <v>1559</v>
      </c>
      <c r="D124" s="473">
        <v>2021</v>
      </c>
      <c r="E124" s="472" t="s">
        <v>505</v>
      </c>
      <c r="F124" s="472" t="s">
        <v>506</v>
      </c>
      <c r="G124" s="472" t="s">
        <v>506</v>
      </c>
      <c r="H124" s="473">
        <v>20231</v>
      </c>
      <c r="I124" s="474"/>
      <c r="J124" s="472" t="s">
        <v>278</v>
      </c>
      <c r="K124" s="472" t="s">
        <v>2155</v>
      </c>
      <c r="L124" s="472" t="s">
        <v>291</v>
      </c>
      <c r="M124" s="472" t="s">
        <v>292</v>
      </c>
      <c r="N124" s="473">
        <v>50</v>
      </c>
      <c r="O124" s="473">
        <v>4</v>
      </c>
      <c r="P124" s="474"/>
      <c r="Q124" s="472" t="s">
        <v>507</v>
      </c>
      <c r="R124" s="472" t="s">
        <v>508</v>
      </c>
      <c r="S124" s="474"/>
      <c r="T124" s="474"/>
      <c r="U124" s="475" t="s">
        <v>440</v>
      </c>
      <c r="V124" s="481" t="str">
        <f>CLEAN(TRIM(Table2[[#This Row],[Status]] &amp; "|" &amp; Table2[[#This Row],[Level]] &amp; "|" &amp; Table2[[#This Row],[Participant As]]))</f>
        <v>Juri/Pelatih/Wasit|Internal Sekolah / Universitas|Individual</v>
      </c>
      <c r="W124" s="477">
        <f>IFERROR(INDEX(GradingSimkat[Score], MATCH(Table2[[#This Row],[Criteria]], GradingSimkat[Criteria], 0)), 0)</f>
        <v>0</v>
      </c>
    </row>
    <row r="125" spans="1:23" ht="13.75" customHeight="1">
      <c r="A125" s="482" t="s">
        <v>689</v>
      </c>
      <c r="B125" s="483" t="s">
        <v>690</v>
      </c>
      <c r="C125" s="483" t="s">
        <v>274</v>
      </c>
      <c r="D125" s="484">
        <v>2022</v>
      </c>
      <c r="E125" s="483" t="s">
        <v>361</v>
      </c>
      <c r="F125" s="472" t="s">
        <v>362</v>
      </c>
      <c r="G125" s="472" t="s">
        <v>363</v>
      </c>
      <c r="H125" s="473">
        <v>20231</v>
      </c>
      <c r="I125" s="483" t="s">
        <v>364</v>
      </c>
      <c r="J125" s="472" t="s">
        <v>278</v>
      </c>
      <c r="K125" s="483" t="s">
        <v>279</v>
      </c>
      <c r="L125" s="483" t="s">
        <v>307</v>
      </c>
      <c r="M125" s="483" t="s">
        <v>292</v>
      </c>
      <c r="N125" s="473">
        <v>500</v>
      </c>
      <c r="O125" s="484">
        <v>10</v>
      </c>
      <c r="P125" s="472" t="s">
        <v>365</v>
      </c>
      <c r="Q125" s="483" t="s">
        <v>2186</v>
      </c>
      <c r="R125" s="472" t="s">
        <v>367</v>
      </c>
      <c r="S125" s="474"/>
      <c r="T125" s="474"/>
      <c r="U125" s="475" t="s">
        <v>368</v>
      </c>
      <c r="V125" s="485" t="str">
        <f>CLEAN(TRIM(Table2[[#This Row],[Status]] &amp; "|" &amp; Table2[[#This Row],[Level]] &amp; "|" &amp; Table2[[#This Row],[Participant As]]))</f>
        <v>Narasumber / Pemateri Acara Seminar / Workshop / Pemakalah|External International|Individual</v>
      </c>
      <c r="W125" s="486">
        <f>IFERROR(INDEX(GradingSimkat[Score], MATCH(Table2[[#This Row],[Criteria]], GradingSimkat[Criteria], 0)), 0)</f>
        <v>0</v>
      </c>
    </row>
    <row r="126" spans="1:23" ht="13.75" customHeight="1">
      <c r="A126" s="471" t="s">
        <v>1682</v>
      </c>
      <c r="B126" s="472" t="s">
        <v>1683</v>
      </c>
      <c r="C126" s="472" t="s">
        <v>1684</v>
      </c>
      <c r="D126" s="473">
        <v>2019</v>
      </c>
      <c r="E126" s="472" t="s">
        <v>1685</v>
      </c>
      <c r="F126" s="472" t="s">
        <v>1686</v>
      </c>
      <c r="G126" s="472" t="s">
        <v>1687</v>
      </c>
      <c r="H126" s="473">
        <v>20222</v>
      </c>
      <c r="I126" s="472" t="s">
        <v>1688</v>
      </c>
      <c r="J126" s="472" t="s">
        <v>278</v>
      </c>
      <c r="K126" s="472" t="s">
        <v>2160</v>
      </c>
      <c r="L126" s="472" t="s">
        <v>307</v>
      </c>
      <c r="M126" s="472" t="s">
        <v>281</v>
      </c>
      <c r="N126" s="473">
        <v>3</v>
      </c>
      <c r="O126" s="473">
        <v>40</v>
      </c>
      <c r="P126" s="474"/>
      <c r="Q126" s="472" t="s">
        <v>1689</v>
      </c>
      <c r="R126" s="474"/>
      <c r="S126" s="474"/>
      <c r="T126" s="474"/>
      <c r="U126" s="475" t="s">
        <v>1690</v>
      </c>
      <c r="V126" s="481" t="str">
        <f>CLEAN(TRIM(Table2[[#This Row],[Status]] &amp; "|" &amp; Table2[[#This Row],[Level]] &amp; "|" &amp; Table2[[#This Row],[Participant As]]))</f>
        <v>Penulis pertama pada jurnal internasional bereputasi atau jurnal nasional terindeks SINTA 1 dan 2|External International|Team</v>
      </c>
      <c r="W126" s="477">
        <f>IFERROR(INDEX(GradingSimkat[Score], MATCH(Table2[[#This Row],[Criteria]], GradingSimkat[Criteria], 0)), 0)</f>
        <v>5</v>
      </c>
    </row>
    <row r="127" spans="1:23" s="478" customFormat="1" ht="13.75" customHeight="1">
      <c r="A127" s="482" t="s">
        <v>1183</v>
      </c>
      <c r="B127" s="483" t="s">
        <v>1184</v>
      </c>
      <c r="C127" s="483" t="s">
        <v>986</v>
      </c>
      <c r="D127" s="484">
        <v>2022</v>
      </c>
      <c r="E127" s="483" t="s">
        <v>1185</v>
      </c>
      <c r="F127" s="472" t="s">
        <v>1186</v>
      </c>
      <c r="G127" s="472" t="s">
        <v>959</v>
      </c>
      <c r="H127" s="473">
        <v>20222</v>
      </c>
      <c r="I127" s="483" t="s">
        <v>1187</v>
      </c>
      <c r="J127" s="472" t="s">
        <v>278</v>
      </c>
      <c r="K127" s="483" t="s">
        <v>2157</v>
      </c>
      <c r="L127" s="483" t="s">
        <v>438</v>
      </c>
      <c r="M127" s="483" t="s">
        <v>292</v>
      </c>
      <c r="N127" s="473">
        <v>60</v>
      </c>
      <c r="O127" s="484">
        <v>10</v>
      </c>
      <c r="P127" s="474"/>
      <c r="Q127" s="483" t="s">
        <v>2235</v>
      </c>
      <c r="R127" s="474"/>
      <c r="S127" s="474"/>
      <c r="T127" s="474"/>
      <c r="U127" s="475" t="s">
        <v>1189</v>
      </c>
      <c r="V127" s="485" t="str">
        <f>CLEAN(TRIM(Table2[[#This Row],[Status]] &amp; "|" &amp; Table2[[#This Row],[Level]] &amp; "|" &amp; Table2[[#This Row],[Participant As]]))</f>
        <v>Pembicara pada pelatihan/seminar/event berskala|External Regional|Individual</v>
      </c>
      <c r="W127" s="486">
        <f>IFERROR(INDEX(GradingSimkat[Score], MATCH(Table2[[#This Row],[Criteria]], GradingSimkat[Criteria], 0)), 0)</f>
        <v>0</v>
      </c>
    </row>
    <row r="128" spans="1:23" ht="13.75" customHeight="1">
      <c r="A128" s="482" t="s">
        <v>1183</v>
      </c>
      <c r="B128" s="483" t="s">
        <v>1184</v>
      </c>
      <c r="C128" s="483" t="s">
        <v>986</v>
      </c>
      <c r="D128" s="484">
        <v>2022</v>
      </c>
      <c r="E128" s="483" t="s">
        <v>1190</v>
      </c>
      <c r="F128" s="472" t="s">
        <v>289</v>
      </c>
      <c r="G128" s="472" t="s">
        <v>289</v>
      </c>
      <c r="H128" s="473">
        <v>20222</v>
      </c>
      <c r="I128" s="483" t="s">
        <v>1191</v>
      </c>
      <c r="J128" s="472" t="s">
        <v>278</v>
      </c>
      <c r="K128" s="483" t="s">
        <v>2157</v>
      </c>
      <c r="L128" s="483" t="s">
        <v>438</v>
      </c>
      <c r="M128" s="483" t="s">
        <v>292</v>
      </c>
      <c r="N128" s="473">
        <v>50</v>
      </c>
      <c r="O128" s="484">
        <v>10</v>
      </c>
      <c r="P128" s="474"/>
      <c r="Q128" s="483" t="s">
        <v>2236</v>
      </c>
      <c r="R128" s="474"/>
      <c r="S128" s="474"/>
      <c r="T128" s="474"/>
      <c r="U128" s="475" t="s">
        <v>1193</v>
      </c>
      <c r="V128" s="485" t="str">
        <f>CLEAN(TRIM(Table2[[#This Row],[Status]] &amp; "|" &amp; Table2[[#This Row],[Level]] &amp; "|" &amp; Table2[[#This Row],[Participant As]]))</f>
        <v>Pembicara pada pelatihan/seminar/event berskala|External Regional|Individual</v>
      </c>
      <c r="W128" s="486">
        <f>IFERROR(INDEX(GradingSimkat[Score], MATCH(Table2[[#This Row],[Criteria]], GradingSimkat[Criteria], 0)), 0)</f>
        <v>0</v>
      </c>
    </row>
    <row r="129" spans="1:23" ht="13.75" customHeight="1">
      <c r="A129" s="482" t="s">
        <v>535</v>
      </c>
      <c r="B129" s="483" t="s">
        <v>536</v>
      </c>
      <c r="C129" s="483" t="s">
        <v>274</v>
      </c>
      <c r="D129" s="484">
        <v>2022</v>
      </c>
      <c r="E129" s="483" t="s">
        <v>361</v>
      </c>
      <c r="F129" s="472" t="s">
        <v>362</v>
      </c>
      <c r="G129" s="472" t="s">
        <v>363</v>
      </c>
      <c r="H129" s="473">
        <v>20231</v>
      </c>
      <c r="I129" s="483" t="s">
        <v>364</v>
      </c>
      <c r="J129" s="472" t="s">
        <v>278</v>
      </c>
      <c r="K129" s="483" t="s">
        <v>279</v>
      </c>
      <c r="L129" s="483" t="s">
        <v>307</v>
      </c>
      <c r="M129" s="483" t="s">
        <v>292</v>
      </c>
      <c r="N129" s="473">
        <v>500</v>
      </c>
      <c r="O129" s="484">
        <v>10</v>
      </c>
      <c r="P129" s="472" t="s">
        <v>365</v>
      </c>
      <c r="Q129" s="483" t="s">
        <v>2186</v>
      </c>
      <c r="R129" s="472" t="s">
        <v>367</v>
      </c>
      <c r="S129" s="474"/>
      <c r="T129" s="474"/>
      <c r="U129" s="475" t="s">
        <v>368</v>
      </c>
      <c r="V129" s="485" t="str">
        <f>CLEAN(TRIM(Table2[[#This Row],[Status]] &amp; "|" &amp; Table2[[#This Row],[Level]] &amp; "|" &amp; Table2[[#This Row],[Participant As]]))</f>
        <v>Narasumber / Pemateri Acara Seminar / Workshop / Pemakalah|External International|Individual</v>
      </c>
      <c r="W129" s="486">
        <f>IFERROR(INDEX(GradingSimkat[Score], MATCH(Table2[[#This Row],[Criteria]], GradingSimkat[Criteria], 0)), 0)</f>
        <v>0</v>
      </c>
    </row>
    <row r="130" spans="1:23" ht="13.75" customHeight="1">
      <c r="A130" s="482" t="s">
        <v>1788</v>
      </c>
      <c r="B130" s="483" t="s">
        <v>1789</v>
      </c>
      <c r="C130" s="483" t="s">
        <v>1684</v>
      </c>
      <c r="D130" s="484">
        <v>2022</v>
      </c>
      <c r="E130" s="483" t="s">
        <v>361</v>
      </c>
      <c r="F130" s="472" t="s">
        <v>362</v>
      </c>
      <c r="G130" s="472" t="s">
        <v>363</v>
      </c>
      <c r="H130" s="473">
        <v>20231</v>
      </c>
      <c r="I130" s="483" t="s">
        <v>364</v>
      </c>
      <c r="J130" s="472" t="s">
        <v>278</v>
      </c>
      <c r="K130" s="483" t="s">
        <v>279</v>
      </c>
      <c r="L130" s="483" t="s">
        <v>307</v>
      </c>
      <c r="M130" s="483" t="s">
        <v>292</v>
      </c>
      <c r="N130" s="473">
        <v>500</v>
      </c>
      <c r="O130" s="484">
        <v>10</v>
      </c>
      <c r="P130" s="472" t="s">
        <v>365</v>
      </c>
      <c r="Q130" s="483" t="s">
        <v>2188</v>
      </c>
      <c r="R130" s="472" t="s">
        <v>389</v>
      </c>
      <c r="S130" s="474"/>
      <c r="T130" s="474"/>
      <c r="U130" s="475" t="s">
        <v>368</v>
      </c>
      <c r="V130" s="485" t="str">
        <f>CLEAN(TRIM(Table2[[#This Row],[Status]] &amp; "|" &amp; Table2[[#This Row],[Level]] &amp; "|" &amp; Table2[[#This Row],[Participant As]]))</f>
        <v>Narasumber / Pemateri Acara Seminar / Workshop / Pemakalah|External International|Individual</v>
      </c>
      <c r="W130" s="486">
        <f>IFERROR(INDEX(GradingSimkat[Score], MATCH(Table2[[#This Row],[Criteria]], GradingSimkat[Criteria], 0)), 0)</f>
        <v>0</v>
      </c>
    </row>
    <row r="131" spans="1:23" ht="13.75" customHeight="1">
      <c r="A131" s="482" t="s">
        <v>595</v>
      </c>
      <c r="B131" s="483" t="s">
        <v>596</v>
      </c>
      <c r="C131" s="483" t="s">
        <v>274</v>
      </c>
      <c r="D131" s="484">
        <v>2022</v>
      </c>
      <c r="E131" s="483" t="s">
        <v>361</v>
      </c>
      <c r="F131" s="472" t="s">
        <v>362</v>
      </c>
      <c r="G131" s="472" t="s">
        <v>363</v>
      </c>
      <c r="H131" s="473">
        <v>20231</v>
      </c>
      <c r="I131" s="483" t="s">
        <v>364</v>
      </c>
      <c r="J131" s="472" t="s">
        <v>278</v>
      </c>
      <c r="K131" s="483" t="s">
        <v>279</v>
      </c>
      <c r="L131" s="483" t="s">
        <v>307</v>
      </c>
      <c r="M131" s="483" t="s">
        <v>292</v>
      </c>
      <c r="N131" s="473">
        <v>500</v>
      </c>
      <c r="O131" s="484">
        <v>10</v>
      </c>
      <c r="P131" s="472" t="s">
        <v>365</v>
      </c>
      <c r="Q131" s="483" t="s">
        <v>2186</v>
      </c>
      <c r="R131" s="472" t="s">
        <v>367</v>
      </c>
      <c r="S131" s="474"/>
      <c r="T131" s="474"/>
      <c r="U131" s="475" t="s">
        <v>368</v>
      </c>
      <c r="V131" s="485" t="str">
        <f>CLEAN(TRIM(Table2[[#This Row],[Status]] &amp; "|" &amp; Table2[[#This Row],[Level]] &amp; "|" &amp; Table2[[#This Row],[Participant As]]))</f>
        <v>Narasumber / Pemateri Acara Seminar / Workshop / Pemakalah|External International|Individual</v>
      </c>
      <c r="W131" s="486">
        <f>IFERROR(INDEX(GradingSimkat[Score], MATCH(Table2[[#This Row],[Criteria]], GradingSimkat[Criteria], 0)), 0)</f>
        <v>0</v>
      </c>
    </row>
    <row r="132" spans="1:23" ht="13.75" customHeight="1">
      <c r="A132" s="482" t="s">
        <v>713</v>
      </c>
      <c r="B132" s="483" t="s">
        <v>714</v>
      </c>
      <c r="C132" s="483" t="s">
        <v>274</v>
      </c>
      <c r="D132" s="484">
        <v>2022</v>
      </c>
      <c r="E132" s="483" t="s">
        <v>361</v>
      </c>
      <c r="F132" s="472" t="s">
        <v>362</v>
      </c>
      <c r="G132" s="472" t="s">
        <v>363</v>
      </c>
      <c r="H132" s="473">
        <v>20231</v>
      </c>
      <c r="I132" s="483" t="s">
        <v>364</v>
      </c>
      <c r="J132" s="472" t="s">
        <v>278</v>
      </c>
      <c r="K132" s="483" t="s">
        <v>279</v>
      </c>
      <c r="L132" s="483" t="s">
        <v>307</v>
      </c>
      <c r="M132" s="483" t="s">
        <v>292</v>
      </c>
      <c r="N132" s="473">
        <v>500</v>
      </c>
      <c r="O132" s="484">
        <v>10</v>
      </c>
      <c r="P132" s="472" t="s">
        <v>365</v>
      </c>
      <c r="Q132" s="483" t="s">
        <v>2186</v>
      </c>
      <c r="R132" s="472" t="s">
        <v>367</v>
      </c>
      <c r="S132" s="474"/>
      <c r="T132" s="474"/>
      <c r="U132" s="475" t="s">
        <v>368</v>
      </c>
      <c r="V132" s="485" t="str">
        <f>CLEAN(TRIM(Table2[[#This Row],[Status]] &amp; "|" &amp; Table2[[#This Row],[Level]] &amp; "|" &amp; Table2[[#This Row],[Participant As]]))</f>
        <v>Narasumber / Pemateri Acara Seminar / Workshop / Pemakalah|External International|Individual</v>
      </c>
      <c r="W132" s="486">
        <f>IFERROR(INDEX(GradingSimkat[Score], MATCH(Table2[[#This Row],[Criteria]], GradingSimkat[Criteria], 0)), 0)</f>
        <v>0</v>
      </c>
    </row>
    <row r="133" spans="1:23" ht="13.75" customHeight="1">
      <c r="A133" s="482" t="s">
        <v>1003</v>
      </c>
      <c r="B133" s="483" t="s">
        <v>1004</v>
      </c>
      <c r="C133" s="483" t="s">
        <v>986</v>
      </c>
      <c r="D133" s="484">
        <v>2020</v>
      </c>
      <c r="E133" s="483" t="s">
        <v>1005</v>
      </c>
      <c r="F133" s="472" t="s">
        <v>1006</v>
      </c>
      <c r="G133" s="472" t="s">
        <v>1006</v>
      </c>
      <c r="H133" s="473">
        <v>20221</v>
      </c>
      <c r="I133" s="483" t="s">
        <v>1007</v>
      </c>
      <c r="J133" s="472" t="s">
        <v>278</v>
      </c>
      <c r="K133" s="493" t="s">
        <v>2157</v>
      </c>
      <c r="L133" s="483" t="s">
        <v>280</v>
      </c>
      <c r="M133" s="483" t="s">
        <v>292</v>
      </c>
      <c r="N133" s="473">
        <v>1</v>
      </c>
      <c r="O133" s="484">
        <v>15</v>
      </c>
      <c r="P133" s="474"/>
      <c r="Q133" s="483" t="s">
        <v>2209</v>
      </c>
      <c r="R133" s="472" t="s">
        <v>1009</v>
      </c>
      <c r="S133" s="474"/>
      <c r="T133" s="474"/>
      <c r="U133" s="475" t="s">
        <v>1010</v>
      </c>
      <c r="V133" s="485" t="str">
        <f>CLEAN(TRIM(Table2[[#This Row],[Status]] &amp; "|" &amp; Table2[[#This Row],[Level]] &amp; "|" &amp; Table2[[#This Row],[Participant As]]))</f>
        <v>Pembicara pada pelatihan/seminar/event berskala|External National|Individual</v>
      </c>
      <c r="W133" s="486">
        <f>IFERROR(INDEX(GradingSimkat[Score], MATCH(Table2[[#This Row],[Criteria]], GradingSimkat[Criteria], 0)), 0)</f>
        <v>4</v>
      </c>
    </row>
    <row r="134" spans="1:23" ht="13.75" customHeight="1">
      <c r="A134" s="482" t="s">
        <v>1003</v>
      </c>
      <c r="B134" s="483" t="s">
        <v>1004</v>
      </c>
      <c r="C134" s="483" t="s">
        <v>986</v>
      </c>
      <c r="D134" s="484">
        <v>2020</v>
      </c>
      <c r="E134" s="483" t="s">
        <v>1011</v>
      </c>
      <c r="F134" s="472" t="s">
        <v>1012</v>
      </c>
      <c r="G134" s="472" t="s">
        <v>1012</v>
      </c>
      <c r="H134" s="473">
        <v>20221</v>
      </c>
      <c r="I134" s="483" t="s">
        <v>1013</v>
      </c>
      <c r="J134" s="472" t="s">
        <v>278</v>
      </c>
      <c r="K134" s="493" t="s">
        <v>2157</v>
      </c>
      <c r="L134" s="483" t="s">
        <v>280</v>
      </c>
      <c r="M134" s="483" t="s">
        <v>292</v>
      </c>
      <c r="N134" s="473">
        <v>1</v>
      </c>
      <c r="O134" s="484">
        <v>15</v>
      </c>
      <c r="P134" s="474"/>
      <c r="Q134" s="483" t="s">
        <v>2210</v>
      </c>
      <c r="R134" s="472" t="s">
        <v>1015</v>
      </c>
      <c r="S134" s="474"/>
      <c r="T134" s="474"/>
      <c r="U134" s="475" t="s">
        <v>1010</v>
      </c>
      <c r="V134" s="485" t="str">
        <f>CLEAN(TRIM(Table2[[#This Row],[Status]] &amp; "|" &amp; Table2[[#This Row],[Level]] &amp; "|" &amp; Table2[[#This Row],[Participant As]]))</f>
        <v>Pembicara pada pelatihan/seminar/event berskala|External National|Individual</v>
      </c>
      <c r="W134" s="486">
        <f>IFERROR(INDEX(GradingSimkat[Score], MATCH(Table2[[#This Row],[Criteria]], GradingSimkat[Criteria], 0)), 0)</f>
        <v>4</v>
      </c>
    </row>
    <row r="135" spans="1:23" ht="13.75" customHeight="1">
      <c r="A135" s="471" t="s">
        <v>1855</v>
      </c>
      <c r="B135" s="472" t="s">
        <v>1856</v>
      </c>
      <c r="C135" s="472" t="s">
        <v>1857</v>
      </c>
      <c r="D135" s="473">
        <v>2019</v>
      </c>
      <c r="E135" s="472" t="s">
        <v>1858</v>
      </c>
      <c r="F135" s="472" t="s">
        <v>322</v>
      </c>
      <c r="G135" s="472" t="s">
        <v>1859</v>
      </c>
      <c r="H135" s="473">
        <v>20212</v>
      </c>
      <c r="I135" s="472" t="s">
        <v>2178</v>
      </c>
      <c r="J135" s="472" t="s">
        <v>278</v>
      </c>
      <c r="K135" s="472" t="s">
        <v>2155</v>
      </c>
      <c r="L135" s="472" t="s">
        <v>291</v>
      </c>
      <c r="M135" s="472" t="s">
        <v>1119</v>
      </c>
      <c r="N135" s="473">
        <v>300</v>
      </c>
      <c r="O135" s="473">
        <v>5</v>
      </c>
      <c r="P135" s="474"/>
      <c r="Q135" s="472" t="s">
        <v>1861</v>
      </c>
      <c r="R135" s="474"/>
      <c r="S135" s="474"/>
      <c r="T135" s="474"/>
      <c r="U135" s="475" t="s">
        <v>1862</v>
      </c>
      <c r="V135" s="481" t="str">
        <f>CLEAN(TRIM(Table2[[#This Row],[Status]] &amp; "|" &amp; Table2[[#This Row],[Level]] &amp; "|" &amp; Table2[[#This Row],[Participant As]]))</f>
        <v>Juri/Pelatih/Wasit|Internal Sekolah / Universitas|Student Organization</v>
      </c>
      <c r="W135" s="477">
        <f>IFERROR(INDEX(GradingSimkat[Score], MATCH(Table2[[#This Row],[Criteria]], GradingSimkat[Criteria], 0)), 0)</f>
        <v>0</v>
      </c>
    </row>
    <row r="136" spans="1:23" ht="13.75" customHeight="1">
      <c r="A136" s="482" t="s">
        <v>633</v>
      </c>
      <c r="B136" s="483" t="s">
        <v>634</v>
      </c>
      <c r="C136" s="483" t="s">
        <v>274</v>
      </c>
      <c r="D136" s="484">
        <v>2022</v>
      </c>
      <c r="E136" s="483" t="s">
        <v>361</v>
      </c>
      <c r="F136" s="472" t="s">
        <v>362</v>
      </c>
      <c r="G136" s="472" t="s">
        <v>363</v>
      </c>
      <c r="H136" s="473">
        <v>20231</v>
      </c>
      <c r="I136" s="483" t="s">
        <v>364</v>
      </c>
      <c r="J136" s="472" t="s">
        <v>278</v>
      </c>
      <c r="K136" s="483" t="s">
        <v>279</v>
      </c>
      <c r="L136" s="483" t="s">
        <v>307</v>
      </c>
      <c r="M136" s="483" t="s">
        <v>292</v>
      </c>
      <c r="N136" s="473">
        <v>500</v>
      </c>
      <c r="O136" s="484">
        <v>10</v>
      </c>
      <c r="P136" s="472" t="s">
        <v>365</v>
      </c>
      <c r="Q136" s="483" t="s">
        <v>2186</v>
      </c>
      <c r="R136" s="472" t="s">
        <v>367</v>
      </c>
      <c r="S136" s="474"/>
      <c r="T136" s="474"/>
      <c r="U136" s="475" t="s">
        <v>368</v>
      </c>
      <c r="V136" s="485" t="str">
        <f>CLEAN(TRIM(Table2[[#This Row],[Status]] &amp; "|" &amp; Table2[[#This Row],[Level]] &amp; "|" &amp; Table2[[#This Row],[Participant As]]))</f>
        <v>Narasumber / Pemateri Acara Seminar / Workshop / Pemakalah|External International|Individual</v>
      </c>
      <c r="W136" s="486">
        <f>IFERROR(INDEX(GradingSimkat[Score], MATCH(Table2[[#This Row],[Criteria]], GradingSimkat[Criteria], 0)), 0)</f>
        <v>0</v>
      </c>
    </row>
    <row r="137" spans="1:23" ht="13.75" customHeight="1">
      <c r="A137" s="482" t="s">
        <v>1222</v>
      </c>
      <c r="B137" s="483" t="s">
        <v>1223</v>
      </c>
      <c r="C137" s="483" t="s">
        <v>1224</v>
      </c>
      <c r="D137" s="484">
        <v>2023</v>
      </c>
      <c r="E137" s="483" t="s">
        <v>361</v>
      </c>
      <c r="F137" s="472" t="s">
        <v>362</v>
      </c>
      <c r="G137" s="472" t="s">
        <v>363</v>
      </c>
      <c r="H137" s="473">
        <v>20231</v>
      </c>
      <c r="I137" s="483" t="s">
        <v>364</v>
      </c>
      <c r="J137" s="472" t="s">
        <v>278</v>
      </c>
      <c r="K137" s="483" t="s">
        <v>279</v>
      </c>
      <c r="L137" s="483" t="s">
        <v>307</v>
      </c>
      <c r="M137" s="483" t="s">
        <v>292</v>
      </c>
      <c r="N137" s="473">
        <v>500</v>
      </c>
      <c r="O137" s="484">
        <v>10</v>
      </c>
      <c r="P137" s="472" t="s">
        <v>365</v>
      </c>
      <c r="Q137" s="483" t="s">
        <v>2188</v>
      </c>
      <c r="R137" s="472" t="s">
        <v>389</v>
      </c>
      <c r="S137" s="474"/>
      <c r="T137" s="474"/>
      <c r="U137" s="475" t="s">
        <v>368</v>
      </c>
      <c r="V137" s="485" t="str">
        <f>CLEAN(TRIM(Table2[[#This Row],[Status]] &amp; "|" &amp; Table2[[#This Row],[Level]] &amp; "|" &amp; Table2[[#This Row],[Participant As]]))</f>
        <v>Narasumber / Pemateri Acara Seminar / Workshop / Pemakalah|External International|Individual</v>
      </c>
      <c r="W137" s="486">
        <f>IFERROR(INDEX(GradingSimkat[Score], MATCH(Table2[[#This Row],[Criteria]], GradingSimkat[Criteria], 0)), 0)</f>
        <v>0</v>
      </c>
    </row>
    <row r="138" spans="1:23" ht="13.75" customHeight="1">
      <c r="A138" s="482" t="s">
        <v>310</v>
      </c>
      <c r="B138" s="483" t="s">
        <v>311</v>
      </c>
      <c r="C138" s="483" t="s">
        <v>274</v>
      </c>
      <c r="D138" s="484">
        <v>2019</v>
      </c>
      <c r="E138" s="483" t="s">
        <v>312</v>
      </c>
      <c r="F138" s="472" t="s">
        <v>313</v>
      </c>
      <c r="G138" s="472" t="s">
        <v>314</v>
      </c>
      <c r="H138" s="473">
        <v>20212</v>
      </c>
      <c r="I138" s="483" t="s">
        <v>315</v>
      </c>
      <c r="J138" s="472" t="s">
        <v>278</v>
      </c>
      <c r="K138" s="491" t="s">
        <v>2157</v>
      </c>
      <c r="L138" s="483" t="s">
        <v>280</v>
      </c>
      <c r="M138" s="483" t="s">
        <v>292</v>
      </c>
      <c r="N138" s="473">
        <v>400</v>
      </c>
      <c r="O138" s="484">
        <v>15</v>
      </c>
      <c r="P138" s="474"/>
      <c r="Q138" s="483" t="s">
        <v>2183</v>
      </c>
      <c r="R138" s="472" t="s">
        <v>317</v>
      </c>
      <c r="S138" s="474"/>
      <c r="T138" s="474"/>
      <c r="U138" s="475" t="s">
        <v>318</v>
      </c>
      <c r="V138" s="485" t="str">
        <f>CLEAN(TRIM(Table2[[#This Row],[Status]] &amp; "|" &amp; Table2[[#This Row],[Level]] &amp; "|" &amp; Table2[[#This Row],[Participant As]]))</f>
        <v>Pembicara pada pelatihan/seminar/event berskala|External National|Individual</v>
      </c>
      <c r="W138" s="486">
        <f>IFERROR(INDEX(GradingSimkat[Score], MATCH(Table2[[#This Row],[Criteria]], GradingSimkat[Criteria], 0)), 0)</f>
        <v>4</v>
      </c>
    </row>
    <row r="139" spans="1:23" ht="13.75" customHeight="1">
      <c r="A139" s="482" t="s">
        <v>416</v>
      </c>
      <c r="B139" s="483" t="s">
        <v>417</v>
      </c>
      <c r="C139" s="483" t="s">
        <v>274</v>
      </c>
      <c r="D139" s="484">
        <v>2020</v>
      </c>
      <c r="E139" s="483" t="s">
        <v>418</v>
      </c>
      <c r="F139" s="472" t="s">
        <v>419</v>
      </c>
      <c r="G139" s="472" t="s">
        <v>419</v>
      </c>
      <c r="H139" s="473">
        <v>20231</v>
      </c>
      <c r="I139" s="483" t="s">
        <v>420</v>
      </c>
      <c r="J139" s="472" t="s">
        <v>278</v>
      </c>
      <c r="K139" s="483" t="s">
        <v>279</v>
      </c>
      <c r="L139" s="483" t="s">
        <v>291</v>
      </c>
      <c r="M139" s="483" t="s">
        <v>292</v>
      </c>
      <c r="N139" s="473">
        <v>250</v>
      </c>
      <c r="O139" s="484">
        <v>4</v>
      </c>
      <c r="P139" s="474"/>
      <c r="Q139" s="483" t="s">
        <v>2191</v>
      </c>
      <c r="R139" s="472" t="s">
        <v>422</v>
      </c>
      <c r="S139" s="474"/>
      <c r="T139" s="474"/>
      <c r="U139" s="475" t="s">
        <v>423</v>
      </c>
      <c r="V139" s="485" t="str">
        <f>CLEAN(TRIM(Table2[[#This Row],[Status]] &amp; "|" &amp; Table2[[#This Row],[Level]] &amp; "|" &amp; Table2[[#This Row],[Participant As]]))</f>
        <v>Narasumber / Pemateri Acara Seminar / Workshop / Pemakalah|Internal Sekolah / Universitas|Individual</v>
      </c>
      <c r="W139" s="486">
        <f>IFERROR(INDEX(GradingSimkat[Score], MATCH(Table2[[#This Row],[Criteria]], GradingSimkat[Criteria], 0)), 0)</f>
        <v>0</v>
      </c>
    </row>
    <row r="140" spans="1:23" ht="13.75" customHeight="1">
      <c r="A140" s="471" t="s">
        <v>1480</v>
      </c>
      <c r="B140" s="472" t="s">
        <v>1481</v>
      </c>
      <c r="C140" s="472" t="s">
        <v>1444</v>
      </c>
      <c r="D140" s="473">
        <v>2021</v>
      </c>
      <c r="E140" s="472" t="s">
        <v>1482</v>
      </c>
      <c r="F140" s="472" t="s">
        <v>1483</v>
      </c>
      <c r="G140" s="472" t="s">
        <v>1483</v>
      </c>
      <c r="H140" s="473">
        <v>20221</v>
      </c>
      <c r="I140" s="474"/>
      <c r="J140" s="472" t="s">
        <v>278</v>
      </c>
      <c r="K140" s="472" t="s">
        <v>2159</v>
      </c>
      <c r="L140" s="472" t="s">
        <v>280</v>
      </c>
      <c r="M140" s="472" t="s">
        <v>292</v>
      </c>
      <c r="N140" s="473">
        <v>100</v>
      </c>
      <c r="O140" s="473">
        <v>30</v>
      </c>
      <c r="P140" s="474"/>
      <c r="Q140" s="472" t="s">
        <v>1484</v>
      </c>
      <c r="R140" s="474"/>
      <c r="S140" s="472" t="s">
        <v>1485</v>
      </c>
      <c r="T140" s="474"/>
      <c r="U140" s="475" t="s">
        <v>1486</v>
      </c>
      <c r="V140" s="481" t="str">
        <f>CLEAN(TRIM(Table2[[#This Row],[Status]] &amp; "|" &amp; Table2[[#This Row],[Level]] &amp; "|" &amp; Table2[[#This Row],[Participant As]]))</f>
        <v>Penulis pertama buku ber-ISBN|External National|Individual</v>
      </c>
      <c r="W140" s="477">
        <f>IFERROR(INDEX(GradingSimkat[Score], MATCH(Table2[[#This Row],[Criteria]], GradingSimkat[Criteria], 0)), 0)</f>
        <v>6</v>
      </c>
    </row>
    <row r="141" spans="1:23" ht="13.75" customHeight="1">
      <c r="A141" s="482" t="s">
        <v>443</v>
      </c>
      <c r="B141" s="483" t="s">
        <v>444</v>
      </c>
      <c r="C141" s="483" t="s">
        <v>274</v>
      </c>
      <c r="D141" s="484">
        <v>2021</v>
      </c>
      <c r="E141" s="483" t="s">
        <v>361</v>
      </c>
      <c r="F141" s="472" t="s">
        <v>362</v>
      </c>
      <c r="G141" s="472" t="s">
        <v>363</v>
      </c>
      <c r="H141" s="473">
        <v>20231</v>
      </c>
      <c r="I141" s="483" t="s">
        <v>364</v>
      </c>
      <c r="J141" s="472" t="s">
        <v>278</v>
      </c>
      <c r="K141" s="483" t="s">
        <v>279</v>
      </c>
      <c r="L141" s="483" t="s">
        <v>307</v>
      </c>
      <c r="M141" s="483" t="s">
        <v>292</v>
      </c>
      <c r="N141" s="473">
        <v>500</v>
      </c>
      <c r="O141" s="484">
        <v>10</v>
      </c>
      <c r="P141" s="472" t="s">
        <v>365</v>
      </c>
      <c r="Q141" s="483" t="s">
        <v>2186</v>
      </c>
      <c r="R141" s="472" t="s">
        <v>367</v>
      </c>
      <c r="S141" s="474"/>
      <c r="T141" s="474"/>
      <c r="U141" s="475" t="s">
        <v>368</v>
      </c>
      <c r="V141" s="485" t="str">
        <f>CLEAN(TRIM(Table2[[#This Row],[Status]] &amp; "|" &amp; Table2[[#This Row],[Level]] &amp; "|" &amp; Table2[[#This Row],[Participant As]]))</f>
        <v>Narasumber / Pemateri Acara Seminar / Workshop / Pemakalah|External International|Individual</v>
      </c>
      <c r="W141" s="486">
        <f>IFERROR(INDEX(GradingSimkat[Score], MATCH(Table2[[#This Row],[Criteria]], GradingSimkat[Criteria], 0)), 0)</f>
        <v>0</v>
      </c>
    </row>
    <row r="142" spans="1:23" ht="13.75" customHeight="1">
      <c r="A142" s="482" t="s">
        <v>805</v>
      </c>
      <c r="B142" s="483" t="s">
        <v>806</v>
      </c>
      <c r="C142" s="483" t="s">
        <v>274</v>
      </c>
      <c r="D142" s="484">
        <v>2023</v>
      </c>
      <c r="E142" s="483" t="s">
        <v>361</v>
      </c>
      <c r="F142" s="472" t="s">
        <v>362</v>
      </c>
      <c r="G142" s="472" t="s">
        <v>363</v>
      </c>
      <c r="H142" s="473">
        <v>20231</v>
      </c>
      <c r="I142" s="483" t="s">
        <v>364</v>
      </c>
      <c r="J142" s="472" t="s">
        <v>278</v>
      </c>
      <c r="K142" s="483" t="s">
        <v>279</v>
      </c>
      <c r="L142" s="483" t="s">
        <v>307</v>
      </c>
      <c r="M142" s="483" t="s">
        <v>292</v>
      </c>
      <c r="N142" s="473">
        <v>500</v>
      </c>
      <c r="O142" s="484">
        <v>10</v>
      </c>
      <c r="P142" s="472" t="s">
        <v>365</v>
      </c>
      <c r="Q142" s="483" t="s">
        <v>2186</v>
      </c>
      <c r="R142" s="472" t="s">
        <v>367</v>
      </c>
      <c r="S142" s="474"/>
      <c r="T142" s="474"/>
      <c r="U142" s="475" t="s">
        <v>368</v>
      </c>
      <c r="V142" s="485" t="str">
        <f>CLEAN(TRIM(Table2[[#This Row],[Status]] &amp; "|" &amp; Table2[[#This Row],[Level]] &amp; "|" &amp; Table2[[#This Row],[Participant As]]))</f>
        <v>Narasumber / Pemateri Acara Seminar / Workshop / Pemakalah|External International|Individual</v>
      </c>
      <c r="W142" s="486">
        <f>IFERROR(INDEX(GradingSimkat[Score], MATCH(Table2[[#This Row],[Criteria]], GradingSimkat[Criteria], 0)), 0)</f>
        <v>0</v>
      </c>
    </row>
    <row r="143" spans="1:23" ht="13.75" customHeight="1">
      <c r="A143" s="482" t="s">
        <v>601</v>
      </c>
      <c r="B143" s="483" t="s">
        <v>602</v>
      </c>
      <c r="C143" s="483" t="s">
        <v>274</v>
      </c>
      <c r="D143" s="484">
        <v>2022</v>
      </c>
      <c r="E143" s="483" t="s">
        <v>361</v>
      </c>
      <c r="F143" s="472" t="s">
        <v>362</v>
      </c>
      <c r="G143" s="472" t="s">
        <v>363</v>
      </c>
      <c r="H143" s="473">
        <v>20231</v>
      </c>
      <c r="I143" s="483" t="s">
        <v>364</v>
      </c>
      <c r="J143" s="472" t="s">
        <v>278</v>
      </c>
      <c r="K143" s="483" t="s">
        <v>279</v>
      </c>
      <c r="L143" s="483" t="s">
        <v>307</v>
      </c>
      <c r="M143" s="483" t="s">
        <v>292</v>
      </c>
      <c r="N143" s="473">
        <v>500</v>
      </c>
      <c r="O143" s="484">
        <v>10</v>
      </c>
      <c r="P143" s="472" t="s">
        <v>365</v>
      </c>
      <c r="Q143" s="483" t="s">
        <v>2186</v>
      </c>
      <c r="R143" s="472" t="s">
        <v>367</v>
      </c>
      <c r="S143" s="474"/>
      <c r="T143" s="474"/>
      <c r="U143" s="475" t="s">
        <v>368</v>
      </c>
      <c r="V143" s="485" t="str">
        <f>CLEAN(TRIM(Table2[[#This Row],[Status]] &amp; "|" &amp; Table2[[#This Row],[Level]] &amp; "|" &amp; Table2[[#This Row],[Participant As]]))</f>
        <v>Narasumber / Pemateri Acara Seminar / Workshop / Pemakalah|External International|Individual</v>
      </c>
      <c r="W143" s="486">
        <f>IFERROR(INDEX(GradingSimkat[Score], MATCH(Table2[[#This Row],[Criteria]], GradingSimkat[Criteria], 0)), 0)</f>
        <v>0</v>
      </c>
    </row>
    <row r="144" spans="1:23" ht="13.75" customHeight="1">
      <c r="A144" s="482" t="s">
        <v>1395</v>
      </c>
      <c r="B144" s="483" t="s">
        <v>1396</v>
      </c>
      <c r="C144" s="483" t="s">
        <v>1356</v>
      </c>
      <c r="D144" s="484">
        <v>2021</v>
      </c>
      <c r="E144" s="483" t="s">
        <v>1397</v>
      </c>
      <c r="F144" s="472" t="s">
        <v>1398</v>
      </c>
      <c r="G144" s="472" t="s">
        <v>1399</v>
      </c>
      <c r="H144" s="473">
        <v>20222</v>
      </c>
      <c r="I144" s="483" t="s">
        <v>1400</v>
      </c>
      <c r="J144" s="472" t="s">
        <v>278</v>
      </c>
      <c r="K144" s="483" t="s">
        <v>2157</v>
      </c>
      <c r="L144" s="483" t="s">
        <v>438</v>
      </c>
      <c r="M144" s="483" t="s">
        <v>292</v>
      </c>
      <c r="N144" s="473">
        <v>13</v>
      </c>
      <c r="O144" s="484">
        <v>10</v>
      </c>
      <c r="P144" s="474"/>
      <c r="Q144" s="483" t="s">
        <v>2249</v>
      </c>
      <c r="R144" s="474"/>
      <c r="S144" s="474"/>
      <c r="T144" s="474"/>
      <c r="U144" s="475" t="s">
        <v>1402</v>
      </c>
      <c r="V144" s="485" t="str">
        <f>CLEAN(TRIM(Table2[[#This Row],[Status]] &amp; "|" &amp; Table2[[#This Row],[Level]] &amp; "|" &amp; Table2[[#This Row],[Participant As]]))</f>
        <v>Pembicara pada pelatihan/seminar/event berskala|External Regional|Individual</v>
      </c>
      <c r="W144" s="486">
        <f>IFERROR(INDEX(GradingSimkat[Score], MATCH(Table2[[#This Row],[Criteria]], GradingSimkat[Criteria], 0)), 0)</f>
        <v>0</v>
      </c>
    </row>
    <row r="145" spans="1:23" ht="13.75" customHeight="1">
      <c r="A145" s="482" t="s">
        <v>679</v>
      </c>
      <c r="B145" s="483" t="s">
        <v>680</v>
      </c>
      <c r="C145" s="483" t="s">
        <v>274</v>
      </c>
      <c r="D145" s="484">
        <v>2022</v>
      </c>
      <c r="E145" s="483" t="s">
        <v>361</v>
      </c>
      <c r="F145" s="472" t="s">
        <v>362</v>
      </c>
      <c r="G145" s="472" t="s">
        <v>363</v>
      </c>
      <c r="H145" s="473">
        <v>20231</v>
      </c>
      <c r="I145" s="483" t="s">
        <v>364</v>
      </c>
      <c r="J145" s="472" t="s">
        <v>278</v>
      </c>
      <c r="K145" s="483" t="s">
        <v>279</v>
      </c>
      <c r="L145" s="483" t="s">
        <v>307</v>
      </c>
      <c r="M145" s="483" t="s">
        <v>292</v>
      </c>
      <c r="N145" s="473">
        <v>500</v>
      </c>
      <c r="O145" s="484">
        <v>10</v>
      </c>
      <c r="P145" s="472" t="s">
        <v>365</v>
      </c>
      <c r="Q145" s="483" t="s">
        <v>2186</v>
      </c>
      <c r="R145" s="472" t="s">
        <v>367</v>
      </c>
      <c r="S145" s="474"/>
      <c r="T145" s="474"/>
      <c r="U145" s="475" t="s">
        <v>368</v>
      </c>
      <c r="V145" s="485" t="str">
        <f>CLEAN(TRIM(Table2[[#This Row],[Status]] &amp; "|" &amp; Table2[[#This Row],[Level]] &amp; "|" &amp; Table2[[#This Row],[Participant As]]))</f>
        <v>Narasumber / Pemateri Acara Seminar / Workshop / Pemakalah|External International|Individual</v>
      </c>
      <c r="W145" s="486">
        <f>IFERROR(INDEX(GradingSimkat[Score], MATCH(Table2[[#This Row],[Criteria]], GradingSimkat[Criteria], 0)), 0)</f>
        <v>0</v>
      </c>
    </row>
    <row r="146" spans="1:23" ht="13.75" customHeight="1">
      <c r="A146" s="482" t="s">
        <v>286</v>
      </c>
      <c r="B146" s="483" t="s">
        <v>287</v>
      </c>
      <c r="C146" s="483" t="s">
        <v>274</v>
      </c>
      <c r="D146" s="484">
        <v>2019</v>
      </c>
      <c r="E146" s="483" t="s">
        <v>288</v>
      </c>
      <c r="F146" s="472" t="s">
        <v>289</v>
      </c>
      <c r="G146" s="472" t="s">
        <v>289</v>
      </c>
      <c r="H146" s="473">
        <v>20222</v>
      </c>
      <c r="I146" s="483" t="s">
        <v>290</v>
      </c>
      <c r="J146" s="472" t="s">
        <v>278</v>
      </c>
      <c r="K146" s="483" t="s">
        <v>279</v>
      </c>
      <c r="L146" s="483" t="s">
        <v>291</v>
      </c>
      <c r="M146" s="483" t="s">
        <v>292</v>
      </c>
      <c r="N146" s="473">
        <v>185</v>
      </c>
      <c r="O146" s="484">
        <v>5</v>
      </c>
      <c r="P146" s="474"/>
      <c r="Q146" s="483" t="s">
        <v>2180</v>
      </c>
      <c r="R146" s="474"/>
      <c r="S146" s="474"/>
      <c r="T146" s="474"/>
      <c r="U146" s="475" t="s">
        <v>294</v>
      </c>
      <c r="V146" s="485" t="str">
        <f>CLEAN(TRIM(Table2[[#This Row],[Status]] &amp; "|" &amp; Table2[[#This Row],[Level]] &amp; "|" &amp; Table2[[#This Row],[Participant As]]))</f>
        <v>Narasumber / Pemateri Acara Seminar / Workshop / Pemakalah|Internal Sekolah / Universitas|Individual</v>
      </c>
      <c r="W146" s="486">
        <f>IFERROR(INDEX(GradingSimkat[Score], MATCH(Table2[[#This Row],[Criteria]], GradingSimkat[Criteria], 0)), 0)</f>
        <v>0</v>
      </c>
    </row>
    <row r="147" spans="1:23" ht="13.75" customHeight="1">
      <c r="A147" s="482" t="s">
        <v>455</v>
      </c>
      <c r="B147" s="483" t="s">
        <v>456</v>
      </c>
      <c r="C147" s="483" t="s">
        <v>274</v>
      </c>
      <c r="D147" s="484">
        <v>2021</v>
      </c>
      <c r="E147" s="483" t="s">
        <v>457</v>
      </c>
      <c r="F147" s="472" t="s">
        <v>458</v>
      </c>
      <c r="G147" s="472" t="s">
        <v>339</v>
      </c>
      <c r="H147" s="473">
        <v>20221</v>
      </c>
      <c r="I147" s="483" t="s">
        <v>459</v>
      </c>
      <c r="J147" s="472" t="s">
        <v>278</v>
      </c>
      <c r="K147" s="483" t="s">
        <v>279</v>
      </c>
      <c r="L147" s="483" t="s">
        <v>280</v>
      </c>
      <c r="M147" s="483" t="s">
        <v>281</v>
      </c>
      <c r="N147" s="473">
        <v>5</v>
      </c>
      <c r="O147" s="484">
        <v>15</v>
      </c>
      <c r="P147" s="474"/>
      <c r="Q147" s="483" t="s">
        <v>2194</v>
      </c>
      <c r="R147" s="474"/>
      <c r="S147" s="474"/>
      <c r="T147" s="474"/>
      <c r="U147" s="475" t="s">
        <v>343</v>
      </c>
      <c r="V147" s="485" t="str">
        <f>CLEAN(TRIM(Table2[[#This Row],[Status]] &amp; "|" &amp; Table2[[#This Row],[Level]] &amp; "|" &amp; Table2[[#This Row],[Participant As]]))</f>
        <v>Narasumber / Pemateri Acara Seminar / Workshop / Pemakalah|External National|Team</v>
      </c>
      <c r="W147" s="486">
        <f>IFERROR(INDEX(GradingSimkat[Score], MATCH(Table2[[#This Row],[Criteria]], GradingSimkat[Criteria], 0)), 0)</f>
        <v>0</v>
      </c>
    </row>
    <row r="148" spans="1:23" ht="13.75" customHeight="1">
      <c r="A148" s="482" t="s">
        <v>539</v>
      </c>
      <c r="B148" s="483" t="s">
        <v>540</v>
      </c>
      <c r="C148" s="483" t="s">
        <v>274</v>
      </c>
      <c r="D148" s="484">
        <v>2022</v>
      </c>
      <c r="E148" s="483" t="s">
        <v>541</v>
      </c>
      <c r="F148" s="472" t="s">
        <v>542</v>
      </c>
      <c r="G148" s="472" t="s">
        <v>542</v>
      </c>
      <c r="H148" s="473">
        <v>20222</v>
      </c>
      <c r="I148" s="483" t="s">
        <v>543</v>
      </c>
      <c r="J148" s="472" t="s">
        <v>278</v>
      </c>
      <c r="K148" s="493" t="s">
        <v>2157</v>
      </c>
      <c r="L148" s="483" t="s">
        <v>438</v>
      </c>
      <c r="M148" s="483" t="s">
        <v>292</v>
      </c>
      <c r="N148" s="473">
        <v>150</v>
      </c>
      <c r="O148" s="484">
        <v>10</v>
      </c>
      <c r="P148" s="474"/>
      <c r="Q148" s="483" t="s">
        <v>2202</v>
      </c>
      <c r="R148" s="474"/>
      <c r="S148" s="474"/>
      <c r="T148" s="474"/>
      <c r="U148" s="475" t="s">
        <v>545</v>
      </c>
      <c r="V148" s="485" t="str">
        <f>CLEAN(TRIM(Table2[[#This Row],[Status]] &amp; "|" &amp; Table2[[#This Row],[Level]] &amp; "|" &amp; Table2[[#This Row],[Participant As]]))</f>
        <v>Pembicara pada pelatihan/seminar/event berskala|External Regional|Individual</v>
      </c>
      <c r="W148" s="486">
        <f>IFERROR(INDEX(GradingSimkat[Score], MATCH(Table2[[#This Row],[Criteria]], GradingSimkat[Criteria], 0)), 0)</f>
        <v>0</v>
      </c>
    </row>
    <row r="149" spans="1:23" ht="13.75" customHeight="1">
      <c r="A149" s="482" t="s">
        <v>539</v>
      </c>
      <c r="B149" s="483" t="s">
        <v>540</v>
      </c>
      <c r="C149" s="483" t="s">
        <v>274</v>
      </c>
      <c r="D149" s="484">
        <v>2022</v>
      </c>
      <c r="E149" s="483" t="s">
        <v>361</v>
      </c>
      <c r="F149" s="472" t="s">
        <v>362</v>
      </c>
      <c r="G149" s="472" t="s">
        <v>363</v>
      </c>
      <c r="H149" s="473">
        <v>20231</v>
      </c>
      <c r="I149" s="483" t="s">
        <v>364</v>
      </c>
      <c r="J149" s="472" t="s">
        <v>278</v>
      </c>
      <c r="K149" s="483" t="s">
        <v>279</v>
      </c>
      <c r="L149" s="483" t="s">
        <v>307</v>
      </c>
      <c r="M149" s="483" t="s">
        <v>292</v>
      </c>
      <c r="N149" s="473">
        <v>500</v>
      </c>
      <c r="O149" s="484">
        <v>10</v>
      </c>
      <c r="P149" s="472" t="s">
        <v>365</v>
      </c>
      <c r="Q149" s="483" t="s">
        <v>2186</v>
      </c>
      <c r="R149" s="472" t="s">
        <v>367</v>
      </c>
      <c r="S149" s="474"/>
      <c r="T149" s="474"/>
      <c r="U149" s="475" t="s">
        <v>368</v>
      </c>
      <c r="V149" s="485" t="str">
        <f>CLEAN(TRIM(Table2[[#This Row],[Status]] &amp; "|" &amp; Table2[[#This Row],[Level]] &amp; "|" &amp; Table2[[#This Row],[Participant As]]))</f>
        <v>Narasumber / Pemateri Acara Seminar / Workshop / Pemakalah|External International|Individual</v>
      </c>
      <c r="W149" s="486">
        <f>IFERROR(INDEX(GradingSimkat[Score], MATCH(Table2[[#This Row],[Criteria]], GradingSimkat[Criteria], 0)), 0)</f>
        <v>0</v>
      </c>
    </row>
    <row r="150" spans="1:23" ht="13.75" customHeight="1">
      <c r="A150" s="471" t="s">
        <v>1867</v>
      </c>
      <c r="B150" s="472" t="s">
        <v>1868</v>
      </c>
      <c r="C150" s="472" t="s">
        <v>1857</v>
      </c>
      <c r="D150" s="473">
        <v>2020</v>
      </c>
      <c r="E150" s="472" t="s">
        <v>1869</v>
      </c>
      <c r="F150" s="472" t="s">
        <v>1870</v>
      </c>
      <c r="G150" s="472" t="s">
        <v>1871</v>
      </c>
      <c r="H150" s="473">
        <v>20212</v>
      </c>
      <c r="I150" s="472" t="s">
        <v>1872</v>
      </c>
      <c r="J150" s="472" t="s">
        <v>278</v>
      </c>
      <c r="K150" s="472" t="s">
        <v>2160</v>
      </c>
      <c r="L150" s="472" t="s">
        <v>307</v>
      </c>
      <c r="M150" s="472" t="s">
        <v>281</v>
      </c>
      <c r="N150" s="473">
        <v>5</v>
      </c>
      <c r="O150" s="473">
        <v>15</v>
      </c>
      <c r="P150" s="472" t="s">
        <v>1873</v>
      </c>
      <c r="Q150" s="472" t="s">
        <v>1874</v>
      </c>
      <c r="R150" s="474"/>
      <c r="S150" s="474"/>
      <c r="T150" s="474"/>
      <c r="U150" s="475" t="s">
        <v>1875</v>
      </c>
      <c r="V150" s="481" t="str">
        <f>CLEAN(TRIM(Table2[[#This Row],[Status]] &amp; "|" &amp; Table2[[#This Row],[Level]] &amp; "|" &amp; Table2[[#This Row],[Participant As]]))</f>
        <v>Penulis pertama pada jurnal internasional bereputasi atau jurnal nasional terindeks SINTA 1 dan 2|External International|Team</v>
      </c>
      <c r="W150" s="477">
        <f>IFERROR(INDEX(GradingSimkat[Score], MATCH(Table2[[#This Row],[Criteria]], GradingSimkat[Criteria], 0)), 0)</f>
        <v>5</v>
      </c>
    </row>
    <row r="151" spans="1:23" ht="13.75" customHeight="1">
      <c r="A151" s="471" t="s">
        <v>1489</v>
      </c>
      <c r="B151" s="472" t="s">
        <v>1490</v>
      </c>
      <c r="C151" s="472" t="s">
        <v>1444</v>
      </c>
      <c r="D151" s="473">
        <v>2022</v>
      </c>
      <c r="E151" s="472" t="s">
        <v>1491</v>
      </c>
      <c r="F151" s="472" t="s">
        <v>1492</v>
      </c>
      <c r="G151" s="472" t="s">
        <v>1492</v>
      </c>
      <c r="H151" s="473">
        <v>20222</v>
      </c>
      <c r="I151" s="472" t="s">
        <v>2170</v>
      </c>
      <c r="J151" s="472" t="s">
        <v>278</v>
      </c>
      <c r="K151" s="472" t="s">
        <v>2155</v>
      </c>
      <c r="L151" s="472" t="s">
        <v>438</v>
      </c>
      <c r="M151" s="472" t="s">
        <v>292</v>
      </c>
      <c r="N151" s="473">
        <v>50</v>
      </c>
      <c r="O151" s="473">
        <v>10</v>
      </c>
      <c r="P151" s="472" t="s">
        <v>1494</v>
      </c>
      <c r="Q151" s="472" t="s">
        <v>1495</v>
      </c>
      <c r="R151" s="474"/>
      <c r="S151" s="474"/>
      <c r="T151" s="474"/>
      <c r="U151" s="475" t="s">
        <v>1496</v>
      </c>
      <c r="V151" s="481" t="str">
        <f>CLEAN(TRIM(Table2[[#This Row],[Status]] &amp; "|" &amp; Table2[[#This Row],[Level]] &amp; "|" &amp; Table2[[#This Row],[Participant As]]))</f>
        <v>Juri/Pelatih/Wasit|External Regional|Individual</v>
      </c>
      <c r="W151" s="477">
        <f>IFERROR(INDEX(GradingSimkat[Score], MATCH(Table2[[#This Row],[Criteria]], GradingSimkat[Criteria], 0)), 0)</f>
        <v>0</v>
      </c>
    </row>
    <row r="152" spans="1:23" ht="13.75" customHeight="1">
      <c r="A152" s="471" t="s">
        <v>1599</v>
      </c>
      <c r="B152" s="472" t="s">
        <v>1600</v>
      </c>
      <c r="C152" s="472" t="s">
        <v>1559</v>
      </c>
      <c r="D152" s="473">
        <v>2020</v>
      </c>
      <c r="E152" s="472" t="s">
        <v>1601</v>
      </c>
      <c r="F152" s="472" t="s">
        <v>1602</v>
      </c>
      <c r="G152" s="472" t="s">
        <v>1603</v>
      </c>
      <c r="H152" s="473">
        <v>20211</v>
      </c>
      <c r="I152" s="492" t="s">
        <v>1604</v>
      </c>
      <c r="J152" s="472" t="s">
        <v>278</v>
      </c>
      <c r="K152" s="472" t="s">
        <v>2160</v>
      </c>
      <c r="L152" s="472" t="s">
        <v>307</v>
      </c>
      <c r="M152" s="472" t="s">
        <v>292</v>
      </c>
      <c r="N152" s="473">
        <v>3</v>
      </c>
      <c r="O152" s="473">
        <v>20</v>
      </c>
      <c r="P152" s="474"/>
      <c r="Q152" s="472" t="s">
        <v>1605</v>
      </c>
      <c r="R152" s="474"/>
      <c r="S152" s="474"/>
      <c r="T152" s="474"/>
      <c r="U152" s="475" t="s">
        <v>1606</v>
      </c>
      <c r="V152" s="481" t="str">
        <f>CLEAN(TRIM(Table2[[#This Row],[Status]] &amp; "|" &amp; Table2[[#This Row],[Level]] &amp; "|" &amp; Table2[[#This Row],[Participant As]]))</f>
        <v>Penulis pertama pada jurnal internasional bereputasi atau jurnal nasional terindeks SINTA 1 dan 2|External International|Individual</v>
      </c>
      <c r="W152" s="477">
        <f>IFERROR(INDEX(GradingSimkat[Score], MATCH(Table2[[#This Row],[Criteria]], GradingSimkat[Criteria], 0)), 0)</f>
        <v>5</v>
      </c>
    </row>
    <row r="153" spans="1:23" ht="13.75" customHeight="1">
      <c r="A153" s="482" t="s">
        <v>817</v>
      </c>
      <c r="B153" s="483" t="s">
        <v>818</v>
      </c>
      <c r="C153" s="483" t="s">
        <v>274</v>
      </c>
      <c r="D153" s="484">
        <v>2023</v>
      </c>
      <c r="E153" s="483" t="s">
        <v>361</v>
      </c>
      <c r="F153" s="472" t="s">
        <v>362</v>
      </c>
      <c r="G153" s="472" t="s">
        <v>363</v>
      </c>
      <c r="H153" s="473">
        <v>20231</v>
      </c>
      <c r="I153" s="483" t="s">
        <v>364</v>
      </c>
      <c r="J153" s="472" t="s">
        <v>278</v>
      </c>
      <c r="K153" s="483" t="s">
        <v>279</v>
      </c>
      <c r="L153" s="483" t="s">
        <v>307</v>
      </c>
      <c r="M153" s="483" t="s">
        <v>292</v>
      </c>
      <c r="N153" s="473">
        <v>500</v>
      </c>
      <c r="O153" s="484">
        <v>10</v>
      </c>
      <c r="P153" s="472" t="s">
        <v>365</v>
      </c>
      <c r="Q153" s="483" t="s">
        <v>2186</v>
      </c>
      <c r="R153" s="472" t="s">
        <v>367</v>
      </c>
      <c r="S153" s="474"/>
      <c r="T153" s="474"/>
      <c r="U153" s="475" t="s">
        <v>368</v>
      </c>
      <c r="V153" s="485" t="str">
        <f>CLEAN(TRIM(Table2[[#This Row],[Status]] &amp; "|" &amp; Table2[[#This Row],[Level]] &amp; "|" &amp; Table2[[#This Row],[Participant As]]))</f>
        <v>Narasumber / Pemateri Acara Seminar / Workshop / Pemakalah|External International|Individual</v>
      </c>
      <c r="W153" s="486">
        <f>IFERROR(INDEX(GradingSimkat[Score], MATCH(Table2[[#This Row],[Criteria]], GradingSimkat[Criteria], 0)), 0)</f>
        <v>0</v>
      </c>
    </row>
    <row r="154" spans="1:23" ht="13.75" customHeight="1">
      <c r="A154" s="482" t="s">
        <v>609</v>
      </c>
      <c r="B154" s="483" t="s">
        <v>610</v>
      </c>
      <c r="C154" s="483" t="s">
        <v>274</v>
      </c>
      <c r="D154" s="484">
        <v>2022</v>
      </c>
      <c r="E154" s="483" t="s">
        <v>361</v>
      </c>
      <c r="F154" s="472" t="s">
        <v>362</v>
      </c>
      <c r="G154" s="472" t="s">
        <v>363</v>
      </c>
      <c r="H154" s="473">
        <v>20231</v>
      </c>
      <c r="I154" s="483" t="s">
        <v>364</v>
      </c>
      <c r="J154" s="472" t="s">
        <v>278</v>
      </c>
      <c r="K154" s="483" t="s">
        <v>279</v>
      </c>
      <c r="L154" s="483" t="s">
        <v>307</v>
      </c>
      <c r="M154" s="483" t="s">
        <v>292</v>
      </c>
      <c r="N154" s="473">
        <v>500</v>
      </c>
      <c r="O154" s="484">
        <v>10</v>
      </c>
      <c r="P154" s="472" t="s">
        <v>365</v>
      </c>
      <c r="Q154" s="483" t="s">
        <v>2186</v>
      </c>
      <c r="R154" s="472" t="s">
        <v>367</v>
      </c>
      <c r="S154" s="474"/>
      <c r="T154" s="474"/>
      <c r="U154" s="475" t="s">
        <v>368</v>
      </c>
      <c r="V154" s="485" t="str">
        <f>CLEAN(TRIM(Table2[[#This Row],[Status]] &amp; "|" &amp; Table2[[#This Row],[Level]] &amp; "|" &amp; Table2[[#This Row],[Participant As]]))</f>
        <v>Narasumber / Pemateri Acara Seminar / Workshop / Pemakalah|External International|Individual</v>
      </c>
      <c r="W154" s="486">
        <f>IFERROR(INDEX(GradingSimkat[Score], MATCH(Table2[[#This Row],[Criteria]], GradingSimkat[Criteria], 0)), 0)</f>
        <v>0</v>
      </c>
    </row>
    <row r="155" spans="1:23" ht="13.75" customHeight="1">
      <c r="A155" s="482" t="s">
        <v>1487</v>
      </c>
      <c r="B155" s="483" t="s">
        <v>1488</v>
      </c>
      <c r="C155" s="483" t="s">
        <v>1444</v>
      </c>
      <c r="D155" s="484">
        <v>2021</v>
      </c>
      <c r="E155" s="483" t="s">
        <v>361</v>
      </c>
      <c r="F155" s="472" t="s">
        <v>362</v>
      </c>
      <c r="G155" s="472" t="s">
        <v>363</v>
      </c>
      <c r="H155" s="473">
        <v>20231</v>
      </c>
      <c r="I155" s="483" t="s">
        <v>364</v>
      </c>
      <c r="J155" s="472" t="s">
        <v>278</v>
      </c>
      <c r="K155" s="483" t="s">
        <v>279</v>
      </c>
      <c r="L155" s="483" t="s">
        <v>307</v>
      </c>
      <c r="M155" s="483" t="s">
        <v>292</v>
      </c>
      <c r="N155" s="473">
        <v>500</v>
      </c>
      <c r="O155" s="484">
        <v>10</v>
      </c>
      <c r="P155" s="472" t="s">
        <v>365</v>
      </c>
      <c r="Q155" s="483" t="s">
        <v>2188</v>
      </c>
      <c r="R155" s="472" t="s">
        <v>389</v>
      </c>
      <c r="S155" s="474"/>
      <c r="T155" s="474"/>
      <c r="U155" s="475" t="s">
        <v>368</v>
      </c>
      <c r="V155" s="485" t="str">
        <f>CLEAN(TRIM(Table2[[#This Row],[Status]] &amp; "|" &amp; Table2[[#This Row],[Level]] &amp; "|" &amp; Table2[[#This Row],[Participant As]]))</f>
        <v>Narasumber / Pemateri Acara Seminar / Workshop / Pemakalah|External International|Individual</v>
      </c>
      <c r="W155" s="486">
        <f>IFERROR(INDEX(GradingSimkat[Score], MATCH(Table2[[#This Row],[Criteria]], GradingSimkat[Criteria], 0)), 0)</f>
        <v>0</v>
      </c>
    </row>
    <row r="156" spans="1:23" ht="13.75" customHeight="1">
      <c r="A156" s="482" t="s">
        <v>1115</v>
      </c>
      <c r="B156" s="483" t="s">
        <v>1116</v>
      </c>
      <c r="C156" s="483" t="s">
        <v>986</v>
      </c>
      <c r="D156" s="484">
        <v>2021</v>
      </c>
      <c r="E156" s="483" t="s">
        <v>1117</v>
      </c>
      <c r="F156" s="472" t="s">
        <v>298</v>
      </c>
      <c r="G156" s="472" t="s">
        <v>298</v>
      </c>
      <c r="H156" s="473">
        <v>20222</v>
      </c>
      <c r="I156" s="483" t="s">
        <v>1118</v>
      </c>
      <c r="J156" s="472" t="s">
        <v>278</v>
      </c>
      <c r="K156" s="483" t="s">
        <v>279</v>
      </c>
      <c r="L156" s="483" t="s">
        <v>291</v>
      </c>
      <c r="M156" s="483" t="s">
        <v>1119</v>
      </c>
      <c r="N156" s="473">
        <v>230</v>
      </c>
      <c r="O156" s="484">
        <v>10</v>
      </c>
      <c r="P156" s="472" t="s">
        <v>19</v>
      </c>
      <c r="Q156" s="483" t="s">
        <v>2225</v>
      </c>
      <c r="R156" s="472" t="s">
        <v>1121</v>
      </c>
      <c r="S156" s="474"/>
      <c r="T156" s="474"/>
      <c r="U156" s="475" t="s">
        <v>1122</v>
      </c>
      <c r="V156" s="485" t="str">
        <f>CLEAN(TRIM(Table2[[#This Row],[Status]] &amp; "|" &amp; Table2[[#This Row],[Level]] &amp; "|" &amp; Table2[[#This Row],[Participant As]]))</f>
        <v>Narasumber / Pemateri Acara Seminar / Workshop / Pemakalah|Internal Sekolah / Universitas|Student Organization</v>
      </c>
      <c r="W156" s="486">
        <f>IFERROR(INDEX(GradingSimkat[Score], MATCH(Table2[[#This Row],[Criteria]], GradingSimkat[Criteria], 0)), 0)</f>
        <v>0</v>
      </c>
    </row>
    <row r="157" spans="1:23" ht="13.75" customHeight="1">
      <c r="A157" s="482" t="s">
        <v>1115</v>
      </c>
      <c r="B157" s="483" t="s">
        <v>1116</v>
      </c>
      <c r="C157" s="483" t="s">
        <v>986</v>
      </c>
      <c r="D157" s="484">
        <v>2021</v>
      </c>
      <c r="E157" s="483" t="s">
        <v>1123</v>
      </c>
      <c r="F157" s="472" t="s">
        <v>1124</v>
      </c>
      <c r="G157" s="472" t="s">
        <v>1124</v>
      </c>
      <c r="H157" s="473">
        <v>20222</v>
      </c>
      <c r="I157" s="483" t="s">
        <v>1125</v>
      </c>
      <c r="J157" s="472" t="s">
        <v>278</v>
      </c>
      <c r="K157" s="483" t="s">
        <v>279</v>
      </c>
      <c r="L157" s="483" t="s">
        <v>291</v>
      </c>
      <c r="M157" s="483" t="s">
        <v>292</v>
      </c>
      <c r="N157" s="473">
        <v>100</v>
      </c>
      <c r="O157" s="484">
        <v>5</v>
      </c>
      <c r="P157" s="474"/>
      <c r="Q157" s="483" t="s">
        <v>2226</v>
      </c>
      <c r="R157" s="472" t="s">
        <v>1127</v>
      </c>
      <c r="S157" s="474"/>
      <c r="T157" s="474"/>
      <c r="U157" s="475" t="s">
        <v>1128</v>
      </c>
      <c r="V157" s="485" t="str">
        <f>CLEAN(TRIM(Table2[[#This Row],[Status]] &amp; "|" &amp; Table2[[#This Row],[Level]] &amp; "|" &amp; Table2[[#This Row],[Participant As]]))</f>
        <v>Narasumber / Pemateri Acara Seminar / Workshop / Pemakalah|Internal Sekolah / Universitas|Individual</v>
      </c>
      <c r="W157" s="486">
        <f>IFERROR(INDEX(GradingSimkat[Score], MATCH(Table2[[#This Row],[Criteria]], GradingSimkat[Criteria], 0)), 0)</f>
        <v>0</v>
      </c>
    </row>
    <row r="158" spans="1:23" ht="13.75" customHeight="1">
      <c r="A158" s="482" t="s">
        <v>295</v>
      </c>
      <c r="B158" s="483" t="s">
        <v>296</v>
      </c>
      <c r="C158" s="483" t="s">
        <v>274</v>
      </c>
      <c r="D158" s="484">
        <v>2019</v>
      </c>
      <c r="E158" s="483" t="s">
        <v>297</v>
      </c>
      <c r="F158" s="472" t="s">
        <v>298</v>
      </c>
      <c r="G158" s="472" t="s">
        <v>298</v>
      </c>
      <c r="H158" s="473">
        <v>20222</v>
      </c>
      <c r="I158" s="483" t="s">
        <v>299</v>
      </c>
      <c r="J158" s="472" t="s">
        <v>278</v>
      </c>
      <c r="K158" s="483" t="s">
        <v>279</v>
      </c>
      <c r="L158" s="483" t="s">
        <v>291</v>
      </c>
      <c r="M158" s="483" t="s">
        <v>292</v>
      </c>
      <c r="N158" s="473">
        <v>150</v>
      </c>
      <c r="O158" s="484">
        <v>5</v>
      </c>
      <c r="P158" s="474"/>
      <c r="Q158" s="483" t="s">
        <v>2181</v>
      </c>
      <c r="R158" s="474"/>
      <c r="S158" s="474"/>
      <c r="T158" s="474"/>
      <c r="U158" s="475" t="s">
        <v>301</v>
      </c>
      <c r="V158" s="485" t="str">
        <f>CLEAN(TRIM(Table2[[#This Row],[Status]] &amp; "|" &amp; Table2[[#This Row],[Level]] &amp; "|" &amp; Table2[[#This Row],[Participant As]]))</f>
        <v>Narasumber / Pemateri Acara Seminar / Workshop / Pemakalah|Internal Sekolah / Universitas|Individual</v>
      </c>
      <c r="W158" s="486">
        <f>IFERROR(INDEX(GradingSimkat[Score], MATCH(Table2[[#This Row],[Criteria]], GradingSimkat[Criteria], 0)), 0)</f>
        <v>0</v>
      </c>
    </row>
    <row r="159" spans="1:23" ht="13.75" customHeight="1">
      <c r="A159" s="482" t="s">
        <v>1436</v>
      </c>
      <c r="B159" s="483" t="s">
        <v>1437</v>
      </c>
      <c r="C159" s="483" t="s">
        <v>1407</v>
      </c>
      <c r="D159" s="484">
        <v>2022</v>
      </c>
      <c r="E159" s="483" t="s">
        <v>361</v>
      </c>
      <c r="F159" s="472" t="s">
        <v>362</v>
      </c>
      <c r="G159" s="472" t="s">
        <v>363</v>
      </c>
      <c r="H159" s="473">
        <v>20231</v>
      </c>
      <c r="I159" s="483" t="s">
        <v>364</v>
      </c>
      <c r="J159" s="472" t="s">
        <v>278</v>
      </c>
      <c r="K159" s="483" t="s">
        <v>279</v>
      </c>
      <c r="L159" s="483" t="s">
        <v>307</v>
      </c>
      <c r="M159" s="483" t="s">
        <v>292</v>
      </c>
      <c r="N159" s="473">
        <v>500</v>
      </c>
      <c r="O159" s="484">
        <v>10</v>
      </c>
      <c r="P159" s="472" t="s">
        <v>365</v>
      </c>
      <c r="Q159" s="483" t="s">
        <v>2188</v>
      </c>
      <c r="R159" s="472" t="s">
        <v>389</v>
      </c>
      <c r="S159" s="474"/>
      <c r="T159" s="474"/>
      <c r="U159" s="475" t="s">
        <v>368</v>
      </c>
      <c r="V159" s="485" t="str">
        <f>CLEAN(TRIM(Table2[[#This Row],[Status]] &amp; "|" &amp; Table2[[#This Row],[Level]] &amp; "|" &amp; Table2[[#This Row],[Participant As]]))</f>
        <v>Narasumber / Pemateri Acara Seminar / Workshop / Pemakalah|External International|Individual</v>
      </c>
      <c r="W159" s="486">
        <f>IFERROR(INDEX(GradingSimkat[Score], MATCH(Table2[[#This Row],[Criteria]], GradingSimkat[Criteria], 0)), 0)</f>
        <v>0</v>
      </c>
    </row>
    <row r="160" spans="1:23" ht="13.75" customHeight="1">
      <c r="A160" s="482" t="s">
        <v>524</v>
      </c>
      <c r="B160" s="483" t="s">
        <v>525</v>
      </c>
      <c r="C160" s="483" t="s">
        <v>274</v>
      </c>
      <c r="D160" s="484">
        <v>2021</v>
      </c>
      <c r="E160" s="483" t="s">
        <v>361</v>
      </c>
      <c r="F160" s="472" t="s">
        <v>362</v>
      </c>
      <c r="G160" s="472" t="s">
        <v>363</v>
      </c>
      <c r="H160" s="473">
        <v>20231</v>
      </c>
      <c r="I160" s="483" t="s">
        <v>364</v>
      </c>
      <c r="J160" s="472" t="s">
        <v>278</v>
      </c>
      <c r="K160" s="483" t="s">
        <v>279</v>
      </c>
      <c r="L160" s="483" t="s">
        <v>307</v>
      </c>
      <c r="M160" s="483" t="s">
        <v>292</v>
      </c>
      <c r="N160" s="473">
        <v>500</v>
      </c>
      <c r="O160" s="484">
        <v>10</v>
      </c>
      <c r="P160" s="472" t="s">
        <v>365</v>
      </c>
      <c r="Q160" s="483" t="s">
        <v>2186</v>
      </c>
      <c r="R160" s="472" t="s">
        <v>367</v>
      </c>
      <c r="S160" s="474"/>
      <c r="T160" s="474"/>
      <c r="U160" s="475" t="s">
        <v>368</v>
      </c>
      <c r="V160" s="485" t="str">
        <f>CLEAN(TRIM(Table2[[#This Row],[Status]] &amp; "|" &amp; Table2[[#This Row],[Level]] &amp; "|" &amp; Table2[[#This Row],[Participant As]]))</f>
        <v>Narasumber / Pemateri Acara Seminar / Workshop / Pemakalah|External International|Individual</v>
      </c>
      <c r="W160" s="486">
        <f>IFERROR(INDEX(GradingSimkat[Score], MATCH(Table2[[#This Row],[Criteria]], GradingSimkat[Criteria], 0)), 0)</f>
        <v>0</v>
      </c>
    </row>
    <row r="161" spans="1:23" ht="13.75" customHeight="1">
      <c r="A161" s="471" t="s">
        <v>1515</v>
      </c>
      <c r="B161" s="472" t="s">
        <v>1516</v>
      </c>
      <c r="C161" s="472" t="s">
        <v>1499</v>
      </c>
      <c r="D161" s="473">
        <v>2020</v>
      </c>
      <c r="E161" s="472" t="s">
        <v>1517</v>
      </c>
      <c r="F161" s="472" t="s">
        <v>1518</v>
      </c>
      <c r="G161" s="472" t="s">
        <v>1519</v>
      </c>
      <c r="H161" s="473">
        <v>20211</v>
      </c>
      <c r="I161" s="492" t="s">
        <v>1520</v>
      </c>
      <c r="J161" s="472" t="s">
        <v>278</v>
      </c>
      <c r="K161" s="472" t="s">
        <v>2159</v>
      </c>
      <c r="L161" s="472" t="s">
        <v>280</v>
      </c>
      <c r="M161" s="472" t="s">
        <v>292</v>
      </c>
      <c r="N161" s="473">
        <v>36</v>
      </c>
      <c r="O161" s="473">
        <v>5</v>
      </c>
      <c r="P161" s="474"/>
      <c r="Q161" s="472" t="s">
        <v>1521</v>
      </c>
      <c r="R161" s="474"/>
      <c r="S161" s="474"/>
      <c r="T161" s="474"/>
      <c r="U161" s="475" t="s">
        <v>469</v>
      </c>
      <c r="V161" s="481" t="str">
        <f>CLEAN(TRIM(Table2[[#This Row],[Status]] &amp; "|" &amp; Table2[[#This Row],[Level]] &amp; "|" &amp; Table2[[#This Row],[Participant As]]))</f>
        <v>Penulis pertama buku ber-ISBN|External National|Individual</v>
      </c>
      <c r="W161" s="477">
        <f>IFERROR(INDEX(GradingSimkat[Score], MATCH(Table2[[#This Row],[Criteria]], GradingSimkat[Criteria], 0)), 0)</f>
        <v>6</v>
      </c>
    </row>
    <row r="162" spans="1:23" ht="13.75" customHeight="1">
      <c r="A162" s="482" t="s">
        <v>755</v>
      </c>
      <c r="B162" s="483" t="s">
        <v>756</v>
      </c>
      <c r="C162" s="483" t="s">
        <v>274</v>
      </c>
      <c r="D162" s="484">
        <v>2022</v>
      </c>
      <c r="E162" s="483" t="s">
        <v>361</v>
      </c>
      <c r="F162" s="472" t="s">
        <v>362</v>
      </c>
      <c r="G162" s="472" t="s">
        <v>363</v>
      </c>
      <c r="H162" s="473">
        <v>20231</v>
      </c>
      <c r="I162" s="483" t="s">
        <v>364</v>
      </c>
      <c r="J162" s="472" t="s">
        <v>278</v>
      </c>
      <c r="K162" s="483" t="s">
        <v>279</v>
      </c>
      <c r="L162" s="483" t="s">
        <v>307</v>
      </c>
      <c r="M162" s="483" t="s">
        <v>292</v>
      </c>
      <c r="N162" s="473">
        <v>500</v>
      </c>
      <c r="O162" s="484">
        <v>10</v>
      </c>
      <c r="P162" s="472" t="s">
        <v>365</v>
      </c>
      <c r="Q162" s="483" t="s">
        <v>2186</v>
      </c>
      <c r="R162" s="472" t="s">
        <v>367</v>
      </c>
      <c r="S162" s="474"/>
      <c r="T162" s="474"/>
      <c r="U162" s="475" t="s">
        <v>368</v>
      </c>
      <c r="V162" s="485" t="str">
        <f>CLEAN(TRIM(Table2[[#This Row],[Status]] &amp; "|" &amp; Table2[[#This Row],[Level]] &amp; "|" &amp; Table2[[#This Row],[Participant As]]))</f>
        <v>Narasumber / Pemateri Acara Seminar / Workshop / Pemakalah|External International|Individual</v>
      </c>
      <c r="W162" s="486">
        <f>IFERROR(INDEX(GradingSimkat[Score], MATCH(Table2[[#This Row],[Criteria]], GradingSimkat[Criteria], 0)), 0)</f>
        <v>0</v>
      </c>
    </row>
    <row r="163" spans="1:23" ht="13.75" customHeight="1">
      <c r="A163" s="482" t="s">
        <v>447</v>
      </c>
      <c r="B163" s="483" t="s">
        <v>448</v>
      </c>
      <c r="C163" s="483" t="s">
        <v>274</v>
      </c>
      <c r="D163" s="484">
        <v>2021</v>
      </c>
      <c r="E163" s="483" t="s">
        <v>361</v>
      </c>
      <c r="F163" s="472" t="s">
        <v>362</v>
      </c>
      <c r="G163" s="472" t="s">
        <v>363</v>
      </c>
      <c r="H163" s="473">
        <v>20231</v>
      </c>
      <c r="I163" s="483" t="s">
        <v>364</v>
      </c>
      <c r="J163" s="472" t="s">
        <v>278</v>
      </c>
      <c r="K163" s="483" t="s">
        <v>279</v>
      </c>
      <c r="L163" s="483" t="s">
        <v>307</v>
      </c>
      <c r="M163" s="483" t="s">
        <v>292</v>
      </c>
      <c r="N163" s="473">
        <v>500</v>
      </c>
      <c r="O163" s="484">
        <v>10</v>
      </c>
      <c r="P163" s="472" t="s">
        <v>365</v>
      </c>
      <c r="Q163" s="483" t="s">
        <v>2188</v>
      </c>
      <c r="R163" s="472" t="s">
        <v>389</v>
      </c>
      <c r="S163" s="474"/>
      <c r="T163" s="474"/>
      <c r="U163" s="475" t="s">
        <v>368</v>
      </c>
      <c r="V163" s="485" t="str">
        <f>CLEAN(TRIM(Table2[[#This Row],[Status]] &amp; "|" &amp; Table2[[#This Row],[Level]] &amp; "|" &amp; Table2[[#This Row],[Participant As]]))</f>
        <v>Narasumber / Pemateri Acara Seminar / Workshop / Pemakalah|External International|Individual</v>
      </c>
      <c r="W163" s="486">
        <f>IFERROR(INDEX(GradingSimkat[Score], MATCH(Table2[[#This Row],[Criteria]], GradingSimkat[Criteria], 0)), 0)</f>
        <v>0</v>
      </c>
    </row>
    <row r="164" spans="1:23" ht="13.75" customHeight="1">
      <c r="A164" s="482" t="s">
        <v>501</v>
      </c>
      <c r="B164" s="483" t="s">
        <v>502</v>
      </c>
      <c r="C164" s="483" t="s">
        <v>274</v>
      </c>
      <c r="D164" s="484">
        <v>2021</v>
      </c>
      <c r="E164" s="483" t="s">
        <v>361</v>
      </c>
      <c r="F164" s="472" t="s">
        <v>362</v>
      </c>
      <c r="G164" s="472" t="s">
        <v>363</v>
      </c>
      <c r="H164" s="473">
        <v>20231</v>
      </c>
      <c r="I164" s="483" t="s">
        <v>364</v>
      </c>
      <c r="J164" s="472" t="s">
        <v>278</v>
      </c>
      <c r="K164" s="483" t="s">
        <v>279</v>
      </c>
      <c r="L164" s="483" t="s">
        <v>307</v>
      </c>
      <c r="M164" s="483" t="s">
        <v>292</v>
      </c>
      <c r="N164" s="473">
        <v>500</v>
      </c>
      <c r="O164" s="484">
        <v>10</v>
      </c>
      <c r="P164" s="472" t="s">
        <v>365</v>
      </c>
      <c r="Q164" s="483" t="s">
        <v>2186</v>
      </c>
      <c r="R164" s="472" t="s">
        <v>367</v>
      </c>
      <c r="S164" s="474"/>
      <c r="T164" s="474"/>
      <c r="U164" s="475" t="s">
        <v>368</v>
      </c>
      <c r="V164" s="485" t="str">
        <f>CLEAN(TRIM(Table2[[#This Row],[Status]] &amp; "|" &amp; Table2[[#This Row],[Level]] &amp; "|" &amp; Table2[[#This Row],[Participant As]]))</f>
        <v>Narasumber / Pemateri Acara Seminar / Workshop / Pemakalah|External International|Individual</v>
      </c>
      <c r="W164" s="486">
        <f>IFERROR(INDEX(GradingSimkat[Score], MATCH(Table2[[#This Row],[Criteria]], GradingSimkat[Criteria], 0)), 0)</f>
        <v>0</v>
      </c>
    </row>
    <row r="165" spans="1:23" ht="13.75" customHeight="1">
      <c r="A165" s="482" t="s">
        <v>563</v>
      </c>
      <c r="B165" s="483" t="s">
        <v>564</v>
      </c>
      <c r="C165" s="483" t="s">
        <v>274</v>
      </c>
      <c r="D165" s="484">
        <v>2022</v>
      </c>
      <c r="E165" s="483" t="s">
        <v>361</v>
      </c>
      <c r="F165" s="472" t="s">
        <v>362</v>
      </c>
      <c r="G165" s="472" t="s">
        <v>363</v>
      </c>
      <c r="H165" s="473">
        <v>20231</v>
      </c>
      <c r="I165" s="483" t="s">
        <v>364</v>
      </c>
      <c r="J165" s="472" t="s">
        <v>278</v>
      </c>
      <c r="K165" s="483" t="s">
        <v>279</v>
      </c>
      <c r="L165" s="483" t="s">
        <v>307</v>
      </c>
      <c r="M165" s="483" t="s">
        <v>292</v>
      </c>
      <c r="N165" s="473">
        <v>500</v>
      </c>
      <c r="O165" s="484">
        <v>10</v>
      </c>
      <c r="P165" s="472" t="s">
        <v>365</v>
      </c>
      <c r="Q165" s="483" t="s">
        <v>2186</v>
      </c>
      <c r="R165" s="472" t="s">
        <v>367</v>
      </c>
      <c r="S165" s="474"/>
      <c r="T165" s="474"/>
      <c r="U165" s="475" t="s">
        <v>368</v>
      </c>
      <c r="V165" s="485" t="str">
        <f>CLEAN(TRIM(Table2[[#This Row],[Status]] &amp; "|" &amp; Table2[[#This Row],[Level]] &amp; "|" &amp; Table2[[#This Row],[Participant As]]))</f>
        <v>Narasumber / Pemateri Acara Seminar / Workshop / Pemakalah|External International|Individual</v>
      </c>
      <c r="W165" s="486">
        <f>IFERROR(INDEX(GradingSimkat[Score], MATCH(Table2[[#This Row],[Criteria]], GradingSimkat[Criteria], 0)), 0)</f>
        <v>0</v>
      </c>
    </row>
    <row r="166" spans="1:23" ht="13.75" customHeight="1">
      <c r="A166" s="482" t="s">
        <v>829</v>
      </c>
      <c r="B166" s="483" t="s">
        <v>830</v>
      </c>
      <c r="C166" s="483" t="s">
        <v>274</v>
      </c>
      <c r="D166" s="484">
        <v>2023</v>
      </c>
      <c r="E166" s="483" t="s">
        <v>361</v>
      </c>
      <c r="F166" s="472" t="s">
        <v>362</v>
      </c>
      <c r="G166" s="472" t="s">
        <v>363</v>
      </c>
      <c r="H166" s="473">
        <v>20231</v>
      </c>
      <c r="I166" s="483" t="s">
        <v>364</v>
      </c>
      <c r="J166" s="472" t="s">
        <v>278</v>
      </c>
      <c r="K166" s="483" t="s">
        <v>279</v>
      </c>
      <c r="L166" s="483" t="s">
        <v>307</v>
      </c>
      <c r="M166" s="483" t="s">
        <v>292</v>
      </c>
      <c r="N166" s="473">
        <v>500</v>
      </c>
      <c r="O166" s="484">
        <v>10</v>
      </c>
      <c r="P166" s="472" t="s">
        <v>365</v>
      </c>
      <c r="Q166" s="483" t="s">
        <v>2186</v>
      </c>
      <c r="R166" s="472" t="s">
        <v>367</v>
      </c>
      <c r="S166" s="474"/>
      <c r="T166" s="474"/>
      <c r="U166" s="475" t="s">
        <v>368</v>
      </c>
      <c r="V166" s="485" t="str">
        <f>CLEAN(TRIM(Table2[[#This Row],[Status]] &amp; "|" &amp; Table2[[#This Row],[Level]] &amp; "|" &amp; Table2[[#This Row],[Participant As]]))</f>
        <v>Narasumber / Pemateri Acara Seminar / Workshop / Pemakalah|External International|Individual</v>
      </c>
      <c r="W166" s="486">
        <f>IFERROR(INDEX(GradingSimkat[Score], MATCH(Table2[[#This Row],[Criteria]], GradingSimkat[Criteria], 0)), 0)</f>
        <v>0</v>
      </c>
    </row>
    <row r="167" spans="1:23" ht="13.75" customHeight="1">
      <c r="A167" s="482" t="s">
        <v>1296</v>
      </c>
      <c r="B167" s="483" t="s">
        <v>1297</v>
      </c>
      <c r="C167" s="483" t="s">
        <v>1227</v>
      </c>
      <c r="D167" s="484">
        <v>2022</v>
      </c>
      <c r="E167" s="483" t="s">
        <v>1298</v>
      </c>
      <c r="F167" s="472" t="s">
        <v>1110</v>
      </c>
      <c r="G167" s="472" t="s">
        <v>1285</v>
      </c>
      <c r="H167" s="473">
        <v>20221</v>
      </c>
      <c r="I167" s="483" t="s">
        <v>1299</v>
      </c>
      <c r="J167" s="472" t="s">
        <v>278</v>
      </c>
      <c r="K167" s="483" t="s">
        <v>2157</v>
      </c>
      <c r="L167" s="483" t="s">
        <v>438</v>
      </c>
      <c r="M167" s="483" t="s">
        <v>292</v>
      </c>
      <c r="N167" s="473">
        <v>10</v>
      </c>
      <c r="O167" s="484">
        <v>10</v>
      </c>
      <c r="P167" s="474"/>
      <c r="Q167" s="483" t="s">
        <v>2243</v>
      </c>
      <c r="R167" s="474"/>
      <c r="S167" s="474"/>
      <c r="T167" s="474"/>
      <c r="U167" s="475" t="s">
        <v>1301</v>
      </c>
      <c r="V167" s="485" t="str">
        <f>CLEAN(TRIM(Table2[[#This Row],[Status]] &amp; "|" &amp; Table2[[#This Row],[Level]] &amp; "|" &amp; Table2[[#This Row],[Participant As]]))</f>
        <v>Pembicara pada pelatihan/seminar/event berskala|External Regional|Individual</v>
      </c>
      <c r="W167" s="486">
        <f>IFERROR(INDEX(GradingSimkat[Score], MATCH(Table2[[#This Row],[Criteria]], GradingSimkat[Criteria], 0)), 0)</f>
        <v>0</v>
      </c>
    </row>
    <row r="168" spans="1:23" s="478" customFormat="1" ht="13.75" customHeight="1">
      <c r="A168" s="482" t="s">
        <v>637</v>
      </c>
      <c r="B168" s="483" t="s">
        <v>638</v>
      </c>
      <c r="C168" s="483" t="s">
        <v>274</v>
      </c>
      <c r="D168" s="484">
        <v>2022</v>
      </c>
      <c r="E168" s="483" t="s">
        <v>361</v>
      </c>
      <c r="F168" s="472" t="s">
        <v>362</v>
      </c>
      <c r="G168" s="472" t="s">
        <v>363</v>
      </c>
      <c r="H168" s="473">
        <v>20231</v>
      </c>
      <c r="I168" s="483" t="s">
        <v>364</v>
      </c>
      <c r="J168" s="472" t="s">
        <v>278</v>
      </c>
      <c r="K168" s="483" t="s">
        <v>279</v>
      </c>
      <c r="L168" s="483" t="s">
        <v>307</v>
      </c>
      <c r="M168" s="483" t="s">
        <v>292</v>
      </c>
      <c r="N168" s="473">
        <v>500</v>
      </c>
      <c r="O168" s="484">
        <v>10</v>
      </c>
      <c r="P168" s="472" t="s">
        <v>365</v>
      </c>
      <c r="Q168" s="483" t="s">
        <v>2186</v>
      </c>
      <c r="R168" s="472" t="s">
        <v>367</v>
      </c>
      <c r="S168" s="474"/>
      <c r="T168" s="474"/>
      <c r="U168" s="475" t="s">
        <v>368</v>
      </c>
      <c r="V168" s="485" t="str">
        <f>CLEAN(TRIM(Table2[[#This Row],[Status]] &amp; "|" &amp; Table2[[#This Row],[Level]] &amp; "|" &amp; Table2[[#This Row],[Participant As]]))</f>
        <v>Narasumber / Pemateri Acara Seminar / Workshop / Pemakalah|External International|Individual</v>
      </c>
      <c r="W168" s="486">
        <f>IFERROR(INDEX(GradingSimkat[Score], MATCH(Table2[[#This Row],[Criteria]], GradingSimkat[Criteria], 0)), 0)</f>
        <v>0</v>
      </c>
    </row>
    <row r="169" spans="1:23" ht="13.75" customHeight="1">
      <c r="A169" s="482" t="s">
        <v>1405</v>
      </c>
      <c r="B169" s="483" t="s">
        <v>1406</v>
      </c>
      <c r="C169" s="483" t="s">
        <v>1407</v>
      </c>
      <c r="D169" s="484">
        <v>2018</v>
      </c>
      <c r="E169" s="483" t="s">
        <v>361</v>
      </c>
      <c r="F169" s="472" t="s">
        <v>362</v>
      </c>
      <c r="G169" s="472" t="s">
        <v>363</v>
      </c>
      <c r="H169" s="473">
        <v>20231</v>
      </c>
      <c r="I169" s="483" t="s">
        <v>364</v>
      </c>
      <c r="J169" s="472" t="s">
        <v>278</v>
      </c>
      <c r="K169" s="483" t="s">
        <v>279</v>
      </c>
      <c r="L169" s="483" t="s">
        <v>307</v>
      </c>
      <c r="M169" s="483" t="s">
        <v>292</v>
      </c>
      <c r="N169" s="473">
        <v>500</v>
      </c>
      <c r="O169" s="484">
        <v>10</v>
      </c>
      <c r="P169" s="472" t="s">
        <v>365</v>
      </c>
      <c r="Q169" s="483" t="s">
        <v>2188</v>
      </c>
      <c r="R169" s="472" t="s">
        <v>389</v>
      </c>
      <c r="S169" s="474"/>
      <c r="T169" s="474"/>
      <c r="U169" s="475" t="s">
        <v>368</v>
      </c>
      <c r="V169" s="485" t="str">
        <f>CLEAN(TRIM(Table2[[#This Row],[Status]] &amp; "|" &amp; Table2[[#This Row],[Level]] &amp; "|" &amp; Table2[[#This Row],[Participant As]]))</f>
        <v>Narasumber / Pemateri Acara Seminar / Workshop / Pemakalah|External International|Individual</v>
      </c>
      <c r="W169" s="486">
        <f>IFERROR(INDEX(GradingSimkat[Score], MATCH(Table2[[#This Row],[Criteria]], GradingSimkat[Criteria], 0)), 0)</f>
        <v>0</v>
      </c>
    </row>
    <row r="170" spans="1:23" ht="13.75" customHeight="1">
      <c r="A170" s="482" t="s">
        <v>1367</v>
      </c>
      <c r="B170" s="483" t="s">
        <v>1368</v>
      </c>
      <c r="C170" s="483" t="s">
        <v>1356</v>
      </c>
      <c r="D170" s="484">
        <v>2020</v>
      </c>
      <c r="E170" s="483" t="s">
        <v>361</v>
      </c>
      <c r="F170" s="472" t="s">
        <v>362</v>
      </c>
      <c r="G170" s="472" t="s">
        <v>363</v>
      </c>
      <c r="H170" s="473">
        <v>20231</v>
      </c>
      <c r="I170" s="483" t="s">
        <v>364</v>
      </c>
      <c r="J170" s="472" t="s">
        <v>278</v>
      </c>
      <c r="K170" s="483" t="s">
        <v>279</v>
      </c>
      <c r="L170" s="483" t="s">
        <v>307</v>
      </c>
      <c r="M170" s="483" t="s">
        <v>292</v>
      </c>
      <c r="N170" s="473">
        <v>500</v>
      </c>
      <c r="O170" s="484">
        <v>10</v>
      </c>
      <c r="P170" s="472" t="s">
        <v>365</v>
      </c>
      <c r="Q170" s="483" t="s">
        <v>2188</v>
      </c>
      <c r="R170" s="472" t="s">
        <v>389</v>
      </c>
      <c r="S170" s="474"/>
      <c r="T170" s="474"/>
      <c r="U170" s="475" t="s">
        <v>368</v>
      </c>
      <c r="V170" s="485" t="str">
        <f>CLEAN(TRIM(Table2[[#This Row],[Status]] &amp; "|" &amp; Table2[[#This Row],[Level]] &amp; "|" &amp; Table2[[#This Row],[Participant As]]))</f>
        <v>Narasumber / Pemateri Acara Seminar / Workshop / Pemakalah|External International|Individual</v>
      </c>
      <c r="W170" s="486">
        <f>IFERROR(INDEX(GradingSimkat[Score], MATCH(Table2[[#This Row],[Criteria]], GradingSimkat[Criteria], 0)), 0)</f>
        <v>0</v>
      </c>
    </row>
    <row r="171" spans="1:23" ht="13.75" customHeight="1">
      <c r="A171" s="482" t="s">
        <v>629</v>
      </c>
      <c r="B171" s="483" t="s">
        <v>630</v>
      </c>
      <c r="C171" s="483" t="s">
        <v>274</v>
      </c>
      <c r="D171" s="484">
        <v>2022</v>
      </c>
      <c r="E171" s="483" t="s">
        <v>361</v>
      </c>
      <c r="F171" s="472" t="s">
        <v>362</v>
      </c>
      <c r="G171" s="472" t="s">
        <v>363</v>
      </c>
      <c r="H171" s="473">
        <v>20231</v>
      </c>
      <c r="I171" s="483" t="s">
        <v>364</v>
      </c>
      <c r="J171" s="472" t="s">
        <v>278</v>
      </c>
      <c r="K171" s="483" t="s">
        <v>279</v>
      </c>
      <c r="L171" s="483" t="s">
        <v>307</v>
      </c>
      <c r="M171" s="483" t="s">
        <v>292</v>
      </c>
      <c r="N171" s="473">
        <v>500</v>
      </c>
      <c r="O171" s="484">
        <v>10</v>
      </c>
      <c r="P171" s="472" t="s">
        <v>365</v>
      </c>
      <c r="Q171" s="483" t="s">
        <v>2186</v>
      </c>
      <c r="R171" s="472" t="s">
        <v>367</v>
      </c>
      <c r="S171" s="474"/>
      <c r="T171" s="474"/>
      <c r="U171" s="475" t="s">
        <v>368</v>
      </c>
      <c r="V171" s="485" t="str">
        <f>CLEAN(TRIM(Table2[[#This Row],[Status]] &amp; "|" &amp; Table2[[#This Row],[Level]] &amp; "|" &amp; Table2[[#This Row],[Participant As]]))</f>
        <v>Narasumber / Pemateri Acara Seminar / Workshop / Pemakalah|External International|Individual</v>
      </c>
      <c r="W171" s="486">
        <f>IFERROR(INDEX(GradingSimkat[Score], MATCH(Table2[[#This Row],[Criteria]], GradingSimkat[Criteria], 0)), 0)</f>
        <v>0</v>
      </c>
    </row>
    <row r="172" spans="1:23" ht="13.75" customHeight="1">
      <c r="A172" s="482" t="s">
        <v>615</v>
      </c>
      <c r="B172" s="483" t="s">
        <v>616</v>
      </c>
      <c r="C172" s="483" t="s">
        <v>274</v>
      </c>
      <c r="D172" s="484">
        <v>2022</v>
      </c>
      <c r="E172" s="483" t="s">
        <v>361</v>
      </c>
      <c r="F172" s="472" t="s">
        <v>362</v>
      </c>
      <c r="G172" s="472" t="s">
        <v>363</v>
      </c>
      <c r="H172" s="473">
        <v>20231</v>
      </c>
      <c r="I172" s="483" t="s">
        <v>364</v>
      </c>
      <c r="J172" s="472" t="s">
        <v>278</v>
      </c>
      <c r="K172" s="483" t="s">
        <v>279</v>
      </c>
      <c r="L172" s="483" t="s">
        <v>307</v>
      </c>
      <c r="M172" s="483" t="s">
        <v>292</v>
      </c>
      <c r="N172" s="473">
        <v>500</v>
      </c>
      <c r="O172" s="484">
        <v>10</v>
      </c>
      <c r="P172" s="472" t="s">
        <v>365</v>
      </c>
      <c r="Q172" s="483" t="s">
        <v>2186</v>
      </c>
      <c r="R172" s="472" t="s">
        <v>367</v>
      </c>
      <c r="S172" s="474"/>
      <c r="T172" s="474"/>
      <c r="U172" s="475" t="s">
        <v>368</v>
      </c>
      <c r="V172" s="485" t="str">
        <f>CLEAN(TRIM(Table2[[#This Row],[Status]] &amp; "|" &amp; Table2[[#This Row],[Level]] &amp; "|" &amp; Table2[[#This Row],[Participant As]]))</f>
        <v>Narasumber / Pemateri Acara Seminar / Workshop / Pemakalah|External International|Individual</v>
      </c>
      <c r="W172" s="486">
        <f>IFERROR(INDEX(GradingSimkat[Score], MATCH(Table2[[#This Row],[Criteria]], GradingSimkat[Criteria], 0)), 0)</f>
        <v>0</v>
      </c>
    </row>
    <row r="173" spans="1:23" ht="13.75" customHeight="1">
      <c r="A173" s="482" t="s">
        <v>1049</v>
      </c>
      <c r="B173" s="483" t="s">
        <v>1050</v>
      </c>
      <c r="C173" s="483" t="s">
        <v>986</v>
      </c>
      <c r="D173" s="484">
        <v>2021</v>
      </c>
      <c r="E173" s="483" t="s">
        <v>1051</v>
      </c>
      <c r="F173" s="472" t="s">
        <v>1020</v>
      </c>
      <c r="G173" s="472" t="s">
        <v>1020</v>
      </c>
      <c r="H173" s="473">
        <v>20221</v>
      </c>
      <c r="I173" s="483" t="s">
        <v>1052</v>
      </c>
      <c r="J173" s="472" t="s">
        <v>278</v>
      </c>
      <c r="K173" s="483" t="s">
        <v>2156</v>
      </c>
      <c r="L173" s="483" t="s">
        <v>280</v>
      </c>
      <c r="M173" s="483" t="s">
        <v>281</v>
      </c>
      <c r="N173" s="473">
        <v>6</v>
      </c>
      <c r="O173" s="484">
        <v>15</v>
      </c>
      <c r="P173" s="474"/>
      <c r="Q173" s="483" t="s">
        <v>2213</v>
      </c>
      <c r="R173" s="474"/>
      <c r="S173" s="474"/>
      <c r="T173" s="474"/>
      <c r="U173" s="475" t="s">
        <v>1054</v>
      </c>
      <c r="V173" s="485" t="str">
        <f>CLEAN(TRIM(Table2[[#This Row],[Status]] &amp; "|" &amp; Table2[[#This Row],[Level]] &amp; "|" &amp; Table2[[#This Row],[Participant As]]))</f>
        <v>Pemakalah dalam Conference/Seminar Ilmiah|External National|Team</v>
      </c>
      <c r="W173" s="486">
        <f>IFERROR(INDEX(GradingSimkat[Score], MATCH(Table2[[#This Row],[Criteria]], GradingSimkat[Criteria], 0)), 0)</f>
        <v>4</v>
      </c>
    </row>
    <row r="174" spans="1:23" ht="13.75" customHeight="1">
      <c r="A174" s="482" t="s">
        <v>1061</v>
      </c>
      <c r="B174" s="483" t="s">
        <v>1062</v>
      </c>
      <c r="C174" s="483" t="s">
        <v>986</v>
      </c>
      <c r="D174" s="484">
        <v>2021</v>
      </c>
      <c r="E174" s="483" t="s">
        <v>1063</v>
      </c>
      <c r="F174" s="472" t="s">
        <v>305</v>
      </c>
      <c r="G174" s="472" t="s">
        <v>305</v>
      </c>
      <c r="H174" s="473">
        <v>20221</v>
      </c>
      <c r="I174" s="487"/>
      <c r="J174" s="472" t="s">
        <v>278</v>
      </c>
      <c r="K174" s="483" t="s">
        <v>279</v>
      </c>
      <c r="L174" s="483" t="s">
        <v>291</v>
      </c>
      <c r="M174" s="483" t="s">
        <v>292</v>
      </c>
      <c r="N174" s="473">
        <v>22</v>
      </c>
      <c r="O174" s="484">
        <v>5</v>
      </c>
      <c r="P174" s="474"/>
      <c r="Q174" s="483" t="s">
        <v>2215</v>
      </c>
      <c r="R174" s="474"/>
      <c r="S174" s="474"/>
      <c r="T174" s="474"/>
      <c r="U174" s="475" t="s">
        <v>1065</v>
      </c>
      <c r="V174" s="485" t="str">
        <f>CLEAN(TRIM(Table2[[#This Row],[Status]] &amp; "|" &amp; Table2[[#This Row],[Level]] &amp; "|" &amp; Table2[[#This Row],[Participant As]]))</f>
        <v>Narasumber / Pemateri Acara Seminar / Workshop / Pemakalah|Internal Sekolah / Universitas|Individual</v>
      </c>
      <c r="W174" s="486">
        <f>IFERROR(INDEX(GradingSimkat[Score], MATCH(Table2[[#This Row],[Criteria]], GradingSimkat[Criteria], 0)), 0)</f>
        <v>0</v>
      </c>
    </row>
    <row r="175" spans="1:23" ht="13.75" customHeight="1">
      <c r="A175" s="482" t="s">
        <v>1061</v>
      </c>
      <c r="B175" s="483" t="s">
        <v>1062</v>
      </c>
      <c r="C175" s="483" t="s">
        <v>986</v>
      </c>
      <c r="D175" s="484">
        <v>2021</v>
      </c>
      <c r="E175" s="483" t="s">
        <v>1066</v>
      </c>
      <c r="F175" s="472" t="s">
        <v>1067</v>
      </c>
      <c r="G175" s="472" t="s">
        <v>1067</v>
      </c>
      <c r="H175" s="473">
        <v>20222</v>
      </c>
      <c r="I175" s="483" t="s">
        <v>1068</v>
      </c>
      <c r="J175" s="472" t="s">
        <v>278</v>
      </c>
      <c r="K175" s="483" t="s">
        <v>279</v>
      </c>
      <c r="L175" s="483" t="s">
        <v>291</v>
      </c>
      <c r="M175" s="483" t="s">
        <v>292</v>
      </c>
      <c r="N175" s="473">
        <v>25</v>
      </c>
      <c r="O175" s="484">
        <v>5</v>
      </c>
      <c r="P175" s="474"/>
      <c r="Q175" s="483" t="s">
        <v>2216</v>
      </c>
      <c r="R175" s="474"/>
      <c r="S175" s="474"/>
      <c r="T175" s="474"/>
      <c r="U175" s="475" t="s">
        <v>1065</v>
      </c>
      <c r="V175" s="485" t="str">
        <f>CLEAN(TRIM(Table2[[#This Row],[Status]] &amp; "|" &amp; Table2[[#This Row],[Level]] &amp; "|" &amp; Table2[[#This Row],[Participant As]]))</f>
        <v>Narasumber / Pemateri Acara Seminar / Workshop / Pemakalah|Internal Sekolah / Universitas|Individual</v>
      </c>
      <c r="W175" s="486">
        <f>IFERROR(INDEX(GradingSimkat[Score], MATCH(Table2[[#This Row],[Criteria]], GradingSimkat[Criteria], 0)), 0)</f>
        <v>0</v>
      </c>
    </row>
    <row r="176" spans="1:23" ht="13.75" customHeight="1">
      <c r="A176" s="482" t="s">
        <v>1061</v>
      </c>
      <c r="B176" s="483" t="s">
        <v>1062</v>
      </c>
      <c r="C176" s="483" t="s">
        <v>986</v>
      </c>
      <c r="D176" s="484">
        <v>2021</v>
      </c>
      <c r="E176" s="483" t="s">
        <v>1070</v>
      </c>
      <c r="F176" s="472" t="s">
        <v>994</v>
      </c>
      <c r="G176" s="472" t="s">
        <v>994</v>
      </c>
      <c r="H176" s="473">
        <v>20222</v>
      </c>
      <c r="I176" s="483" t="s">
        <v>1071</v>
      </c>
      <c r="J176" s="472" t="s">
        <v>278</v>
      </c>
      <c r="K176" s="483" t="s">
        <v>279</v>
      </c>
      <c r="L176" s="483" t="s">
        <v>291</v>
      </c>
      <c r="M176" s="483" t="s">
        <v>292</v>
      </c>
      <c r="N176" s="473">
        <v>21</v>
      </c>
      <c r="O176" s="484">
        <v>5</v>
      </c>
      <c r="P176" s="474"/>
      <c r="Q176" s="483" t="s">
        <v>2217</v>
      </c>
      <c r="R176" s="474"/>
      <c r="S176" s="474"/>
      <c r="T176" s="474"/>
      <c r="U176" s="475" t="s">
        <v>1065</v>
      </c>
      <c r="V176" s="485" t="str">
        <f>CLEAN(TRIM(Table2[[#This Row],[Status]] &amp; "|" &amp; Table2[[#This Row],[Level]] &amp; "|" &amp; Table2[[#This Row],[Participant As]]))</f>
        <v>Narasumber / Pemateri Acara Seminar / Workshop / Pemakalah|Internal Sekolah / Universitas|Individual</v>
      </c>
      <c r="W176" s="486">
        <f>IFERROR(INDEX(GradingSimkat[Score], MATCH(Table2[[#This Row],[Criteria]], GradingSimkat[Criteria], 0)), 0)</f>
        <v>0</v>
      </c>
    </row>
    <row r="177" spans="1:23" ht="13.75" customHeight="1">
      <c r="A177" s="482" t="s">
        <v>1061</v>
      </c>
      <c r="B177" s="483" t="s">
        <v>1062</v>
      </c>
      <c r="C177" s="483" t="s">
        <v>986</v>
      </c>
      <c r="D177" s="484">
        <v>2021</v>
      </c>
      <c r="E177" s="483" t="s">
        <v>1073</v>
      </c>
      <c r="F177" s="472" t="s">
        <v>978</v>
      </c>
      <c r="G177" s="472" t="s">
        <v>978</v>
      </c>
      <c r="H177" s="473">
        <v>20222</v>
      </c>
      <c r="I177" s="483" t="s">
        <v>1074</v>
      </c>
      <c r="J177" s="472" t="s">
        <v>278</v>
      </c>
      <c r="K177" s="483" t="s">
        <v>279</v>
      </c>
      <c r="L177" s="483" t="s">
        <v>291</v>
      </c>
      <c r="M177" s="483" t="s">
        <v>292</v>
      </c>
      <c r="N177" s="473">
        <v>50</v>
      </c>
      <c r="O177" s="484">
        <v>5</v>
      </c>
      <c r="P177" s="474"/>
      <c r="Q177" s="483" t="s">
        <v>2218</v>
      </c>
      <c r="R177" s="474"/>
      <c r="S177" s="474"/>
      <c r="T177" s="474"/>
      <c r="U177" s="475" t="s">
        <v>1065</v>
      </c>
      <c r="V177" s="485" t="str">
        <f>CLEAN(TRIM(Table2[[#This Row],[Status]] &amp; "|" &amp; Table2[[#This Row],[Level]] &amp; "|" &amp; Table2[[#This Row],[Participant As]]))</f>
        <v>Narasumber / Pemateri Acara Seminar / Workshop / Pemakalah|Internal Sekolah / Universitas|Individual</v>
      </c>
      <c r="W177" s="486">
        <f>IFERROR(INDEX(GradingSimkat[Score], MATCH(Table2[[#This Row],[Criteria]], GradingSimkat[Criteria], 0)), 0)</f>
        <v>0</v>
      </c>
    </row>
    <row r="178" spans="1:23" ht="13.75" customHeight="1">
      <c r="A178" s="482" t="s">
        <v>1061</v>
      </c>
      <c r="B178" s="483" t="s">
        <v>1062</v>
      </c>
      <c r="C178" s="483" t="s">
        <v>986</v>
      </c>
      <c r="D178" s="484">
        <v>2021</v>
      </c>
      <c r="E178" s="483" t="s">
        <v>1076</v>
      </c>
      <c r="F178" s="472" t="s">
        <v>1077</v>
      </c>
      <c r="G178" s="472" t="s">
        <v>1077</v>
      </c>
      <c r="H178" s="473">
        <v>20222</v>
      </c>
      <c r="I178" s="483" t="s">
        <v>1078</v>
      </c>
      <c r="J178" s="472" t="s">
        <v>278</v>
      </c>
      <c r="K178" s="483" t="s">
        <v>279</v>
      </c>
      <c r="L178" s="483" t="s">
        <v>291</v>
      </c>
      <c r="M178" s="483" t="s">
        <v>292</v>
      </c>
      <c r="N178" s="473">
        <v>50</v>
      </c>
      <c r="O178" s="484">
        <v>5</v>
      </c>
      <c r="P178" s="474"/>
      <c r="Q178" s="483" t="s">
        <v>2219</v>
      </c>
      <c r="R178" s="474"/>
      <c r="S178" s="474"/>
      <c r="T178" s="474"/>
      <c r="U178" s="475" t="s">
        <v>1065</v>
      </c>
      <c r="V178" s="485" t="str">
        <f>CLEAN(TRIM(Table2[[#This Row],[Status]] &amp; "|" &amp; Table2[[#This Row],[Level]] &amp; "|" &amp; Table2[[#This Row],[Participant As]]))</f>
        <v>Narasumber / Pemateri Acara Seminar / Workshop / Pemakalah|Internal Sekolah / Universitas|Individual</v>
      </c>
      <c r="W178" s="486">
        <f>IFERROR(INDEX(GradingSimkat[Score], MATCH(Table2[[#This Row],[Criteria]], GradingSimkat[Criteria], 0)), 0)</f>
        <v>0</v>
      </c>
    </row>
    <row r="179" spans="1:23" ht="13.75" customHeight="1">
      <c r="A179" s="482" t="s">
        <v>711</v>
      </c>
      <c r="B179" s="483" t="s">
        <v>712</v>
      </c>
      <c r="C179" s="483" t="s">
        <v>274</v>
      </c>
      <c r="D179" s="484">
        <v>2022</v>
      </c>
      <c r="E179" s="483" t="s">
        <v>361</v>
      </c>
      <c r="F179" s="472" t="s">
        <v>362</v>
      </c>
      <c r="G179" s="472" t="s">
        <v>363</v>
      </c>
      <c r="H179" s="473">
        <v>20231</v>
      </c>
      <c r="I179" s="483" t="s">
        <v>364</v>
      </c>
      <c r="J179" s="472" t="s">
        <v>278</v>
      </c>
      <c r="K179" s="483" t="s">
        <v>279</v>
      </c>
      <c r="L179" s="483" t="s">
        <v>307</v>
      </c>
      <c r="M179" s="483" t="s">
        <v>292</v>
      </c>
      <c r="N179" s="473">
        <v>500</v>
      </c>
      <c r="O179" s="484">
        <v>10</v>
      </c>
      <c r="P179" s="472" t="s">
        <v>365</v>
      </c>
      <c r="Q179" s="483" t="s">
        <v>2186</v>
      </c>
      <c r="R179" s="472" t="s">
        <v>367</v>
      </c>
      <c r="S179" s="474"/>
      <c r="T179" s="474"/>
      <c r="U179" s="475" t="s">
        <v>368</v>
      </c>
      <c r="V179" s="485" t="str">
        <f>CLEAN(TRIM(Table2[[#This Row],[Status]] &amp; "|" &amp; Table2[[#This Row],[Level]] &amp; "|" &amp; Table2[[#This Row],[Participant As]]))</f>
        <v>Narasumber / Pemateri Acara Seminar / Workshop / Pemakalah|External International|Individual</v>
      </c>
      <c r="W179" s="486">
        <f>IFERROR(INDEX(GradingSimkat[Score], MATCH(Table2[[#This Row],[Criteria]], GradingSimkat[Criteria], 0)), 0)</f>
        <v>0</v>
      </c>
    </row>
    <row r="180" spans="1:23" ht="13.75" customHeight="1">
      <c r="A180" s="482" t="s">
        <v>481</v>
      </c>
      <c r="B180" s="483" t="s">
        <v>482</v>
      </c>
      <c r="C180" s="483" t="s">
        <v>274</v>
      </c>
      <c r="D180" s="484">
        <v>2021</v>
      </c>
      <c r="E180" s="483" t="s">
        <v>483</v>
      </c>
      <c r="F180" s="472" t="s">
        <v>339</v>
      </c>
      <c r="G180" s="472" t="s">
        <v>339</v>
      </c>
      <c r="H180" s="473">
        <v>20221</v>
      </c>
      <c r="I180" s="483" t="s">
        <v>483</v>
      </c>
      <c r="J180" s="472" t="s">
        <v>278</v>
      </c>
      <c r="K180" s="483" t="s">
        <v>279</v>
      </c>
      <c r="L180" s="483" t="s">
        <v>280</v>
      </c>
      <c r="M180" s="483" t="s">
        <v>281</v>
      </c>
      <c r="N180" s="473">
        <v>6</v>
      </c>
      <c r="O180" s="484">
        <v>15</v>
      </c>
      <c r="P180" s="474"/>
      <c r="Q180" s="483" t="s">
        <v>2197</v>
      </c>
      <c r="R180" s="474"/>
      <c r="S180" s="474"/>
      <c r="T180" s="474"/>
      <c r="U180" s="475" t="s">
        <v>351</v>
      </c>
      <c r="V180" s="485" t="str">
        <f>CLEAN(TRIM(Table2[[#This Row],[Status]] &amp; "|" &amp; Table2[[#This Row],[Level]] &amp; "|" &amp; Table2[[#This Row],[Participant As]]))</f>
        <v>Narasumber / Pemateri Acara Seminar / Workshop / Pemakalah|External National|Team</v>
      </c>
      <c r="W180" s="486">
        <f>IFERROR(INDEX(GradingSimkat[Score], MATCH(Table2[[#This Row],[Criteria]], GradingSimkat[Criteria], 0)), 0)</f>
        <v>0</v>
      </c>
    </row>
    <row r="181" spans="1:23" ht="13.75" customHeight="1">
      <c r="A181" s="482" t="s">
        <v>1377</v>
      </c>
      <c r="B181" s="483" t="s">
        <v>1378</v>
      </c>
      <c r="C181" s="483" t="s">
        <v>1356</v>
      </c>
      <c r="D181" s="484">
        <v>2020</v>
      </c>
      <c r="E181" s="483" t="s">
        <v>361</v>
      </c>
      <c r="F181" s="472" t="s">
        <v>362</v>
      </c>
      <c r="G181" s="472" t="s">
        <v>363</v>
      </c>
      <c r="H181" s="473">
        <v>20231</v>
      </c>
      <c r="I181" s="483" t="s">
        <v>364</v>
      </c>
      <c r="J181" s="472" t="s">
        <v>278</v>
      </c>
      <c r="K181" s="483" t="s">
        <v>279</v>
      </c>
      <c r="L181" s="483" t="s">
        <v>307</v>
      </c>
      <c r="M181" s="483" t="s">
        <v>292</v>
      </c>
      <c r="N181" s="473">
        <v>500</v>
      </c>
      <c r="O181" s="484">
        <v>10</v>
      </c>
      <c r="P181" s="472" t="s">
        <v>365</v>
      </c>
      <c r="Q181" s="483" t="s">
        <v>2188</v>
      </c>
      <c r="R181" s="472" t="s">
        <v>389</v>
      </c>
      <c r="S181" s="474"/>
      <c r="T181" s="474"/>
      <c r="U181" s="475" t="s">
        <v>368</v>
      </c>
      <c r="V181" s="485" t="str">
        <f>CLEAN(TRIM(Table2[[#This Row],[Status]] &amp; "|" &amp; Table2[[#This Row],[Level]] &amp; "|" &amp; Table2[[#This Row],[Participant As]]))</f>
        <v>Narasumber / Pemateri Acara Seminar / Workshop / Pemakalah|External International|Individual</v>
      </c>
      <c r="W181" s="486">
        <f>IFERROR(INDEX(GradingSimkat[Score], MATCH(Table2[[#This Row],[Criteria]], GradingSimkat[Criteria], 0)), 0)</f>
        <v>0</v>
      </c>
    </row>
    <row r="182" spans="1:23" ht="13.75" customHeight="1">
      <c r="A182" s="482" t="s">
        <v>1359</v>
      </c>
      <c r="B182" s="483" t="s">
        <v>1360</v>
      </c>
      <c r="C182" s="483" t="s">
        <v>1356</v>
      </c>
      <c r="D182" s="484">
        <v>2019</v>
      </c>
      <c r="E182" s="483" t="s">
        <v>1361</v>
      </c>
      <c r="F182" s="472" t="s">
        <v>1111</v>
      </c>
      <c r="G182" s="472" t="s">
        <v>1111</v>
      </c>
      <c r="H182" s="473">
        <v>20221</v>
      </c>
      <c r="I182" s="483" t="s">
        <v>1362</v>
      </c>
      <c r="J182" s="472" t="s">
        <v>278</v>
      </c>
      <c r="K182" s="493" t="s">
        <v>2157</v>
      </c>
      <c r="L182" s="483" t="s">
        <v>438</v>
      </c>
      <c r="M182" s="483" t="s">
        <v>292</v>
      </c>
      <c r="N182" s="473">
        <v>80</v>
      </c>
      <c r="O182" s="484">
        <v>10</v>
      </c>
      <c r="P182" s="474"/>
      <c r="Q182" s="483" t="s">
        <v>2247</v>
      </c>
      <c r="R182" s="474"/>
      <c r="S182" s="474"/>
      <c r="T182" s="474"/>
      <c r="U182" s="475" t="s">
        <v>1364</v>
      </c>
      <c r="V182" s="485" t="str">
        <f>CLEAN(TRIM(Table2[[#This Row],[Status]] &amp; "|" &amp; Table2[[#This Row],[Level]] &amp; "|" &amp; Table2[[#This Row],[Participant As]]))</f>
        <v>Pembicara pada pelatihan/seminar/event berskala|External Regional|Individual</v>
      </c>
      <c r="W182" s="486">
        <f>IFERROR(INDEX(GradingSimkat[Score], MATCH(Table2[[#This Row],[Criteria]], GradingSimkat[Criteria], 0)), 0)</f>
        <v>0</v>
      </c>
    </row>
    <row r="183" spans="1:23" ht="13.75" customHeight="1">
      <c r="A183" s="482" t="s">
        <v>1809</v>
      </c>
      <c r="B183" s="483" t="s">
        <v>1810</v>
      </c>
      <c r="C183" s="483" t="s">
        <v>1794</v>
      </c>
      <c r="D183" s="484">
        <v>2020</v>
      </c>
      <c r="E183" s="483" t="s">
        <v>1811</v>
      </c>
      <c r="F183" s="472" t="s">
        <v>1804</v>
      </c>
      <c r="G183" s="472" t="s">
        <v>1812</v>
      </c>
      <c r="H183" s="473">
        <v>20222</v>
      </c>
      <c r="I183" s="483" t="s">
        <v>1811</v>
      </c>
      <c r="J183" s="472" t="s">
        <v>278</v>
      </c>
      <c r="K183" s="483" t="s">
        <v>279</v>
      </c>
      <c r="L183" s="483" t="s">
        <v>291</v>
      </c>
      <c r="M183" s="483" t="s">
        <v>292</v>
      </c>
      <c r="N183" s="473">
        <v>50</v>
      </c>
      <c r="O183" s="484">
        <v>5</v>
      </c>
      <c r="P183" s="474"/>
      <c r="Q183" s="483" t="s">
        <v>2275</v>
      </c>
      <c r="R183" s="472" t="s">
        <v>1814</v>
      </c>
      <c r="S183" s="474"/>
      <c r="T183" s="474"/>
      <c r="U183" s="475" t="s">
        <v>408</v>
      </c>
      <c r="V183" s="485" t="str">
        <f>CLEAN(TRIM(Table2[[#This Row],[Status]] &amp; "|" &amp; Table2[[#This Row],[Level]] &amp; "|" &amp; Table2[[#This Row],[Participant As]]))</f>
        <v>Narasumber / Pemateri Acara Seminar / Workshop / Pemakalah|Internal Sekolah / Universitas|Individual</v>
      </c>
      <c r="W183" s="486">
        <f>IFERROR(INDEX(GradingSimkat[Score], MATCH(Table2[[#This Row],[Criteria]], GradingSimkat[Criteria], 0)), 0)</f>
        <v>0</v>
      </c>
    </row>
    <row r="184" spans="1:23" ht="13.75" customHeight="1">
      <c r="A184" s="482" t="s">
        <v>665</v>
      </c>
      <c r="B184" s="483" t="s">
        <v>666</v>
      </c>
      <c r="C184" s="483" t="s">
        <v>274</v>
      </c>
      <c r="D184" s="484">
        <v>2022</v>
      </c>
      <c r="E184" s="483" t="s">
        <v>361</v>
      </c>
      <c r="F184" s="472" t="s">
        <v>362</v>
      </c>
      <c r="G184" s="472" t="s">
        <v>363</v>
      </c>
      <c r="H184" s="473">
        <v>20231</v>
      </c>
      <c r="I184" s="483" t="s">
        <v>364</v>
      </c>
      <c r="J184" s="472" t="s">
        <v>278</v>
      </c>
      <c r="K184" s="483" t="s">
        <v>279</v>
      </c>
      <c r="L184" s="483" t="s">
        <v>307</v>
      </c>
      <c r="M184" s="483" t="s">
        <v>292</v>
      </c>
      <c r="N184" s="473">
        <v>500</v>
      </c>
      <c r="O184" s="484">
        <v>10</v>
      </c>
      <c r="P184" s="472" t="s">
        <v>365</v>
      </c>
      <c r="Q184" s="483" t="s">
        <v>2186</v>
      </c>
      <c r="R184" s="472" t="s">
        <v>367</v>
      </c>
      <c r="S184" s="474"/>
      <c r="T184" s="474"/>
      <c r="U184" s="475" t="s">
        <v>368</v>
      </c>
      <c r="V184" s="485" t="str">
        <f>CLEAN(TRIM(Table2[[#This Row],[Status]] &amp; "|" &amp; Table2[[#This Row],[Level]] &amp; "|" &amp; Table2[[#This Row],[Participant As]]))</f>
        <v>Narasumber / Pemateri Acara Seminar / Workshop / Pemakalah|External International|Individual</v>
      </c>
      <c r="W184" s="486">
        <f>IFERROR(INDEX(GradingSimkat[Score], MATCH(Table2[[#This Row],[Criteria]], GradingSimkat[Criteria], 0)), 0)</f>
        <v>0</v>
      </c>
    </row>
    <row r="185" spans="1:23" ht="13.75" customHeight="1">
      <c r="A185" s="482" t="s">
        <v>1546</v>
      </c>
      <c r="B185" s="483" t="s">
        <v>1547</v>
      </c>
      <c r="C185" s="483" t="s">
        <v>1540</v>
      </c>
      <c r="D185" s="484">
        <v>2022</v>
      </c>
      <c r="E185" s="483" t="s">
        <v>1548</v>
      </c>
      <c r="F185" s="472" t="s">
        <v>1549</v>
      </c>
      <c r="G185" s="472" t="s">
        <v>1549</v>
      </c>
      <c r="H185" s="473">
        <v>20231</v>
      </c>
      <c r="I185" s="483" t="s">
        <v>1550</v>
      </c>
      <c r="J185" s="472" t="s">
        <v>278</v>
      </c>
      <c r="K185" s="483" t="s">
        <v>2157</v>
      </c>
      <c r="L185" s="483" t="s">
        <v>307</v>
      </c>
      <c r="M185" s="483" t="s">
        <v>281</v>
      </c>
      <c r="N185" s="473">
        <v>100</v>
      </c>
      <c r="O185" s="484">
        <v>24</v>
      </c>
      <c r="P185" s="472" t="s">
        <v>1551</v>
      </c>
      <c r="Q185" s="483" t="s">
        <v>2257</v>
      </c>
      <c r="R185" s="472" t="s">
        <v>1553</v>
      </c>
      <c r="S185" s="474"/>
      <c r="T185" s="474"/>
      <c r="U185" s="475" t="s">
        <v>1554</v>
      </c>
      <c r="V185" s="485" t="str">
        <f>CLEAN(TRIM(Table2[[#This Row],[Status]] &amp; "|" &amp; Table2[[#This Row],[Level]] &amp; "|" &amp; Table2[[#This Row],[Participant As]]))</f>
        <v>Pembicara pada pelatihan/seminar/event berskala|External International|Team</v>
      </c>
      <c r="W185" s="486">
        <f>IFERROR(INDEX(GradingSimkat[Score], MATCH(Table2[[#This Row],[Criteria]], GradingSimkat[Criteria], 0)), 0)</f>
        <v>4</v>
      </c>
    </row>
    <row r="186" spans="1:23" ht="13.75" customHeight="1">
      <c r="A186" s="482" t="s">
        <v>873</v>
      </c>
      <c r="B186" s="483" t="s">
        <v>874</v>
      </c>
      <c r="C186" s="483" t="s">
        <v>274</v>
      </c>
      <c r="D186" s="484">
        <v>2023</v>
      </c>
      <c r="E186" s="483" t="s">
        <v>361</v>
      </c>
      <c r="F186" s="472" t="s">
        <v>362</v>
      </c>
      <c r="G186" s="472" t="s">
        <v>363</v>
      </c>
      <c r="H186" s="473">
        <v>20231</v>
      </c>
      <c r="I186" s="483" t="s">
        <v>364</v>
      </c>
      <c r="J186" s="472" t="s">
        <v>278</v>
      </c>
      <c r="K186" s="483" t="s">
        <v>279</v>
      </c>
      <c r="L186" s="483" t="s">
        <v>307</v>
      </c>
      <c r="M186" s="483" t="s">
        <v>292</v>
      </c>
      <c r="N186" s="473">
        <v>500</v>
      </c>
      <c r="O186" s="484">
        <v>10</v>
      </c>
      <c r="P186" s="472" t="s">
        <v>365</v>
      </c>
      <c r="Q186" s="483" t="s">
        <v>2186</v>
      </c>
      <c r="R186" s="472" t="s">
        <v>367</v>
      </c>
      <c r="S186" s="474"/>
      <c r="T186" s="474"/>
      <c r="U186" s="475" t="s">
        <v>368</v>
      </c>
      <c r="V186" s="485" t="str">
        <f>CLEAN(TRIM(Table2[[#This Row],[Status]] &amp; "|" &amp; Table2[[#This Row],[Level]] &amp; "|" &amp; Table2[[#This Row],[Participant As]]))</f>
        <v>Narasumber / Pemateri Acara Seminar / Workshop / Pemakalah|External International|Individual</v>
      </c>
      <c r="W186" s="486">
        <f>IFERROR(INDEX(GradingSimkat[Score], MATCH(Table2[[#This Row],[Criteria]], GradingSimkat[Criteria], 0)), 0)</f>
        <v>0</v>
      </c>
    </row>
    <row r="187" spans="1:23" ht="13.75" customHeight="1">
      <c r="A187" s="482" t="s">
        <v>933</v>
      </c>
      <c r="B187" s="483" t="s">
        <v>934</v>
      </c>
      <c r="C187" s="483" t="s">
        <v>274</v>
      </c>
      <c r="D187" s="484">
        <v>2023</v>
      </c>
      <c r="E187" s="483" t="s">
        <v>361</v>
      </c>
      <c r="F187" s="472" t="s">
        <v>362</v>
      </c>
      <c r="G187" s="472" t="s">
        <v>363</v>
      </c>
      <c r="H187" s="473">
        <v>20231</v>
      </c>
      <c r="I187" s="483" t="s">
        <v>364</v>
      </c>
      <c r="J187" s="472" t="s">
        <v>278</v>
      </c>
      <c r="K187" s="483" t="s">
        <v>279</v>
      </c>
      <c r="L187" s="483" t="s">
        <v>307</v>
      </c>
      <c r="M187" s="483" t="s">
        <v>292</v>
      </c>
      <c r="N187" s="473">
        <v>500</v>
      </c>
      <c r="O187" s="484">
        <v>10</v>
      </c>
      <c r="P187" s="472" t="s">
        <v>365</v>
      </c>
      <c r="Q187" s="483" t="s">
        <v>2186</v>
      </c>
      <c r="R187" s="472" t="s">
        <v>367</v>
      </c>
      <c r="S187" s="474"/>
      <c r="T187" s="474"/>
      <c r="U187" s="475" t="s">
        <v>368</v>
      </c>
      <c r="V187" s="485" t="str">
        <f>CLEAN(TRIM(Table2[[#This Row],[Status]] &amp; "|" &amp; Table2[[#This Row],[Level]] &amp; "|" &amp; Table2[[#This Row],[Participant As]]))</f>
        <v>Narasumber / Pemateri Acara Seminar / Workshop / Pemakalah|External International|Individual</v>
      </c>
      <c r="W187" s="486">
        <f>IFERROR(INDEX(GradingSimkat[Score], MATCH(Table2[[#This Row],[Criteria]], GradingSimkat[Criteria], 0)), 0)</f>
        <v>0</v>
      </c>
    </row>
    <row r="188" spans="1:23" ht="13.75" customHeight="1">
      <c r="A188" s="482" t="s">
        <v>1282</v>
      </c>
      <c r="B188" s="483" t="s">
        <v>1283</v>
      </c>
      <c r="C188" s="483" t="s">
        <v>1227</v>
      </c>
      <c r="D188" s="484">
        <v>2022</v>
      </c>
      <c r="E188" s="483" t="s">
        <v>1284</v>
      </c>
      <c r="F188" s="472" t="s">
        <v>1285</v>
      </c>
      <c r="G188" s="472" t="s">
        <v>1285</v>
      </c>
      <c r="H188" s="473">
        <v>20222</v>
      </c>
      <c r="I188" s="483" t="s">
        <v>1286</v>
      </c>
      <c r="J188" s="472" t="s">
        <v>278</v>
      </c>
      <c r="K188" s="483" t="s">
        <v>279</v>
      </c>
      <c r="L188" s="483" t="s">
        <v>307</v>
      </c>
      <c r="M188" s="483" t="s">
        <v>292</v>
      </c>
      <c r="N188" s="473">
        <v>150</v>
      </c>
      <c r="O188" s="484">
        <v>20</v>
      </c>
      <c r="P188" s="474"/>
      <c r="Q188" s="483" t="s">
        <v>2241</v>
      </c>
      <c r="R188" s="472" t="s">
        <v>1288</v>
      </c>
      <c r="S188" s="474"/>
      <c r="T188" s="474"/>
      <c r="U188" s="475" t="s">
        <v>1289</v>
      </c>
      <c r="V188" s="485" t="str">
        <f>CLEAN(TRIM(Table2[[#This Row],[Status]] &amp; "|" &amp; Table2[[#This Row],[Level]] &amp; "|" &amp; Table2[[#This Row],[Participant As]]))</f>
        <v>Narasumber / Pemateri Acara Seminar / Workshop / Pemakalah|External International|Individual</v>
      </c>
      <c r="W188" s="486">
        <f>IFERROR(INDEX(GradingSimkat[Score], MATCH(Table2[[#This Row],[Criteria]], GradingSimkat[Criteria], 0)), 0)</f>
        <v>0</v>
      </c>
    </row>
    <row r="189" spans="1:23" ht="13.75" customHeight="1">
      <c r="A189" s="482" t="s">
        <v>1282</v>
      </c>
      <c r="B189" s="483" t="s">
        <v>1283</v>
      </c>
      <c r="C189" s="483" t="s">
        <v>1227</v>
      </c>
      <c r="D189" s="484">
        <v>2022</v>
      </c>
      <c r="E189" s="483" t="s">
        <v>1290</v>
      </c>
      <c r="F189" s="472" t="s">
        <v>1291</v>
      </c>
      <c r="G189" s="472" t="s">
        <v>1291</v>
      </c>
      <c r="H189" s="473">
        <v>20231</v>
      </c>
      <c r="I189" s="488" t="s">
        <v>1292</v>
      </c>
      <c r="J189" s="472" t="s">
        <v>278</v>
      </c>
      <c r="K189" s="483" t="s">
        <v>2157</v>
      </c>
      <c r="L189" s="483" t="s">
        <v>280</v>
      </c>
      <c r="M189" s="483" t="s">
        <v>292</v>
      </c>
      <c r="N189" s="473">
        <v>4</v>
      </c>
      <c r="O189" s="484">
        <v>15</v>
      </c>
      <c r="P189" s="474"/>
      <c r="Q189" s="494" t="s">
        <v>2242</v>
      </c>
      <c r="R189" s="472" t="s">
        <v>1294</v>
      </c>
      <c r="S189" s="474"/>
      <c r="T189" s="474"/>
      <c r="U189" s="475" t="s">
        <v>1295</v>
      </c>
      <c r="V189" s="485" t="str">
        <f>CLEAN(TRIM(Table2[[#This Row],[Status]] &amp; "|" &amp; Table2[[#This Row],[Level]] &amp; "|" &amp; Table2[[#This Row],[Participant As]]))</f>
        <v>Pembicara pada pelatihan/seminar/event berskala|External National|Individual</v>
      </c>
      <c r="W189" s="486">
        <f>IFERROR(INDEX(GradingSimkat[Score], MATCH(Table2[[#This Row],[Criteria]], GradingSimkat[Criteria], 0)), 0)</f>
        <v>4</v>
      </c>
    </row>
    <row r="190" spans="1:23" ht="13.75" customHeight="1">
      <c r="A190" s="471" t="s">
        <v>1773</v>
      </c>
      <c r="B190" s="472" t="s">
        <v>1774</v>
      </c>
      <c r="C190" s="472" t="s">
        <v>1684</v>
      </c>
      <c r="D190" s="473">
        <v>2022</v>
      </c>
      <c r="E190" s="472" t="s">
        <v>1775</v>
      </c>
      <c r="F190" s="472" t="s">
        <v>1776</v>
      </c>
      <c r="G190" s="472" t="s">
        <v>1776</v>
      </c>
      <c r="H190" s="473">
        <v>20222</v>
      </c>
      <c r="I190" s="472" t="s">
        <v>2174</v>
      </c>
      <c r="J190" s="472" t="s">
        <v>278</v>
      </c>
      <c r="K190" s="472" t="s">
        <v>2155</v>
      </c>
      <c r="L190" s="472" t="s">
        <v>438</v>
      </c>
      <c r="M190" s="472" t="s">
        <v>292</v>
      </c>
      <c r="N190" s="473">
        <v>16</v>
      </c>
      <c r="O190" s="473">
        <v>10</v>
      </c>
      <c r="P190" s="472" t="s">
        <v>19</v>
      </c>
      <c r="Q190" s="472" t="s">
        <v>1778</v>
      </c>
      <c r="R190" s="474"/>
      <c r="S190" s="474"/>
      <c r="T190" s="474"/>
      <c r="U190" s="475" t="s">
        <v>1779</v>
      </c>
      <c r="V190" s="481" t="str">
        <f>CLEAN(TRIM(Table2[[#This Row],[Status]] &amp; "|" &amp; Table2[[#This Row],[Level]] &amp; "|" &amp; Table2[[#This Row],[Participant As]]))</f>
        <v>Juri/Pelatih/Wasit|External Regional|Individual</v>
      </c>
      <c r="W190" s="477">
        <f>IFERROR(INDEX(GradingSimkat[Score], MATCH(Table2[[#This Row],[Criteria]], GradingSimkat[Criteria], 0)), 0)</f>
        <v>0</v>
      </c>
    </row>
    <row r="191" spans="1:23" ht="13.75" customHeight="1">
      <c r="A191" s="471" t="s">
        <v>1773</v>
      </c>
      <c r="B191" s="472" t="s">
        <v>1774</v>
      </c>
      <c r="C191" s="472" t="s">
        <v>1684</v>
      </c>
      <c r="D191" s="473">
        <v>2022</v>
      </c>
      <c r="E191" s="472" t="s">
        <v>1780</v>
      </c>
      <c r="F191" s="472" t="s">
        <v>363</v>
      </c>
      <c r="G191" s="472" t="s">
        <v>363</v>
      </c>
      <c r="H191" s="473">
        <v>20231</v>
      </c>
      <c r="I191" s="472" t="s">
        <v>2175</v>
      </c>
      <c r="J191" s="472" t="s">
        <v>278</v>
      </c>
      <c r="K191" s="472" t="s">
        <v>2155</v>
      </c>
      <c r="L191" s="472" t="s">
        <v>280</v>
      </c>
      <c r="M191" s="472" t="s">
        <v>292</v>
      </c>
      <c r="N191" s="473">
        <v>112</v>
      </c>
      <c r="O191" s="473">
        <v>15</v>
      </c>
      <c r="P191" s="472" t="s">
        <v>1782</v>
      </c>
      <c r="Q191" s="472" t="s">
        <v>1783</v>
      </c>
      <c r="R191" s="472" t="s">
        <v>1784</v>
      </c>
      <c r="S191" s="474"/>
      <c r="T191" s="474"/>
      <c r="U191" s="475" t="s">
        <v>1785</v>
      </c>
      <c r="V191" s="481" t="str">
        <f>CLEAN(TRIM(Table2[[#This Row],[Status]] &amp; "|" &amp; Table2[[#This Row],[Level]] &amp; "|" &amp; Table2[[#This Row],[Participant As]]))</f>
        <v>Juri/Pelatih/Wasit|External National|Individual</v>
      </c>
      <c r="W191" s="477">
        <f>IFERROR(INDEX(GradingSimkat[Score], MATCH(Table2[[#This Row],[Criteria]], GradingSimkat[Criteria], 0)), 0)</f>
        <v>8</v>
      </c>
    </row>
    <row r="192" spans="1:23" ht="13.75" customHeight="1">
      <c r="A192" s="482" t="s">
        <v>743</v>
      </c>
      <c r="B192" s="483" t="s">
        <v>744</v>
      </c>
      <c r="C192" s="483" t="s">
        <v>274</v>
      </c>
      <c r="D192" s="484">
        <v>2022</v>
      </c>
      <c r="E192" s="483" t="s">
        <v>361</v>
      </c>
      <c r="F192" s="472" t="s">
        <v>362</v>
      </c>
      <c r="G192" s="472" t="s">
        <v>363</v>
      </c>
      <c r="H192" s="473">
        <v>20231</v>
      </c>
      <c r="I192" s="483" t="s">
        <v>364</v>
      </c>
      <c r="J192" s="472" t="s">
        <v>278</v>
      </c>
      <c r="K192" s="483" t="s">
        <v>279</v>
      </c>
      <c r="L192" s="483" t="s">
        <v>307</v>
      </c>
      <c r="M192" s="483" t="s">
        <v>292</v>
      </c>
      <c r="N192" s="473">
        <v>500</v>
      </c>
      <c r="O192" s="484">
        <v>10</v>
      </c>
      <c r="P192" s="472" t="s">
        <v>365</v>
      </c>
      <c r="Q192" s="483" t="s">
        <v>2186</v>
      </c>
      <c r="R192" s="472" t="s">
        <v>367</v>
      </c>
      <c r="S192" s="474"/>
      <c r="T192" s="474"/>
      <c r="U192" s="475" t="s">
        <v>368</v>
      </c>
      <c r="V192" s="485" t="str">
        <f>CLEAN(TRIM(Table2[[#This Row],[Status]] &amp; "|" &amp; Table2[[#This Row],[Level]] &amp; "|" &amp; Table2[[#This Row],[Participant As]]))</f>
        <v>Narasumber / Pemateri Acara Seminar / Workshop / Pemakalah|External International|Individual</v>
      </c>
      <c r="W192" s="486">
        <f>IFERROR(INDEX(GradingSimkat[Score], MATCH(Table2[[#This Row],[Criteria]], GradingSimkat[Criteria], 0)), 0)</f>
        <v>0</v>
      </c>
    </row>
    <row r="193" spans="1:23" ht="13.75" customHeight="1">
      <c r="A193" s="482" t="s">
        <v>737</v>
      </c>
      <c r="B193" s="483" t="s">
        <v>738</v>
      </c>
      <c r="C193" s="483" t="s">
        <v>274</v>
      </c>
      <c r="D193" s="484">
        <v>2022</v>
      </c>
      <c r="E193" s="483" t="s">
        <v>361</v>
      </c>
      <c r="F193" s="472" t="s">
        <v>362</v>
      </c>
      <c r="G193" s="472" t="s">
        <v>363</v>
      </c>
      <c r="H193" s="473">
        <v>20231</v>
      </c>
      <c r="I193" s="483" t="s">
        <v>364</v>
      </c>
      <c r="J193" s="472" t="s">
        <v>278</v>
      </c>
      <c r="K193" s="483" t="s">
        <v>279</v>
      </c>
      <c r="L193" s="483" t="s">
        <v>307</v>
      </c>
      <c r="M193" s="483" t="s">
        <v>292</v>
      </c>
      <c r="N193" s="473">
        <v>500</v>
      </c>
      <c r="O193" s="484">
        <v>10</v>
      </c>
      <c r="P193" s="472" t="s">
        <v>365</v>
      </c>
      <c r="Q193" s="483" t="s">
        <v>2186</v>
      </c>
      <c r="R193" s="472" t="s">
        <v>367</v>
      </c>
      <c r="S193" s="474"/>
      <c r="T193" s="474"/>
      <c r="U193" s="475" t="s">
        <v>368</v>
      </c>
      <c r="V193" s="485" t="str">
        <f>CLEAN(TRIM(Table2[[#This Row],[Status]] &amp; "|" &amp; Table2[[#This Row],[Level]] &amp; "|" &amp; Table2[[#This Row],[Participant As]]))</f>
        <v>Narasumber / Pemateri Acara Seminar / Workshop / Pemakalah|External International|Individual</v>
      </c>
      <c r="W193" s="486">
        <f>IFERROR(INDEX(GradingSimkat[Score], MATCH(Table2[[#This Row],[Criteria]], GradingSimkat[Criteria], 0)), 0)</f>
        <v>0</v>
      </c>
    </row>
    <row r="194" spans="1:23" ht="13.75" customHeight="1">
      <c r="A194" s="482" t="s">
        <v>903</v>
      </c>
      <c r="B194" s="483" t="s">
        <v>904</v>
      </c>
      <c r="C194" s="483" t="s">
        <v>274</v>
      </c>
      <c r="D194" s="484">
        <v>2023</v>
      </c>
      <c r="E194" s="483" t="s">
        <v>361</v>
      </c>
      <c r="F194" s="472" t="s">
        <v>362</v>
      </c>
      <c r="G194" s="472" t="s">
        <v>363</v>
      </c>
      <c r="H194" s="473">
        <v>20231</v>
      </c>
      <c r="I194" s="483" t="s">
        <v>364</v>
      </c>
      <c r="J194" s="472" t="s">
        <v>278</v>
      </c>
      <c r="K194" s="483" t="s">
        <v>279</v>
      </c>
      <c r="L194" s="483" t="s">
        <v>307</v>
      </c>
      <c r="M194" s="483" t="s">
        <v>292</v>
      </c>
      <c r="N194" s="473">
        <v>500</v>
      </c>
      <c r="O194" s="484">
        <v>10</v>
      </c>
      <c r="P194" s="472" t="s">
        <v>365</v>
      </c>
      <c r="Q194" s="483" t="s">
        <v>2186</v>
      </c>
      <c r="R194" s="472" t="s">
        <v>367</v>
      </c>
      <c r="S194" s="474"/>
      <c r="T194" s="474"/>
      <c r="U194" s="475" t="s">
        <v>368</v>
      </c>
      <c r="V194" s="485" t="str">
        <f>CLEAN(TRIM(Table2[[#This Row],[Status]] &amp; "|" &amp; Table2[[#This Row],[Level]] &amp; "|" &amp; Table2[[#This Row],[Participant As]]))</f>
        <v>Narasumber / Pemateri Acara Seminar / Workshop / Pemakalah|External International|Individual</v>
      </c>
      <c r="W194" s="486">
        <f>IFERROR(INDEX(GradingSimkat[Score], MATCH(Table2[[#This Row],[Criteria]], GradingSimkat[Criteria], 0)), 0)</f>
        <v>0</v>
      </c>
    </row>
    <row r="195" spans="1:23" ht="13.75" customHeight="1">
      <c r="A195" s="482" t="s">
        <v>548</v>
      </c>
      <c r="B195" s="483" t="s">
        <v>549</v>
      </c>
      <c r="C195" s="483" t="s">
        <v>274</v>
      </c>
      <c r="D195" s="484">
        <v>2022</v>
      </c>
      <c r="E195" s="483" t="s">
        <v>550</v>
      </c>
      <c r="F195" s="472" t="s">
        <v>551</v>
      </c>
      <c r="G195" s="472" t="s">
        <v>552</v>
      </c>
      <c r="H195" s="473">
        <v>20222</v>
      </c>
      <c r="I195" s="483" t="s">
        <v>553</v>
      </c>
      <c r="J195" s="472" t="s">
        <v>278</v>
      </c>
      <c r="K195" s="483" t="s">
        <v>279</v>
      </c>
      <c r="L195" s="483" t="s">
        <v>307</v>
      </c>
      <c r="M195" s="483" t="s">
        <v>292</v>
      </c>
      <c r="N195" s="473">
        <v>437</v>
      </c>
      <c r="O195" s="484">
        <v>20</v>
      </c>
      <c r="P195" s="472" t="s">
        <v>554</v>
      </c>
      <c r="Q195" s="483" t="s">
        <v>2203</v>
      </c>
      <c r="R195" s="474"/>
      <c r="S195" s="474"/>
      <c r="T195" s="474"/>
      <c r="U195" s="475" t="s">
        <v>556</v>
      </c>
      <c r="V195" s="485" t="str">
        <f>CLEAN(TRIM(Table2[[#This Row],[Status]] &amp; "|" &amp; Table2[[#This Row],[Level]] &amp; "|" &amp; Table2[[#This Row],[Participant As]]))</f>
        <v>Narasumber / Pemateri Acara Seminar / Workshop / Pemakalah|External International|Individual</v>
      </c>
      <c r="W195" s="486">
        <f>IFERROR(INDEX(GradingSimkat[Score], MATCH(Table2[[#This Row],[Criteria]], GradingSimkat[Criteria], 0)), 0)</f>
        <v>0</v>
      </c>
    </row>
    <row r="196" spans="1:23" ht="13.75" customHeight="1">
      <c r="A196" s="471" t="s">
        <v>548</v>
      </c>
      <c r="B196" s="472" t="s">
        <v>549</v>
      </c>
      <c r="C196" s="472" t="s">
        <v>274</v>
      </c>
      <c r="D196" s="473">
        <v>2022</v>
      </c>
      <c r="E196" s="472" t="s">
        <v>505</v>
      </c>
      <c r="F196" s="472" t="s">
        <v>506</v>
      </c>
      <c r="G196" s="472" t="s">
        <v>506</v>
      </c>
      <c r="H196" s="473">
        <v>20231</v>
      </c>
      <c r="I196" s="474"/>
      <c r="J196" s="472" t="s">
        <v>278</v>
      </c>
      <c r="K196" s="472" t="s">
        <v>2155</v>
      </c>
      <c r="L196" s="472" t="s">
        <v>291</v>
      </c>
      <c r="M196" s="472" t="s">
        <v>292</v>
      </c>
      <c r="N196" s="473">
        <v>50</v>
      </c>
      <c r="O196" s="473">
        <v>4</v>
      </c>
      <c r="P196" s="474"/>
      <c r="Q196" s="472" t="s">
        <v>507</v>
      </c>
      <c r="R196" s="472" t="s">
        <v>508</v>
      </c>
      <c r="S196" s="474"/>
      <c r="T196" s="474"/>
      <c r="U196" s="475" t="s">
        <v>440</v>
      </c>
      <c r="V196" s="481" t="str">
        <f>CLEAN(TRIM(Table2[[#This Row],[Status]] &amp; "|" &amp; Table2[[#This Row],[Level]] &amp; "|" &amp; Table2[[#This Row],[Participant As]]))</f>
        <v>Juri/Pelatih/Wasit|Internal Sekolah / Universitas|Individual</v>
      </c>
      <c r="W196" s="477">
        <f>IFERROR(INDEX(GradingSimkat[Score], MATCH(Table2[[#This Row],[Criteria]], GradingSimkat[Criteria], 0)), 0)</f>
        <v>0</v>
      </c>
    </row>
    <row r="197" spans="1:23" ht="13.75" customHeight="1">
      <c r="A197" s="471" t="s">
        <v>548</v>
      </c>
      <c r="B197" s="472" t="s">
        <v>549</v>
      </c>
      <c r="C197" s="472" t="s">
        <v>274</v>
      </c>
      <c r="D197" s="473">
        <v>2022</v>
      </c>
      <c r="E197" s="472" t="s">
        <v>557</v>
      </c>
      <c r="F197" s="472" t="s">
        <v>506</v>
      </c>
      <c r="G197" s="472" t="s">
        <v>506</v>
      </c>
      <c r="H197" s="473">
        <v>20231</v>
      </c>
      <c r="I197" s="472" t="s">
        <v>2165</v>
      </c>
      <c r="J197" s="472" t="s">
        <v>278</v>
      </c>
      <c r="K197" s="472" t="s">
        <v>2155</v>
      </c>
      <c r="L197" s="472" t="s">
        <v>291</v>
      </c>
      <c r="M197" s="472" t="s">
        <v>292</v>
      </c>
      <c r="N197" s="473">
        <v>2</v>
      </c>
      <c r="O197" s="473">
        <v>5</v>
      </c>
      <c r="P197" s="474"/>
      <c r="Q197" s="472" t="s">
        <v>559</v>
      </c>
      <c r="R197" s="474"/>
      <c r="S197" s="474"/>
      <c r="T197" s="474"/>
      <c r="U197" s="475" t="s">
        <v>560</v>
      </c>
      <c r="V197" s="481" t="str">
        <f>CLEAN(TRIM(Table2[[#This Row],[Status]] &amp; "|" &amp; Table2[[#This Row],[Level]] &amp; "|" &amp; Table2[[#This Row],[Participant As]]))</f>
        <v>Juri/Pelatih/Wasit|Internal Sekolah / Universitas|Individual</v>
      </c>
      <c r="W197" s="477">
        <f>IFERROR(INDEX(GradingSimkat[Score], MATCH(Table2[[#This Row],[Criteria]], GradingSimkat[Criteria], 0)), 0)</f>
        <v>0</v>
      </c>
    </row>
    <row r="198" spans="1:23" ht="13.75" customHeight="1">
      <c r="A198" s="482" t="s">
        <v>687</v>
      </c>
      <c r="B198" s="483" t="s">
        <v>688</v>
      </c>
      <c r="C198" s="483" t="s">
        <v>274</v>
      </c>
      <c r="D198" s="484">
        <v>2022</v>
      </c>
      <c r="E198" s="483" t="s">
        <v>361</v>
      </c>
      <c r="F198" s="472" t="s">
        <v>362</v>
      </c>
      <c r="G198" s="472" t="s">
        <v>363</v>
      </c>
      <c r="H198" s="473">
        <v>20231</v>
      </c>
      <c r="I198" s="483" t="s">
        <v>364</v>
      </c>
      <c r="J198" s="472" t="s">
        <v>278</v>
      </c>
      <c r="K198" s="483" t="s">
        <v>279</v>
      </c>
      <c r="L198" s="483" t="s">
        <v>307</v>
      </c>
      <c r="M198" s="483" t="s">
        <v>292</v>
      </c>
      <c r="N198" s="473">
        <v>500</v>
      </c>
      <c r="O198" s="484">
        <v>10</v>
      </c>
      <c r="P198" s="472" t="s">
        <v>365</v>
      </c>
      <c r="Q198" s="483" t="s">
        <v>2186</v>
      </c>
      <c r="R198" s="472" t="s">
        <v>367</v>
      </c>
      <c r="S198" s="474"/>
      <c r="T198" s="474"/>
      <c r="U198" s="475" t="s">
        <v>368</v>
      </c>
      <c r="V198" s="485" t="str">
        <f>CLEAN(TRIM(Table2[[#This Row],[Status]] &amp; "|" &amp; Table2[[#This Row],[Level]] &amp; "|" &amp; Table2[[#This Row],[Participant As]]))</f>
        <v>Narasumber / Pemateri Acara Seminar / Workshop / Pemakalah|External International|Individual</v>
      </c>
      <c r="W198" s="486">
        <f>IFERROR(INDEX(GradingSimkat[Score], MATCH(Table2[[#This Row],[Criteria]], GradingSimkat[Criteria], 0)), 0)</f>
        <v>0</v>
      </c>
    </row>
    <row r="199" spans="1:23" ht="13.75" customHeight="1">
      <c r="A199" s="482" t="s">
        <v>1826</v>
      </c>
      <c r="B199" s="483" t="s">
        <v>1827</v>
      </c>
      <c r="C199" s="483" t="s">
        <v>1794</v>
      </c>
      <c r="D199" s="484">
        <v>2021</v>
      </c>
      <c r="E199" s="483" t="s">
        <v>1828</v>
      </c>
      <c r="F199" s="472" t="s">
        <v>1829</v>
      </c>
      <c r="G199" s="472" t="s">
        <v>1829</v>
      </c>
      <c r="H199" s="473">
        <v>20231</v>
      </c>
      <c r="I199" s="483" t="s">
        <v>1830</v>
      </c>
      <c r="J199" s="472" t="s">
        <v>278</v>
      </c>
      <c r="K199" s="483" t="s">
        <v>2157</v>
      </c>
      <c r="L199" s="483" t="s">
        <v>280</v>
      </c>
      <c r="M199" s="483" t="s">
        <v>292</v>
      </c>
      <c r="N199" s="473">
        <v>100</v>
      </c>
      <c r="O199" s="484">
        <v>15</v>
      </c>
      <c r="P199" s="472" t="s">
        <v>1831</v>
      </c>
      <c r="Q199" s="483" t="s">
        <v>2276</v>
      </c>
      <c r="R199" s="472" t="s">
        <v>1833</v>
      </c>
      <c r="S199" s="474"/>
      <c r="T199" s="474"/>
      <c r="U199" s="475" t="s">
        <v>1834</v>
      </c>
      <c r="V199" s="485" t="str">
        <f>CLEAN(TRIM(Table2[[#This Row],[Status]] &amp; "|" &amp; Table2[[#This Row],[Level]] &amp; "|" &amp; Table2[[#This Row],[Participant As]]))</f>
        <v>Pembicara pada pelatihan/seminar/event berskala|External National|Individual</v>
      </c>
      <c r="W199" s="486">
        <f>IFERROR(INDEX(GradingSimkat[Score], MATCH(Table2[[#This Row],[Criteria]], GradingSimkat[Criteria], 0)), 0)</f>
        <v>4</v>
      </c>
    </row>
    <row r="200" spans="1:23" ht="13.75" customHeight="1">
      <c r="A200" s="471" t="s">
        <v>1826</v>
      </c>
      <c r="B200" s="472" t="s">
        <v>1827</v>
      </c>
      <c r="C200" s="472" t="s">
        <v>1794</v>
      </c>
      <c r="D200" s="473">
        <v>2021</v>
      </c>
      <c r="E200" s="472" t="s">
        <v>2176</v>
      </c>
      <c r="F200" s="472" t="s">
        <v>1836</v>
      </c>
      <c r="G200" s="472" t="s">
        <v>1837</v>
      </c>
      <c r="H200" s="473">
        <v>20231</v>
      </c>
      <c r="I200" s="472" t="s">
        <v>2177</v>
      </c>
      <c r="J200" s="472" t="s">
        <v>278</v>
      </c>
      <c r="K200" s="472" t="s">
        <v>2155</v>
      </c>
      <c r="L200" s="472" t="s">
        <v>280</v>
      </c>
      <c r="M200" s="472" t="s">
        <v>292</v>
      </c>
      <c r="N200" s="473">
        <v>36</v>
      </c>
      <c r="O200" s="473">
        <v>15</v>
      </c>
      <c r="P200" s="474"/>
      <c r="Q200" s="472" t="s">
        <v>1839</v>
      </c>
      <c r="R200" s="472" t="s">
        <v>1840</v>
      </c>
      <c r="S200" s="474"/>
      <c r="T200" s="474"/>
      <c r="U200" s="475" t="s">
        <v>1841</v>
      </c>
      <c r="V200" s="481" t="str">
        <f>CLEAN(TRIM(Table2[[#This Row],[Status]] &amp; "|" &amp; Table2[[#This Row],[Level]] &amp; "|" &amp; Table2[[#This Row],[Participant As]]))</f>
        <v>Juri/Pelatih/Wasit|External National|Individual</v>
      </c>
      <c r="W200" s="477">
        <f>IFERROR(INDEX(GradingSimkat[Score], MATCH(Table2[[#This Row],[Criteria]], GradingSimkat[Criteria], 0)), 0)</f>
        <v>8</v>
      </c>
    </row>
    <row r="201" spans="1:23" ht="13.75" customHeight="1">
      <c r="A201" s="482" t="s">
        <v>923</v>
      </c>
      <c r="B201" s="483" t="s">
        <v>924</v>
      </c>
      <c r="C201" s="483" t="s">
        <v>274</v>
      </c>
      <c r="D201" s="484">
        <v>2023</v>
      </c>
      <c r="E201" s="483" t="s">
        <v>361</v>
      </c>
      <c r="F201" s="472" t="s">
        <v>362</v>
      </c>
      <c r="G201" s="472" t="s">
        <v>363</v>
      </c>
      <c r="H201" s="473">
        <v>20231</v>
      </c>
      <c r="I201" s="483" t="s">
        <v>364</v>
      </c>
      <c r="J201" s="472" t="s">
        <v>278</v>
      </c>
      <c r="K201" s="483" t="s">
        <v>279</v>
      </c>
      <c r="L201" s="483" t="s">
        <v>307</v>
      </c>
      <c r="M201" s="483" t="s">
        <v>292</v>
      </c>
      <c r="N201" s="473">
        <v>500</v>
      </c>
      <c r="O201" s="484">
        <v>10</v>
      </c>
      <c r="P201" s="472" t="s">
        <v>365</v>
      </c>
      <c r="Q201" s="483" t="s">
        <v>2186</v>
      </c>
      <c r="R201" s="472" t="s">
        <v>367</v>
      </c>
      <c r="S201" s="474"/>
      <c r="T201" s="474"/>
      <c r="U201" s="475" t="s">
        <v>368</v>
      </c>
      <c r="V201" s="485" t="str">
        <f>CLEAN(TRIM(Table2[[#This Row],[Status]] &amp; "|" &amp; Table2[[#This Row],[Level]] &amp; "|" &amp; Table2[[#This Row],[Participant As]]))</f>
        <v>Narasumber / Pemateri Acara Seminar / Workshop / Pemakalah|External International|Individual</v>
      </c>
      <c r="W201" s="486">
        <f>IFERROR(INDEX(GradingSimkat[Score], MATCH(Table2[[#This Row],[Criteria]], GradingSimkat[Criteria], 0)), 0)</f>
        <v>0</v>
      </c>
    </row>
    <row r="202" spans="1:23" ht="13.75" customHeight="1">
      <c r="A202" s="482" t="s">
        <v>1272</v>
      </c>
      <c r="B202" s="483" t="s">
        <v>1273</v>
      </c>
      <c r="C202" s="483" t="s">
        <v>1227</v>
      </c>
      <c r="D202" s="484">
        <v>2021</v>
      </c>
      <c r="E202" s="483" t="s">
        <v>361</v>
      </c>
      <c r="F202" s="472" t="s">
        <v>362</v>
      </c>
      <c r="G202" s="472" t="s">
        <v>363</v>
      </c>
      <c r="H202" s="473">
        <v>20231</v>
      </c>
      <c r="I202" s="483" t="s">
        <v>364</v>
      </c>
      <c r="J202" s="472" t="s">
        <v>278</v>
      </c>
      <c r="K202" s="483" t="s">
        <v>279</v>
      </c>
      <c r="L202" s="483" t="s">
        <v>307</v>
      </c>
      <c r="M202" s="483" t="s">
        <v>292</v>
      </c>
      <c r="N202" s="473">
        <v>500</v>
      </c>
      <c r="O202" s="484">
        <v>10</v>
      </c>
      <c r="P202" s="472" t="s">
        <v>365</v>
      </c>
      <c r="Q202" s="483" t="s">
        <v>2188</v>
      </c>
      <c r="R202" s="472" t="s">
        <v>389</v>
      </c>
      <c r="S202" s="474"/>
      <c r="T202" s="474"/>
      <c r="U202" s="475" t="s">
        <v>368</v>
      </c>
      <c r="V202" s="485" t="str">
        <f>CLEAN(TRIM(Table2[[#This Row],[Status]] &amp; "|" &amp; Table2[[#This Row],[Level]] &amp; "|" &amp; Table2[[#This Row],[Participant As]]))</f>
        <v>Narasumber / Pemateri Acara Seminar / Workshop / Pemakalah|External International|Individual</v>
      </c>
      <c r="W202" s="486">
        <f>IFERROR(INDEX(GradingSimkat[Score], MATCH(Table2[[#This Row],[Criteria]], GradingSimkat[Criteria], 0)), 0)</f>
        <v>0</v>
      </c>
    </row>
    <row r="203" spans="1:23" ht="13.75" customHeight="1">
      <c r="A203" s="482" t="s">
        <v>1408</v>
      </c>
      <c r="B203" s="483" t="s">
        <v>1409</v>
      </c>
      <c r="C203" s="483" t="s">
        <v>1407</v>
      </c>
      <c r="D203" s="484">
        <v>2019</v>
      </c>
      <c r="E203" s="483" t="s">
        <v>361</v>
      </c>
      <c r="F203" s="472" t="s">
        <v>362</v>
      </c>
      <c r="G203" s="472" t="s">
        <v>363</v>
      </c>
      <c r="H203" s="473">
        <v>20231</v>
      </c>
      <c r="I203" s="483" t="s">
        <v>364</v>
      </c>
      <c r="J203" s="472" t="s">
        <v>278</v>
      </c>
      <c r="K203" s="483" t="s">
        <v>279</v>
      </c>
      <c r="L203" s="483" t="s">
        <v>307</v>
      </c>
      <c r="M203" s="483" t="s">
        <v>292</v>
      </c>
      <c r="N203" s="473">
        <v>500</v>
      </c>
      <c r="O203" s="484">
        <v>10</v>
      </c>
      <c r="P203" s="472" t="s">
        <v>365</v>
      </c>
      <c r="Q203" s="483" t="s">
        <v>2188</v>
      </c>
      <c r="R203" s="472" t="s">
        <v>389</v>
      </c>
      <c r="S203" s="474"/>
      <c r="T203" s="474"/>
      <c r="U203" s="475" t="s">
        <v>368</v>
      </c>
      <c r="V203" s="485" t="str">
        <f>CLEAN(TRIM(Table2[[#This Row],[Status]] &amp; "|" &amp; Table2[[#This Row],[Level]] &amp; "|" &amp; Table2[[#This Row],[Participant As]]))</f>
        <v>Narasumber / Pemateri Acara Seminar / Workshop / Pemakalah|External International|Individual</v>
      </c>
      <c r="W203" s="486">
        <f>IFERROR(INDEX(GradingSimkat[Score], MATCH(Table2[[#This Row],[Criteria]], GradingSimkat[Criteria], 0)), 0)</f>
        <v>0</v>
      </c>
    </row>
    <row r="204" spans="1:23" ht="13.75" customHeight="1">
      <c r="A204" s="482" t="s">
        <v>955</v>
      </c>
      <c r="B204" s="483" t="s">
        <v>956</v>
      </c>
      <c r="C204" s="483" t="s">
        <v>957</v>
      </c>
      <c r="D204" s="484">
        <v>2022</v>
      </c>
      <c r="E204" s="483" t="s">
        <v>958</v>
      </c>
      <c r="F204" s="472" t="s">
        <v>959</v>
      </c>
      <c r="G204" s="472" t="s">
        <v>959</v>
      </c>
      <c r="H204" s="473">
        <v>20222</v>
      </c>
      <c r="I204" s="483" t="s">
        <v>960</v>
      </c>
      <c r="J204" s="472" t="s">
        <v>278</v>
      </c>
      <c r="K204" s="483" t="s">
        <v>279</v>
      </c>
      <c r="L204" s="483" t="s">
        <v>291</v>
      </c>
      <c r="M204" s="483" t="s">
        <v>292</v>
      </c>
      <c r="N204" s="473">
        <v>50</v>
      </c>
      <c r="O204" s="484">
        <v>5</v>
      </c>
      <c r="P204" s="474"/>
      <c r="Q204" s="483" t="s">
        <v>2205</v>
      </c>
      <c r="R204" s="472" t="s">
        <v>962</v>
      </c>
      <c r="S204" s="474"/>
      <c r="T204" s="474"/>
      <c r="U204" s="475" t="s">
        <v>963</v>
      </c>
      <c r="V204" s="485" t="str">
        <f>CLEAN(TRIM(Table2[[#This Row],[Status]] &amp; "|" &amp; Table2[[#This Row],[Level]] &amp; "|" &amp; Table2[[#This Row],[Participant As]]))</f>
        <v>Narasumber / Pemateri Acara Seminar / Workshop / Pemakalah|Internal Sekolah / Universitas|Individual</v>
      </c>
      <c r="W204" s="486">
        <f>IFERROR(INDEX(GradingSimkat[Score], MATCH(Table2[[#This Row],[Criteria]], GradingSimkat[Criteria], 0)), 0)</f>
        <v>0</v>
      </c>
    </row>
    <row r="205" spans="1:23" ht="13.75" customHeight="1">
      <c r="A205" s="482" t="s">
        <v>1156</v>
      </c>
      <c r="B205" s="483" t="s">
        <v>1157</v>
      </c>
      <c r="C205" s="483" t="s">
        <v>986</v>
      </c>
      <c r="D205" s="484">
        <v>2022</v>
      </c>
      <c r="E205" s="483" t="s">
        <v>1158</v>
      </c>
      <c r="F205" s="472" t="s">
        <v>1159</v>
      </c>
      <c r="G205" s="472" t="s">
        <v>1160</v>
      </c>
      <c r="H205" s="473">
        <v>20222</v>
      </c>
      <c r="I205" s="483" t="s">
        <v>1161</v>
      </c>
      <c r="J205" s="472" t="s">
        <v>278</v>
      </c>
      <c r="K205" s="483" t="s">
        <v>2157</v>
      </c>
      <c r="L205" s="483" t="s">
        <v>438</v>
      </c>
      <c r="M205" s="483" t="s">
        <v>292</v>
      </c>
      <c r="N205" s="473">
        <v>40</v>
      </c>
      <c r="O205" s="484">
        <v>10</v>
      </c>
      <c r="P205" s="474"/>
      <c r="Q205" s="483" t="s">
        <v>2230</v>
      </c>
      <c r="R205" s="474"/>
      <c r="S205" s="474"/>
      <c r="T205" s="474"/>
      <c r="U205" s="475" t="s">
        <v>1163</v>
      </c>
      <c r="V205" s="485" t="str">
        <f>CLEAN(TRIM(Table2[[#This Row],[Status]] &amp; "|" &amp; Table2[[#This Row],[Level]] &amp; "|" &amp; Table2[[#This Row],[Participant As]]))</f>
        <v>Pembicara pada pelatihan/seminar/event berskala|External Regional|Individual</v>
      </c>
      <c r="W205" s="486">
        <f>IFERROR(INDEX(GradingSimkat[Score], MATCH(Table2[[#This Row],[Criteria]], GradingSimkat[Criteria], 0)), 0)</f>
        <v>0</v>
      </c>
    </row>
    <row r="206" spans="1:23" ht="13.75" customHeight="1">
      <c r="A206" s="482" t="s">
        <v>1156</v>
      </c>
      <c r="B206" s="483" t="s">
        <v>1157</v>
      </c>
      <c r="C206" s="483" t="s">
        <v>986</v>
      </c>
      <c r="D206" s="484">
        <v>2022</v>
      </c>
      <c r="E206" s="483" t="s">
        <v>1164</v>
      </c>
      <c r="F206" s="472" t="s">
        <v>411</v>
      </c>
      <c r="G206" s="472" t="s">
        <v>411</v>
      </c>
      <c r="H206" s="473">
        <v>20222</v>
      </c>
      <c r="I206" s="488" t="s">
        <v>1165</v>
      </c>
      <c r="J206" s="472" t="s">
        <v>278</v>
      </c>
      <c r="K206" s="483" t="s">
        <v>2157</v>
      </c>
      <c r="L206" s="483" t="s">
        <v>438</v>
      </c>
      <c r="M206" s="483" t="s">
        <v>292</v>
      </c>
      <c r="N206" s="473">
        <v>150</v>
      </c>
      <c r="O206" s="484">
        <v>10</v>
      </c>
      <c r="P206" s="474"/>
      <c r="Q206" s="483" t="s">
        <v>2231</v>
      </c>
      <c r="R206" s="474"/>
      <c r="S206" s="474"/>
      <c r="T206" s="474"/>
      <c r="U206" s="475" t="s">
        <v>1167</v>
      </c>
      <c r="V206" s="485" t="str">
        <f>CLEAN(TRIM(Table2[[#This Row],[Status]] &amp; "|" &amp; Table2[[#This Row],[Level]] &amp; "|" &amp; Table2[[#This Row],[Participant As]]))</f>
        <v>Pembicara pada pelatihan/seminar/event berskala|External Regional|Individual</v>
      </c>
      <c r="W206" s="486">
        <f>IFERROR(INDEX(GradingSimkat[Score], MATCH(Table2[[#This Row],[Criteria]], GradingSimkat[Criteria], 0)), 0)</f>
        <v>0</v>
      </c>
    </row>
    <row r="207" spans="1:23" ht="13.75" customHeight="1">
      <c r="A207" s="482" t="s">
        <v>1156</v>
      </c>
      <c r="B207" s="483" t="s">
        <v>1157</v>
      </c>
      <c r="C207" s="483" t="s">
        <v>986</v>
      </c>
      <c r="D207" s="484">
        <v>2022</v>
      </c>
      <c r="E207" s="483" t="s">
        <v>1168</v>
      </c>
      <c r="F207" s="472" t="s">
        <v>1169</v>
      </c>
      <c r="G207" s="472" t="s">
        <v>1169</v>
      </c>
      <c r="H207" s="473">
        <v>20222</v>
      </c>
      <c r="I207" s="483" t="s">
        <v>1170</v>
      </c>
      <c r="J207" s="472" t="s">
        <v>278</v>
      </c>
      <c r="K207" s="483" t="s">
        <v>2157</v>
      </c>
      <c r="L207" s="483" t="s">
        <v>438</v>
      </c>
      <c r="M207" s="483" t="s">
        <v>292</v>
      </c>
      <c r="N207" s="473">
        <v>80</v>
      </c>
      <c r="O207" s="484">
        <v>10</v>
      </c>
      <c r="P207" s="474"/>
      <c r="Q207" s="483" t="s">
        <v>2232</v>
      </c>
      <c r="R207" s="474"/>
      <c r="S207" s="474"/>
      <c r="T207" s="474"/>
      <c r="U207" s="475" t="s">
        <v>1172</v>
      </c>
      <c r="V207" s="485" t="str">
        <f>CLEAN(TRIM(Table2[[#This Row],[Status]] &amp; "|" &amp; Table2[[#This Row],[Level]] &amp; "|" &amp; Table2[[#This Row],[Participant As]]))</f>
        <v>Pembicara pada pelatihan/seminar/event berskala|External Regional|Individual</v>
      </c>
      <c r="W207" s="486">
        <f>IFERROR(INDEX(GradingSimkat[Score], MATCH(Table2[[#This Row],[Criteria]], GradingSimkat[Criteria], 0)), 0)</f>
        <v>0</v>
      </c>
    </row>
    <row r="208" spans="1:23" ht="13.75" customHeight="1">
      <c r="A208" s="482" t="s">
        <v>1156</v>
      </c>
      <c r="B208" s="483" t="s">
        <v>1157</v>
      </c>
      <c r="C208" s="483" t="s">
        <v>986</v>
      </c>
      <c r="D208" s="484">
        <v>2022</v>
      </c>
      <c r="E208" s="483" t="s">
        <v>1173</v>
      </c>
      <c r="F208" s="472" t="s">
        <v>1174</v>
      </c>
      <c r="G208" s="472" t="s">
        <v>1174</v>
      </c>
      <c r="H208" s="473">
        <v>20222</v>
      </c>
      <c r="I208" s="488" t="s">
        <v>1175</v>
      </c>
      <c r="J208" s="472" t="s">
        <v>278</v>
      </c>
      <c r="K208" s="483" t="s">
        <v>2157</v>
      </c>
      <c r="L208" s="483" t="s">
        <v>438</v>
      </c>
      <c r="M208" s="483" t="s">
        <v>292</v>
      </c>
      <c r="N208" s="473">
        <v>40</v>
      </c>
      <c r="O208" s="484">
        <v>10</v>
      </c>
      <c r="P208" s="474"/>
      <c r="Q208" s="483" t="s">
        <v>2233</v>
      </c>
      <c r="R208" s="474"/>
      <c r="S208" s="474"/>
      <c r="T208" s="474"/>
      <c r="U208" s="475" t="s">
        <v>1177</v>
      </c>
      <c r="V208" s="485" t="str">
        <f>CLEAN(TRIM(Table2[[#This Row],[Status]] &amp; "|" &amp; Table2[[#This Row],[Level]] &amp; "|" &amp; Table2[[#This Row],[Participant As]]))</f>
        <v>Pembicara pada pelatihan/seminar/event berskala|External Regional|Individual</v>
      </c>
      <c r="W208" s="486">
        <f>IFERROR(INDEX(GradingSimkat[Score], MATCH(Table2[[#This Row],[Criteria]], GradingSimkat[Criteria], 0)), 0)</f>
        <v>0</v>
      </c>
    </row>
    <row r="209" spans="1:23" ht="13.75" customHeight="1">
      <c r="A209" s="482" t="s">
        <v>1156</v>
      </c>
      <c r="B209" s="483" t="s">
        <v>1157</v>
      </c>
      <c r="C209" s="483" t="s">
        <v>986</v>
      </c>
      <c r="D209" s="484">
        <v>2022</v>
      </c>
      <c r="E209" s="483" t="s">
        <v>1178</v>
      </c>
      <c r="F209" s="472" t="s">
        <v>1179</v>
      </c>
      <c r="G209" s="472" t="s">
        <v>1179</v>
      </c>
      <c r="H209" s="473">
        <v>20222</v>
      </c>
      <c r="I209" s="488" t="s">
        <v>1180</v>
      </c>
      <c r="J209" s="472" t="s">
        <v>278</v>
      </c>
      <c r="K209" s="483" t="s">
        <v>2157</v>
      </c>
      <c r="L209" s="483" t="s">
        <v>438</v>
      </c>
      <c r="M209" s="483" t="s">
        <v>292</v>
      </c>
      <c r="N209" s="473">
        <v>150</v>
      </c>
      <c r="O209" s="484">
        <v>10</v>
      </c>
      <c r="P209" s="474"/>
      <c r="Q209" s="483" t="s">
        <v>2234</v>
      </c>
      <c r="R209" s="474"/>
      <c r="S209" s="474"/>
      <c r="T209" s="474"/>
      <c r="U209" s="475" t="s">
        <v>1182</v>
      </c>
      <c r="V209" s="485" t="str">
        <f>CLEAN(TRIM(Table2[[#This Row],[Status]] &amp; "|" &amp; Table2[[#This Row],[Level]] &amp; "|" &amp; Table2[[#This Row],[Participant As]]))</f>
        <v>Pembicara pada pelatihan/seminar/event berskala|External Regional|Individual</v>
      </c>
      <c r="W209" s="486">
        <f>IFERROR(INDEX(GradingSimkat[Score], MATCH(Table2[[#This Row],[Criteria]], GradingSimkat[Criteria], 0)), 0)</f>
        <v>0</v>
      </c>
    </row>
    <row r="210" spans="1:23" ht="13.75" customHeight="1">
      <c r="A210" s="482" t="s">
        <v>735</v>
      </c>
      <c r="B210" s="483" t="s">
        <v>736</v>
      </c>
      <c r="C210" s="483" t="s">
        <v>274</v>
      </c>
      <c r="D210" s="484">
        <v>2022</v>
      </c>
      <c r="E210" s="483" t="s">
        <v>361</v>
      </c>
      <c r="F210" s="472" t="s">
        <v>362</v>
      </c>
      <c r="G210" s="472" t="s">
        <v>363</v>
      </c>
      <c r="H210" s="473">
        <v>20231</v>
      </c>
      <c r="I210" s="483" t="s">
        <v>364</v>
      </c>
      <c r="J210" s="472" t="s">
        <v>278</v>
      </c>
      <c r="K210" s="483" t="s">
        <v>279</v>
      </c>
      <c r="L210" s="483" t="s">
        <v>307</v>
      </c>
      <c r="M210" s="483" t="s">
        <v>292</v>
      </c>
      <c r="N210" s="473">
        <v>500</v>
      </c>
      <c r="O210" s="484">
        <v>10</v>
      </c>
      <c r="P210" s="472" t="s">
        <v>365</v>
      </c>
      <c r="Q210" s="483" t="s">
        <v>2186</v>
      </c>
      <c r="R210" s="472" t="s">
        <v>367</v>
      </c>
      <c r="S210" s="474"/>
      <c r="T210" s="474"/>
      <c r="U210" s="475" t="s">
        <v>368</v>
      </c>
      <c r="V210" s="485" t="str">
        <f>CLEAN(TRIM(Table2[[#This Row],[Status]] &amp; "|" &amp; Table2[[#This Row],[Level]] &amp; "|" &amp; Table2[[#This Row],[Participant As]]))</f>
        <v>Narasumber / Pemateri Acara Seminar / Workshop / Pemakalah|External International|Individual</v>
      </c>
      <c r="W210" s="486">
        <f>IFERROR(INDEX(GradingSimkat[Score], MATCH(Table2[[#This Row],[Criteria]], GradingSimkat[Criteria], 0)), 0)</f>
        <v>0</v>
      </c>
    </row>
    <row r="211" spans="1:23" ht="13.75" customHeight="1">
      <c r="A211" s="482" t="s">
        <v>809</v>
      </c>
      <c r="B211" s="483" t="s">
        <v>810</v>
      </c>
      <c r="C211" s="483" t="s">
        <v>274</v>
      </c>
      <c r="D211" s="484">
        <v>2023</v>
      </c>
      <c r="E211" s="483" t="s">
        <v>361</v>
      </c>
      <c r="F211" s="472" t="s">
        <v>362</v>
      </c>
      <c r="G211" s="472" t="s">
        <v>363</v>
      </c>
      <c r="H211" s="473">
        <v>20231</v>
      </c>
      <c r="I211" s="483" t="s">
        <v>364</v>
      </c>
      <c r="J211" s="472" t="s">
        <v>278</v>
      </c>
      <c r="K211" s="483" t="s">
        <v>279</v>
      </c>
      <c r="L211" s="483" t="s">
        <v>307</v>
      </c>
      <c r="M211" s="483" t="s">
        <v>292</v>
      </c>
      <c r="N211" s="473">
        <v>500</v>
      </c>
      <c r="O211" s="484">
        <v>10</v>
      </c>
      <c r="P211" s="472" t="s">
        <v>365</v>
      </c>
      <c r="Q211" s="483" t="s">
        <v>2186</v>
      </c>
      <c r="R211" s="472" t="s">
        <v>367</v>
      </c>
      <c r="S211" s="474"/>
      <c r="T211" s="474"/>
      <c r="U211" s="475" t="s">
        <v>368</v>
      </c>
      <c r="V211" s="485" t="str">
        <f>CLEAN(TRIM(Table2[[#This Row],[Status]] &amp; "|" &amp; Table2[[#This Row],[Level]] &amp; "|" &amp; Table2[[#This Row],[Participant As]]))</f>
        <v>Narasumber / Pemateri Acara Seminar / Workshop / Pemakalah|External International|Individual</v>
      </c>
      <c r="W211" s="486">
        <f>IFERROR(INDEX(GradingSimkat[Score], MATCH(Table2[[#This Row],[Criteria]], GradingSimkat[Criteria], 0)), 0)</f>
        <v>0</v>
      </c>
    </row>
    <row r="212" spans="1:23" ht="13.75" customHeight="1">
      <c r="A212" s="482" t="s">
        <v>1624</v>
      </c>
      <c r="B212" s="483" t="s">
        <v>1625</v>
      </c>
      <c r="C212" s="483" t="s">
        <v>1559</v>
      </c>
      <c r="D212" s="484">
        <v>2021</v>
      </c>
      <c r="E212" s="483" t="s">
        <v>418</v>
      </c>
      <c r="F212" s="472" t="s">
        <v>419</v>
      </c>
      <c r="G212" s="472" t="s">
        <v>419</v>
      </c>
      <c r="H212" s="473">
        <v>20231</v>
      </c>
      <c r="I212" s="487"/>
      <c r="J212" s="472" t="s">
        <v>278</v>
      </c>
      <c r="K212" s="483" t="s">
        <v>279</v>
      </c>
      <c r="L212" s="483" t="s">
        <v>291</v>
      </c>
      <c r="M212" s="483" t="s">
        <v>292</v>
      </c>
      <c r="N212" s="473">
        <v>250</v>
      </c>
      <c r="O212" s="484">
        <v>5</v>
      </c>
      <c r="P212" s="474"/>
      <c r="Q212" s="483" t="s">
        <v>2260</v>
      </c>
      <c r="R212" s="472" t="s">
        <v>1627</v>
      </c>
      <c r="S212" s="474"/>
      <c r="T212" s="474"/>
      <c r="U212" s="475" t="s">
        <v>423</v>
      </c>
      <c r="V212" s="485" t="str">
        <f>CLEAN(TRIM(Table2[[#This Row],[Status]] &amp; "|" &amp; Table2[[#This Row],[Level]] &amp; "|" &amp; Table2[[#This Row],[Participant As]]))</f>
        <v>Narasumber / Pemateri Acara Seminar / Workshop / Pemakalah|Internal Sekolah / Universitas|Individual</v>
      </c>
      <c r="W212" s="486">
        <f>IFERROR(INDEX(GradingSimkat[Score], MATCH(Table2[[#This Row],[Criteria]], GradingSimkat[Criteria], 0)), 0)</f>
        <v>0</v>
      </c>
    </row>
    <row r="213" spans="1:23" ht="13.75" customHeight="1">
      <c r="A213" s="482" t="s">
        <v>1624</v>
      </c>
      <c r="B213" s="483" t="s">
        <v>1625</v>
      </c>
      <c r="C213" s="483" t="s">
        <v>1559</v>
      </c>
      <c r="D213" s="484">
        <v>2021</v>
      </c>
      <c r="E213" s="483" t="s">
        <v>1628</v>
      </c>
      <c r="F213" s="472" t="s">
        <v>1629</v>
      </c>
      <c r="G213" s="472" t="s">
        <v>1629</v>
      </c>
      <c r="H213" s="473">
        <v>20231</v>
      </c>
      <c r="I213" s="483" t="s">
        <v>1630</v>
      </c>
      <c r="J213" s="472" t="s">
        <v>278</v>
      </c>
      <c r="K213" s="483" t="s">
        <v>279</v>
      </c>
      <c r="L213" s="483" t="s">
        <v>291</v>
      </c>
      <c r="M213" s="483" t="s">
        <v>292</v>
      </c>
      <c r="N213" s="473">
        <v>45</v>
      </c>
      <c r="O213" s="484">
        <v>5</v>
      </c>
      <c r="P213" s="474"/>
      <c r="Q213" s="483" t="s">
        <v>2261</v>
      </c>
      <c r="R213" s="474"/>
      <c r="S213" s="474"/>
      <c r="T213" s="474"/>
      <c r="U213" s="475" t="s">
        <v>1632</v>
      </c>
      <c r="V213" s="485" t="str">
        <f>CLEAN(TRIM(Table2[[#This Row],[Status]] &amp; "|" &amp; Table2[[#This Row],[Level]] &amp; "|" &amp; Table2[[#This Row],[Participant As]]))</f>
        <v>Narasumber / Pemateri Acara Seminar / Workshop / Pemakalah|Internal Sekolah / Universitas|Individual</v>
      </c>
      <c r="W213" s="486">
        <f>IFERROR(INDEX(GradingSimkat[Score], MATCH(Table2[[#This Row],[Criteria]], GradingSimkat[Criteria], 0)), 0)</f>
        <v>0</v>
      </c>
    </row>
    <row r="214" spans="1:23" ht="13.75" customHeight="1">
      <c r="A214" s="471" t="s">
        <v>1462</v>
      </c>
      <c r="B214" s="472" t="s">
        <v>1463</v>
      </c>
      <c r="C214" s="472" t="s">
        <v>1444</v>
      </c>
      <c r="D214" s="473">
        <v>2019</v>
      </c>
      <c r="E214" s="472" t="s">
        <v>1464</v>
      </c>
      <c r="F214" s="472" t="s">
        <v>1465</v>
      </c>
      <c r="G214" s="472" t="s">
        <v>1465</v>
      </c>
      <c r="H214" s="473">
        <v>20221</v>
      </c>
      <c r="I214" s="472" t="s">
        <v>2169</v>
      </c>
      <c r="J214" s="472" t="s">
        <v>278</v>
      </c>
      <c r="K214" s="472" t="s">
        <v>2155</v>
      </c>
      <c r="L214" s="472" t="s">
        <v>438</v>
      </c>
      <c r="M214" s="472" t="s">
        <v>292</v>
      </c>
      <c r="N214" s="473">
        <v>67</v>
      </c>
      <c r="O214" s="473">
        <v>5</v>
      </c>
      <c r="P214" s="474"/>
      <c r="Q214" s="472" t="s">
        <v>1467</v>
      </c>
      <c r="R214" s="472" t="s">
        <v>1468</v>
      </c>
      <c r="S214" s="474"/>
      <c r="T214" s="474"/>
      <c r="U214" s="475" t="s">
        <v>1469</v>
      </c>
      <c r="V214" s="481" t="str">
        <f>CLEAN(TRIM(Table2[[#This Row],[Status]] &amp; "|" &amp; Table2[[#This Row],[Level]] &amp; "|" &amp; Table2[[#This Row],[Participant As]]))</f>
        <v>Juri/Pelatih/Wasit|External Regional|Individual</v>
      </c>
      <c r="W214" s="477">
        <f>IFERROR(INDEX(GradingSimkat[Score], MATCH(Table2[[#This Row],[Criteria]], GradingSimkat[Criteria], 0)), 0)</f>
        <v>0</v>
      </c>
    </row>
    <row r="215" spans="1:23" ht="13.75" customHeight="1">
      <c r="A215" s="471" t="s">
        <v>1352</v>
      </c>
      <c r="B215" s="472" t="s">
        <v>1353</v>
      </c>
      <c r="C215" s="472" t="s">
        <v>1304</v>
      </c>
      <c r="D215" s="473">
        <v>2021</v>
      </c>
      <c r="E215" s="472" t="s">
        <v>328</v>
      </c>
      <c r="F215" s="472" t="s">
        <v>329</v>
      </c>
      <c r="G215" s="472" t="s">
        <v>330</v>
      </c>
      <c r="H215" s="473">
        <v>20221</v>
      </c>
      <c r="I215" s="472" t="s">
        <v>2164</v>
      </c>
      <c r="J215" s="472" t="s">
        <v>278</v>
      </c>
      <c r="K215" s="472" t="s">
        <v>2155</v>
      </c>
      <c r="L215" s="472" t="s">
        <v>291</v>
      </c>
      <c r="M215" s="472" t="s">
        <v>292</v>
      </c>
      <c r="N215" s="473">
        <v>7</v>
      </c>
      <c r="O215" s="473">
        <v>5</v>
      </c>
      <c r="P215" s="474"/>
      <c r="Q215" s="472" t="s">
        <v>333</v>
      </c>
      <c r="R215" s="472" t="s">
        <v>334</v>
      </c>
      <c r="S215" s="474"/>
      <c r="T215" s="474"/>
      <c r="U215" s="475" t="s">
        <v>335</v>
      </c>
      <c r="V215" s="481" t="str">
        <f>CLEAN(TRIM(Table2[[#This Row],[Status]] &amp; "|" &amp; Table2[[#This Row],[Level]] &amp; "|" &amp; Table2[[#This Row],[Participant As]]))</f>
        <v>Juri/Pelatih/Wasit|Internal Sekolah / Universitas|Individual</v>
      </c>
      <c r="W215" s="477">
        <f>IFERROR(INDEX(GradingSimkat[Score], MATCH(Table2[[#This Row],[Criteria]], GradingSimkat[Criteria], 0)), 0)</f>
        <v>0</v>
      </c>
    </row>
    <row r="216" spans="1:23" ht="13.75" customHeight="1">
      <c r="A216" s="482" t="s">
        <v>645</v>
      </c>
      <c r="B216" s="483" t="s">
        <v>646</v>
      </c>
      <c r="C216" s="483" t="s">
        <v>274</v>
      </c>
      <c r="D216" s="484">
        <v>2022</v>
      </c>
      <c r="E216" s="483" t="s">
        <v>361</v>
      </c>
      <c r="F216" s="472" t="s">
        <v>362</v>
      </c>
      <c r="G216" s="472" t="s">
        <v>363</v>
      </c>
      <c r="H216" s="473">
        <v>20231</v>
      </c>
      <c r="I216" s="483" t="s">
        <v>364</v>
      </c>
      <c r="J216" s="472" t="s">
        <v>278</v>
      </c>
      <c r="K216" s="483" t="s">
        <v>279</v>
      </c>
      <c r="L216" s="483" t="s">
        <v>307</v>
      </c>
      <c r="M216" s="483" t="s">
        <v>292</v>
      </c>
      <c r="N216" s="473">
        <v>500</v>
      </c>
      <c r="O216" s="484">
        <v>10</v>
      </c>
      <c r="P216" s="472" t="s">
        <v>365</v>
      </c>
      <c r="Q216" s="483" t="s">
        <v>2186</v>
      </c>
      <c r="R216" s="472" t="s">
        <v>367</v>
      </c>
      <c r="S216" s="474"/>
      <c r="T216" s="474"/>
      <c r="U216" s="475" t="s">
        <v>368</v>
      </c>
      <c r="V216" s="485" t="str">
        <f>CLEAN(TRIM(Table2[[#This Row],[Status]] &amp; "|" &amp; Table2[[#This Row],[Level]] &amp; "|" &amp; Table2[[#This Row],[Participant As]]))</f>
        <v>Narasumber / Pemateri Acara Seminar / Workshop / Pemakalah|External International|Individual</v>
      </c>
      <c r="W216" s="486">
        <f>IFERROR(INDEX(GradingSimkat[Score], MATCH(Table2[[#This Row],[Criteria]], GradingSimkat[Criteria], 0)), 0)</f>
        <v>0</v>
      </c>
    </row>
    <row r="217" spans="1:23" s="478" customFormat="1" ht="13.75" customHeight="1">
      <c r="A217" s="482" t="s">
        <v>835</v>
      </c>
      <c r="B217" s="483" t="s">
        <v>836</v>
      </c>
      <c r="C217" s="483" t="s">
        <v>274</v>
      </c>
      <c r="D217" s="484">
        <v>2023</v>
      </c>
      <c r="E217" s="483" t="s">
        <v>361</v>
      </c>
      <c r="F217" s="472" t="s">
        <v>362</v>
      </c>
      <c r="G217" s="472" t="s">
        <v>363</v>
      </c>
      <c r="H217" s="473">
        <v>20231</v>
      </c>
      <c r="I217" s="483" t="s">
        <v>364</v>
      </c>
      <c r="J217" s="472" t="s">
        <v>278</v>
      </c>
      <c r="K217" s="483" t="s">
        <v>279</v>
      </c>
      <c r="L217" s="483" t="s">
        <v>307</v>
      </c>
      <c r="M217" s="483" t="s">
        <v>292</v>
      </c>
      <c r="N217" s="473">
        <v>500</v>
      </c>
      <c r="O217" s="484">
        <v>10</v>
      </c>
      <c r="P217" s="472" t="s">
        <v>365</v>
      </c>
      <c r="Q217" s="483" t="s">
        <v>2186</v>
      </c>
      <c r="R217" s="472" t="s">
        <v>367</v>
      </c>
      <c r="S217" s="474"/>
      <c r="T217" s="474"/>
      <c r="U217" s="475" t="s">
        <v>368</v>
      </c>
      <c r="V217" s="485" t="str">
        <f>CLEAN(TRIM(Table2[[#This Row],[Status]] &amp; "|" &amp; Table2[[#This Row],[Level]] &amp; "|" &amp; Table2[[#This Row],[Participant As]]))</f>
        <v>Narasumber / Pemateri Acara Seminar / Workshop / Pemakalah|External International|Individual</v>
      </c>
      <c r="W217" s="486">
        <f>IFERROR(INDEX(GradingSimkat[Score], MATCH(Table2[[#This Row],[Criteria]], GradingSimkat[Criteria], 0)), 0)</f>
        <v>0</v>
      </c>
    </row>
    <row r="218" spans="1:23" ht="13.75" customHeight="1">
      <c r="A218" s="482" t="s">
        <v>613</v>
      </c>
      <c r="B218" s="483" t="s">
        <v>614</v>
      </c>
      <c r="C218" s="483" t="s">
        <v>274</v>
      </c>
      <c r="D218" s="484">
        <v>2022</v>
      </c>
      <c r="E218" s="483" t="s">
        <v>361</v>
      </c>
      <c r="F218" s="472" t="s">
        <v>362</v>
      </c>
      <c r="G218" s="472" t="s">
        <v>363</v>
      </c>
      <c r="H218" s="473">
        <v>20231</v>
      </c>
      <c r="I218" s="483" t="s">
        <v>364</v>
      </c>
      <c r="J218" s="472" t="s">
        <v>278</v>
      </c>
      <c r="K218" s="483" t="s">
        <v>279</v>
      </c>
      <c r="L218" s="483" t="s">
        <v>307</v>
      </c>
      <c r="M218" s="483" t="s">
        <v>292</v>
      </c>
      <c r="N218" s="473">
        <v>500</v>
      </c>
      <c r="O218" s="484">
        <v>10</v>
      </c>
      <c r="P218" s="472" t="s">
        <v>365</v>
      </c>
      <c r="Q218" s="483" t="s">
        <v>2186</v>
      </c>
      <c r="R218" s="472" t="s">
        <v>367</v>
      </c>
      <c r="S218" s="474"/>
      <c r="T218" s="474"/>
      <c r="U218" s="475" t="s">
        <v>368</v>
      </c>
      <c r="V218" s="485" t="str">
        <f>CLEAN(TRIM(Table2[[#This Row],[Status]] &amp; "|" &amp; Table2[[#This Row],[Level]] &amp; "|" &amp; Table2[[#This Row],[Participant As]]))</f>
        <v>Narasumber / Pemateri Acara Seminar / Workshop / Pemakalah|External International|Individual</v>
      </c>
      <c r="W218" s="486">
        <f>IFERROR(INDEX(GradingSimkat[Score], MATCH(Table2[[#This Row],[Criteria]], GradingSimkat[Criteria], 0)), 0)</f>
        <v>0</v>
      </c>
    </row>
    <row r="219" spans="1:23" ht="13.75" customHeight="1">
      <c r="A219" s="482" t="s">
        <v>1103</v>
      </c>
      <c r="B219" s="483" t="s">
        <v>1104</v>
      </c>
      <c r="C219" s="483" t="s">
        <v>986</v>
      </c>
      <c r="D219" s="484">
        <v>2021</v>
      </c>
      <c r="E219" s="483" t="s">
        <v>1057</v>
      </c>
      <c r="F219" s="472" t="s">
        <v>339</v>
      </c>
      <c r="G219" s="472" t="s">
        <v>339</v>
      </c>
      <c r="H219" s="473">
        <v>20221</v>
      </c>
      <c r="I219" s="483" t="s">
        <v>1105</v>
      </c>
      <c r="J219" s="472" t="s">
        <v>278</v>
      </c>
      <c r="K219" s="483" t="s">
        <v>2156</v>
      </c>
      <c r="L219" s="483" t="s">
        <v>280</v>
      </c>
      <c r="M219" s="483" t="s">
        <v>281</v>
      </c>
      <c r="N219" s="473">
        <v>0</v>
      </c>
      <c r="O219" s="484">
        <v>15</v>
      </c>
      <c r="P219" s="474"/>
      <c r="Q219" s="483" t="s">
        <v>2223</v>
      </c>
      <c r="R219" s="474"/>
      <c r="S219" s="474"/>
      <c r="T219" s="474"/>
      <c r="U219" s="475" t="s">
        <v>1054</v>
      </c>
      <c r="V219" s="485" t="str">
        <f>CLEAN(TRIM(Table2[[#This Row],[Status]] &amp; "|" &amp; Table2[[#This Row],[Level]] &amp; "|" &amp; Table2[[#This Row],[Participant As]]))</f>
        <v>Pemakalah dalam Conference/Seminar Ilmiah|External National|Team</v>
      </c>
      <c r="W219" s="486">
        <f>IFERROR(INDEX(GradingSimkat[Score], MATCH(Table2[[#This Row],[Criteria]], GradingSimkat[Criteria], 0)), 0)</f>
        <v>4</v>
      </c>
    </row>
    <row r="220" spans="1:23" ht="13.75" customHeight="1">
      <c r="A220" s="482" t="s">
        <v>889</v>
      </c>
      <c r="B220" s="483" t="s">
        <v>890</v>
      </c>
      <c r="C220" s="483" t="s">
        <v>274</v>
      </c>
      <c r="D220" s="484">
        <v>2023</v>
      </c>
      <c r="E220" s="483" t="s">
        <v>361</v>
      </c>
      <c r="F220" s="472" t="s">
        <v>362</v>
      </c>
      <c r="G220" s="472" t="s">
        <v>363</v>
      </c>
      <c r="H220" s="473">
        <v>20231</v>
      </c>
      <c r="I220" s="483" t="s">
        <v>364</v>
      </c>
      <c r="J220" s="472" t="s">
        <v>278</v>
      </c>
      <c r="K220" s="483" t="s">
        <v>279</v>
      </c>
      <c r="L220" s="483" t="s">
        <v>307</v>
      </c>
      <c r="M220" s="483" t="s">
        <v>292</v>
      </c>
      <c r="N220" s="473">
        <v>500</v>
      </c>
      <c r="O220" s="484">
        <v>10</v>
      </c>
      <c r="P220" s="472" t="s">
        <v>365</v>
      </c>
      <c r="Q220" s="483" t="s">
        <v>2186</v>
      </c>
      <c r="R220" s="472" t="s">
        <v>367</v>
      </c>
      <c r="S220" s="474"/>
      <c r="T220" s="474"/>
      <c r="U220" s="475" t="s">
        <v>368</v>
      </c>
      <c r="V220" s="485" t="str">
        <f>CLEAN(TRIM(Table2[[#This Row],[Status]] &amp; "|" &amp; Table2[[#This Row],[Level]] &amp; "|" &amp; Table2[[#This Row],[Participant As]]))</f>
        <v>Narasumber / Pemateri Acara Seminar / Workshop / Pemakalah|External International|Individual</v>
      </c>
      <c r="W220" s="486">
        <f>IFERROR(INDEX(GradingSimkat[Score], MATCH(Table2[[#This Row],[Criteria]], GradingSimkat[Criteria], 0)), 0)</f>
        <v>0</v>
      </c>
    </row>
    <row r="221" spans="1:23" ht="13.75" customHeight="1">
      <c r="A221" s="482" t="s">
        <v>1225</v>
      </c>
      <c r="B221" s="483" t="s">
        <v>1226</v>
      </c>
      <c r="C221" s="483" t="s">
        <v>1227</v>
      </c>
      <c r="D221" s="484">
        <v>2019</v>
      </c>
      <c r="E221" s="483" t="s">
        <v>361</v>
      </c>
      <c r="F221" s="472" t="s">
        <v>362</v>
      </c>
      <c r="G221" s="472" t="s">
        <v>363</v>
      </c>
      <c r="H221" s="473">
        <v>20231</v>
      </c>
      <c r="I221" s="483" t="s">
        <v>364</v>
      </c>
      <c r="J221" s="472" t="s">
        <v>278</v>
      </c>
      <c r="K221" s="483" t="s">
        <v>279</v>
      </c>
      <c r="L221" s="483" t="s">
        <v>307</v>
      </c>
      <c r="M221" s="483" t="s">
        <v>292</v>
      </c>
      <c r="N221" s="473">
        <v>500</v>
      </c>
      <c r="O221" s="484">
        <v>10</v>
      </c>
      <c r="P221" s="472" t="s">
        <v>365</v>
      </c>
      <c r="Q221" s="483" t="s">
        <v>2188</v>
      </c>
      <c r="R221" s="472" t="s">
        <v>389</v>
      </c>
      <c r="S221" s="474"/>
      <c r="T221" s="474"/>
      <c r="U221" s="475" t="s">
        <v>368</v>
      </c>
      <c r="V221" s="485" t="str">
        <f>CLEAN(TRIM(Table2[[#This Row],[Status]] &amp; "|" &amp; Table2[[#This Row],[Level]] &amp; "|" &amp; Table2[[#This Row],[Participant As]]))</f>
        <v>Narasumber / Pemateri Acara Seminar / Workshop / Pemakalah|External International|Individual</v>
      </c>
      <c r="W221" s="486">
        <f>IFERROR(INDEX(GradingSimkat[Score], MATCH(Table2[[#This Row],[Criteria]], GradingSimkat[Criteria], 0)), 0)</f>
        <v>0</v>
      </c>
    </row>
    <row r="222" spans="1:23" ht="13.75" customHeight="1">
      <c r="A222" s="482" t="s">
        <v>424</v>
      </c>
      <c r="B222" s="483" t="s">
        <v>425</v>
      </c>
      <c r="C222" s="483" t="s">
        <v>274</v>
      </c>
      <c r="D222" s="484">
        <v>2021</v>
      </c>
      <c r="E222" s="483" t="s">
        <v>361</v>
      </c>
      <c r="F222" s="472" t="s">
        <v>362</v>
      </c>
      <c r="G222" s="472" t="s">
        <v>363</v>
      </c>
      <c r="H222" s="473">
        <v>20231</v>
      </c>
      <c r="I222" s="483" t="s">
        <v>364</v>
      </c>
      <c r="J222" s="472" t="s">
        <v>278</v>
      </c>
      <c r="K222" s="483" t="s">
        <v>279</v>
      </c>
      <c r="L222" s="483" t="s">
        <v>307</v>
      </c>
      <c r="M222" s="483" t="s">
        <v>292</v>
      </c>
      <c r="N222" s="473">
        <v>500</v>
      </c>
      <c r="O222" s="484">
        <v>10</v>
      </c>
      <c r="P222" s="472" t="s">
        <v>365</v>
      </c>
      <c r="Q222" s="483" t="s">
        <v>2186</v>
      </c>
      <c r="R222" s="472" t="s">
        <v>367</v>
      </c>
      <c r="S222" s="474"/>
      <c r="T222" s="474"/>
      <c r="U222" s="475" t="s">
        <v>368</v>
      </c>
      <c r="V222" s="485" t="str">
        <f>CLEAN(TRIM(Table2[[#This Row],[Status]] &amp; "|" &amp; Table2[[#This Row],[Level]] &amp; "|" &amp; Table2[[#This Row],[Participant As]]))</f>
        <v>Narasumber / Pemateri Acara Seminar / Workshop / Pemakalah|External International|Individual</v>
      </c>
      <c r="W222" s="486">
        <f>IFERROR(INDEX(GradingSimkat[Score], MATCH(Table2[[#This Row],[Criteria]], GradingSimkat[Criteria], 0)), 0)</f>
        <v>0</v>
      </c>
    </row>
    <row r="223" spans="1:23" ht="13.75" customHeight="1">
      <c r="A223" s="482" t="s">
        <v>667</v>
      </c>
      <c r="B223" s="483" t="s">
        <v>668</v>
      </c>
      <c r="C223" s="483" t="s">
        <v>274</v>
      </c>
      <c r="D223" s="484">
        <v>2022</v>
      </c>
      <c r="E223" s="483" t="s">
        <v>361</v>
      </c>
      <c r="F223" s="472" t="s">
        <v>362</v>
      </c>
      <c r="G223" s="472" t="s">
        <v>363</v>
      </c>
      <c r="H223" s="473">
        <v>20231</v>
      </c>
      <c r="I223" s="483" t="s">
        <v>364</v>
      </c>
      <c r="J223" s="472" t="s">
        <v>278</v>
      </c>
      <c r="K223" s="483" t="s">
        <v>279</v>
      </c>
      <c r="L223" s="483" t="s">
        <v>307</v>
      </c>
      <c r="M223" s="483" t="s">
        <v>292</v>
      </c>
      <c r="N223" s="473">
        <v>500</v>
      </c>
      <c r="O223" s="484">
        <v>10</v>
      </c>
      <c r="P223" s="472" t="s">
        <v>365</v>
      </c>
      <c r="Q223" s="483" t="s">
        <v>2186</v>
      </c>
      <c r="R223" s="472" t="s">
        <v>367</v>
      </c>
      <c r="S223" s="474"/>
      <c r="T223" s="474"/>
      <c r="U223" s="475" t="s">
        <v>368</v>
      </c>
      <c r="V223" s="485" t="str">
        <f>CLEAN(TRIM(Table2[[#This Row],[Status]] &amp; "|" &amp; Table2[[#This Row],[Level]] &amp; "|" &amp; Table2[[#This Row],[Participant As]]))</f>
        <v>Narasumber / Pemateri Acara Seminar / Workshop / Pemakalah|External International|Individual</v>
      </c>
      <c r="W223" s="486">
        <f>IFERROR(INDEX(GradingSimkat[Score], MATCH(Table2[[#This Row],[Criteria]], GradingSimkat[Criteria], 0)), 0)</f>
        <v>0</v>
      </c>
    </row>
    <row r="224" spans="1:23" ht="13.75" customHeight="1">
      <c r="A224" s="482" t="s">
        <v>589</v>
      </c>
      <c r="B224" s="483" t="s">
        <v>590</v>
      </c>
      <c r="C224" s="483" t="s">
        <v>274</v>
      </c>
      <c r="D224" s="484">
        <v>2022</v>
      </c>
      <c r="E224" s="483" t="s">
        <v>361</v>
      </c>
      <c r="F224" s="472" t="s">
        <v>362</v>
      </c>
      <c r="G224" s="472" t="s">
        <v>363</v>
      </c>
      <c r="H224" s="473">
        <v>20231</v>
      </c>
      <c r="I224" s="483" t="s">
        <v>364</v>
      </c>
      <c r="J224" s="472" t="s">
        <v>278</v>
      </c>
      <c r="K224" s="483" t="s">
        <v>279</v>
      </c>
      <c r="L224" s="483" t="s">
        <v>307</v>
      </c>
      <c r="M224" s="483" t="s">
        <v>292</v>
      </c>
      <c r="N224" s="473">
        <v>500</v>
      </c>
      <c r="O224" s="484">
        <v>10</v>
      </c>
      <c r="P224" s="472" t="s">
        <v>365</v>
      </c>
      <c r="Q224" s="483" t="s">
        <v>2186</v>
      </c>
      <c r="R224" s="472" t="s">
        <v>367</v>
      </c>
      <c r="S224" s="474"/>
      <c r="T224" s="474"/>
      <c r="U224" s="475" t="s">
        <v>368</v>
      </c>
      <c r="V224" s="485" t="str">
        <f>CLEAN(TRIM(Table2[[#This Row],[Status]] &amp; "|" &amp; Table2[[#This Row],[Level]] &amp; "|" &amp; Table2[[#This Row],[Participant As]]))</f>
        <v>Narasumber / Pemateri Acara Seminar / Workshop / Pemakalah|External International|Individual</v>
      </c>
      <c r="W224" s="486">
        <f>IFERROR(INDEX(GradingSimkat[Score], MATCH(Table2[[#This Row],[Criteria]], GradingSimkat[Criteria], 0)), 0)</f>
        <v>0</v>
      </c>
    </row>
    <row r="225" spans="1:23" ht="13.75" customHeight="1">
      <c r="A225" s="482" t="s">
        <v>789</v>
      </c>
      <c r="B225" s="483" t="s">
        <v>790</v>
      </c>
      <c r="C225" s="483" t="s">
        <v>274</v>
      </c>
      <c r="D225" s="484">
        <v>2023</v>
      </c>
      <c r="E225" s="483" t="s">
        <v>361</v>
      </c>
      <c r="F225" s="472" t="s">
        <v>362</v>
      </c>
      <c r="G225" s="472" t="s">
        <v>363</v>
      </c>
      <c r="H225" s="473">
        <v>20231</v>
      </c>
      <c r="I225" s="483" t="s">
        <v>364</v>
      </c>
      <c r="J225" s="472" t="s">
        <v>278</v>
      </c>
      <c r="K225" s="483" t="s">
        <v>279</v>
      </c>
      <c r="L225" s="483" t="s">
        <v>307</v>
      </c>
      <c r="M225" s="483" t="s">
        <v>292</v>
      </c>
      <c r="N225" s="473">
        <v>500</v>
      </c>
      <c r="O225" s="484">
        <v>10</v>
      </c>
      <c r="P225" s="472" t="s">
        <v>365</v>
      </c>
      <c r="Q225" s="483" t="s">
        <v>2186</v>
      </c>
      <c r="R225" s="472" t="s">
        <v>367</v>
      </c>
      <c r="S225" s="474"/>
      <c r="T225" s="474"/>
      <c r="U225" s="475" t="s">
        <v>368</v>
      </c>
      <c r="V225" s="485" t="str">
        <f>CLEAN(TRIM(Table2[[#This Row],[Status]] &amp; "|" &amp; Table2[[#This Row],[Level]] &amp; "|" &amp; Table2[[#This Row],[Participant As]]))</f>
        <v>Narasumber / Pemateri Acara Seminar / Workshop / Pemakalah|External International|Individual</v>
      </c>
      <c r="W225" s="486">
        <f>IFERROR(INDEX(GradingSimkat[Score], MATCH(Table2[[#This Row],[Criteria]], GradingSimkat[Criteria], 0)), 0)</f>
        <v>0</v>
      </c>
    </row>
    <row r="226" spans="1:23" ht="13.75" customHeight="1">
      <c r="A226" s="482" t="s">
        <v>619</v>
      </c>
      <c r="B226" s="483" t="s">
        <v>620</v>
      </c>
      <c r="C226" s="483" t="s">
        <v>274</v>
      </c>
      <c r="D226" s="484">
        <v>2022</v>
      </c>
      <c r="E226" s="483" t="s">
        <v>361</v>
      </c>
      <c r="F226" s="472" t="s">
        <v>362</v>
      </c>
      <c r="G226" s="472" t="s">
        <v>363</v>
      </c>
      <c r="H226" s="473">
        <v>20231</v>
      </c>
      <c r="I226" s="483" t="s">
        <v>364</v>
      </c>
      <c r="J226" s="472" t="s">
        <v>278</v>
      </c>
      <c r="K226" s="483" t="s">
        <v>279</v>
      </c>
      <c r="L226" s="483" t="s">
        <v>307</v>
      </c>
      <c r="M226" s="483" t="s">
        <v>292</v>
      </c>
      <c r="N226" s="473">
        <v>500</v>
      </c>
      <c r="O226" s="484">
        <v>10</v>
      </c>
      <c r="P226" s="472" t="s">
        <v>365</v>
      </c>
      <c r="Q226" s="483" t="s">
        <v>2186</v>
      </c>
      <c r="R226" s="472" t="s">
        <v>367</v>
      </c>
      <c r="S226" s="474"/>
      <c r="T226" s="474"/>
      <c r="U226" s="475" t="s">
        <v>368</v>
      </c>
      <c r="V226" s="485" t="str">
        <f>CLEAN(TRIM(Table2[[#This Row],[Status]] &amp; "|" &amp; Table2[[#This Row],[Level]] &amp; "|" &amp; Table2[[#This Row],[Participant As]]))</f>
        <v>Narasumber / Pemateri Acara Seminar / Workshop / Pemakalah|External International|Individual</v>
      </c>
      <c r="W226" s="486">
        <f>IFERROR(INDEX(GradingSimkat[Score], MATCH(Table2[[#This Row],[Criteria]], GradingSimkat[Criteria], 0)), 0)</f>
        <v>0</v>
      </c>
    </row>
    <row r="227" spans="1:23" ht="13.75" customHeight="1">
      <c r="A227" s="482" t="s">
        <v>581</v>
      </c>
      <c r="B227" s="483" t="s">
        <v>582</v>
      </c>
      <c r="C227" s="483" t="s">
        <v>274</v>
      </c>
      <c r="D227" s="484">
        <v>2022</v>
      </c>
      <c r="E227" s="483" t="s">
        <v>361</v>
      </c>
      <c r="F227" s="472" t="s">
        <v>362</v>
      </c>
      <c r="G227" s="472" t="s">
        <v>363</v>
      </c>
      <c r="H227" s="473">
        <v>20231</v>
      </c>
      <c r="I227" s="483" t="s">
        <v>364</v>
      </c>
      <c r="J227" s="472" t="s">
        <v>278</v>
      </c>
      <c r="K227" s="483" t="s">
        <v>279</v>
      </c>
      <c r="L227" s="483" t="s">
        <v>307</v>
      </c>
      <c r="M227" s="483" t="s">
        <v>292</v>
      </c>
      <c r="N227" s="473">
        <v>500</v>
      </c>
      <c r="O227" s="484">
        <v>10</v>
      </c>
      <c r="P227" s="472" t="s">
        <v>365</v>
      </c>
      <c r="Q227" s="483" t="s">
        <v>2186</v>
      </c>
      <c r="R227" s="472" t="s">
        <v>367</v>
      </c>
      <c r="S227" s="474"/>
      <c r="T227" s="474"/>
      <c r="U227" s="475" t="s">
        <v>368</v>
      </c>
      <c r="V227" s="485" t="str">
        <f>CLEAN(TRIM(Table2[[#This Row],[Status]] &amp; "|" &amp; Table2[[#This Row],[Level]] &amp; "|" &amp; Table2[[#This Row],[Participant As]]))</f>
        <v>Narasumber / Pemateri Acara Seminar / Workshop / Pemakalah|External International|Individual</v>
      </c>
      <c r="W227" s="486">
        <f>IFERROR(INDEX(GradingSimkat[Score], MATCH(Table2[[#This Row],[Criteria]], GradingSimkat[Criteria], 0)), 0)</f>
        <v>0</v>
      </c>
    </row>
    <row r="228" spans="1:23" ht="13.75" customHeight="1">
      <c r="A228" s="482" t="s">
        <v>398</v>
      </c>
      <c r="B228" s="483" t="s">
        <v>399</v>
      </c>
      <c r="C228" s="483" t="s">
        <v>274</v>
      </c>
      <c r="D228" s="484">
        <v>2020</v>
      </c>
      <c r="E228" s="483" t="s">
        <v>361</v>
      </c>
      <c r="F228" s="472" t="s">
        <v>362</v>
      </c>
      <c r="G228" s="472" t="s">
        <v>363</v>
      </c>
      <c r="H228" s="473">
        <v>20231</v>
      </c>
      <c r="I228" s="483" t="s">
        <v>364</v>
      </c>
      <c r="J228" s="472" t="s">
        <v>278</v>
      </c>
      <c r="K228" s="483" t="s">
        <v>279</v>
      </c>
      <c r="L228" s="483" t="s">
        <v>307</v>
      </c>
      <c r="M228" s="483" t="s">
        <v>292</v>
      </c>
      <c r="N228" s="473">
        <v>500</v>
      </c>
      <c r="O228" s="484">
        <v>10</v>
      </c>
      <c r="P228" s="472" t="s">
        <v>365</v>
      </c>
      <c r="Q228" s="483" t="s">
        <v>2186</v>
      </c>
      <c r="R228" s="472" t="s">
        <v>367</v>
      </c>
      <c r="S228" s="474"/>
      <c r="T228" s="474"/>
      <c r="U228" s="475" t="s">
        <v>368</v>
      </c>
      <c r="V228" s="485" t="str">
        <f>CLEAN(TRIM(Table2[[#This Row],[Status]] &amp; "|" &amp; Table2[[#This Row],[Level]] &amp; "|" &amp; Table2[[#This Row],[Participant As]]))</f>
        <v>Narasumber / Pemateri Acara Seminar / Workshop / Pemakalah|External International|Individual</v>
      </c>
      <c r="W228" s="486">
        <f>IFERROR(INDEX(GradingSimkat[Score], MATCH(Table2[[#This Row],[Criteria]], GradingSimkat[Criteria], 0)), 0)</f>
        <v>0</v>
      </c>
    </row>
    <row r="229" spans="1:23" ht="13.75" customHeight="1">
      <c r="A229" s="482" t="s">
        <v>657</v>
      </c>
      <c r="B229" s="483" t="s">
        <v>658</v>
      </c>
      <c r="C229" s="483" t="s">
        <v>274</v>
      </c>
      <c r="D229" s="484">
        <v>2022</v>
      </c>
      <c r="E229" s="483" t="s">
        <v>361</v>
      </c>
      <c r="F229" s="472" t="s">
        <v>362</v>
      </c>
      <c r="G229" s="472" t="s">
        <v>363</v>
      </c>
      <c r="H229" s="473">
        <v>20231</v>
      </c>
      <c r="I229" s="483" t="s">
        <v>364</v>
      </c>
      <c r="J229" s="472" t="s">
        <v>278</v>
      </c>
      <c r="K229" s="483" t="s">
        <v>279</v>
      </c>
      <c r="L229" s="483" t="s">
        <v>307</v>
      </c>
      <c r="M229" s="483" t="s">
        <v>292</v>
      </c>
      <c r="N229" s="473">
        <v>500</v>
      </c>
      <c r="O229" s="484">
        <v>10</v>
      </c>
      <c r="P229" s="472" t="s">
        <v>365</v>
      </c>
      <c r="Q229" s="483" t="s">
        <v>2186</v>
      </c>
      <c r="R229" s="472" t="s">
        <v>367</v>
      </c>
      <c r="S229" s="474"/>
      <c r="T229" s="474"/>
      <c r="U229" s="475" t="s">
        <v>368</v>
      </c>
      <c r="V229" s="485" t="str">
        <f>CLEAN(TRIM(Table2[[#This Row],[Status]] &amp; "|" &amp; Table2[[#This Row],[Level]] &amp; "|" &amp; Table2[[#This Row],[Participant As]]))</f>
        <v>Narasumber / Pemateri Acara Seminar / Workshop / Pemakalah|External International|Individual</v>
      </c>
      <c r="W229" s="486">
        <f>IFERROR(INDEX(GradingSimkat[Score], MATCH(Table2[[#This Row],[Criteria]], GradingSimkat[Criteria], 0)), 0)</f>
        <v>0</v>
      </c>
    </row>
    <row r="230" spans="1:23" ht="13.75" customHeight="1">
      <c r="A230" s="482" t="s">
        <v>951</v>
      </c>
      <c r="B230" s="483" t="s">
        <v>952</v>
      </c>
      <c r="C230" s="483" t="s">
        <v>274</v>
      </c>
      <c r="D230" s="484">
        <v>2023</v>
      </c>
      <c r="E230" s="483" t="s">
        <v>361</v>
      </c>
      <c r="F230" s="472" t="s">
        <v>362</v>
      </c>
      <c r="G230" s="472" t="s">
        <v>363</v>
      </c>
      <c r="H230" s="473">
        <v>20231</v>
      </c>
      <c r="I230" s="483" t="s">
        <v>364</v>
      </c>
      <c r="J230" s="472" t="s">
        <v>278</v>
      </c>
      <c r="K230" s="483" t="s">
        <v>279</v>
      </c>
      <c r="L230" s="483" t="s">
        <v>307</v>
      </c>
      <c r="M230" s="483" t="s">
        <v>292</v>
      </c>
      <c r="N230" s="473">
        <v>500</v>
      </c>
      <c r="O230" s="484">
        <v>10</v>
      </c>
      <c r="P230" s="472" t="s">
        <v>365</v>
      </c>
      <c r="Q230" s="483" t="s">
        <v>2186</v>
      </c>
      <c r="R230" s="472" t="s">
        <v>367</v>
      </c>
      <c r="S230" s="474"/>
      <c r="T230" s="474"/>
      <c r="U230" s="475" t="s">
        <v>368</v>
      </c>
      <c r="V230" s="485" t="str">
        <f>CLEAN(TRIM(Table2[[#This Row],[Status]] &amp; "|" &amp; Table2[[#This Row],[Level]] &amp; "|" &amp; Table2[[#This Row],[Participant As]]))</f>
        <v>Narasumber / Pemateri Acara Seminar / Workshop / Pemakalah|External International|Individual</v>
      </c>
      <c r="W230" s="486">
        <f>IFERROR(INDEX(GradingSimkat[Score], MATCH(Table2[[#This Row],[Criteria]], GradingSimkat[Criteria], 0)), 0)</f>
        <v>0</v>
      </c>
    </row>
    <row r="231" spans="1:23" ht="13.75" customHeight="1">
      <c r="A231" s="482" t="s">
        <v>1755</v>
      </c>
      <c r="B231" s="483" t="s">
        <v>1756</v>
      </c>
      <c r="C231" s="483" t="s">
        <v>1684</v>
      </c>
      <c r="D231" s="484">
        <v>2022</v>
      </c>
      <c r="E231" s="483" t="s">
        <v>361</v>
      </c>
      <c r="F231" s="472" t="s">
        <v>362</v>
      </c>
      <c r="G231" s="472" t="s">
        <v>363</v>
      </c>
      <c r="H231" s="473">
        <v>20231</v>
      </c>
      <c r="I231" s="483" t="s">
        <v>364</v>
      </c>
      <c r="J231" s="472" t="s">
        <v>278</v>
      </c>
      <c r="K231" s="483" t="s">
        <v>279</v>
      </c>
      <c r="L231" s="483" t="s">
        <v>307</v>
      </c>
      <c r="M231" s="483" t="s">
        <v>292</v>
      </c>
      <c r="N231" s="473">
        <v>500</v>
      </c>
      <c r="O231" s="484">
        <v>10</v>
      </c>
      <c r="P231" s="472" t="s">
        <v>365</v>
      </c>
      <c r="Q231" s="483" t="s">
        <v>2188</v>
      </c>
      <c r="R231" s="472" t="s">
        <v>389</v>
      </c>
      <c r="S231" s="474"/>
      <c r="T231" s="474"/>
      <c r="U231" s="475" t="s">
        <v>368</v>
      </c>
      <c r="V231" s="485" t="str">
        <f>CLEAN(TRIM(Table2[[#This Row],[Status]] &amp; "|" &amp; Table2[[#This Row],[Level]] &amp; "|" &amp; Table2[[#This Row],[Participant As]]))</f>
        <v>Narasumber / Pemateri Acara Seminar / Workshop / Pemakalah|External International|Individual</v>
      </c>
      <c r="W231" s="486">
        <f>IFERROR(INDEX(GradingSimkat[Score], MATCH(Table2[[#This Row],[Criteria]], GradingSimkat[Criteria], 0)), 0)</f>
        <v>0</v>
      </c>
    </row>
    <row r="232" spans="1:23" ht="13.75" customHeight="1">
      <c r="A232" s="482" t="s">
        <v>703</v>
      </c>
      <c r="B232" s="483" t="s">
        <v>704</v>
      </c>
      <c r="C232" s="483" t="s">
        <v>274</v>
      </c>
      <c r="D232" s="484">
        <v>2022</v>
      </c>
      <c r="E232" s="483" t="s">
        <v>361</v>
      </c>
      <c r="F232" s="472" t="s">
        <v>362</v>
      </c>
      <c r="G232" s="472" t="s">
        <v>363</v>
      </c>
      <c r="H232" s="473">
        <v>20231</v>
      </c>
      <c r="I232" s="483" t="s">
        <v>364</v>
      </c>
      <c r="J232" s="472" t="s">
        <v>278</v>
      </c>
      <c r="K232" s="483" t="s">
        <v>279</v>
      </c>
      <c r="L232" s="483" t="s">
        <v>307</v>
      </c>
      <c r="M232" s="483" t="s">
        <v>292</v>
      </c>
      <c r="N232" s="473">
        <v>500</v>
      </c>
      <c r="O232" s="484">
        <v>10</v>
      </c>
      <c r="P232" s="472" t="s">
        <v>365</v>
      </c>
      <c r="Q232" s="483" t="s">
        <v>2186</v>
      </c>
      <c r="R232" s="472" t="s">
        <v>367</v>
      </c>
      <c r="S232" s="474"/>
      <c r="T232" s="474"/>
      <c r="U232" s="475" t="s">
        <v>368</v>
      </c>
      <c r="V232" s="485" t="str">
        <f>CLEAN(TRIM(Table2[[#This Row],[Status]] &amp; "|" &amp; Table2[[#This Row],[Level]] &amp; "|" &amp; Table2[[#This Row],[Participant As]]))</f>
        <v>Narasumber / Pemateri Acara Seminar / Workshop / Pemakalah|External International|Individual</v>
      </c>
      <c r="W232" s="486">
        <f>IFERROR(INDEX(GradingSimkat[Score], MATCH(Table2[[#This Row],[Criteria]], GradingSimkat[Criteria], 0)), 0)</f>
        <v>0</v>
      </c>
    </row>
    <row r="233" spans="1:23" ht="13.75" customHeight="1">
      <c r="A233" s="482" t="s">
        <v>1143</v>
      </c>
      <c r="B233" s="483" t="s">
        <v>1144</v>
      </c>
      <c r="C233" s="483" t="s">
        <v>986</v>
      </c>
      <c r="D233" s="484">
        <v>2022</v>
      </c>
      <c r="E233" s="483" t="s">
        <v>1145</v>
      </c>
      <c r="F233" s="472" t="s">
        <v>1146</v>
      </c>
      <c r="G233" s="472" t="s">
        <v>1146</v>
      </c>
      <c r="H233" s="473">
        <v>20231</v>
      </c>
      <c r="I233" s="488" t="s">
        <v>1147</v>
      </c>
      <c r="J233" s="472" t="s">
        <v>278</v>
      </c>
      <c r="K233" s="483" t="s">
        <v>2157</v>
      </c>
      <c r="L233" s="483" t="s">
        <v>438</v>
      </c>
      <c r="M233" s="483" t="s">
        <v>292</v>
      </c>
      <c r="N233" s="473">
        <v>8</v>
      </c>
      <c r="O233" s="484">
        <v>10</v>
      </c>
      <c r="P233" s="474"/>
      <c r="Q233" s="483" t="s">
        <v>2228</v>
      </c>
      <c r="R233" s="474"/>
      <c r="S233" s="474"/>
      <c r="T233" s="474"/>
      <c r="U233" s="475" t="s">
        <v>1149</v>
      </c>
      <c r="V233" s="485" t="str">
        <f>CLEAN(TRIM(Table2[[#This Row],[Status]] &amp; "|" &amp; Table2[[#This Row],[Level]] &amp; "|" &amp; Table2[[#This Row],[Participant As]]))</f>
        <v>Pembicara pada pelatihan/seminar/event berskala|External Regional|Individual</v>
      </c>
      <c r="W233" s="486">
        <f>IFERROR(INDEX(GradingSimkat[Score], MATCH(Table2[[#This Row],[Criteria]], GradingSimkat[Criteria], 0)), 0)</f>
        <v>0</v>
      </c>
    </row>
    <row r="234" spans="1:23" ht="13.75" customHeight="1">
      <c r="A234" s="482" t="s">
        <v>885</v>
      </c>
      <c r="B234" s="483" t="s">
        <v>886</v>
      </c>
      <c r="C234" s="483" t="s">
        <v>274</v>
      </c>
      <c r="D234" s="484">
        <v>2023</v>
      </c>
      <c r="E234" s="483" t="s">
        <v>361</v>
      </c>
      <c r="F234" s="472" t="s">
        <v>362</v>
      </c>
      <c r="G234" s="472" t="s">
        <v>363</v>
      </c>
      <c r="H234" s="473">
        <v>20231</v>
      </c>
      <c r="I234" s="483" t="s">
        <v>364</v>
      </c>
      <c r="J234" s="472" t="s">
        <v>278</v>
      </c>
      <c r="K234" s="483" t="s">
        <v>279</v>
      </c>
      <c r="L234" s="483" t="s">
        <v>307</v>
      </c>
      <c r="M234" s="483" t="s">
        <v>292</v>
      </c>
      <c r="N234" s="473">
        <v>500</v>
      </c>
      <c r="O234" s="484">
        <v>10</v>
      </c>
      <c r="P234" s="472" t="s">
        <v>365</v>
      </c>
      <c r="Q234" s="483" t="s">
        <v>2186</v>
      </c>
      <c r="R234" s="472" t="s">
        <v>367</v>
      </c>
      <c r="S234" s="474"/>
      <c r="T234" s="474"/>
      <c r="U234" s="475" t="s">
        <v>368</v>
      </c>
      <c r="V234" s="485" t="str">
        <f>CLEAN(TRIM(Table2[[#This Row],[Status]] &amp; "|" &amp; Table2[[#This Row],[Level]] &amp; "|" &amp; Table2[[#This Row],[Participant As]]))</f>
        <v>Narasumber / Pemateri Acara Seminar / Workshop / Pemakalah|External International|Individual</v>
      </c>
      <c r="W234" s="486">
        <f>IFERROR(INDEX(GradingSimkat[Score], MATCH(Table2[[#This Row],[Criteria]], GradingSimkat[Criteria], 0)), 0)</f>
        <v>0</v>
      </c>
    </row>
    <row r="235" spans="1:23" ht="13.75" customHeight="1">
      <c r="A235" s="482" t="s">
        <v>943</v>
      </c>
      <c r="B235" s="483" t="s">
        <v>944</v>
      </c>
      <c r="C235" s="483" t="s">
        <v>274</v>
      </c>
      <c r="D235" s="484">
        <v>2023</v>
      </c>
      <c r="E235" s="483" t="s">
        <v>361</v>
      </c>
      <c r="F235" s="472" t="s">
        <v>362</v>
      </c>
      <c r="G235" s="472" t="s">
        <v>363</v>
      </c>
      <c r="H235" s="473">
        <v>20231</v>
      </c>
      <c r="I235" s="483" t="s">
        <v>364</v>
      </c>
      <c r="J235" s="472" t="s">
        <v>278</v>
      </c>
      <c r="K235" s="483" t="s">
        <v>279</v>
      </c>
      <c r="L235" s="483" t="s">
        <v>307</v>
      </c>
      <c r="M235" s="483" t="s">
        <v>292</v>
      </c>
      <c r="N235" s="473">
        <v>500</v>
      </c>
      <c r="O235" s="484">
        <v>10</v>
      </c>
      <c r="P235" s="472" t="s">
        <v>365</v>
      </c>
      <c r="Q235" s="483" t="s">
        <v>2186</v>
      </c>
      <c r="R235" s="472" t="s">
        <v>367</v>
      </c>
      <c r="S235" s="474"/>
      <c r="T235" s="474"/>
      <c r="U235" s="475" t="s">
        <v>368</v>
      </c>
      <c r="V235" s="485" t="str">
        <f>CLEAN(TRIM(Table2[[#This Row],[Status]] &amp; "|" &amp; Table2[[#This Row],[Level]] &amp; "|" &amp; Table2[[#This Row],[Participant As]]))</f>
        <v>Narasumber / Pemateri Acara Seminar / Workshop / Pemakalah|External International|Individual</v>
      </c>
      <c r="W235" s="486">
        <f>IFERROR(INDEX(GradingSimkat[Score], MATCH(Table2[[#This Row],[Criteria]], GradingSimkat[Criteria], 0)), 0)</f>
        <v>0</v>
      </c>
    </row>
    <row r="236" spans="1:23" ht="13.75" customHeight="1">
      <c r="A236" s="471" t="s">
        <v>757</v>
      </c>
      <c r="B236" s="472" t="s">
        <v>758</v>
      </c>
      <c r="C236" s="472" t="s">
        <v>274</v>
      </c>
      <c r="D236" s="473">
        <v>2022</v>
      </c>
      <c r="E236" s="472" t="s">
        <v>759</v>
      </c>
      <c r="F236" s="472" t="s">
        <v>760</v>
      </c>
      <c r="G236" s="472" t="s">
        <v>760</v>
      </c>
      <c r="H236" s="473">
        <v>20222</v>
      </c>
      <c r="I236" s="472" t="s">
        <v>2166</v>
      </c>
      <c r="J236" s="472" t="s">
        <v>278</v>
      </c>
      <c r="K236" s="472" t="s">
        <v>2155</v>
      </c>
      <c r="L236" s="472" t="s">
        <v>438</v>
      </c>
      <c r="M236" s="472" t="s">
        <v>292</v>
      </c>
      <c r="N236" s="473">
        <v>45</v>
      </c>
      <c r="O236" s="473">
        <v>10</v>
      </c>
      <c r="P236" s="472" t="s">
        <v>762</v>
      </c>
      <c r="Q236" s="472" t="s">
        <v>763</v>
      </c>
      <c r="R236" s="474"/>
      <c r="S236" s="474"/>
      <c r="T236" s="474"/>
      <c r="U236" s="475" t="s">
        <v>764</v>
      </c>
      <c r="V236" s="481" t="str">
        <f>CLEAN(TRIM(Table2[[#This Row],[Status]] &amp; "|" &amp; Table2[[#This Row],[Level]] &amp; "|" &amp; Table2[[#This Row],[Participant As]]))</f>
        <v>Juri/Pelatih/Wasit|External Regional|Individual</v>
      </c>
      <c r="W236" s="477">
        <f>IFERROR(INDEX(GradingSimkat[Score], MATCH(Table2[[#This Row],[Criteria]], GradingSimkat[Criteria], 0)), 0)</f>
        <v>0</v>
      </c>
    </row>
    <row r="237" spans="1:23" ht="13.75" customHeight="1">
      <c r="A237" s="482" t="s">
        <v>929</v>
      </c>
      <c r="B237" s="483" t="s">
        <v>930</v>
      </c>
      <c r="C237" s="483" t="s">
        <v>274</v>
      </c>
      <c r="D237" s="484">
        <v>2023</v>
      </c>
      <c r="E237" s="483" t="s">
        <v>361</v>
      </c>
      <c r="F237" s="472" t="s">
        <v>362</v>
      </c>
      <c r="G237" s="472" t="s">
        <v>363</v>
      </c>
      <c r="H237" s="473">
        <v>20231</v>
      </c>
      <c r="I237" s="483" t="s">
        <v>364</v>
      </c>
      <c r="J237" s="472" t="s">
        <v>278</v>
      </c>
      <c r="K237" s="483" t="s">
        <v>279</v>
      </c>
      <c r="L237" s="483" t="s">
        <v>307</v>
      </c>
      <c r="M237" s="483" t="s">
        <v>292</v>
      </c>
      <c r="N237" s="473">
        <v>500</v>
      </c>
      <c r="O237" s="484">
        <v>10</v>
      </c>
      <c r="P237" s="472" t="s">
        <v>365</v>
      </c>
      <c r="Q237" s="483" t="s">
        <v>2186</v>
      </c>
      <c r="R237" s="472" t="s">
        <v>367</v>
      </c>
      <c r="S237" s="474"/>
      <c r="T237" s="474"/>
      <c r="U237" s="475" t="s">
        <v>368</v>
      </c>
      <c r="V237" s="485" t="str">
        <f>CLEAN(TRIM(Table2[[#This Row],[Status]] &amp; "|" &amp; Table2[[#This Row],[Level]] &amp; "|" &amp; Table2[[#This Row],[Participant As]]))</f>
        <v>Narasumber / Pemateri Acara Seminar / Workshop / Pemakalah|External International|Individual</v>
      </c>
      <c r="W237" s="486">
        <f>IFERROR(INDEX(GradingSimkat[Score], MATCH(Table2[[#This Row],[Criteria]], GradingSimkat[Criteria], 0)), 0)</f>
        <v>0</v>
      </c>
    </row>
    <row r="238" spans="1:23" ht="13.75" customHeight="1">
      <c r="A238" s="482" t="s">
        <v>919</v>
      </c>
      <c r="B238" s="483" t="s">
        <v>920</v>
      </c>
      <c r="C238" s="483" t="s">
        <v>274</v>
      </c>
      <c r="D238" s="484">
        <v>2023</v>
      </c>
      <c r="E238" s="483" t="s">
        <v>361</v>
      </c>
      <c r="F238" s="472" t="s">
        <v>362</v>
      </c>
      <c r="G238" s="472" t="s">
        <v>363</v>
      </c>
      <c r="H238" s="473">
        <v>20231</v>
      </c>
      <c r="I238" s="483" t="s">
        <v>364</v>
      </c>
      <c r="J238" s="472" t="s">
        <v>278</v>
      </c>
      <c r="K238" s="483" t="s">
        <v>279</v>
      </c>
      <c r="L238" s="483" t="s">
        <v>307</v>
      </c>
      <c r="M238" s="483" t="s">
        <v>292</v>
      </c>
      <c r="N238" s="473">
        <v>500</v>
      </c>
      <c r="O238" s="484">
        <v>10</v>
      </c>
      <c r="P238" s="472" t="s">
        <v>365</v>
      </c>
      <c r="Q238" s="483" t="s">
        <v>2186</v>
      </c>
      <c r="R238" s="472" t="s">
        <v>367</v>
      </c>
      <c r="S238" s="474"/>
      <c r="T238" s="474"/>
      <c r="U238" s="475" t="s">
        <v>368</v>
      </c>
      <c r="V238" s="485" t="str">
        <f>CLEAN(TRIM(Table2[[#This Row],[Status]] &amp; "|" &amp; Table2[[#This Row],[Level]] &amp; "|" &amp; Table2[[#This Row],[Participant As]]))</f>
        <v>Narasumber / Pemateri Acara Seminar / Workshop / Pemakalah|External International|Individual</v>
      </c>
      <c r="W238" s="486">
        <f>IFERROR(INDEX(GradingSimkat[Score], MATCH(Table2[[#This Row],[Criteria]], GradingSimkat[Criteria], 0)), 0)</f>
        <v>0</v>
      </c>
    </row>
    <row r="239" spans="1:23" ht="13.75" customHeight="1">
      <c r="A239" s="482" t="s">
        <v>1228</v>
      </c>
      <c r="B239" s="483" t="s">
        <v>1229</v>
      </c>
      <c r="C239" s="483" t="s">
        <v>1227</v>
      </c>
      <c r="D239" s="484">
        <v>2020</v>
      </c>
      <c r="E239" s="483" t="s">
        <v>361</v>
      </c>
      <c r="F239" s="472" t="s">
        <v>362</v>
      </c>
      <c r="G239" s="472" t="s">
        <v>363</v>
      </c>
      <c r="H239" s="473">
        <v>20231</v>
      </c>
      <c r="I239" s="483" t="s">
        <v>364</v>
      </c>
      <c r="J239" s="472" t="s">
        <v>278</v>
      </c>
      <c r="K239" s="483" t="s">
        <v>279</v>
      </c>
      <c r="L239" s="483" t="s">
        <v>307</v>
      </c>
      <c r="M239" s="483" t="s">
        <v>292</v>
      </c>
      <c r="N239" s="473">
        <v>500</v>
      </c>
      <c r="O239" s="484">
        <v>10</v>
      </c>
      <c r="P239" s="472" t="s">
        <v>365</v>
      </c>
      <c r="Q239" s="483" t="s">
        <v>2188</v>
      </c>
      <c r="R239" s="472" t="s">
        <v>389</v>
      </c>
      <c r="S239" s="474"/>
      <c r="T239" s="474"/>
      <c r="U239" s="475" t="s">
        <v>368</v>
      </c>
      <c r="V239" s="485" t="str">
        <f>CLEAN(TRIM(Table2[[#This Row],[Status]] &amp; "|" &amp; Table2[[#This Row],[Level]] &amp; "|" &amp; Table2[[#This Row],[Participant As]]))</f>
        <v>Narasumber / Pemateri Acara Seminar / Workshop / Pemakalah|External International|Individual</v>
      </c>
      <c r="W239" s="486">
        <f>IFERROR(INDEX(GradingSimkat[Score], MATCH(Table2[[#This Row],[Criteria]], GradingSimkat[Criteria], 0)), 0)</f>
        <v>0</v>
      </c>
    </row>
    <row r="240" spans="1:23" ht="13.75" customHeight="1">
      <c r="A240" s="482" t="s">
        <v>1107</v>
      </c>
      <c r="B240" s="483" t="s">
        <v>1108</v>
      </c>
      <c r="C240" s="483" t="s">
        <v>986</v>
      </c>
      <c r="D240" s="484">
        <v>2021</v>
      </c>
      <c r="E240" s="483" t="s">
        <v>1109</v>
      </c>
      <c r="F240" s="472" t="s">
        <v>1110</v>
      </c>
      <c r="G240" s="472" t="s">
        <v>1111</v>
      </c>
      <c r="H240" s="473">
        <v>20221</v>
      </c>
      <c r="I240" s="483" t="s">
        <v>1112</v>
      </c>
      <c r="J240" s="472" t="s">
        <v>278</v>
      </c>
      <c r="K240" s="483" t="s">
        <v>2157</v>
      </c>
      <c r="L240" s="483" t="s">
        <v>438</v>
      </c>
      <c r="M240" s="483" t="s">
        <v>292</v>
      </c>
      <c r="N240" s="473">
        <v>1</v>
      </c>
      <c r="O240" s="484">
        <v>10</v>
      </c>
      <c r="P240" s="474"/>
      <c r="Q240" s="483" t="s">
        <v>2224</v>
      </c>
      <c r="R240" s="474"/>
      <c r="S240" s="474"/>
      <c r="T240" s="474"/>
      <c r="U240" s="475" t="s">
        <v>1114</v>
      </c>
      <c r="V240" s="485" t="str">
        <f>CLEAN(TRIM(Table2[[#This Row],[Status]] &amp; "|" &amp; Table2[[#This Row],[Level]] &amp; "|" &amp; Table2[[#This Row],[Participant As]]))</f>
        <v>Pembicara pada pelatihan/seminar/event berskala|External Regional|Individual</v>
      </c>
      <c r="W240" s="486">
        <f>IFERROR(INDEX(GradingSimkat[Score], MATCH(Table2[[#This Row],[Criteria]], GradingSimkat[Criteria], 0)), 0)</f>
        <v>0</v>
      </c>
    </row>
    <row r="241" spans="1:23" ht="13.75" customHeight="1">
      <c r="A241" s="482" t="s">
        <v>1253</v>
      </c>
      <c r="B241" s="483" t="s">
        <v>1254</v>
      </c>
      <c r="C241" s="483" t="s">
        <v>1227</v>
      </c>
      <c r="D241" s="484">
        <v>2021</v>
      </c>
      <c r="E241" s="483" t="s">
        <v>361</v>
      </c>
      <c r="F241" s="472" t="s">
        <v>362</v>
      </c>
      <c r="G241" s="472" t="s">
        <v>363</v>
      </c>
      <c r="H241" s="473">
        <v>20231</v>
      </c>
      <c r="I241" s="483" t="s">
        <v>364</v>
      </c>
      <c r="J241" s="472" t="s">
        <v>278</v>
      </c>
      <c r="K241" s="483" t="s">
        <v>279</v>
      </c>
      <c r="L241" s="483" t="s">
        <v>307</v>
      </c>
      <c r="M241" s="483" t="s">
        <v>292</v>
      </c>
      <c r="N241" s="473">
        <v>500</v>
      </c>
      <c r="O241" s="484">
        <v>10</v>
      </c>
      <c r="P241" s="472" t="s">
        <v>365</v>
      </c>
      <c r="Q241" s="483" t="s">
        <v>2188</v>
      </c>
      <c r="R241" s="472" t="s">
        <v>389</v>
      </c>
      <c r="S241" s="474"/>
      <c r="T241" s="474"/>
      <c r="U241" s="475" t="s">
        <v>368</v>
      </c>
      <c r="V241" s="485" t="str">
        <f>CLEAN(TRIM(Table2[[#This Row],[Status]] &amp; "|" &amp; Table2[[#This Row],[Level]] &amp; "|" &amp; Table2[[#This Row],[Participant As]]))</f>
        <v>Narasumber / Pemateri Acara Seminar / Workshop / Pemakalah|External International|Individual</v>
      </c>
      <c r="W241" s="486">
        <f>IFERROR(INDEX(GradingSimkat[Score], MATCH(Table2[[#This Row],[Criteria]], GradingSimkat[Criteria], 0)), 0)</f>
        <v>0</v>
      </c>
    </row>
    <row r="242" spans="1:23" ht="13.75" customHeight="1">
      <c r="A242" s="482" t="s">
        <v>733</v>
      </c>
      <c r="B242" s="483" t="s">
        <v>734</v>
      </c>
      <c r="C242" s="483" t="s">
        <v>274</v>
      </c>
      <c r="D242" s="484">
        <v>2022</v>
      </c>
      <c r="E242" s="483" t="s">
        <v>361</v>
      </c>
      <c r="F242" s="472" t="s">
        <v>362</v>
      </c>
      <c r="G242" s="472" t="s">
        <v>363</v>
      </c>
      <c r="H242" s="473">
        <v>20231</v>
      </c>
      <c r="I242" s="483" t="s">
        <v>364</v>
      </c>
      <c r="J242" s="472" t="s">
        <v>278</v>
      </c>
      <c r="K242" s="483" t="s">
        <v>279</v>
      </c>
      <c r="L242" s="483" t="s">
        <v>307</v>
      </c>
      <c r="M242" s="483" t="s">
        <v>292</v>
      </c>
      <c r="N242" s="473">
        <v>500</v>
      </c>
      <c r="O242" s="484">
        <v>10</v>
      </c>
      <c r="P242" s="472" t="s">
        <v>365</v>
      </c>
      <c r="Q242" s="483" t="s">
        <v>2186</v>
      </c>
      <c r="R242" s="472" t="s">
        <v>367</v>
      </c>
      <c r="S242" s="474"/>
      <c r="T242" s="474"/>
      <c r="U242" s="475" t="s">
        <v>368</v>
      </c>
      <c r="V242" s="485" t="str">
        <f>CLEAN(TRIM(Table2[[#This Row],[Status]] &amp; "|" &amp; Table2[[#This Row],[Level]] &amp; "|" &amp; Table2[[#This Row],[Participant As]]))</f>
        <v>Narasumber / Pemateri Acara Seminar / Workshop / Pemakalah|External International|Individual</v>
      </c>
      <c r="W242" s="486">
        <f>IFERROR(INDEX(GradingSimkat[Score], MATCH(Table2[[#This Row],[Criteria]], GradingSimkat[Criteria], 0)), 0)</f>
        <v>0</v>
      </c>
    </row>
    <row r="243" spans="1:23" ht="13.75" customHeight="1">
      <c r="A243" s="482" t="s">
        <v>1795</v>
      </c>
      <c r="B243" s="483" t="s">
        <v>1796</v>
      </c>
      <c r="C243" s="483" t="s">
        <v>1794</v>
      </c>
      <c r="D243" s="484">
        <v>2020</v>
      </c>
      <c r="E243" s="483" t="s">
        <v>1797</v>
      </c>
      <c r="F243" s="472" t="s">
        <v>1798</v>
      </c>
      <c r="G243" s="472" t="s">
        <v>1799</v>
      </c>
      <c r="H243" s="473">
        <v>20221</v>
      </c>
      <c r="I243" s="483" t="s">
        <v>1800</v>
      </c>
      <c r="J243" s="472" t="s">
        <v>278</v>
      </c>
      <c r="K243" s="483" t="s">
        <v>279</v>
      </c>
      <c r="L243" s="483" t="s">
        <v>291</v>
      </c>
      <c r="M243" s="483" t="s">
        <v>292</v>
      </c>
      <c r="N243" s="473">
        <v>30</v>
      </c>
      <c r="O243" s="484">
        <v>5</v>
      </c>
      <c r="P243" s="474"/>
      <c r="Q243" s="483" t="s">
        <v>2273</v>
      </c>
      <c r="R243" s="472" t="s">
        <v>1802</v>
      </c>
      <c r="S243" s="474"/>
      <c r="T243" s="474"/>
      <c r="U243" s="475" t="s">
        <v>408</v>
      </c>
      <c r="V243" s="485" t="str">
        <f>CLEAN(TRIM(Table2[[#This Row],[Status]] &amp; "|" &amp; Table2[[#This Row],[Level]] &amp; "|" &amp; Table2[[#This Row],[Participant As]]))</f>
        <v>Narasumber / Pemateri Acara Seminar / Workshop / Pemakalah|Internal Sekolah / Universitas|Individual</v>
      </c>
      <c r="W243" s="486">
        <f>IFERROR(INDEX(GradingSimkat[Score], MATCH(Table2[[#This Row],[Criteria]], GradingSimkat[Criteria], 0)), 0)</f>
        <v>0</v>
      </c>
    </row>
    <row r="244" spans="1:23" ht="13.75" customHeight="1">
      <c r="A244" s="482" t="s">
        <v>1795</v>
      </c>
      <c r="B244" s="483" t="s">
        <v>1796</v>
      </c>
      <c r="C244" s="483" t="s">
        <v>1794</v>
      </c>
      <c r="D244" s="484">
        <v>2020</v>
      </c>
      <c r="E244" s="483" t="s">
        <v>1803</v>
      </c>
      <c r="F244" s="472" t="s">
        <v>1804</v>
      </c>
      <c r="G244" s="472" t="s">
        <v>1805</v>
      </c>
      <c r="H244" s="473">
        <v>20222</v>
      </c>
      <c r="I244" s="483" t="s">
        <v>1803</v>
      </c>
      <c r="J244" s="472" t="s">
        <v>1806</v>
      </c>
      <c r="K244" s="483" t="s">
        <v>279</v>
      </c>
      <c r="L244" s="483" t="s">
        <v>291</v>
      </c>
      <c r="M244" s="483" t="s">
        <v>292</v>
      </c>
      <c r="N244" s="473">
        <v>15</v>
      </c>
      <c r="O244" s="484">
        <v>5</v>
      </c>
      <c r="P244" s="474"/>
      <c r="Q244" s="483" t="s">
        <v>2274</v>
      </c>
      <c r="R244" s="472" t="s">
        <v>1808</v>
      </c>
      <c r="S244" s="474"/>
      <c r="T244" s="474"/>
      <c r="U244" s="475" t="s">
        <v>408</v>
      </c>
      <c r="V244" s="485" t="str">
        <f>CLEAN(TRIM(Table2[[#This Row],[Status]] &amp; "|" &amp; Table2[[#This Row],[Level]] &amp; "|" &amp; Table2[[#This Row],[Participant As]]))</f>
        <v>Narasumber / Pemateri Acara Seminar / Workshop / Pemakalah|Internal Sekolah / Universitas|Individual</v>
      </c>
      <c r="W244" s="486">
        <f>IFERROR(INDEX(GradingSimkat[Score], MATCH(Table2[[#This Row],[Criteria]], GradingSimkat[Criteria], 0)), 0)</f>
        <v>0</v>
      </c>
    </row>
    <row r="245" spans="1:23" ht="13.75" customHeight="1">
      <c r="A245" s="482" t="s">
        <v>1753</v>
      </c>
      <c r="B245" s="483" t="s">
        <v>1754</v>
      </c>
      <c r="C245" s="483" t="s">
        <v>1684</v>
      </c>
      <c r="D245" s="484">
        <v>2021</v>
      </c>
      <c r="E245" s="483" t="s">
        <v>361</v>
      </c>
      <c r="F245" s="472" t="s">
        <v>362</v>
      </c>
      <c r="G245" s="472" t="s">
        <v>363</v>
      </c>
      <c r="H245" s="473">
        <v>20231</v>
      </c>
      <c r="I245" s="483" t="s">
        <v>364</v>
      </c>
      <c r="J245" s="472" t="s">
        <v>278</v>
      </c>
      <c r="K245" s="483" t="s">
        <v>279</v>
      </c>
      <c r="L245" s="483" t="s">
        <v>307</v>
      </c>
      <c r="M245" s="483" t="s">
        <v>292</v>
      </c>
      <c r="N245" s="473">
        <v>500</v>
      </c>
      <c r="O245" s="484">
        <v>10</v>
      </c>
      <c r="P245" s="472" t="s">
        <v>365</v>
      </c>
      <c r="Q245" s="483" t="s">
        <v>2188</v>
      </c>
      <c r="R245" s="472" t="s">
        <v>389</v>
      </c>
      <c r="S245" s="474"/>
      <c r="T245" s="474"/>
      <c r="U245" s="475" t="s">
        <v>368</v>
      </c>
      <c r="V245" s="485" t="str">
        <f>CLEAN(TRIM(Table2[[#This Row],[Status]] &amp; "|" &amp; Table2[[#This Row],[Level]] &amp; "|" &amp; Table2[[#This Row],[Participant As]]))</f>
        <v>Narasumber / Pemateri Acara Seminar / Workshop / Pemakalah|External International|Individual</v>
      </c>
      <c r="W245" s="486">
        <f>IFERROR(INDEX(GradingSimkat[Score], MATCH(Table2[[#This Row],[Criteria]], GradingSimkat[Criteria], 0)), 0)</f>
        <v>0</v>
      </c>
    </row>
    <row r="246" spans="1:23" ht="13.75" customHeight="1">
      <c r="A246" s="482" t="s">
        <v>705</v>
      </c>
      <c r="B246" s="483" t="s">
        <v>706</v>
      </c>
      <c r="C246" s="483" t="s">
        <v>274</v>
      </c>
      <c r="D246" s="484">
        <v>2022</v>
      </c>
      <c r="E246" s="483" t="s">
        <v>361</v>
      </c>
      <c r="F246" s="472" t="s">
        <v>362</v>
      </c>
      <c r="G246" s="472" t="s">
        <v>363</v>
      </c>
      <c r="H246" s="473">
        <v>20231</v>
      </c>
      <c r="I246" s="483" t="s">
        <v>364</v>
      </c>
      <c r="J246" s="472" t="s">
        <v>278</v>
      </c>
      <c r="K246" s="483" t="s">
        <v>279</v>
      </c>
      <c r="L246" s="483" t="s">
        <v>307</v>
      </c>
      <c r="M246" s="483" t="s">
        <v>292</v>
      </c>
      <c r="N246" s="473">
        <v>500</v>
      </c>
      <c r="O246" s="484">
        <v>10</v>
      </c>
      <c r="P246" s="472" t="s">
        <v>365</v>
      </c>
      <c r="Q246" s="483" t="s">
        <v>2186</v>
      </c>
      <c r="R246" s="472" t="s">
        <v>367</v>
      </c>
      <c r="S246" s="474"/>
      <c r="T246" s="474"/>
      <c r="U246" s="475" t="s">
        <v>368</v>
      </c>
      <c r="V246" s="485" t="str">
        <f>CLEAN(TRIM(Table2[[#This Row],[Status]] &amp; "|" &amp; Table2[[#This Row],[Level]] &amp; "|" &amp; Table2[[#This Row],[Participant As]]))</f>
        <v>Narasumber / Pemateri Acara Seminar / Workshop / Pemakalah|External International|Individual</v>
      </c>
      <c r="W246" s="486">
        <f>IFERROR(INDEX(GradingSimkat[Score], MATCH(Table2[[#This Row],[Criteria]], GradingSimkat[Criteria], 0)), 0)</f>
        <v>0</v>
      </c>
    </row>
    <row r="247" spans="1:23" ht="13.75" customHeight="1">
      <c r="A247" s="471" t="s">
        <v>1815</v>
      </c>
      <c r="B247" s="472" t="s">
        <v>1816</v>
      </c>
      <c r="C247" s="472" t="s">
        <v>1794</v>
      </c>
      <c r="D247" s="473">
        <v>2020</v>
      </c>
      <c r="E247" s="472" t="s">
        <v>1817</v>
      </c>
      <c r="F247" s="472" t="s">
        <v>1818</v>
      </c>
      <c r="G247" s="472" t="s">
        <v>1819</v>
      </c>
      <c r="H247" s="473">
        <v>20221</v>
      </c>
      <c r="I247" s="472" t="s">
        <v>1820</v>
      </c>
      <c r="J247" s="472" t="s">
        <v>278</v>
      </c>
      <c r="K247" s="472" t="s">
        <v>2160</v>
      </c>
      <c r="L247" s="472" t="s">
        <v>307</v>
      </c>
      <c r="M247" s="472" t="s">
        <v>281</v>
      </c>
      <c r="N247" s="473">
        <v>2</v>
      </c>
      <c r="O247" s="473">
        <v>60</v>
      </c>
      <c r="P247" s="472" t="s">
        <v>1821</v>
      </c>
      <c r="Q247" s="472" t="s">
        <v>1822</v>
      </c>
      <c r="R247" s="474"/>
      <c r="S247" s="474"/>
      <c r="T247" s="474"/>
      <c r="U247" s="475" t="s">
        <v>1823</v>
      </c>
      <c r="V247" s="481" t="str">
        <f>CLEAN(TRIM(Table2[[#This Row],[Status]] &amp; "|" &amp; Table2[[#This Row],[Level]] &amp; "|" &amp; Table2[[#This Row],[Participant As]]))</f>
        <v>Penulis pertama pada jurnal internasional bereputasi atau jurnal nasional terindeks SINTA 1 dan 2|External International|Team</v>
      </c>
      <c r="W247" s="477">
        <f>IFERROR(INDEX(GradingSimkat[Score], MATCH(Table2[[#This Row],[Criteria]], GradingSimkat[Criteria], 0)), 0)</f>
        <v>5</v>
      </c>
    </row>
    <row r="248" spans="1:23" ht="13.75" customHeight="1">
      <c r="A248" s="482" t="s">
        <v>1570</v>
      </c>
      <c r="B248" s="483" t="s">
        <v>1571</v>
      </c>
      <c r="C248" s="483" t="s">
        <v>1559</v>
      </c>
      <c r="D248" s="484">
        <v>2020</v>
      </c>
      <c r="E248" s="483" t="s">
        <v>361</v>
      </c>
      <c r="F248" s="472" t="s">
        <v>362</v>
      </c>
      <c r="G248" s="472" t="s">
        <v>363</v>
      </c>
      <c r="H248" s="473">
        <v>20231</v>
      </c>
      <c r="I248" s="483" t="s">
        <v>364</v>
      </c>
      <c r="J248" s="472" t="s">
        <v>278</v>
      </c>
      <c r="K248" s="483" t="s">
        <v>279</v>
      </c>
      <c r="L248" s="483" t="s">
        <v>307</v>
      </c>
      <c r="M248" s="483" t="s">
        <v>292</v>
      </c>
      <c r="N248" s="473">
        <v>500</v>
      </c>
      <c r="O248" s="484">
        <v>10</v>
      </c>
      <c r="P248" s="472" t="s">
        <v>365</v>
      </c>
      <c r="Q248" s="483" t="s">
        <v>2188</v>
      </c>
      <c r="R248" s="472" t="s">
        <v>389</v>
      </c>
      <c r="S248" s="474"/>
      <c r="T248" s="474"/>
      <c r="U248" s="475" t="s">
        <v>368</v>
      </c>
      <c r="V248" s="485" t="str">
        <f>CLEAN(TRIM(Table2[[#This Row],[Status]] &amp; "|" &amp; Table2[[#This Row],[Level]] &amp; "|" &amp; Table2[[#This Row],[Participant As]]))</f>
        <v>Narasumber / Pemateri Acara Seminar / Workshop / Pemakalah|External International|Individual</v>
      </c>
      <c r="W248" s="486">
        <f>IFERROR(INDEX(GradingSimkat[Score], MATCH(Table2[[#This Row],[Criteria]], GradingSimkat[Criteria], 0)), 0)</f>
        <v>0</v>
      </c>
    </row>
    <row r="249" spans="1:23" ht="13.75" customHeight="1">
      <c r="A249" s="482" t="s">
        <v>1470</v>
      </c>
      <c r="B249" s="483" t="s">
        <v>1471</v>
      </c>
      <c r="C249" s="483" t="s">
        <v>1444</v>
      </c>
      <c r="D249" s="484">
        <v>2019</v>
      </c>
      <c r="E249" s="483" t="s">
        <v>361</v>
      </c>
      <c r="F249" s="472" t="s">
        <v>362</v>
      </c>
      <c r="G249" s="472" t="s">
        <v>363</v>
      </c>
      <c r="H249" s="473">
        <v>20231</v>
      </c>
      <c r="I249" s="483" t="s">
        <v>364</v>
      </c>
      <c r="J249" s="472" t="s">
        <v>278</v>
      </c>
      <c r="K249" s="483" t="s">
        <v>279</v>
      </c>
      <c r="L249" s="483" t="s">
        <v>307</v>
      </c>
      <c r="M249" s="483" t="s">
        <v>292</v>
      </c>
      <c r="N249" s="473">
        <v>500</v>
      </c>
      <c r="O249" s="484">
        <v>10</v>
      </c>
      <c r="P249" s="472" t="s">
        <v>365</v>
      </c>
      <c r="Q249" s="483" t="s">
        <v>2188</v>
      </c>
      <c r="R249" s="472" t="s">
        <v>389</v>
      </c>
      <c r="S249" s="474"/>
      <c r="T249" s="474"/>
      <c r="U249" s="475" t="s">
        <v>368</v>
      </c>
      <c r="V249" s="485" t="str">
        <f>CLEAN(TRIM(Table2[[#This Row],[Status]] &amp; "|" &amp; Table2[[#This Row],[Level]] &amp; "|" &amp; Table2[[#This Row],[Participant As]]))</f>
        <v>Narasumber / Pemateri Acara Seminar / Workshop / Pemakalah|External International|Individual</v>
      </c>
      <c r="W249" s="486">
        <f>IFERROR(INDEX(GradingSimkat[Score], MATCH(Table2[[#This Row],[Criteria]], GradingSimkat[Criteria], 0)), 0)</f>
        <v>0</v>
      </c>
    </row>
    <row r="250" spans="1:23" ht="13.75" customHeight="1">
      <c r="A250" s="482" t="s">
        <v>1342</v>
      </c>
      <c r="B250" s="483" t="s">
        <v>1343</v>
      </c>
      <c r="C250" s="483" t="s">
        <v>1304</v>
      </c>
      <c r="D250" s="484">
        <v>2020</v>
      </c>
      <c r="E250" s="483" t="s">
        <v>361</v>
      </c>
      <c r="F250" s="472" t="s">
        <v>362</v>
      </c>
      <c r="G250" s="472" t="s">
        <v>363</v>
      </c>
      <c r="H250" s="473">
        <v>20231</v>
      </c>
      <c r="I250" s="483" t="s">
        <v>364</v>
      </c>
      <c r="J250" s="472" t="s">
        <v>278</v>
      </c>
      <c r="K250" s="483" t="s">
        <v>279</v>
      </c>
      <c r="L250" s="483" t="s">
        <v>307</v>
      </c>
      <c r="M250" s="483" t="s">
        <v>292</v>
      </c>
      <c r="N250" s="473">
        <v>500</v>
      </c>
      <c r="O250" s="484">
        <v>10</v>
      </c>
      <c r="P250" s="472" t="s">
        <v>365</v>
      </c>
      <c r="Q250" s="483" t="s">
        <v>2188</v>
      </c>
      <c r="R250" s="472" t="s">
        <v>389</v>
      </c>
      <c r="S250" s="474"/>
      <c r="T250" s="474"/>
      <c r="U250" s="475" t="s">
        <v>368</v>
      </c>
      <c r="V250" s="485" t="str">
        <f>CLEAN(TRIM(Table2[[#This Row],[Status]] &amp; "|" &amp; Table2[[#This Row],[Level]] &amp; "|" &amp; Table2[[#This Row],[Participant As]]))</f>
        <v>Narasumber / Pemateri Acara Seminar / Workshop / Pemakalah|External International|Individual</v>
      </c>
      <c r="W250" s="486">
        <f>IFERROR(INDEX(GradingSimkat[Score], MATCH(Table2[[#This Row],[Criteria]], GradingSimkat[Criteria], 0)), 0)</f>
        <v>0</v>
      </c>
    </row>
    <row r="251" spans="1:23" ht="13.75" customHeight="1">
      <c r="A251" s="471" t="s">
        <v>1574</v>
      </c>
      <c r="B251" s="472" t="s">
        <v>1575</v>
      </c>
      <c r="C251" s="472" t="s">
        <v>1559</v>
      </c>
      <c r="D251" s="473">
        <v>2020</v>
      </c>
      <c r="E251" s="472" t="s">
        <v>1576</v>
      </c>
      <c r="F251" s="472" t="s">
        <v>1577</v>
      </c>
      <c r="G251" s="472" t="s">
        <v>1578</v>
      </c>
      <c r="H251" s="473">
        <v>20212</v>
      </c>
      <c r="I251" s="472" t="s">
        <v>1579</v>
      </c>
      <c r="J251" s="472" t="s">
        <v>278</v>
      </c>
      <c r="K251" s="472" t="s">
        <v>2160</v>
      </c>
      <c r="L251" s="472" t="s">
        <v>307</v>
      </c>
      <c r="M251" s="472" t="s">
        <v>281</v>
      </c>
      <c r="N251" s="473">
        <v>3</v>
      </c>
      <c r="O251" s="473">
        <v>20</v>
      </c>
      <c r="P251" s="472" t="s">
        <v>1580</v>
      </c>
      <c r="Q251" s="472" t="s">
        <v>1581</v>
      </c>
      <c r="R251" s="474"/>
      <c r="S251" s="474"/>
      <c r="T251" s="474"/>
      <c r="U251" s="475" t="s">
        <v>1582</v>
      </c>
      <c r="V251" s="481" t="str">
        <f>CLEAN(TRIM(Table2[[#This Row],[Status]] &amp; "|" &amp; Table2[[#This Row],[Level]] &amp; "|" &amp; Table2[[#This Row],[Participant As]]))</f>
        <v>Penulis pertama pada jurnal internasional bereputasi atau jurnal nasional terindeks SINTA 1 dan 2|External International|Team</v>
      </c>
      <c r="W251" s="477">
        <f>IFERROR(INDEX(GradingSimkat[Score], MATCH(Table2[[#This Row],[Criteria]], GradingSimkat[Criteria], 0)), 0)</f>
        <v>5</v>
      </c>
    </row>
    <row r="252" spans="1:23" ht="13.75" customHeight="1">
      <c r="A252" s="482" t="s">
        <v>719</v>
      </c>
      <c r="B252" s="483" t="s">
        <v>720</v>
      </c>
      <c r="C252" s="483" t="s">
        <v>274</v>
      </c>
      <c r="D252" s="484">
        <v>2022</v>
      </c>
      <c r="E252" s="483" t="s">
        <v>361</v>
      </c>
      <c r="F252" s="472" t="s">
        <v>362</v>
      </c>
      <c r="G252" s="472" t="s">
        <v>363</v>
      </c>
      <c r="H252" s="473">
        <v>20231</v>
      </c>
      <c r="I252" s="483" t="s">
        <v>364</v>
      </c>
      <c r="J252" s="472" t="s">
        <v>278</v>
      </c>
      <c r="K252" s="483" t="s">
        <v>279</v>
      </c>
      <c r="L252" s="483" t="s">
        <v>307</v>
      </c>
      <c r="M252" s="483" t="s">
        <v>292</v>
      </c>
      <c r="N252" s="473">
        <v>500</v>
      </c>
      <c r="O252" s="484">
        <v>10</v>
      </c>
      <c r="P252" s="472" t="s">
        <v>365</v>
      </c>
      <c r="Q252" s="483" t="s">
        <v>2186</v>
      </c>
      <c r="R252" s="472" t="s">
        <v>367</v>
      </c>
      <c r="S252" s="474"/>
      <c r="T252" s="474"/>
      <c r="U252" s="475" t="s">
        <v>368</v>
      </c>
      <c r="V252" s="485" t="str">
        <f>CLEAN(TRIM(Table2[[#This Row],[Status]] &amp; "|" &amp; Table2[[#This Row],[Level]] &amp; "|" &amp; Table2[[#This Row],[Participant As]]))</f>
        <v>Narasumber / Pemateri Acara Seminar / Workshop / Pemakalah|External International|Individual</v>
      </c>
      <c r="W252" s="486">
        <f>IFERROR(INDEX(GradingSimkat[Score], MATCH(Table2[[#This Row],[Criteria]], GradingSimkat[Criteria], 0)), 0)</f>
        <v>0</v>
      </c>
    </row>
    <row r="253" spans="1:23" ht="13.75" customHeight="1">
      <c r="A253" s="482" t="s">
        <v>1714</v>
      </c>
      <c r="B253" s="483" t="s">
        <v>1715</v>
      </c>
      <c r="C253" s="483" t="s">
        <v>1684</v>
      </c>
      <c r="D253" s="484">
        <v>2020</v>
      </c>
      <c r="E253" s="483" t="s">
        <v>361</v>
      </c>
      <c r="F253" s="472" t="s">
        <v>362</v>
      </c>
      <c r="G253" s="472" t="s">
        <v>363</v>
      </c>
      <c r="H253" s="473">
        <v>20231</v>
      </c>
      <c r="I253" s="483" t="s">
        <v>364</v>
      </c>
      <c r="J253" s="472" t="s">
        <v>278</v>
      </c>
      <c r="K253" s="483" t="s">
        <v>279</v>
      </c>
      <c r="L253" s="483" t="s">
        <v>307</v>
      </c>
      <c r="M253" s="483" t="s">
        <v>292</v>
      </c>
      <c r="N253" s="473">
        <v>500</v>
      </c>
      <c r="O253" s="484">
        <v>10</v>
      </c>
      <c r="P253" s="472" t="s">
        <v>365</v>
      </c>
      <c r="Q253" s="483" t="s">
        <v>2188</v>
      </c>
      <c r="R253" s="472" t="s">
        <v>389</v>
      </c>
      <c r="S253" s="474"/>
      <c r="T253" s="474"/>
      <c r="U253" s="475" t="s">
        <v>368</v>
      </c>
      <c r="V253" s="485" t="str">
        <f>CLEAN(TRIM(Table2[[#This Row],[Status]] &amp; "|" &amp; Table2[[#This Row],[Level]] &amp; "|" &amp; Table2[[#This Row],[Participant As]]))</f>
        <v>Narasumber / Pemateri Acara Seminar / Workshop / Pemakalah|External International|Individual</v>
      </c>
      <c r="W253" s="486">
        <f>IFERROR(INDEX(GradingSimkat[Score], MATCH(Table2[[#This Row],[Criteria]], GradingSimkat[Criteria], 0)), 0)</f>
        <v>0</v>
      </c>
    </row>
    <row r="254" spans="1:23" ht="13.75" customHeight="1">
      <c r="A254" s="471" t="s">
        <v>1430</v>
      </c>
      <c r="B254" s="472" t="s">
        <v>1431</v>
      </c>
      <c r="C254" s="472" t="s">
        <v>1407</v>
      </c>
      <c r="D254" s="473">
        <v>2021</v>
      </c>
      <c r="E254" s="472" t="s">
        <v>505</v>
      </c>
      <c r="F254" s="472" t="s">
        <v>506</v>
      </c>
      <c r="G254" s="472" t="s">
        <v>506</v>
      </c>
      <c r="H254" s="473">
        <v>20231</v>
      </c>
      <c r="I254" s="474"/>
      <c r="J254" s="472" t="s">
        <v>278</v>
      </c>
      <c r="K254" s="472" t="s">
        <v>2155</v>
      </c>
      <c r="L254" s="472" t="s">
        <v>291</v>
      </c>
      <c r="M254" s="472" t="s">
        <v>292</v>
      </c>
      <c r="N254" s="473">
        <v>50</v>
      </c>
      <c r="O254" s="473">
        <v>4</v>
      </c>
      <c r="P254" s="474"/>
      <c r="Q254" s="472" t="s">
        <v>507</v>
      </c>
      <c r="R254" s="472" t="s">
        <v>508</v>
      </c>
      <c r="S254" s="474"/>
      <c r="T254" s="474"/>
      <c r="U254" s="475" t="s">
        <v>440</v>
      </c>
      <c r="V254" s="481" t="str">
        <f>CLEAN(TRIM(Table2[[#This Row],[Status]] &amp; "|" &amp; Table2[[#This Row],[Level]] &amp; "|" &amp; Table2[[#This Row],[Participant As]]))</f>
        <v>Juri/Pelatih/Wasit|Internal Sekolah / Universitas|Individual</v>
      </c>
      <c r="W254" s="477">
        <f>IFERROR(INDEX(GradingSimkat[Score], MATCH(Table2[[#This Row],[Criteria]], GradingSimkat[Criteria], 0)), 0)</f>
        <v>0</v>
      </c>
    </row>
    <row r="255" spans="1:23" ht="13.75" customHeight="1">
      <c r="A255" s="482" t="s">
        <v>819</v>
      </c>
      <c r="B255" s="483" t="s">
        <v>820</v>
      </c>
      <c r="C255" s="483" t="s">
        <v>274</v>
      </c>
      <c r="D255" s="484">
        <v>2023</v>
      </c>
      <c r="E255" s="483" t="s">
        <v>361</v>
      </c>
      <c r="F255" s="472" t="s">
        <v>362</v>
      </c>
      <c r="G255" s="472" t="s">
        <v>363</v>
      </c>
      <c r="H255" s="473">
        <v>20231</v>
      </c>
      <c r="I255" s="483" t="s">
        <v>364</v>
      </c>
      <c r="J255" s="472" t="s">
        <v>278</v>
      </c>
      <c r="K255" s="483" t="s">
        <v>279</v>
      </c>
      <c r="L255" s="483" t="s">
        <v>307</v>
      </c>
      <c r="M255" s="483" t="s">
        <v>292</v>
      </c>
      <c r="N255" s="473">
        <v>500</v>
      </c>
      <c r="O255" s="484">
        <v>10</v>
      </c>
      <c r="P255" s="472" t="s">
        <v>365</v>
      </c>
      <c r="Q255" s="483" t="s">
        <v>2186</v>
      </c>
      <c r="R255" s="472" t="s">
        <v>367</v>
      </c>
      <c r="S255" s="474"/>
      <c r="T255" s="474"/>
      <c r="U255" s="475" t="s">
        <v>368</v>
      </c>
      <c r="V255" s="485" t="str">
        <f>CLEAN(TRIM(Table2[[#This Row],[Status]] &amp; "|" &amp; Table2[[#This Row],[Level]] &amp; "|" &amp; Table2[[#This Row],[Participant As]]))</f>
        <v>Narasumber / Pemateri Acara Seminar / Workshop / Pemakalah|External International|Individual</v>
      </c>
      <c r="W255" s="486">
        <f>IFERROR(INDEX(GradingSimkat[Score], MATCH(Table2[[#This Row],[Criteria]], GradingSimkat[Criteria], 0)), 0)</f>
        <v>0</v>
      </c>
    </row>
    <row r="256" spans="1:23" ht="13.75" customHeight="1">
      <c r="A256" s="482" t="s">
        <v>799</v>
      </c>
      <c r="B256" s="483" t="s">
        <v>800</v>
      </c>
      <c r="C256" s="483" t="s">
        <v>274</v>
      </c>
      <c r="D256" s="484">
        <v>2023</v>
      </c>
      <c r="E256" s="483" t="s">
        <v>361</v>
      </c>
      <c r="F256" s="472" t="s">
        <v>362</v>
      </c>
      <c r="G256" s="472" t="s">
        <v>363</v>
      </c>
      <c r="H256" s="473">
        <v>20231</v>
      </c>
      <c r="I256" s="483" t="s">
        <v>364</v>
      </c>
      <c r="J256" s="472" t="s">
        <v>278</v>
      </c>
      <c r="K256" s="483" t="s">
        <v>279</v>
      </c>
      <c r="L256" s="483" t="s">
        <v>307</v>
      </c>
      <c r="M256" s="483" t="s">
        <v>292</v>
      </c>
      <c r="N256" s="473">
        <v>500</v>
      </c>
      <c r="O256" s="484">
        <v>10</v>
      </c>
      <c r="P256" s="472" t="s">
        <v>365</v>
      </c>
      <c r="Q256" s="483" t="s">
        <v>2186</v>
      </c>
      <c r="R256" s="472" t="s">
        <v>367</v>
      </c>
      <c r="S256" s="474"/>
      <c r="T256" s="474"/>
      <c r="U256" s="475" t="s">
        <v>368</v>
      </c>
      <c r="V256" s="485" t="str">
        <f>CLEAN(TRIM(Table2[[#This Row],[Status]] &amp; "|" &amp; Table2[[#This Row],[Level]] &amp; "|" &amp; Table2[[#This Row],[Participant As]]))</f>
        <v>Narasumber / Pemateri Acara Seminar / Workshop / Pemakalah|External International|Individual</v>
      </c>
      <c r="W256" s="486">
        <f>IFERROR(INDEX(GradingSimkat[Score], MATCH(Table2[[#This Row],[Criteria]], GradingSimkat[Criteria], 0)), 0)</f>
        <v>0</v>
      </c>
    </row>
    <row r="257" spans="1:23" s="478" customFormat="1" ht="13.75" customHeight="1">
      <c r="A257" s="482" t="s">
        <v>825</v>
      </c>
      <c r="B257" s="483" t="s">
        <v>826</v>
      </c>
      <c r="C257" s="483" t="s">
        <v>274</v>
      </c>
      <c r="D257" s="484">
        <v>2023</v>
      </c>
      <c r="E257" s="483" t="s">
        <v>361</v>
      </c>
      <c r="F257" s="472" t="s">
        <v>362</v>
      </c>
      <c r="G257" s="472" t="s">
        <v>363</v>
      </c>
      <c r="H257" s="473">
        <v>20231</v>
      </c>
      <c r="I257" s="483" t="s">
        <v>364</v>
      </c>
      <c r="J257" s="472" t="s">
        <v>278</v>
      </c>
      <c r="K257" s="483" t="s">
        <v>279</v>
      </c>
      <c r="L257" s="483" t="s">
        <v>307</v>
      </c>
      <c r="M257" s="483" t="s">
        <v>292</v>
      </c>
      <c r="N257" s="473">
        <v>500</v>
      </c>
      <c r="O257" s="484">
        <v>10</v>
      </c>
      <c r="P257" s="472" t="s">
        <v>365</v>
      </c>
      <c r="Q257" s="483" t="s">
        <v>2186</v>
      </c>
      <c r="R257" s="472" t="s">
        <v>367</v>
      </c>
      <c r="S257" s="474"/>
      <c r="T257" s="474"/>
      <c r="U257" s="475" t="s">
        <v>368</v>
      </c>
      <c r="V257" s="485" t="str">
        <f>CLEAN(TRIM(Table2[[#This Row],[Status]] &amp; "|" &amp; Table2[[#This Row],[Level]] &amp; "|" &amp; Table2[[#This Row],[Participant As]]))</f>
        <v>Narasumber / Pemateri Acara Seminar / Workshop / Pemakalah|External International|Individual</v>
      </c>
      <c r="W257" s="486">
        <f>IFERROR(INDEX(GradingSimkat[Score], MATCH(Table2[[#This Row],[Criteria]], GradingSimkat[Criteria], 0)), 0)</f>
        <v>0</v>
      </c>
    </row>
    <row r="258" spans="1:23" s="478" customFormat="1" ht="13.75" customHeight="1">
      <c r="A258" s="482" t="s">
        <v>1718</v>
      </c>
      <c r="B258" s="483" t="s">
        <v>1719</v>
      </c>
      <c r="C258" s="483" t="s">
        <v>1684</v>
      </c>
      <c r="D258" s="484">
        <v>2020</v>
      </c>
      <c r="E258" s="483" t="s">
        <v>361</v>
      </c>
      <c r="F258" s="472" t="s">
        <v>362</v>
      </c>
      <c r="G258" s="472" t="s">
        <v>363</v>
      </c>
      <c r="H258" s="473">
        <v>20231</v>
      </c>
      <c r="I258" s="483" t="s">
        <v>364</v>
      </c>
      <c r="J258" s="472" t="s">
        <v>278</v>
      </c>
      <c r="K258" s="483" t="s">
        <v>279</v>
      </c>
      <c r="L258" s="483" t="s">
        <v>307</v>
      </c>
      <c r="M258" s="483" t="s">
        <v>292</v>
      </c>
      <c r="N258" s="473">
        <v>500</v>
      </c>
      <c r="O258" s="484">
        <v>10</v>
      </c>
      <c r="P258" s="472" t="s">
        <v>365</v>
      </c>
      <c r="Q258" s="483" t="s">
        <v>2188</v>
      </c>
      <c r="R258" s="472" t="s">
        <v>389</v>
      </c>
      <c r="S258" s="474"/>
      <c r="T258" s="474"/>
      <c r="U258" s="475" t="s">
        <v>368</v>
      </c>
      <c r="V258" s="485" t="str">
        <f>CLEAN(TRIM(Table2[[#This Row],[Status]] &amp; "|" &amp; Table2[[#This Row],[Level]] &amp; "|" &amp; Table2[[#This Row],[Participant As]]))</f>
        <v>Narasumber / Pemateri Acara Seminar / Workshop / Pemakalah|External International|Individual</v>
      </c>
      <c r="W258" s="486">
        <f>IFERROR(INDEX(GradingSimkat[Score], MATCH(Table2[[#This Row],[Criteria]], GradingSimkat[Criteria], 0)), 0)</f>
        <v>0</v>
      </c>
    </row>
    <row r="259" spans="1:23" s="478" customFormat="1" ht="13.75" customHeight="1">
      <c r="A259" s="482" t="s">
        <v>869</v>
      </c>
      <c r="B259" s="483" t="s">
        <v>870</v>
      </c>
      <c r="C259" s="483" t="s">
        <v>274</v>
      </c>
      <c r="D259" s="484">
        <v>2023</v>
      </c>
      <c r="E259" s="483" t="s">
        <v>361</v>
      </c>
      <c r="F259" s="472" t="s">
        <v>362</v>
      </c>
      <c r="G259" s="472" t="s">
        <v>363</v>
      </c>
      <c r="H259" s="473">
        <v>20231</v>
      </c>
      <c r="I259" s="483" t="s">
        <v>364</v>
      </c>
      <c r="J259" s="472" t="s">
        <v>278</v>
      </c>
      <c r="K259" s="483" t="s">
        <v>279</v>
      </c>
      <c r="L259" s="483" t="s">
        <v>307</v>
      </c>
      <c r="M259" s="483" t="s">
        <v>292</v>
      </c>
      <c r="N259" s="473">
        <v>500</v>
      </c>
      <c r="O259" s="484">
        <v>10</v>
      </c>
      <c r="P259" s="472" t="s">
        <v>365</v>
      </c>
      <c r="Q259" s="483" t="s">
        <v>2186</v>
      </c>
      <c r="R259" s="472" t="s">
        <v>367</v>
      </c>
      <c r="S259" s="474"/>
      <c r="T259" s="474"/>
      <c r="U259" s="475" t="s">
        <v>368</v>
      </c>
      <c r="V259" s="485" t="str">
        <f>CLEAN(TRIM(Table2[[#This Row],[Status]] &amp; "|" &amp; Table2[[#This Row],[Level]] &amp; "|" &amp; Table2[[#This Row],[Participant As]]))</f>
        <v>Narasumber / Pemateri Acara Seminar / Workshop / Pemakalah|External International|Individual</v>
      </c>
      <c r="W259" s="486">
        <f>IFERROR(INDEX(GradingSimkat[Score], MATCH(Table2[[#This Row],[Criteria]], GradingSimkat[Criteria], 0)), 0)</f>
        <v>0</v>
      </c>
    </row>
    <row r="260" spans="1:23" ht="13.75" customHeight="1">
      <c r="A260" s="471" t="s">
        <v>1691</v>
      </c>
      <c r="B260" s="472" t="s">
        <v>1692</v>
      </c>
      <c r="C260" s="472" t="s">
        <v>1684</v>
      </c>
      <c r="D260" s="473">
        <v>2019</v>
      </c>
      <c r="E260" s="472" t="s">
        <v>1693</v>
      </c>
      <c r="F260" s="472" t="s">
        <v>1694</v>
      </c>
      <c r="G260" s="472" t="s">
        <v>1694</v>
      </c>
      <c r="H260" s="473">
        <v>20222</v>
      </c>
      <c r="I260" s="472" t="s">
        <v>1695</v>
      </c>
      <c r="J260" s="472" t="s">
        <v>278</v>
      </c>
      <c r="K260" s="472" t="s">
        <v>2160</v>
      </c>
      <c r="L260" s="472" t="s">
        <v>307</v>
      </c>
      <c r="M260" s="472" t="s">
        <v>281</v>
      </c>
      <c r="N260" s="473">
        <v>5</v>
      </c>
      <c r="O260" s="473">
        <v>100</v>
      </c>
      <c r="P260" s="472" t="s">
        <v>1696</v>
      </c>
      <c r="Q260" s="472" t="s">
        <v>1697</v>
      </c>
      <c r="R260" s="474"/>
      <c r="S260" s="474"/>
      <c r="T260" s="474"/>
      <c r="U260" s="475" t="s">
        <v>1698</v>
      </c>
      <c r="V260" s="481" t="str">
        <f>CLEAN(TRIM(Table2[[#This Row],[Status]] &amp; "|" &amp; Table2[[#This Row],[Level]] &amp; "|" &amp; Table2[[#This Row],[Participant As]]))</f>
        <v>Penulis pertama pada jurnal internasional bereputasi atau jurnal nasional terindeks SINTA 1 dan 2|External International|Team</v>
      </c>
      <c r="W260" s="477">
        <f>IFERROR(INDEX(GradingSimkat[Score], MATCH(Table2[[#This Row],[Criteria]], GradingSimkat[Criteria], 0)), 0)</f>
        <v>5</v>
      </c>
    </row>
    <row r="261" spans="1:23" ht="39.75" customHeight="1">
      <c r="A261" s="482" t="s">
        <v>336</v>
      </c>
      <c r="B261" s="483" t="s">
        <v>337</v>
      </c>
      <c r="C261" s="483" t="s">
        <v>274</v>
      </c>
      <c r="D261" s="484">
        <v>2020</v>
      </c>
      <c r="E261" s="483" t="s">
        <v>338</v>
      </c>
      <c r="F261" s="472" t="s">
        <v>339</v>
      </c>
      <c r="G261" s="472" t="s">
        <v>339</v>
      </c>
      <c r="H261" s="473">
        <v>20221</v>
      </c>
      <c r="I261" s="483" t="s">
        <v>340</v>
      </c>
      <c r="J261" s="472" t="s">
        <v>278</v>
      </c>
      <c r="K261" s="493" t="s">
        <v>2156</v>
      </c>
      <c r="L261" s="483" t="s">
        <v>280</v>
      </c>
      <c r="M261" s="483" t="s">
        <v>281</v>
      </c>
      <c r="N261" s="473">
        <v>5</v>
      </c>
      <c r="O261" s="484">
        <v>15</v>
      </c>
      <c r="P261" s="474"/>
      <c r="Q261" s="483" t="s">
        <v>2185</v>
      </c>
      <c r="R261" s="472" t="s">
        <v>342</v>
      </c>
      <c r="S261" s="474"/>
      <c r="T261" s="474"/>
      <c r="U261" s="475" t="s">
        <v>343</v>
      </c>
      <c r="V261" s="485" t="str">
        <f>CLEAN(TRIM(Table2[[#This Row],[Status]] &amp; "|" &amp; Table2[[#This Row],[Level]] &amp; "|" &amp; Table2[[#This Row],[Participant As]]))</f>
        <v>Pemakalah dalam Conference/Seminar Ilmiah|External National|Team</v>
      </c>
      <c r="W261" s="486">
        <f>IFERROR(INDEX(GradingSimkat[Score], MATCH(Table2[[#This Row],[Criteria]], GradingSimkat[Criteria], 0)), 0)</f>
        <v>4</v>
      </c>
    </row>
    <row r="262" spans="1:23" s="478" customFormat="1" ht="13.75" customHeight="1">
      <c r="A262" s="471" t="s">
        <v>336</v>
      </c>
      <c r="B262" s="472" t="s">
        <v>337</v>
      </c>
      <c r="C262" s="472" t="s">
        <v>274</v>
      </c>
      <c r="D262" s="473">
        <v>2020</v>
      </c>
      <c r="E262" s="472" t="s">
        <v>344</v>
      </c>
      <c r="F262" s="472" t="s">
        <v>345</v>
      </c>
      <c r="G262" s="472" t="s">
        <v>346</v>
      </c>
      <c r="H262" s="473">
        <v>20222</v>
      </c>
      <c r="I262" s="492" t="s">
        <v>347</v>
      </c>
      <c r="J262" s="472" t="s">
        <v>278</v>
      </c>
      <c r="K262" s="472" t="s">
        <v>2159</v>
      </c>
      <c r="L262" s="472" t="s">
        <v>280</v>
      </c>
      <c r="M262" s="472" t="s">
        <v>292</v>
      </c>
      <c r="N262" s="473">
        <v>10</v>
      </c>
      <c r="O262" s="473">
        <v>2</v>
      </c>
      <c r="P262" s="472" t="s">
        <v>349</v>
      </c>
      <c r="Q262" s="474"/>
      <c r="R262" s="474"/>
      <c r="S262" s="472" t="s">
        <v>350</v>
      </c>
      <c r="T262" s="474"/>
      <c r="U262" s="475" t="s">
        <v>351</v>
      </c>
      <c r="V262" s="481" t="str">
        <f>CLEAN(TRIM(Table2[[#This Row],[Status]] &amp; "|" &amp; Table2[[#This Row],[Level]] &amp; "|" &amp; Table2[[#This Row],[Participant As]]))</f>
        <v>Penulis pertama buku ber-ISBN|External National|Individual</v>
      </c>
      <c r="W262" s="477">
        <f>IFERROR(INDEX(GradingSimkat[Score], MATCH(Table2[[#This Row],[Criteria]], GradingSimkat[Criteria], 0)), 0)</f>
        <v>6</v>
      </c>
    </row>
    <row r="263" spans="1:23" ht="13.75" customHeight="1">
      <c r="A263" s="471" t="s">
        <v>336</v>
      </c>
      <c r="B263" s="472" t="s">
        <v>337</v>
      </c>
      <c r="C263" s="472" t="s">
        <v>274</v>
      </c>
      <c r="D263" s="473">
        <v>2020</v>
      </c>
      <c r="E263" s="472" t="s">
        <v>352</v>
      </c>
      <c r="F263" s="472" t="s">
        <v>353</v>
      </c>
      <c r="G263" s="472" t="s">
        <v>353</v>
      </c>
      <c r="H263" s="473">
        <v>20231</v>
      </c>
      <c r="I263" s="492" t="s">
        <v>354</v>
      </c>
      <c r="J263" s="472" t="s">
        <v>278</v>
      </c>
      <c r="K263" s="472" t="s">
        <v>2160</v>
      </c>
      <c r="L263" s="472" t="s">
        <v>307</v>
      </c>
      <c r="M263" s="472" t="s">
        <v>281</v>
      </c>
      <c r="N263" s="473">
        <v>2</v>
      </c>
      <c r="O263" s="473">
        <v>40</v>
      </c>
      <c r="P263" s="472" t="s">
        <v>356</v>
      </c>
      <c r="Q263" s="472" t="s">
        <v>357</v>
      </c>
      <c r="R263" s="474"/>
      <c r="S263" s="474"/>
      <c r="T263" s="474"/>
      <c r="U263" s="475" t="s">
        <v>358</v>
      </c>
      <c r="V263" s="481" t="str">
        <f>CLEAN(TRIM(Table2[[#This Row],[Status]] &amp; "|" &amp; Table2[[#This Row],[Level]] &amp; "|" &amp; Table2[[#This Row],[Participant As]]))</f>
        <v>Penulis pertama pada jurnal internasional bereputasi atau jurnal nasional terindeks SINTA 1 dan 2|External International|Team</v>
      </c>
      <c r="W263" s="477">
        <f>IFERROR(INDEX(GradingSimkat[Score], MATCH(Table2[[#This Row],[Criteria]], GradingSimkat[Criteria], 0)), 0)</f>
        <v>5</v>
      </c>
    </row>
    <row r="264" spans="1:23" ht="13.75" customHeight="1">
      <c r="A264" s="482" t="s">
        <v>1095</v>
      </c>
      <c r="B264" s="483" t="s">
        <v>1096</v>
      </c>
      <c r="C264" s="483" t="s">
        <v>986</v>
      </c>
      <c r="D264" s="484">
        <v>2021</v>
      </c>
      <c r="E264" s="483" t="s">
        <v>1097</v>
      </c>
      <c r="F264" s="472" t="s">
        <v>1098</v>
      </c>
      <c r="G264" s="472" t="s">
        <v>1098</v>
      </c>
      <c r="H264" s="473">
        <v>20221</v>
      </c>
      <c r="I264" s="488" t="s">
        <v>1099</v>
      </c>
      <c r="J264" s="472" t="s">
        <v>278</v>
      </c>
      <c r="K264" s="483" t="s">
        <v>279</v>
      </c>
      <c r="L264" s="483" t="s">
        <v>438</v>
      </c>
      <c r="M264" s="483" t="s">
        <v>292</v>
      </c>
      <c r="N264" s="473">
        <v>100</v>
      </c>
      <c r="O264" s="484">
        <v>10</v>
      </c>
      <c r="P264" s="472" t="s">
        <v>1100</v>
      </c>
      <c r="Q264" s="483" t="s">
        <v>2222</v>
      </c>
      <c r="R264" s="474"/>
      <c r="S264" s="474"/>
      <c r="T264" s="474"/>
      <c r="U264" s="475" t="s">
        <v>1102</v>
      </c>
      <c r="V264" s="485" t="str">
        <f>CLEAN(TRIM(Table2[[#This Row],[Status]] &amp; "|" &amp; Table2[[#This Row],[Level]] &amp; "|" &amp; Table2[[#This Row],[Participant As]]))</f>
        <v>Narasumber / Pemateri Acara Seminar / Workshop / Pemakalah|External Regional|Individual</v>
      </c>
      <c r="W264" s="486">
        <f>IFERROR(INDEX(GradingSimkat[Score], MATCH(Table2[[#This Row],[Criteria]], GradingSimkat[Criteria], 0)), 0)</f>
        <v>0</v>
      </c>
    </row>
    <row r="265" spans="1:23" ht="13.75" customHeight="1">
      <c r="A265" s="471" t="s">
        <v>875</v>
      </c>
      <c r="B265" s="472" t="s">
        <v>876</v>
      </c>
      <c r="C265" s="472" t="s">
        <v>274</v>
      </c>
      <c r="D265" s="473">
        <v>2023</v>
      </c>
      <c r="E265" s="472" t="s">
        <v>505</v>
      </c>
      <c r="F265" s="472" t="s">
        <v>506</v>
      </c>
      <c r="G265" s="472" t="s">
        <v>506</v>
      </c>
      <c r="H265" s="473">
        <v>20231</v>
      </c>
      <c r="I265" s="474"/>
      <c r="J265" s="472" t="s">
        <v>278</v>
      </c>
      <c r="K265" s="472" t="s">
        <v>2155</v>
      </c>
      <c r="L265" s="472" t="s">
        <v>291</v>
      </c>
      <c r="M265" s="472" t="s">
        <v>292</v>
      </c>
      <c r="N265" s="473">
        <v>50</v>
      </c>
      <c r="O265" s="473">
        <v>4</v>
      </c>
      <c r="P265" s="474"/>
      <c r="Q265" s="472" t="s">
        <v>507</v>
      </c>
      <c r="R265" s="472" t="s">
        <v>508</v>
      </c>
      <c r="S265" s="474"/>
      <c r="T265" s="474"/>
      <c r="U265" s="475" t="s">
        <v>440</v>
      </c>
      <c r="V265" s="481" t="str">
        <f>CLEAN(TRIM(Table2[[#This Row],[Status]] &amp; "|" &amp; Table2[[#This Row],[Level]] &amp; "|" &amp; Table2[[#This Row],[Participant As]]))</f>
        <v>Juri/Pelatih/Wasit|Internal Sekolah / Universitas|Individual</v>
      </c>
      <c r="W265" s="477">
        <f>IFERROR(INDEX(GradingSimkat[Score], MATCH(Table2[[#This Row],[Criteria]], GradingSimkat[Criteria], 0)), 0)</f>
        <v>0</v>
      </c>
    </row>
    <row r="266" spans="1:23" ht="13.75" customHeight="1">
      <c r="A266" s="482" t="s">
        <v>1135</v>
      </c>
      <c r="B266" s="483" t="s">
        <v>1136</v>
      </c>
      <c r="C266" s="483" t="s">
        <v>986</v>
      </c>
      <c r="D266" s="484">
        <v>2022</v>
      </c>
      <c r="E266" s="483" t="s">
        <v>1137</v>
      </c>
      <c r="F266" s="472" t="s">
        <v>1138</v>
      </c>
      <c r="G266" s="472" t="s">
        <v>1138</v>
      </c>
      <c r="H266" s="473">
        <v>20222</v>
      </c>
      <c r="I266" s="488" t="s">
        <v>1139</v>
      </c>
      <c r="J266" s="472" t="s">
        <v>278</v>
      </c>
      <c r="K266" s="489" t="s">
        <v>279</v>
      </c>
      <c r="L266" s="483" t="s">
        <v>291</v>
      </c>
      <c r="M266" s="483" t="s">
        <v>292</v>
      </c>
      <c r="N266" s="473">
        <v>40</v>
      </c>
      <c r="O266" s="484">
        <v>5</v>
      </c>
      <c r="P266" s="474"/>
      <c r="Q266" s="483" t="s">
        <v>2227</v>
      </c>
      <c r="R266" s="472" t="s">
        <v>1141</v>
      </c>
      <c r="S266" s="474"/>
      <c r="T266" s="474"/>
      <c r="U266" s="475" t="s">
        <v>1142</v>
      </c>
      <c r="V266" s="485" t="str">
        <f>CLEAN(TRIM(Table2[[#This Row],[Status]] &amp; "|" &amp; Table2[[#This Row],[Level]] &amp; "|" &amp; Table2[[#This Row],[Participant As]]))</f>
        <v>Narasumber / Pemateri Acara Seminar / Workshop / Pemakalah|Internal Sekolah / Universitas|Individual</v>
      </c>
      <c r="W266" s="486">
        <f>IFERROR(INDEX(GradingSimkat[Score], MATCH(Table2[[#This Row],[Criteria]], GradingSimkat[Criteria], 0)), 0)</f>
        <v>0</v>
      </c>
    </row>
    <row r="267" spans="1:23" ht="13.75" customHeight="1">
      <c r="A267" s="482" t="s">
        <v>607</v>
      </c>
      <c r="B267" s="483" t="s">
        <v>608</v>
      </c>
      <c r="C267" s="483" t="s">
        <v>274</v>
      </c>
      <c r="D267" s="484">
        <v>2022</v>
      </c>
      <c r="E267" s="483" t="s">
        <v>361</v>
      </c>
      <c r="F267" s="472" t="s">
        <v>362</v>
      </c>
      <c r="G267" s="472" t="s">
        <v>363</v>
      </c>
      <c r="H267" s="473">
        <v>20231</v>
      </c>
      <c r="I267" s="483" t="s">
        <v>364</v>
      </c>
      <c r="J267" s="472" t="s">
        <v>278</v>
      </c>
      <c r="K267" s="489" t="s">
        <v>279</v>
      </c>
      <c r="L267" s="483" t="s">
        <v>307</v>
      </c>
      <c r="M267" s="483" t="s">
        <v>292</v>
      </c>
      <c r="N267" s="473">
        <v>500</v>
      </c>
      <c r="O267" s="484">
        <v>10</v>
      </c>
      <c r="P267" s="472" t="s">
        <v>365</v>
      </c>
      <c r="Q267" s="483" t="s">
        <v>2186</v>
      </c>
      <c r="R267" s="472" t="s">
        <v>367</v>
      </c>
      <c r="S267" s="474"/>
      <c r="T267" s="474"/>
      <c r="U267" s="475" t="s">
        <v>368</v>
      </c>
      <c r="V267" s="485" t="str">
        <f>CLEAN(TRIM(Table2[[#This Row],[Status]] &amp; "|" &amp; Table2[[#This Row],[Level]] &amp; "|" &amp; Table2[[#This Row],[Participant As]]))</f>
        <v>Narasumber / Pemateri Acara Seminar / Workshop / Pemakalah|External International|Individual</v>
      </c>
      <c r="W267" s="486">
        <f>IFERROR(INDEX(GradingSimkat[Score], MATCH(Table2[[#This Row],[Criteria]], GradingSimkat[Criteria], 0)), 0)</f>
        <v>0</v>
      </c>
    </row>
    <row r="268" spans="1:23" ht="13.75" customHeight="1">
      <c r="A268" s="471" t="s">
        <v>1031</v>
      </c>
      <c r="B268" s="472" t="s">
        <v>1032</v>
      </c>
      <c r="C268" s="472" t="s">
        <v>986</v>
      </c>
      <c r="D268" s="473">
        <v>2021</v>
      </c>
      <c r="E268" s="472" t="s">
        <v>1033</v>
      </c>
      <c r="F268" s="472" t="s">
        <v>1034</v>
      </c>
      <c r="G268" s="472" t="s">
        <v>1034</v>
      </c>
      <c r="H268" s="473">
        <v>20201</v>
      </c>
      <c r="I268" s="472" t="s">
        <v>2167</v>
      </c>
      <c r="J268" s="472" t="s">
        <v>278</v>
      </c>
      <c r="K268" s="476" t="s">
        <v>2155</v>
      </c>
      <c r="L268" s="472" t="s">
        <v>291</v>
      </c>
      <c r="M268" s="472" t="s">
        <v>281</v>
      </c>
      <c r="N268" s="473">
        <v>15</v>
      </c>
      <c r="O268" s="473">
        <v>5</v>
      </c>
      <c r="P268" s="472" t="s">
        <v>1036</v>
      </c>
      <c r="Q268" s="472" t="s">
        <v>1037</v>
      </c>
      <c r="R268" s="474"/>
      <c r="S268" s="474"/>
      <c r="T268" s="474"/>
      <c r="U268" s="475" t="s">
        <v>1038</v>
      </c>
      <c r="V268" s="481" t="str">
        <f>CLEAN(TRIM(Table2[[#This Row],[Status]] &amp; "|" &amp; Table2[[#This Row],[Level]] &amp; "|" &amp; Table2[[#This Row],[Participant As]]))</f>
        <v>Juri/Pelatih/Wasit|Internal Sekolah / Universitas|Team</v>
      </c>
      <c r="W268" s="477">
        <f>IFERROR(INDEX(GradingSimkat[Score], MATCH(Table2[[#This Row],[Criteria]], GradingSimkat[Criteria], 0)), 0)</f>
        <v>0</v>
      </c>
    </row>
    <row r="269" spans="1:23" ht="13.75" customHeight="1">
      <c r="A269" s="471" t="s">
        <v>1031</v>
      </c>
      <c r="B269" s="472" t="s">
        <v>1032</v>
      </c>
      <c r="C269" s="472" t="s">
        <v>986</v>
      </c>
      <c r="D269" s="473">
        <v>2021</v>
      </c>
      <c r="E269" s="472" t="s">
        <v>1039</v>
      </c>
      <c r="F269" s="472" t="s">
        <v>1040</v>
      </c>
      <c r="G269" s="472" t="s">
        <v>1041</v>
      </c>
      <c r="H269" s="473">
        <v>20211</v>
      </c>
      <c r="I269" s="472" t="s">
        <v>1042</v>
      </c>
      <c r="J269" s="472" t="s">
        <v>278</v>
      </c>
      <c r="K269" s="472" t="s">
        <v>2155</v>
      </c>
      <c r="L269" s="472" t="s">
        <v>291</v>
      </c>
      <c r="M269" s="472" t="s">
        <v>281</v>
      </c>
      <c r="N269" s="473">
        <v>30</v>
      </c>
      <c r="O269" s="473">
        <v>5</v>
      </c>
      <c r="P269" s="472" t="s">
        <v>1036</v>
      </c>
      <c r="Q269" s="472" t="s">
        <v>1043</v>
      </c>
      <c r="R269" s="474"/>
      <c r="S269" s="474"/>
      <c r="T269" s="474"/>
      <c r="U269" s="475" t="s">
        <v>1038</v>
      </c>
      <c r="V269" s="481" t="str">
        <f>CLEAN(TRIM(Table2[[#This Row],[Status]] &amp; "|" &amp; Table2[[#This Row],[Level]] &amp; "|" &amp; Table2[[#This Row],[Participant As]]))</f>
        <v>Juri/Pelatih/Wasit|Internal Sekolah / Universitas|Team</v>
      </c>
      <c r="W269" s="477">
        <f>IFERROR(INDEX(GradingSimkat[Score], MATCH(Table2[[#This Row],[Criteria]], GradingSimkat[Criteria], 0)), 0)</f>
        <v>0</v>
      </c>
    </row>
    <row r="270" spans="1:23" ht="13.75" customHeight="1">
      <c r="A270" s="482" t="s">
        <v>1031</v>
      </c>
      <c r="B270" s="483" t="s">
        <v>1032</v>
      </c>
      <c r="C270" s="483" t="s">
        <v>986</v>
      </c>
      <c r="D270" s="484">
        <v>2021</v>
      </c>
      <c r="E270" s="483" t="s">
        <v>1044</v>
      </c>
      <c r="F270" s="472" t="s">
        <v>1045</v>
      </c>
      <c r="G270" s="472" t="s">
        <v>1045</v>
      </c>
      <c r="H270" s="473">
        <v>20222</v>
      </c>
      <c r="I270" s="483" t="s">
        <v>1046</v>
      </c>
      <c r="J270" s="472" t="s">
        <v>278</v>
      </c>
      <c r="K270" s="483" t="s">
        <v>2157</v>
      </c>
      <c r="L270" s="483" t="s">
        <v>438</v>
      </c>
      <c r="M270" s="483" t="s">
        <v>281</v>
      </c>
      <c r="N270" s="473">
        <v>80</v>
      </c>
      <c r="O270" s="484">
        <v>10</v>
      </c>
      <c r="P270" s="472" t="s">
        <v>1047</v>
      </c>
      <c r="Q270" s="483" t="s">
        <v>2212</v>
      </c>
      <c r="R270" s="474"/>
      <c r="S270" s="474"/>
      <c r="T270" s="474"/>
      <c r="U270" s="475" t="s">
        <v>1038</v>
      </c>
      <c r="V270" s="485" t="str">
        <f>CLEAN(TRIM(Table2[[#This Row],[Status]] &amp; "|" &amp; Table2[[#This Row],[Level]] &amp; "|" &amp; Table2[[#This Row],[Participant As]]))</f>
        <v>Pembicara pada pelatihan/seminar/event berskala|External Regional|Team</v>
      </c>
      <c r="W270" s="486">
        <f>IFERROR(INDEX(GradingSimkat[Score], MATCH(Table2[[#This Row],[Criteria]], GradingSimkat[Criteria], 0)), 0)</f>
        <v>0</v>
      </c>
    </row>
    <row r="271" spans="1:23" ht="13.75" customHeight="1">
      <c r="A271" s="471" t="s">
        <v>326</v>
      </c>
      <c r="B271" s="472" t="s">
        <v>327</v>
      </c>
      <c r="C271" s="472" t="s">
        <v>274</v>
      </c>
      <c r="D271" s="473">
        <v>2020</v>
      </c>
      <c r="E271" s="472" t="s">
        <v>328</v>
      </c>
      <c r="F271" s="472" t="s">
        <v>329</v>
      </c>
      <c r="G271" s="472" t="s">
        <v>330</v>
      </c>
      <c r="H271" s="473">
        <v>20221</v>
      </c>
      <c r="I271" s="472" t="s">
        <v>2164</v>
      </c>
      <c r="J271" s="472" t="s">
        <v>278</v>
      </c>
      <c r="K271" s="472" t="s">
        <v>2155</v>
      </c>
      <c r="L271" s="472" t="s">
        <v>291</v>
      </c>
      <c r="M271" s="472" t="s">
        <v>292</v>
      </c>
      <c r="N271" s="473">
        <v>7</v>
      </c>
      <c r="O271" s="473">
        <v>5</v>
      </c>
      <c r="P271" s="474"/>
      <c r="Q271" s="472" t="s">
        <v>333</v>
      </c>
      <c r="R271" s="472" t="s">
        <v>334</v>
      </c>
      <c r="S271" s="474"/>
      <c r="T271" s="474"/>
      <c r="U271" s="475" t="s">
        <v>335</v>
      </c>
      <c r="V271" s="481" t="str">
        <f>CLEAN(TRIM(Table2[[#This Row],[Status]] &amp; "|" &amp; Table2[[#This Row],[Level]] &amp; "|" &amp; Table2[[#This Row],[Participant As]]))</f>
        <v>Juri/Pelatih/Wasit|Internal Sekolah / Universitas|Individual</v>
      </c>
      <c r="W271" s="477">
        <f>IFERROR(INDEX(GradingSimkat[Score], MATCH(Table2[[#This Row],[Criteria]], GradingSimkat[Criteria], 0)), 0)</f>
        <v>0</v>
      </c>
    </row>
    <row r="272" spans="1:23" ht="13.75" customHeight="1">
      <c r="A272" s="482" t="s">
        <v>669</v>
      </c>
      <c r="B272" s="483" t="s">
        <v>670</v>
      </c>
      <c r="C272" s="483" t="s">
        <v>274</v>
      </c>
      <c r="D272" s="484">
        <v>2022</v>
      </c>
      <c r="E272" s="483" t="s">
        <v>361</v>
      </c>
      <c r="F272" s="472" t="s">
        <v>362</v>
      </c>
      <c r="G272" s="472" t="s">
        <v>363</v>
      </c>
      <c r="H272" s="473">
        <v>20231</v>
      </c>
      <c r="I272" s="483" t="s">
        <v>364</v>
      </c>
      <c r="J272" s="472" t="s">
        <v>278</v>
      </c>
      <c r="K272" s="483" t="s">
        <v>279</v>
      </c>
      <c r="L272" s="483" t="s">
        <v>307</v>
      </c>
      <c r="M272" s="483" t="s">
        <v>292</v>
      </c>
      <c r="N272" s="473">
        <v>500</v>
      </c>
      <c r="O272" s="484">
        <v>10</v>
      </c>
      <c r="P272" s="472" t="s">
        <v>365</v>
      </c>
      <c r="Q272" s="483" t="s">
        <v>2186</v>
      </c>
      <c r="R272" s="472" t="s">
        <v>367</v>
      </c>
      <c r="S272" s="474"/>
      <c r="T272" s="474"/>
      <c r="U272" s="475" t="s">
        <v>368</v>
      </c>
      <c r="V272" s="485" t="str">
        <f>CLEAN(TRIM(Table2[[#This Row],[Status]] &amp; "|" &amp; Table2[[#This Row],[Level]] &amp; "|" &amp; Table2[[#This Row],[Participant As]]))</f>
        <v>Narasumber / Pemateri Acara Seminar / Workshop / Pemakalah|External International|Individual</v>
      </c>
      <c r="W272" s="486">
        <f>IFERROR(INDEX(GradingSimkat[Score], MATCH(Table2[[#This Row],[Criteria]], GradingSimkat[Criteria], 0)), 0)</f>
        <v>0</v>
      </c>
    </row>
    <row r="273" spans="1:23" ht="13.75" customHeight="1">
      <c r="A273" s="482" t="s">
        <v>649</v>
      </c>
      <c r="B273" s="483" t="s">
        <v>650</v>
      </c>
      <c r="C273" s="483" t="s">
        <v>274</v>
      </c>
      <c r="D273" s="484">
        <v>2022</v>
      </c>
      <c r="E273" s="483" t="s">
        <v>361</v>
      </c>
      <c r="F273" s="472" t="s">
        <v>362</v>
      </c>
      <c r="G273" s="472" t="s">
        <v>363</v>
      </c>
      <c r="H273" s="473">
        <v>20231</v>
      </c>
      <c r="I273" s="483" t="s">
        <v>364</v>
      </c>
      <c r="J273" s="472" t="s">
        <v>278</v>
      </c>
      <c r="K273" s="483" t="s">
        <v>279</v>
      </c>
      <c r="L273" s="483" t="s">
        <v>307</v>
      </c>
      <c r="M273" s="483" t="s">
        <v>292</v>
      </c>
      <c r="N273" s="473">
        <v>500</v>
      </c>
      <c r="O273" s="484">
        <v>10</v>
      </c>
      <c r="P273" s="472" t="s">
        <v>365</v>
      </c>
      <c r="Q273" s="483" t="s">
        <v>2186</v>
      </c>
      <c r="R273" s="472" t="s">
        <v>367</v>
      </c>
      <c r="S273" s="474"/>
      <c r="T273" s="474"/>
      <c r="U273" s="475" t="s">
        <v>368</v>
      </c>
      <c r="V273" s="485" t="str">
        <f>CLEAN(TRIM(Table2[[#This Row],[Status]] &amp; "|" &amp; Table2[[#This Row],[Level]] &amp; "|" &amp; Table2[[#This Row],[Participant As]]))</f>
        <v>Narasumber / Pemateri Acara Seminar / Workshop / Pemakalah|External International|Individual</v>
      </c>
      <c r="W273" s="486">
        <f>IFERROR(INDEX(GradingSimkat[Score], MATCH(Table2[[#This Row],[Criteria]], GradingSimkat[Criteria], 0)), 0)</f>
        <v>0</v>
      </c>
    </row>
    <row r="274" spans="1:23" ht="13.75" customHeight="1">
      <c r="A274" s="482" t="s">
        <v>631</v>
      </c>
      <c r="B274" s="483" t="s">
        <v>632</v>
      </c>
      <c r="C274" s="483" t="s">
        <v>274</v>
      </c>
      <c r="D274" s="484">
        <v>2022</v>
      </c>
      <c r="E274" s="483" t="s">
        <v>361</v>
      </c>
      <c r="F274" s="472" t="s">
        <v>362</v>
      </c>
      <c r="G274" s="472" t="s">
        <v>363</v>
      </c>
      <c r="H274" s="473">
        <v>20231</v>
      </c>
      <c r="I274" s="483" t="s">
        <v>364</v>
      </c>
      <c r="J274" s="472" t="s">
        <v>278</v>
      </c>
      <c r="K274" s="483" t="s">
        <v>279</v>
      </c>
      <c r="L274" s="483" t="s">
        <v>307</v>
      </c>
      <c r="M274" s="483" t="s">
        <v>292</v>
      </c>
      <c r="N274" s="473">
        <v>500</v>
      </c>
      <c r="O274" s="484">
        <v>10</v>
      </c>
      <c r="P274" s="472" t="s">
        <v>365</v>
      </c>
      <c r="Q274" s="483" t="s">
        <v>2186</v>
      </c>
      <c r="R274" s="472" t="s">
        <v>367</v>
      </c>
      <c r="S274" s="474"/>
      <c r="T274" s="474"/>
      <c r="U274" s="475" t="s">
        <v>368</v>
      </c>
      <c r="V274" s="485" t="str">
        <f>CLEAN(TRIM(Table2[[#This Row],[Status]] &amp; "|" &amp; Table2[[#This Row],[Level]] &amp; "|" &amp; Table2[[#This Row],[Participant As]]))</f>
        <v>Narasumber / Pemateri Acara Seminar / Workshop / Pemakalah|External International|Individual</v>
      </c>
      <c r="W274" s="486">
        <f>IFERROR(INDEX(GradingSimkat[Score], MATCH(Table2[[#This Row],[Criteria]], GradingSimkat[Criteria], 0)), 0)</f>
        <v>0</v>
      </c>
    </row>
    <row r="275" spans="1:23" ht="13.75" customHeight="1">
      <c r="A275" s="471" t="s">
        <v>653</v>
      </c>
      <c r="B275" s="472" t="s">
        <v>654</v>
      </c>
      <c r="C275" s="472" t="s">
        <v>274</v>
      </c>
      <c r="D275" s="473">
        <v>2022</v>
      </c>
      <c r="E275" s="472" t="s">
        <v>505</v>
      </c>
      <c r="F275" s="472" t="s">
        <v>506</v>
      </c>
      <c r="G275" s="472" t="s">
        <v>506</v>
      </c>
      <c r="H275" s="473">
        <v>20231</v>
      </c>
      <c r="I275" s="474"/>
      <c r="J275" s="472" t="s">
        <v>278</v>
      </c>
      <c r="K275" s="472" t="s">
        <v>2155</v>
      </c>
      <c r="L275" s="472" t="s">
        <v>291</v>
      </c>
      <c r="M275" s="472" t="s">
        <v>292</v>
      </c>
      <c r="N275" s="473">
        <v>50</v>
      </c>
      <c r="O275" s="473">
        <v>4</v>
      </c>
      <c r="P275" s="474"/>
      <c r="Q275" s="472" t="s">
        <v>507</v>
      </c>
      <c r="R275" s="472" t="s">
        <v>508</v>
      </c>
      <c r="S275" s="474"/>
      <c r="T275" s="474"/>
      <c r="U275" s="475" t="s">
        <v>440</v>
      </c>
      <c r="V275" s="481" t="str">
        <f>CLEAN(TRIM(Table2[[#This Row],[Status]] &amp; "|" &amp; Table2[[#This Row],[Level]] &amp; "|" &amp; Table2[[#This Row],[Participant As]]))</f>
        <v>Juri/Pelatih/Wasit|Internal Sekolah / Universitas|Individual</v>
      </c>
      <c r="W275" s="477">
        <f>IFERROR(INDEX(GradingSimkat[Score], MATCH(Table2[[#This Row],[Criteria]], GradingSimkat[Criteria], 0)), 0)</f>
        <v>0</v>
      </c>
    </row>
    <row r="276" spans="1:23" ht="13.75" customHeight="1">
      <c r="A276" s="482" t="s">
        <v>1379</v>
      </c>
      <c r="B276" s="483" t="s">
        <v>1380</v>
      </c>
      <c r="C276" s="483" t="s">
        <v>1356</v>
      </c>
      <c r="D276" s="484">
        <v>2020</v>
      </c>
      <c r="E276" s="483" t="s">
        <v>361</v>
      </c>
      <c r="F276" s="472" t="s">
        <v>362</v>
      </c>
      <c r="G276" s="472" t="s">
        <v>363</v>
      </c>
      <c r="H276" s="473">
        <v>20231</v>
      </c>
      <c r="I276" s="483" t="s">
        <v>364</v>
      </c>
      <c r="J276" s="472" t="s">
        <v>278</v>
      </c>
      <c r="K276" s="483" t="s">
        <v>279</v>
      </c>
      <c r="L276" s="483" t="s">
        <v>307</v>
      </c>
      <c r="M276" s="483" t="s">
        <v>292</v>
      </c>
      <c r="N276" s="473">
        <v>500</v>
      </c>
      <c r="O276" s="484">
        <v>10</v>
      </c>
      <c r="P276" s="472" t="s">
        <v>365</v>
      </c>
      <c r="Q276" s="483" t="s">
        <v>2188</v>
      </c>
      <c r="R276" s="472" t="s">
        <v>389</v>
      </c>
      <c r="S276" s="474"/>
      <c r="T276" s="474"/>
      <c r="U276" s="475" t="s">
        <v>368</v>
      </c>
      <c r="V276" s="485" t="str">
        <f>CLEAN(TRIM(Table2[[#This Row],[Status]] &amp; "|" &amp; Table2[[#This Row],[Level]] &amp; "|" &amp; Table2[[#This Row],[Participant As]]))</f>
        <v>Narasumber / Pemateri Acara Seminar / Workshop / Pemakalah|External International|Individual</v>
      </c>
      <c r="W276" s="486">
        <f>IFERROR(INDEX(GradingSimkat[Score], MATCH(Table2[[#This Row],[Criteria]], GradingSimkat[Criteria], 0)), 0)</f>
        <v>0</v>
      </c>
    </row>
    <row r="277" spans="1:23" ht="13.75" customHeight="1">
      <c r="A277" s="482" t="s">
        <v>445</v>
      </c>
      <c r="B277" s="483" t="s">
        <v>446</v>
      </c>
      <c r="C277" s="483" t="s">
        <v>274</v>
      </c>
      <c r="D277" s="484">
        <v>2021</v>
      </c>
      <c r="E277" s="483" t="s">
        <v>361</v>
      </c>
      <c r="F277" s="472" t="s">
        <v>362</v>
      </c>
      <c r="G277" s="472" t="s">
        <v>363</v>
      </c>
      <c r="H277" s="473">
        <v>20231</v>
      </c>
      <c r="I277" s="483" t="s">
        <v>364</v>
      </c>
      <c r="J277" s="472" t="s">
        <v>278</v>
      </c>
      <c r="K277" s="483" t="s">
        <v>279</v>
      </c>
      <c r="L277" s="483" t="s">
        <v>307</v>
      </c>
      <c r="M277" s="483" t="s">
        <v>292</v>
      </c>
      <c r="N277" s="473">
        <v>500</v>
      </c>
      <c r="O277" s="484">
        <v>10</v>
      </c>
      <c r="P277" s="472" t="s">
        <v>365</v>
      </c>
      <c r="Q277" s="483" t="s">
        <v>2186</v>
      </c>
      <c r="R277" s="472" t="s">
        <v>367</v>
      </c>
      <c r="S277" s="474"/>
      <c r="T277" s="474"/>
      <c r="U277" s="475" t="s">
        <v>368</v>
      </c>
      <c r="V277" s="485" t="str">
        <f>CLEAN(TRIM(Table2[[#This Row],[Status]] &amp; "|" &amp; Table2[[#This Row],[Level]] &amp; "|" &amp; Table2[[#This Row],[Participant As]]))</f>
        <v>Narasumber / Pemateri Acara Seminar / Workshop / Pemakalah|External International|Individual</v>
      </c>
      <c r="W277" s="486">
        <f>IFERROR(INDEX(GradingSimkat[Score], MATCH(Table2[[#This Row],[Criteria]], GradingSimkat[Criteria], 0)), 0)</f>
        <v>0</v>
      </c>
    </row>
    <row r="278" spans="1:23" ht="13.75" customHeight="1">
      <c r="A278" s="482" t="s">
        <v>1255</v>
      </c>
      <c r="B278" s="483" t="s">
        <v>1256</v>
      </c>
      <c r="C278" s="483" t="s">
        <v>1227</v>
      </c>
      <c r="D278" s="484">
        <v>2021</v>
      </c>
      <c r="E278" s="483" t="s">
        <v>361</v>
      </c>
      <c r="F278" s="472" t="s">
        <v>362</v>
      </c>
      <c r="G278" s="472" t="s">
        <v>363</v>
      </c>
      <c r="H278" s="473">
        <v>20231</v>
      </c>
      <c r="I278" s="483" t="s">
        <v>364</v>
      </c>
      <c r="J278" s="472" t="s">
        <v>278</v>
      </c>
      <c r="K278" s="483" t="s">
        <v>279</v>
      </c>
      <c r="L278" s="483" t="s">
        <v>307</v>
      </c>
      <c r="M278" s="483" t="s">
        <v>292</v>
      </c>
      <c r="N278" s="473">
        <v>500</v>
      </c>
      <c r="O278" s="484">
        <v>10</v>
      </c>
      <c r="P278" s="472" t="s">
        <v>365</v>
      </c>
      <c r="Q278" s="483" t="s">
        <v>2188</v>
      </c>
      <c r="R278" s="472" t="s">
        <v>389</v>
      </c>
      <c r="S278" s="474"/>
      <c r="T278" s="474"/>
      <c r="U278" s="475" t="s">
        <v>368</v>
      </c>
      <c r="V278" s="485" t="str">
        <f>CLEAN(TRIM(Table2[[#This Row],[Status]] &amp; "|" &amp; Table2[[#This Row],[Level]] &amp; "|" &amp; Table2[[#This Row],[Participant As]]))</f>
        <v>Narasumber / Pemateri Acara Seminar / Workshop / Pemakalah|External International|Individual</v>
      </c>
      <c r="W278" s="486">
        <f>IFERROR(INDEX(GradingSimkat[Score], MATCH(Table2[[#This Row],[Criteria]], GradingSimkat[Criteria], 0)), 0)</f>
        <v>0</v>
      </c>
    </row>
    <row r="279" spans="1:23" ht="13.75" customHeight="1">
      <c r="A279" s="482" t="s">
        <v>1255</v>
      </c>
      <c r="B279" s="483" t="s">
        <v>1256</v>
      </c>
      <c r="C279" s="483" t="s">
        <v>1227</v>
      </c>
      <c r="D279" s="484">
        <v>2021</v>
      </c>
      <c r="E279" s="483" t="s">
        <v>1257</v>
      </c>
      <c r="F279" s="472" t="s">
        <v>1258</v>
      </c>
      <c r="G279" s="472" t="s">
        <v>1259</v>
      </c>
      <c r="H279" s="473">
        <v>20231</v>
      </c>
      <c r="I279" s="483" t="s">
        <v>1260</v>
      </c>
      <c r="J279" s="472" t="s">
        <v>278</v>
      </c>
      <c r="K279" s="483" t="s">
        <v>2156</v>
      </c>
      <c r="L279" s="483" t="s">
        <v>307</v>
      </c>
      <c r="M279" s="483" t="s">
        <v>292</v>
      </c>
      <c r="N279" s="473">
        <v>70</v>
      </c>
      <c r="O279" s="484">
        <v>20</v>
      </c>
      <c r="P279" s="474"/>
      <c r="Q279" s="483" t="s">
        <v>2240</v>
      </c>
      <c r="R279" s="472" t="s">
        <v>1262</v>
      </c>
      <c r="S279" s="474"/>
      <c r="T279" s="474"/>
      <c r="U279" s="475" t="s">
        <v>1263</v>
      </c>
      <c r="V279" s="485" t="str">
        <f>CLEAN(TRIM(Table2[[#This Row],[Status]] &amp; "|" &amp; Table2[[#This Row],[Level]] &amp; "|" &amp; Table2[[#This Row],[Participant As]]))</f>
        <v>Pemakalah dalam Conference/Seminar Ilmiah|External International|Individual</v>
      </c>
      <c r="W279" s="486">
        <f>IFERROR(INDEX(GradingSimkat[Score], MATCH(Table2[[#This Row],[Criteria]], GradingSimkat[Criteria], 0)), 0)</f>
        <v>6</v>
      </c>
    </row>
    <row r="280" spans="1:23" ht="13.75" customHeight="1">
      <c r="A280" s="482" t="s">
        <v>470</v>
      </c>
      <c r="B280" s="483" t="s">
        <v>471</v>
      </c>
      <c r="C280" s="483" t="s">
        <v>274</v>
      </c>
      <c r="D280" s="484">
        <v>2021</v>
      </c>
      <c r="E280" s="483" t="s">
        <v>361</v>
      </c>
      <c r="F280" s="472" t="s">
        <v>362</v>
      </c>
      <c r="G280" s="472" t="s">
        <v>363</v>
      </c>
      <c r="H280" s="473">
        <v>20231</v>
      </c>
      <c r="I280" s="483" t="s">
        <v>364</v>
      </c>
      <c r="J280" s="472" t="s">
        <v>278</v>
      </c>
      <c r="K280" s="483" t="s">
        <v>279</v>
      </c>
      <c r="L280" s="483" t="s">
        <v>307</v>
      </c>
      <c r="M280" s="483" t="s">
        <v>292</v>
      </c>
      <c r="N280" s="473">
        <v>500</v>
      </c>
      <c r="O280" s="484">
        <v>10</v>
      </c>
      <c r="P280" s="472" t="s">
        <v>365</v>
      </c>
      <c r="Q280" s="483" t="s">
        <v>2186</v>
      </c>
      <c r="R280" s="472" t="s">
        <v>367</v>
      </c>
      <c r="S280" s="474"/>
      <c r="T280" s="474"/>
      <c r="U280" s="475" t="s">
        <v>368</v>
      </c>
      <c r="V280" s="485" t="str">
        <f>CLEAN(TRIM(Table2[[#This Row],[Status]] &amp; "|" &amp; Table2[[#This Row],[Level]] &amp; "|" &amp; Table2[[#This Row],[Participant As]]))</f>
        <v>Narasumber / Pemateri Acara Seminar / Workshop / Pemakalah|External International|Individual</v>
      </c>
      <c r="W280" s="486">
        <f>IFERROR(INDEX(GradingSimkat[Score], MATCH(Table2[[#This Row],[Criteria]], GradingSimkat[Criteria], 0)), 0)</f>
        <v>0</v>
      </c>
    </row>
    <row r="281" spans="1:23" ht="13.75" customHeight="1">
      <c r="A281" s="482" t="s">
        <v>627</v>
      </c>
      <c r="B281" s="483" t="s">
        <v>628</v>
      </c>
      <c r="C281" s="483" t="s">
        <v>274</v>
      </c>
      <c r="D281" s="484">
        <v>2022</v>
      </c>
      <c r="E281" s="483" t="s">
        <v>361</v>
      </c>
      <c r="F281" s="472" t="s">
        <v>362</v>
      </c>
      <c r="G281" s="472" t="s">
        <v>363</v>
      </c>
      <c r="H281" s="473">
        <v>20231</v>
      </c>
      <c r="I281" s="483" t="s">
        <v>364</v>
      </c>
      <c r="J281" s="472" t="s">
        <v>278</v>
      </c>
      <c r="K281" s="483" t="s">
        <v>279</v>
      </c>
      <c r="L281" s="483" t="s">
        <v>307</v>
      </c>
      <c r="M281" s="483" t="s">
        <v>292</v>
      </c>
      <c r="N281" s="473">
        <v>500</v>
      </c>
      <c r="O281" s="484">
        <v>10</v>
      </c>
      <c r="P281" s="472" t="s">
        <v>365</v>
      </c>
      <c r="Q281" s="483" t="s">
        <v>2186</v>
      </c>
      <c r="R281" s="472" t="s">
        <v>367</v>
      </c>
      <c r="S281" s="474"/>
      <c r="T281" s="474"/>
      <c r="U281" s="475" t="s">
        <v>368</v>
      </c>
      <c r="V281" s="485" t="str">
        <f>CLEAN(TRIM(Table2[[#This Row],[Status]] &amp; "|" &amp; Table2[[#This Row],[Level]] &amp; "|" &amp; Table2[[#This Row],[Participant As]]))</f>
        <v>Narasumber / Pemateri Acara Seminar / Workshop / Pemakalah|External International|Individual</v>
      </c>
      <c r="W281" s="486">
        <f>IFERROR(INDEX(GradingSimkat[Score], MATCH(Table2[[#This Row],[Criteria]], GradingSimkat[Criteria], 0)), 0)</f>
        <v>0</v>
      </c>
    </row>
    <row r="282" spans="1:23" ht="65.75" customHeight="1">
      <c r="A282" s="482" t="s">
        <v>772</v>
      </c>
      <c r="B282" s="483" t="s">
        <v>773</v>
      </c>
      <c r="C282" s="483" t="s">
        <v>274</v>
      </c>
      <c r="D282" s="484">
        <v>2023</v>
      </c>
      <c r="E282" s="483" t="s">
        <v>774</v>
      </c>
      <c r="F282" s="472" t="s">
        <v>775</v>
      </c>
      <c r="G282" s="472" t="s">
        <v>775</v>
      </c>
      <c r="H282" s="473">
        <v>20231</v>
      </c>
      <c r="I282" s="483" t="s">
        <v>776</v>
      </c>
      <c r="J282" s="472" t="s">
        <v>278</v>
      </c>
      <c r="K282" s="483" t="s">
        <v>279</v>
      </c>
      <c r="L282" s="483" t="s">
        <v>291</v>
      </c>
      <c r="M282" s="483" t="s">
        <v>292</v>
      </c>
      <c r="N282" s="473">
        <v>60</v>
      </c>
      <c r="O282" s="484">
        <v>5</v>
      </c>
      <c r="P282" s="474"/>
      <c r="Q282" s="483" t="s">
        <v>2204</v>
      </c>
      <c r="R282" s="474"/>
      <c r="S282" s="474"/>
      <c r="T282" s="474"/>
      <c r="U282" s="475" t="s">
        <v>778</v>
      </c>
      <c r="V282" s="485" t="str">
        <f>CLEAN(TRIM(Table2[[#This Row],[Status]] &amp; "|" &amp; Table2[[#This Row],[Level]] &amp; "|" &amp; Table2[[#This Row],[Participant As]]))</f>
        <v>Narasumber / Pemateri Acara Seminar / Workshop / Pemakalah|Internal Sekolah / Universitas|Individual</v>
      </c>
      <c r="W282" s="486">
        <f>IFERROR(INDEX(GradingSimkat[Score], MATCH(Table2[[#This Row],[Criteria]], GradingSimkat[Criteria], 0)), 0)</f>
        <v>0</v>
      </c>
    </row>
    <row r="283" spans="1:23" ht="13.75" customHeight="1">
      <c r="A283" s="482" t="s">
        <v>807</v>
      </c>
      <c r="B283" s="483" t="s">
        <v>808</v>
      </c>
      <c r="C283" s="483" t="s">
        <v>274</v>
      </c>
      <c r="D283" s="484">
        <v>2023</v>
      </c>
      <c r="E283" s="483" t="s">
        <v>361</v>
      </c>
      <c r="F283" s="472" t="s">
        <v>362</v>
      </c>
      <c r="G283" s="472" t="s">
        <v>363</v>
      </c>
      <c r="H283" s="473">
        <v>20231</v>
      </c>
      <c r="I283" s="483" t="s">
        <v>364</v>
      </c>
      <c r="J283" s="472" t="s">
        <v>278</v>
      </c>
      <c r="K283" s="483" t="s">
        <v>279</v>
      </c>
      <c r="L283" s="483" t="s">
        <v>307</v>
      </c>
      <c r="M283" s="483" t="s">
        <v>292</v>
      </c>
      <c r="N283" s="473">
        <v>500</v>
      </c>
      <c r="O283" s="484">
        <v>10</v>
      </c>
      <c r="P283" s="472" t="s">
        <v>365</v>
      </c>
      <c r="Q283" s="483" t="s">
        <v>2186</v>
      </c>
      <c r="R283" s="472" t="s">
        <v>367</v>
      </c>
      <c r="S283" s="474"/>
      <c r="T283" s="474"/>
      <c r="U283" s="475" t="s">
        <v>368</v>
      </c>
      <c r="V283" s="485" t="str">
        <f>CLEAN(TRIM(Table2[[#This Row],[Status]] &amp; "|" &amp; Table2[[#This Row],[Level]] &amp; "|" &amp; Table2[[#This Row],[Participant As]]))</f>
        <v>Narasumber / Pemateri Acara Seminar / Workshop / Pemakalah|External International|Individual</v>
      </c>
      <c r="W283" s="486">
        <f>IFERROR(INDEX(GradingSimkat[Score], MATCH(Table2[[#This Row],[Criteria]], GradingSimkat[Criteria], 0)), 0)</f>
        <v>0</v>
      </c>
    </row>
    <row r="284" spans="1:23" ht="13.75" customHeight="1">
      <c r="A284" s="482" t="s">
        <v>893</v>
      </c>
      <c r="B284" s="483" t="s">
        <v>894</v>
      </c>
      <c r="C284" s="483" t="s">
        <v>274</v>
      </c>
      <c r="D284" s="484">
        <v>2023</v>
      </c>
      <c r="E284" s="483" t="s">
        <v>361</v>
      </c>
      <c r="F284" s="472" t="s">
        <v>362</v>
      </c>
      <c r="G284" s="472" t="s">
        <v>363</v>
      </c>
      <c r="H284" s="473">
        <v>20231</v>
      </c>
      <c r="I284" s="483" t="s">
        <v>364</v>
      </c>
      <c r="J284" s="472" t="s">
        <v>278</v>
      </c>
      <c r="K284" s="483" t="s">
        <v>279</v>
      </c>
      <c r="L284" s="483" t="s">
        <v>307</v>
      </c>
      <c r="M284" s="483" t="s">
        <v>292</v>
      </c>
      <c r="N284" s="473">
        <v>500</v>
      </c>
      <c r="O284" s="484">
        <v>10</v>
      </c>
      <c r="P284" s="472" t="s">
        <v>365</v>
      </c>
      <c r="Q284" s="483" t="s">
        <v>2186</v>
      </c>
      <c r="R284" s="472" t="s">
        <v>367</v>
      </c>
      <c r="S284" s="474"/>
      <c r="T284" s="474"/>
      <c r="U284" s="475" t="s">
        <v>368</v>
      </c>
      <c r="V284" s="485" t="str">
        <f>CLEAN(TRIM(Table2[[#This Row],[Status]] &amp; "|" &amp; Table2[[#This Row],[Level]] &amp; "|" &amp; Table2[[#This Row],[Participant As]]))</f>
        <v>Narasumber / Pemateri Acara Seminar / Workshop / Pemakalah|External International|Individual</v>
      </c>
      <c r="W284" s="486">
        <f>IFERROR(INDEX(GradingSimkat[Score], MATCH(Table2[[#This Row],[Criteria]], GradingSimkat[Criteria], 0)), 0)</f>
        <v>0</v>
      </c>
    </row>
    <row r="285" spans="1:23" ht="13.75" customHeight="1">
      <c r="A285" s="482" t="s">
        <v>533</v>
      </c>
      <c r="B285" s="483" t="s">
        <v>534</v>
      </c>
      <c r="C285" s="483" t="s">
        <v>274</v>
      </c>
      <c r="D285" s="484">
        <v>2022</v>
      </c>
      <c r="E285" s="483" t="s">
        <v>361</v>
      </c>
      <c r="F285" s="472" t="s">
        <v>362</v>
      </c>
      <c r="G285" s="472" t="s">
        <v>363</v>
      </c>
      <c r="H285" s="473">
        <v>20231</v>
      </c>
      <c r="I285" s="483" t="s">
        <v>364</v>
      </c>
      <c r="J285" s="472" t="s">
        <v>278</v>
      </c>
      <c r="K285" s="483" t="s">
        <v>279</v>
      </c>
      <c r="L285" s="483" t="s">
        <v>307</v>
      </c>
      <c r="M285" s="483" t="s">
        <v>292</v>
      </c>
      <c r="N285" s="473">
        <v>500</v>
      </c>
      <c r="O285" s="484">
        <v>10</v>
      </c>
      <c r="P285" s="472" t="s">
        <v>365</v>
      </c>
      <c r="Q285" s="483" t="s">
        <v>2186</v>
      </c>
      <c r="R285" s="472" t="s">
        <v>367</v>
      </c>
      <c r="S285" s="474"/>
      <c r="T285" s="474"/>
      <c r="U285" s="475" t="s">
        <v>368</v>
      </c>
      <c r="V285" s="485" t="str">
        <f>CLEAN(TRIM(Table2[[#This Row],[Status]] &amp; "|" &amp; Table2[[#This Row],[Level]] &amp; "|" &amp; Table2[[#This Row],[Participant As]]))</f>
        <v>Narasumber / Pemateri Acara Seminar / Workshop / Pemakalah|External International|Individual</v>
      </c>
      <c r="W285" s="486">
        <f>IFERROR(INDEX(GradingSimkat[Score], MATCH(Table2[[#This Row],[Criteria]], GradingSimkat[Criteria], 0)), 0)</f>
        <v>0</v>
      </c>
    </row>
    <row r="286" spans="1:23" ht="13.75" customHeight="1">
      <c r="A286" s="482" t="s">
        <v>833</v>
      </c>
      <c r="B286" s="483" t="s">
        <v>834</v>
      </c>
      <c r="C286" s="483" t="s">
        <v>274</v>
      </c>
      <c r="D286" s="484">
        <v>2023</v>
      </c>
      <c r="E286" s="483" t="s">
        <v>361</v>
      </c>
      <c r="F286" s="472" t="s">
        <v>362</v>
      </c>
      <c r="G286" s="472" t="s">
        <v>363</v>
      </c>
      <c r="H286" s="473">
        <v>20231</v>
      </c>
      <c r="I286" s="483" t="s">
        <v>364</v>
      </c>
      <c r="J286" s="472" t="s">
        <v>278</v>
      </c>
      <c r="K286" s="483" t="s">
        <v>279</v>
      </c>
      <c r="L286" s="483" t="s">
        <v>307</v>
      </c>
      <c r="M286" s="483" t="s">
        <v>292</v>
      </c>
      <c r="N286" s="473">
        <v>500</v>
      </c>
      <c r="O286" s="484">
        <v>10</v>
      </c>
      <c r="P286" s="472" t="s">
        <v>365</v>
      </c>
      <c r="Q286" s="483" t="s">
        <v>2186</v>
      </c>
      <c r="R286" s="472" t="s">
        <v>367</v>
      </c>
      <c r="S286" s="474"/>
      <c r="T286" s="474"/>
      <c r="U286" s="475" t="s">
        <v>368</v>
      </c>
      <c r="V286" s="485" t="str">
        <f>CLEAN(TRIM(Table2[[#This Row],[Status]] &amp; "|" &amp; Table2[[#This Row],[Level]] &amp; "|" &amp; Table2[[#This Row],[Participant As]]))</f>
        <v>Narasumber / Pemateri Acara Seminar / Workshop / Pemakalah|External International|Individual</v>
      </c>
      <c r="W286" s="486">
        <f>IFERROR(INDEX(GradingSimkat[Score], MATCH(Table2[[#This Row],[Criteria]], GradingSimkat[Criteria], 0)), 0)</f>
        <v>0</v>
      </c>
    </row>
    <row r="287" spans="1:23" ht="13.75" customHeight="1">
      <c r="A287" s="482" t="s">
        <v>611</v>
      </c>
      <c r="B287" s="483" t="s">
        <v>612</v>
      </c>
      <c r="C287" s="483" t="s">
        <v>274</v>
      </c>
      <c r="D287" s="484">
        <v>2022</v>
      </c>
      <c r="E287" s="483" t="s">
        <v>361</v>
      </c>
      <c r="F287" s="472" t="s">
        <v>362</v>
      </c>
      <c r="G287" s="472" t="s">
        <v>363</v>
      </c>
      <c r="H287" s="473">
        <v>20231</v>
      </c>
      <c r="I287" s="483" t="s">
        <v>364</v>
      </c>
      <c r="J287" s="472" t="s">
        <v>278</v>
      </c>
      <c r="K287" s="483" t="s">
        <v>279</v>
      </c>
      <c r="L287" s="483" t="s">
        <v>307</v>
      </c>
      <c r="M287" s="483" t="s">
        <v>292</v>
      </c>
      <c r="N287" s="473">
        <v>500</v>
      </c>
      <c r="O287" s="484">
        <v>10</v>
      </c>
      <c r="P287" s="472" t="s">
        <v>365</v>
      </c>
      <c r="Q287" s="483" t="s">
        <v>2186</v>
      </c>
      <c r="R287" s="472" t="s">
        <v>367</v>
      </c>
      <c r="S287" s="474"/>
      <c r="T287" s="474"/>
      <c r="U287" s="475" t="s">
        <v>368</v>
      </c>
      <c r="V287" s="485" t="str">
        <f>CLEAN(TRIM(Table2[[#This Row],[Status]] &amp; "|" &amp; Table2[[#This Row],[Level]] &amp; "|" &amp; Table2[[#This Row],[Participant As]]))</f>
        <v>Narasumber / Pemateri Acara Seminar / Workshop / Pemakalah|External International|Individual</v>
      </c>
      <c r="W287" s="486">
        <f>IFERROR(INDEX(GradingSimkat[Score], MATCH(Table2[[#This Row],[Criteria]], GradingSimkat[Criteria], 0)), 0)</f>
        <v>0</v>
      </c>
    </row>
    <row r="288" spans="1:23" ht="39.75" customHeight="1">
      <c r="A288" s="482" t="s">
        <v>1268</v>
      </c>
      <c r="B288" s="483" t="s">
        <v>1269</v>
      </c>
      <c r="C288" s="483" t="s">
        <v>1227</v>
      </c>
      <c r="D288" s="484">
        <v>2021</v>
      </c>
      <c r="E288" s="483" t="s">
        <v>361</v>
      </c>
      <c r="F288" s="472" t="s">
        <v>362</v>
      </c>
      <c r="G288" s="472" t="s">
        <v>363</v>
      </c>
      <c r="H288" s="473">
        <v>20231</v>
      </c>
      <c r="I288" s="483" t="s">
        <v>364</v>
      </c>
      <c r="J288" s="472" t="s">
        <v>278</v>
      </c>
      <c r="K288" s="483" t="s">
        <v>279</v>
      </c>
      <c r="L288" s="483" t="s">
        <v>307</v>
      </c>
      <c r="M288" s="483" t="s">
        <v>292</v>
      </c>
      <c r="N288" s="473">
        <v>500</v>
      </c>
      <c r="O288" s="484">
        <v>10</v>
      </c>
      <c r="P288" s="472" t="s">
        <v>365</v>
      </c>
      <c r="Q288" s="483" t="s">
        <v>2188</v>
      </c>
      <c r="R288" s="472" t="s">
        <v>389</v>
      </c>
      <c r="S288" s="474"/>
      <c r="T288" s="474"/>
      <c r="U288" s="475" t="s">
        <v>368</v>
      </c>
      <c r="V288" s="485" t="str">
        <f>CLEAN(TRIM(Table2[[#This Row],[Status]] &amp; "|" &amp; Table2[[#This Row],[Level]] &amp; "|" &amp; Table2[[#This Row],[Participant As]]))</f>
        <v>Narasumber / Pemateri Acara Seminar / Workshop / Pemakalah|External International|Individual</v>
      </c>
      <c r="W288" s="486">
        <f>IFERROR(INDEX(GradingSimkat[Score], MATCH(Table2[[#This Row],[Criteria]], GradingSimkat[Criteria], 0)), 0)</f>
        <v>0</v>
      </c>
    </row>
    <row r="289" spans="1:23" ht="52.75" customHeight="1">
      <c r="A289" s="482" t="s">
        <v>546</v>
      </c>
      <c r="B289" s="483" t="s">
        <v>547</v>
      </c>
      <c r="C289" s="483" t="s">
        <v>274</v>
      </c>
      <c r="D289" s="484">
        <v>2022</v>
      </c>
      <c r="E289" s="483" t="s">
        <v>361</v>
      </c>
      <c r="F289" s="472" t="s">
        <v>362</v>
      </c>
      <c r="G289" s="472" t="s">
        <v>363</v>
      </c>
      <c r="H289" s="473">
        <v>20231</v>
      </c>
      <c r="I289" s="483" t="s">
        <v>364</v>
      </c>
      <c r="J289" s="472" t="s">
        <v>278</v>
      </c>
      <c r="K289" s="483" t="s">
        <v>279</v>
      </c>
      <c r="L289" s="483" t="s">
        <v>307</v>
      </c>
      <c r="M289" s="483" t="s">
        <v>292</v>
      </c>
      <c r="N289" s="473">
        <v>500</v>
      </c>
      <c r="O289" s="484">
        <v>10</v>
      </c>
      <c r="P289" s="472" t="s">
        <v>365</v>
      </c>
      <c r="Q289" s="483" t="s">
        <v>2186</v>
      </c>
      <c r="R289" s="472" t="s">
        <v>367</v>
      </c>
      <c r="S289" s="474"/>
      <c r="T289" s="474"/>
      <c r="U289" s="475" t="s">
        <v>368</v>
      </c>
      <c r="V289" s="485" t="str">
        <f>CLEAN(TRIM(Table2[[#This Row],[Status]] &amp; "|" &amp; Table2[[#This Row],[Level]] &amp; "|" &amp; Table2[[#This Row],[Participant As]]))</f>
        <v>Narasumber / Pemateri Acara Seminar / Workshop / Pemakalah|External International|Individual</v>
      </c>
      <c r="W289" s="486">
        <f>IFERROR(INDEX(GradingSimkat[Score], MATCH(Table2[[#This Row],[Criteria]], GradingSimkat[Criteria], 0)), 0)</f>
        <v>0</v>
      </c>
    </row>
    <row r="290" spans="1:23" ht="13.75" customHeight="1">
      <c r="A290" s="482" t="s">
        <v>623</v>
      </c>
      <c r="B290" s="483" t="s">
        <v>624</v>
      </c>
      <c r="C290" s="483" t="s">
        <v>274</v>
      </c>
      <c r="D290" s="484">
        <v>2022</v>
      </c>
      <c r="E290" s="483" t="s">
        <v>361</v>
      </c>
      <c r="F290" s="472" t="s">
        <v>362</v>
      </c>
      <c r="G290" s="472" t="s">
        <v>363</v>
      </c>
      <c r="H290" s="473">
        <v>20231</v>
      </c>
      <c r="I290" s="483" t="s">
        <v>364</v>
      </c>
      <c r="J290" s="472" t="s">
        <v>278</v>
      </c>
      <c r="K290" s="483" t="s">
        <v>279</v>
      </c>
      <c r="L290" s="483" t="s">
        <v>307</v>
      </c>
      <c r="M290" s="483" t="s">
        <v>292</v>
      </c>
      <c r="N290" s="473">
        <v>500</v>
      </c>
      <c r="O290" s="484">
        <v>10</v>
      </c>
      <c r="P290" s="472" t="s">
        <v>365</v>
      </c>
      <c r="Q290" s="483" t="s">
        <v>2186</v>
      </c>
      <c r="R290" s="472" t="s">
        <v>367</v>
      </c>
      <c r="S290" s="474"/>
      <c r="T290" s="474"/>
      <c r="U290" s="475" t="s">
        <v>368</v>
      </c>
      <c r="V290" s="485" t="str">
        <f>CLEAN(TRIM(Table2[[#This Row],[Status]] &amp; "|" &amp; Table2[[#This Row],[Level]] &amp; "|" &amp; Table2[[#This Row],[Participant As]]))</f>
        <v>Narasumber / Pemateri Acara Seminar / Workshop / Pemakalah|External International|Individual</v>
      </c>
      <c r="W290" s="486">
        <f>IFERROR(INDEX(GradingSimkat[Score], MATCH(Table2[[#This Row],[Criteria]], GradingSimkat[Criteria], 0)), 0)</f>
        <v>0</v>
      </c>
    </row>
    <row r="291" spans="1:23" ht="13.75" customHeight="1">
      <c r="A291" s="482" t="s">
        <v>441</v>
      </c>
      <c r="B291" s="483" t="s">
        <v>442</v>
      </c>
      <c r="C291" s="483" t="s">
        <v>274</v>
      </c>
      <c r="D291" s="484">
        <v>2021</v>
      </c>
      <c r="E291" s="483" t="s">
        <v>361</v>
      </c>
      <c r="F291" s="472" t="s">
        <v>362</v>
      </c>
      <c r="G291" s="472" t="s">
        <v>363</v>
      </c>
      <c r="H291" s="473">
        <v>20231</v>
      </c>
      <c r="I291" s="483" t="s">
        <v>364</v>
      </c>
      <c r="J291" s="472" t="s">
        <v>278</v>
      </c>
      <c r="K291" s="483" t="s">
        <v>279</v>
      </c>
      <c r="L291" s="483" t="s">
        <v>307</v>
      </c>
      <c r="M291" s="483" t="s">
        <v>292</v>
      </c>
      <c r="N291" s="473">
        <v>500</v>
      </c>
      <c r="O291" s="484">
        <v>10</v>
      </c>
      <c r="P291" s="472" t="s">
        <v>365</v>
      </c>
      <c r="Q291" s="483" t="s">
        <v>2186</v>
      </c>
      <c r="R291" s="472" t="s">
        <v>367</v>
      </c>
      <c r="S291" s="474"/>
      <c r="T291" s="474"/>
      <c r="U291" s="475" t="s">
        <v>368</v>
      </c>
      <c r="V291" s="485" t="str">
        <f>CLEAN(TRIM(Table2[[#This Row],[Status]] &amp; "|" &amp; Table2[[#This Row],[Level]] &amp; "|" &amp; Table2[[#This Row],[Participant As]]))</f>
        <v>Narasumber / Pemateri Acara Seminar / Workshop / Pemakalah|External International|Individual</v>
      </c>
      <c r="W291" s="486">
        <f>IFERROR(INDEX(GradingSimkat[Score], MATCH(Table2[[#This Row],[Criteria]], GradingSimkat[Criteria], 0)), 0)</f>
        <v>0</v>
      </c>
    </row>
    <row r="292" spans="1:23" ht="26.75" customHeight="1">
      <c r="A292" s="482" t="s">
        <v>599</v>
      </c>
      <c r="B292" s="483" t="s">
        <v>600</v>
      </c>
      <c r="C292" s="483" t="s">
        <v>274</v>
      </c>
      <c r="D292" s="484">
        <v>2022</v>
      </c>
      <c r="E292" s="483" t="s">
        <v>361</v>
      </c>
      <c r="F292" s="472" t="s">
        <v>362</v>
      </c>
      <c r="G292" s="472" t="s">
        <v>363</v>
      </c>
      <c r="H292" s="473">
        <v>20231</v>
      </c>
      <c r="I292" s="483" t="s">
        <v>364</v>
      </c>
      <c r="J292" s="472" t="s">
        <v>278</v>
      </c>
      <c r="K292" s="483" t="s">
        <v>279</v>
      </c>
      <c r="L292" s="483" t="s">
        <v>307</v>
      </c>
      <c r="M292" s="483" t="s">
        <v>292</v>
      </c>
      <c r="N292" s="473">
        <v>500</v>
      </c>
      <c r="O292" s="484">
        <v>10</v>
      </c>
      <c r="P292" s="472" t="s">
        <v>365</v>
      </c>
      <c r="Q292" s="483" t="s">
        <v>2186</v>
      </c>
      <c r="R292" s="472" t="s">
        <v>367</v>
      </c>
      <c r="S292" s="474"/>
      <c r="T292" s="474"/>
      <c r="U292" s="475" t="s">
        <v>368</v>
      </c>
      <c r="V292" s="485" t="str">
        <f>CLEAN(TRIM(Table2[[#This Row],[Status]] &amp; "|" &amp; Table2[[#This Row],[Level]] &amp; "|" &amp; Table2[[#This Row],[Participant As]]))</f>
        <v>Narasumber / Pemateri Acara Seminar / Workshop / Pemakalah|External International|Individual</v>
      </c>
      <c r="W292" s="486">
        <f>IFERROR(INDEX(GradingSimkat[Score], MATCH(Table2[[#This Row],[Criteria]], GradingSimkat[Criteria], 0)), 0)</f>
        <v>0</v>
      </c>
    </row>
    <row r="293" spans="1:23" ht="13.75" customHeight="1">
      <c r="A293" s="482" t="s">
        <v>984</v>
      </c>
      <c r="B293" s="483" t="s">
        <v>985</v>
      </c>
      <c r="C293" s="483" t="s">
        <v>986</v>
      </c>
      <c r="D293" s="484">
        <v>2020</v>
      </c>
      <c r="E293" s="483" t="s">
        <v>987</v>
      </c>
      <c r="F293" s="472" t="s">
        <v>988</v>
      </c>
      <c r="G293" s="472" t="s">
        <v>988</v>
      </c>
      <c r="H293" s="473">
        <v>20221</v>
      </c>
      <c r="I293" s="483" t="s">
        <v>989</v>
      </c>
      <c r="J293" s="472" t="s">
        <v>278</v>
      </c>
      <c r="K293" s="483" t="s">
        <v>279</v>
      </c>
      <c r="L293" s="483" t="s">
        <v>291</v>
      </c>
      <c r="M293" s="483" t="s">
        <v>292</v>
      </c>
      <c r="N293" s="473">
        <v>28</v>
      </c>
      <c r="O293" s="484">
        <v>5</v>
      </c>
      <c r="P293" s="474"/>
      <c r="Q293" s="483" t="s">
        <v>2206</v>
      </c>
      <c r="R293" s="472" t="s">
        <v>991</v>
      </c>
      <c r="S293" s="474"/>
      <c r="T293" s="474"/>
      <c r="U293" s="475" t="s">
        <v>992</v>
      </c>
      <c r="V293" s="485" t="str">
        <f>CLEAN(TRIM(Table2[[#This Row],[Status]] &amp; "|" &amp; Table2[[#This Row],[Level]] &amp; "|" &amp; Table2[[#This Row],[Participant As]]))</f>
        <v>Narasumber / Pemateri Acara Seminar / Workshop / Pemakalah|Internal Sekolah / Universitas|Individual</v>
      </c>
      <c r="W293" s="486">
        <f>IFERROR(INDEX(GradingSimkat[Score], MATCH(Table2[[#This Row],[Criteria]], GradingSimkat[Criteria], 0)), 0)</f>
        <v>0</v>
      </c>
    </row>
    <row r="294" spans="1:23" ht="26.75" customHeight="1">
      <c r="A294" s="482" t="s">
        <v>984</v>
      </c>
      <c r="B294" s="483" t="s">
        <v>985</v>
      </c>
      <c r="C294" s="483" t="s">
        <v>986</v>
      </c>
      <c r="D294" s="484">
        <v>2020</v>
      </c>
      <c r="E294" s="483" t="s">
        <v>993</v>
      </c>
      <c r="F294" s="472" t="s">
        <v>994</v>
      </c>
      <c r="G294" s="472" t="s">
        <v>994</v>
      </c>
      <c r="H294" s="473">
        <v>20222</v>
      </c>
      <c r="I294" s="487"/>
      <c r="J294" s="472" t="s">
        <v>278</v>
      </c>
      <c r="K294" s="483" t="s">
        <v>279</v>
      </c>
      <c r="L294" s="483" t="s">
        <v>291</v>
      </c>
      <c r="M294" s="483" t="s">
        <v>292</v>
      </c>
      <c r="N294" s="473">
        <v>28</v>
      </c>
      <c r="O294" s="484">
        <v>5</v>
      </c>
      <c r="P294" s="474"/>
      <c r="Q294" s="483" t="s">
        <v>2207</v>
      </c>
      <c r="R294" s="474"/>
      <c r="S294" s="474"/>
      <c r="T294" s="474"/>
      <c r="U294" s="475" t="s">
        <v>992</v>
      </c>
      <c r="V294" s="485" t="str">
        <f>CLEAN(TRIM(Table2[[#This Row],[Status]] &amp; "|" &amp; Table2[[#This Row],[Level]] &amp; "|" &amp; Table2[[#This Row],[Participant As]]))</f>
        <v>Narasumber / Pemateri Acara Seminar / Workshop / Pemakalah|Internal Sekolah / Universitas|Individual</v>
      </c>
      <c r="W294" s="486">
        <f>IFERROR(INDEX(GradingSimkat[Score], MATCH(Table2[[#This Row],[Criteria]], GradingSimkat[Criteria], 0)), 0)</f>
        <v>0</v>
      </c>
    </row>
    <row r="295" spans="1:23" ht="39.75" customHeight="1">
      <c r="A295" s="482" t="s">
        <v>857</v>
      </c>
      <c r="B295" s="483" t="s">
        <v>858</v>
      </c>
      <c r="C295" s="483" t="s">
        <v>274</v>
      </c>
      <c r="D295" s="484">
        <v>2023</v>
      </c>
      <c r="E295" s="483" t="s">
        <v>361</v>
      </c>
      <c r="F295" s="472" t="s">
        <v>362</v>
      </c>
      <c r="G295" s="472" t="s">
        <v>363</v>
      </c>
      <c r="H295" s="473">
        <v>20231</v>
      </c>
      <c r="I295" s="483" t="s">
        <v>364</v>
      </c>
      <c r="J295" s="472" t="s">
        <v>278</v>
      </c>
      <c r="K295" s="483" t="s">
        <v>279</v>
      </c>
      <c r="L295" s="483" t="s">
        <v>307</v>
      </c>
      <c r="M295" s="483" t="s">
        <v>292</v>
      </c>
      <c r="N295" s="473">
        <v>500</v>
      </c>
      <c r="O295" s="484">
        <v>10</v>
      </c>
      <c r="P295" s="472" t="s">
        <v>365</v>
      </c>
      <c r="Q295" s="483" t="s">
        <v>2186</v>
      </c>
      <c r="R295" s="472" t="s">
        <v>367</v>
      </c>
      <c r="S295" s="474"/>
      <c r="T295" s="474"/>
      <c r="U295" s="475" t="s">
        <v>368</v>
      </c>
      <c r="V295" s="485" t="str">
        <f>CLEAN(TRIM(Table2[[#This Row],[Status]] &amp; "|" &amp; Table2[[#This Row],[Level]] &amp; "|" &amp; Table2[[#This Row],[Participant As]]))</f>
        <v>Narasumber / Pemateri Acara Seminar / Workshop / Pemakalah|External International|Individual</v>
      </c>
      <c r="W295" s="486">
        <f>IFERROR(INDEX(GradingSimkat[Score], MATCH(Table2[[#This Row],[Criteria]], GradingSimkat[Criteria], 0)), 0)</f>
        <v>0</v>
      </c>
    </row>
    <row r="296" spans="1:23" ht="13.75" customHeight="1">
      <c r="A296" s="482" t="s">
        <v>699</v>
      </c>
      <c r="B296" s="483" t="s">
        <v>700</v>
      </c>
      <c r="C296" s="483" t="s">
        <v>274</v>
      </c>
      <c r="D296" s="484">
        <v>2022</v>
      </c>
      <c r="E296" s="483" t="s">
        <v>361</v>
      </c>
      <c r="F296" s="472" t="s">
        <v>362</v>
      </c>
      <c r="G296" s="472" t="s">
        <v>363</v>
      </c>
      <c r="H296" s="473">
        <v>20231</v>
      </c>
      <c r="I296" s="483" t="s">
        <v>364</v>
      </c>
      <c r="J296" s="472" t="s">
        <v>278</v>
      </c>
      <c r="K296" s="483" t="s">
        <v>279</v>
      </c>
      <c r="L296" s="483" t="s">
        <v>307</v>
      </c>
      <c r="M296" s="483" t="s">
        <v>292</v>
      </c>
      <c r="N296" s="473">
        <v>500</v>
      </c>
      <c r="O296" s="484">
        <v>10</v>
      </c>
      <c r="P296" s="472" t="s">
        <v>365</v>
      </c>
      <c r="Q296" s="483" t="s">
        <v>2186</v>
      </c>
      <c r="R296" s="472" t="s">
        <v>367</v>
      </c>
      <c r="S296" s="474"/>
      <c r="T296" s="474"/>
      <c r="U296" s="475" t="s">
        <v>368</v>
      </c>
      <c r="V296" s="485" t="str">
        <f>CLEAN(TRIM(Table2[[#This Row],[Status]] &amp; "|" &amp; Table2[[#This Row],[Level]] &amp; "|" &amp; Table2[[#This Row],[Participant As]]))</f>
        <v>Narasumber / Pemateri Acara Seminar / Workshop / Pemakalah|External International|Individual</v>
      </c>
      <c r="W296" s="486">
        <f>IFERROR(INDEX(GradingSimkat[Score], MATCH(Table2[[#This Row],[Criteria]], GradingSimkat[Criteria], 0)), 0)</f>
        <v>0</v>
      </c>
    </row>
    <row r="297" spans="1:23" ht="13.75" customHeight="1">
      <c r="A297" s="482" t="s">
        <v>491</v>
      </c>
      <c r="B297" s="483" t="s">
        <v>492</v>
      </c>
      <c r="C297" s="483" t="s">
        <v>274</v>
      </c>
      <c r="D297" s="484">
        <v>2021</v>
      </c>
      <c r="E297" s="483" t="s">
        <v>493</v>
      </c>
      <c r="F297" s="472" t="s">
        <v>458</v>
      </c>
      <c r="G297" s="472" t="s">
        <v>339</v>
      </c>
      <c r="H297" s="473">
        <v>20221</v>
      </c>
      <c r="I297" s="483" t="s">
        <v>494</v>
      </c>
      <c r="J297" s="472" t="s">
        <v>278</v>
      </c>
      <c r="K297" s="493" t="s">
        <v>2156</v>
      </c>
      <c r="L297" s="483" t="s">
        <v>280</v>
      </c>
      <c r="M297" s="483" t="s">
        <v>281</v>
      </c>
      <c r="N297" s="473">
        <v>5</v>
      </c>
      <c r="O297" s="484">
        <v>15</v>
      </c>
      <c r="P297" s="474"/>
      <c r="Q297" s="483" t="s">
        <v>2199</v>
      </c>
      <c r="R297" s="472" t="s">
        <v>496</v>
      </c>
      <c r="S297" s="474"/>
      <c r="T297" s="474"/>
      <c r="U297" s="475" t="s">
        <v>343</v>
      </c>
      <c r="V297" s="485" t="str">
        <f>CLEAN(TRIM(Table2[[#This Row],[Status]] &amp; "|" &amp; Table2[[#This Row],[Level]] &amp; "|" &amp; Table2[[#This Row],[Participant As]]))</f>
        <v>Pemakalah dalam Conference/Seminar Ilmiah|External National|Team</v>
      </c>
      <c r="W297" s="486">
        <f>IFERROR(INDEX(GradingSimkat[Score], MATCH(Table2[[#This Row],[Criteria]], GradingSimkat[Criteria], 0)), 0)</f>
        <v>4</v>
      </c>
    </row>
    <row r="298" spans="1:23" ht="13.75" customHeight="1">
      <c r="A298" s="482" t="s">
        <v>1230</v>
      </c>
      <c r="B298" s="483" t="s">
        <v>1231</v>
      </c>
      <c r="C298" s="483" t="s">
        <v>1227</v>
      </c>
      <c r="D298" s="484">
        <v>2020</v>
      </c>
      <c r="E298" s="483" t="s">
        <v>361</v>
      </c>
      <c r="F298" s="472" t="s">
        <v>362</v>
      </c>
      <c r="G298" s="472" t="s">
        <v>363</v>
      </c>
      <c r="H298" s="473">
        <v>20231</v>
      </c>
      <c r="I298" s="483" t="s">
        <v>364</v>
      </c>
      <c r="J298" s="472" t="s">
        <v>278</v>
      </c>
      <c r="K298" s="483" t="s">
        <v>279</v>
      </c>
      <c r="L298" s="483" t="s">
        <v>307</v>
      </c>
      <c r="M298" s="483" t="s">
        <v>292</v>
      </c>
      <c r="N298" s="473">
        <v>500</v>
      </c>
      <c r="O298" s="484">
        <v>10</v>
      </c>
      <c r="P298" s="472" t="s">
        <v>365</v>
      </c>
      <c r="Q298" s="483" t="s">
        <v>2188</v>
      </c>
      <c r="R298" s="472" t="s">
        <v>389</v>
      </c>
      <c r="S298" s="474"/>
      <c r="T298" s="474"/>
      <c r="U298" s="475" t="s">
        <v>368</v>
      </c>
      <c r="V298" s="485" t="str">
        <f>CLEAN(TRIM(Table2[[#This Row],[Status]] &amp; "|" &amp; Table2[[#This Row],[Level]] &amp; "|" &amp; Table2[[#This Row],[Participant As]]))</f>
        <v>Narasumber / Pemateri Acara Seminar / Workshop / Pemakalah|External International|Individual</v>
      </c>
      <c r="W298" s="486">
        <f>IFERROR(INDEX(GradingSimkat[Score], MATCH(Table2[[#This Row],[Criteria]], GradingSimkat[Criteria], 0)), 0)</f>
        <v>0</v>
      </c>
    </row>
    <row r="299" spans="1:23" ht="13.75" customHeight="1">
      <c r="A299" s="482" t="s">
        <v>675</v>
      </c>
      <c r="B299" s="483" t="s">
        <v>676</v>
      </c>
      <c r="C299" s="483" t="s">
        <v>274</v>
      </c>
      <c r="D299" s="484">
        <v>2022</v>
      </c>
      <c r="E299" s="483" t="s">
        <v>361</v>
      </c>
      <c r="F299" s="472" t="s">
        <v>362</v>
      </c>
      <c r="G299" s="472" t="s">
        <v>363</v>
      </c>
      <c r="H299" s="473">
        <v>20231</v>
      </c>
      <c r="I299" s="483" t="s">
        <v>364</v>
      </c>
      <c r="J299" s="472" t="s">
        <v>278</v>
      </c>
      <c r="K299" s="483" t="s">
        <v>279</v>
      </c>
      <c r="L299" s="483" t="s">
        <v>307</v>
      </c>
      <c r="M299" s="483" t="s">
        <v>292</v>
      </c>
      <c r="N299" s="473">
        <v>500</v>
      </c>
      <c r="O299" s="484">
        <v>10</v>
      </c>
      <c r="P299" s="472" t="s">
        <v>365</v>
      </c>
      <c r="Q299" s="483" t="s">
        <v>2186</v>
      </c>
      <c r="R299" s="472" t="s">
        <v>367</v>
      </c>
      <c r="S299" s="474"/>
      <c r="T299" s="474"/>
      <c r="U299" s="475" t="s">
        <v>368</v>
      </c>
      <c r="V299" s="485" t="str">
        <f>CLEAN(TRIM(Table2[[#This Row],[Status]] &amp; "|" &amp; Table2[[#This Row],[Level]] &amp; "|" &amp; Table2[[#This Row],[Participant As]]))</f>
        <v>Narasumber / Pemateri Acara Seminar / Workshop / Pemakalah|External International|Individual</v>
      </c>
      <c r="W299" s="486">
        <f>IFERROR(INDEX(GradingSimkat[Score], MATCH(Table2[[#This Row],[Criteria]], GradingSimkat[Criteria], 0)), 0)</f>
        <v>0</v>
      </c>
    </row>
    <row r="300" spans="1:23" ht="13.75" customHeight="1">
      <c r="A300" s="482" t="s">
        <v>729</v>
      </c>
      <c r="B300" s="483" t="s">
        <v>730</v>
      </c>
      <c r="C300" s="483" t="s">
        <v>274</v>
      </c>
      <c r="D300" s="484">
        <v>2022</v>
      </c>
      <c r="E300" s="483" t="s">
        <v>361</v>
      </c>
      <c r="F300" s="472" t="s">
        <v>362</v>
      </c>
      <c r="G300" s="472" t="s">
        <v>363</v>
      </c>
      <c r="H300" s="473">
        <v>20231</v>
      </c>
      <c r="I300" s="483" t="s">
        <v>364</v>
      </c>
      <c r="J300" s="472" t="s">
        <v>278</v>
      </c>
      <c r="K300" s="483" t="s">
        <v>279</v>
      </c>
      <c r="L300" s="483" t="s">
        <v>307</v>
      </c>
      <c r="M300" s="483" t="s">
        <v>292</v>
      </c>
      <c r="N300" s="473">
        <v>500</v>
      </c>
      <c r="O300" s="484">
        <v>10</v>
      </c>
      <c r="P300" s="472" t="s">
        <v>365</v>
      </c>
      <c r="Q300" s="483" t="s">
        <v>2186</v>
      </c>
      <c r="R300" s="472" t="s">
        <v>367</v>
      </c>
      <c r="S300" s="474"/>
      <c r="T300" s="474"/>
      <c r="U300" s="475" t="s">
        <v>368</v>
      </c>
      <c r="V300" s="485" t="str">
        <f>CLEAN(TRIM(Table2[[#This Row],[Status]] &amp; "|" &amp; Table2[[#This Row],[Level]] &amp; "|" &amp; Table2[[#This Row],[Participant As]]))</f>
        <v>Narasumber / Pemateri Acara Seminar / Workshop / Pemakalah|External International|Individual</v>
      </c>
      <c r="W300" s="486">
        <f>IFERROR(INDEX(GradingSimkat[Score], MATCH(Table2[[#This Row],[Criteria]], GradingSimkat[Criteria], 0)), 0)</f>
        <v>0</v>
      </c>
    </row>
    <row r="301" spans="1:23" ht="13.75" customHeight="1">
      <c r="A301" s="482" t="s">
        <v>913</v>
      </c>
      <c r="B301" s="483" t="s">
        <v>914</v>
      </c>
      <c r="C301" s="483" t="s">
        <v>274</v>
      </c>
      <c r="D301" s="484">
        <v>2023</v>
      </c>
      <c r="E301" s="483" t="s">
        <v>361</v>
      </c>
      <c r="F301" s="472" t="s">
        <v>362</v>
      </c>
      <c r="G301" s="472" t="s">
        <v>363</v>
      </c>
      <c r="H301" s="473">
        <v>20231</v>
      </c>
      <c r="I301" s="483" t="s">
        <v>364</v>
      </c>
      <c r="J301" s="472" t="s">
        <v>278</v>
      </c>
      <c r="K301" s="483" t="s">
        <v>279</v>
      </c>
      <c r="L301" s="483" t="s">
        <v>307</v>
      </c>
      <c r="M301" s="483" t="s">
        <v>292</v>
      </c>
      <c r="N301" s="473">
        <v>500</v>
      </c>
      <c r="O301" s="484">
        <v>10</v>
      </c>
      <c r="P301" s="472" t="s">
        <v>365</v>
      </c>
      <c r="Q301" s="483" t="s">
        <v>2186</v>
      </c>
      <c r="R301" s="472" t="s">
        <v>367</v>
      </c>
      <c r="S301" s="474"/>
      <c r="T301" s="474"/>
      <c r="U301" s="475" t="s">
        <v>368</v>
      </c>
      <c r="V301" s="485" t="str">
        <f>CLEAN(TRIM(Table2[[#This Row],[Status]] &amp; "|" &amp; Table2[[#This Row],[Level]] &amp; "|" &amp; Table2[[#This Row],[Participant As]]))</f>
        <v>Narasumber / Pemateri Acara Seminar / Workshop / Pemakalah|External International|Individual</v>
      </c>
      <c r="W301" s="486">
        <f>IFERROR(INDEX(GradingSimkat[Score], MATCH(Table2[[#This Row],[Criteria]], GradingSimkat[Criteria], 0)), 0)</f>
        <v>0</v>
      </c>
    </row>
    <row r="302" spans="1:23" ht="13.75" customHeight="1">
      <c r="A302" s="482" t="s">
        <v>949</v>
      </c>
      <c r="B302" s="483" t="s">
        <v>950</v>
      </c>
      <c r="C302" s="483" t="s">
        <v>274</v>
      </c>
      <c r="D302" s="484">
        <v>2023</v>
      </c>
      <c r="E302" s="483" t="s">
        <v>361</v>
      </c>
      <c r="F302" s="472" t="s">
        <v>362</v>
      </c>
      <c r="G302" s="472" t="s">
        <v>363</v>
      </c>
      <c r="H302" s="473">
        <v>20231</v>
      </c>
      <c r="I302" s="483" t="s">
        <v>364</v>
      </c>
      <c r="J302" s="472" t="s">
        <v>278</v>
      </c>
      <c r="K302" s="483" t="s">
        <v>279</v>
      </c>
      <c r="L302" s="483" t="s">
        <v>307</v>
      </c>
      <c r="M302" s="483" t="s">
        <v>292</v>
      </c>
      <c r="N302" s="473">
        <v>500</v>
      </c>
      <c r="O302" s="484">
        <v>10</v>
      </c>
      <c r="P302" s="472" t="s">
        <v>365</v>
      </c>
      <c r="Q302" s="483" t="s">
        <v>2186</v>
      </c>
      <c r="R302" s="472" t="s">
        <v>367</v>
      </c>
      <c r="S302" s="474"/>
      <c r="T302" s="474"/>
      <c r="U302" s="475" t="s">
        <v>368</v>
      </c>
      <c r="V302" s="485" t="str">
        <f>CLEAN(TRIM(Table2[[#This Row],[Status]] &amp; "|" &amp; Table2[[#This Row],[Level]] &amp; "|" &amp; Table2[[#This Row],[Participant As]]))</f>
        <v>Narasumber / Pemateri Acara Seminar / Workshop / Pemakalah|External International|Individual</v>
      </c>
      <c r="W302" s="486">
        <f>IFERROR(INDEX(GradingSimkat[Score], MATCH(Table2[[#This Row],[Criteria]], GradingSimkat[Criteria], 0)), 0)</f>
        <v>0</v>
      </c>
    </row>
    <row r="303" spans="1:23" ht="13.75" customHeight="1">
      <c r="A303" s="482" t="s">
        <v>947</v>
      </c>
      <c r="B303" s="483" t="s">
        <v>948</v>
      </c>
      <c r="C303" s="483" t="s">
        <v>274</v>
      </c>
      <c r="D303" s="484">
        <v>2023</v>
      </c>
      <c r="E303" s="483" t="s">
        <v>361</v>
      </c>
      <c r="F303" s="472" t="s">
        <v>362</v>
      </c>
      <c r="G303" s="472" t="s">
        <v>363</v>
      </c>
      <c r="H303" s="473">
        <v>20231</v>
      </c>
      <c r="I303" s="483" t="s">
        <v>364</v>
      </c>
      <c r="J303" s="472" t="s">
        <v>278</v>
      </c>
      <c r="K303" s="483" t="s">
        <v>279</v>
      </c>
      <c r="L303" s="483" t="s">
        <v>307</v>
      </c>
      <c r="M303" s="483" t="s">
        <v>292</v>
      </c>
      <c r="N303" s="473">
        <v>500</v>
      </c>
      <c r="O303" s="484">
        <v>10</v>
      </c>
      <c r="P303" s="472" t="s">
        <v>365</v>
      </c>
      <c r="Q303" s="483" t="s">
        <v>2186</v>
      </c>
      <c r="R303" s="472" t="s">
        <v>367</v>
      </c>
      <c r="S303" s="474"/>
      <c r="T303" s="474"/>
      <c r="U303" s="475" t="s">
        <v>368</v>
      </c>
      <c r="V303" s="485" t="str">
        <f>CLEAN(TRIM(Table2[[#This Row],[Status]] &amp; "|" &amp; Table2[[#This Row],[Level]] &amp; "|" &amp; Table2[[#This Row],[Participant As]]))</f>
        <v>Narasumber / Pemateri Acara Seminar / Workshop / Pemakalah|External International|Individual</v>
      </c>
      <c r="W303" s="486">
        <f>IFERROR(INDEX(GradingSimkat[Score], MATCH(Table2[[#This Row],[Criteria]], GradingSimkat[Criteria], 0)), 0)</f>
        <v>0</v>
      </c>
    </row>
    <row r="304" spans="1:23" ht="13.75" customHeight="1">
      <c r="A304" s="482" t="s">
        <v>591</v>
      </c>
      <c r="B304" s="483" t="s">
        <v>592</v>
      </c>
      <c r="C304" s="483" t="s">
        <v>274</v>
      </c>
      <c r="D304" s="484">
        <v>2022</v>
      </c>
      <c r="E304" s="483" t="s">
        <v>361</v>
      </c>
      <c r="F304" s="472" t="s">
        <v>362</v>
      </c>
      <c r="G304" s="472" t="s">
        <v>363</v>
      </c>
      <c r="H304" s="473">
        <v>20231</v>
      </c>
      <c r="I304" s="483" t="s">
        <v>364</v>
      </c>
      <c r="J304" s="472" t="s">
        <v>278</v>
      </c>
      <c r="K304" s="483" t="s">
        <v>279</v>
      </c>
      <c r="L304" s="483" t="s">
        <v>307</v>
      </c>
      <c r="M304" s="483" t="s">
        <v>292</v>
      </c>
      <c r="N304" s="473">
        <v>500</v>
      </c>
      <c r="O304" s="484">
        <v>10</v>
      </c>
      <c r="P304" s="472" t="s">
        <v>365</v>
      </c>
      <c r="Q304" s="483" t="s">
        <v>2186</v>
      </c>
      <c r="R304" s="472" t="s">
        <v>367</v>
      </c>
      <c r="S304" s="474"/>
      <c r="T304" s="474"/>
      <c r="U304" s="475" t="s">
        <v>368</v>
      </c>
      <c r="V304" s="485" t="str">
        <f>CLEAN(TRIM(Table2[[#This Row],[Status]] &amp; "|" &amp; Table2[[#This Row],[Level]] &amp; "|" &amp; Table2[[#This Row],[Participant As]]))</f>
        <v>Narasumber / Pemateri Acara Seminar / Workshop / Pemakalah|External International|Individual</v>
      </c>
      <c r="W304" s="486">
        <f>IFERROR(INDEX(GradingSimkat[Score], MATCH(Table2[[#This Row],[Criteria]], GradingSimkat[Criteria], 0)), 0)</f>
        <v>0</v>
      </c>
    </row>
    <row r="305" spans="1:23" ht="13.75" customHeight="1">
      <c r="A305" s="482" t="s">
        <v>673</v>
      </c>
      <c r="B305" s="483" t="s">
        <v>674</v>
      </c>
      <c r="C305" s="483" t="s">
        <v>274</v>
      </c>
      <c r="D305" s="484">
        <v>2022</v>
      </c>
      <c r="E305" s="483" t="s">
        <v>361</v>
      </c>
      <c r="F305" s="472" t="s">
        <v>362</v>
      </c>
      <c r="G305" s="472" t="s">
        <v>363</v>
      </c>
      <c r="H305" s="473">
        <v>20231</v>
      </c>
      <c r="I305" s="483" t="s">
        <v>364</v>
      </c>
      <c r="J305" s="472" t="s">
        <v>278</v>
      </c>
      <c r="K305" s="483" t="s">
        <v>279</v>
      </c>
      <c r="L305" s="483" t="s">
        <v>307</v>
      </c>
      <c r="M305" s="483" t="s">
        <v>292</v>
      </c>
      <c r="N305" s="473">
        <v>500</v>
      </c>
      <c r="O305" s="484">
        <v>10</v>
      </c>
      <c r="P305" s="472" t="s">
        <v>365</v>
      </c>
      <c r="Q305" s="483" t="s">
        <v>2186</v>
      </c>
      <c r="R305" s="472" t="s">
        <v>367</v>
      </c>
      <c r="S305" s="474"/>
      <c r="T305" s="474"/>
      <c r="U305" s="475" t="s">
        <v>368</v>
      </c>
      <c r="V305" s="485" t="str">
        <f>CLEAN(TRIM(Table2[[#This Row],[Status]] &amp; "|" &amp; Table2[[#This Row],[Level]] &amp; "|" &amp; Table2[[#This Row],[Participant As]]))</f>
        <v>Narasumber / Pemateri Acara Seminar / Workshop / Pemakalah|External International|Individual</v>
      </c>
      <c r="W305" s="486">
        <f>IFERROR(INDEX(GradingSimkat[Score], MATCH(Table2[[#This Row],[Criteria]], GradingSimkat[Criteria], 0)), 0)</f>
        <v>0</v>
      </c>
    </row>
    <row r="306" spans="1:23" ht="13.75" customHeight="1">
      <c r="A306" s="482" t="s">
        <v>725</v>
      </c>
      <c r="B306" s="483" t="s">
        <v>726</v>
      </c>
      <c r="C306" s="483" t="s">
        <v>274</v>
      </c>
      <c r="D306" s="484">
        <v>2022</v>
      </c>
      <c r="E306" s="483" t="s">
        <v>361</v>
      </c>
      <c r="F306" s="472" t="s">
        <v>362</v>
      </c>
      <c r="G306" s="472" t="s">
        <v>363</v>
      </c>
      <c r="H306" s="473">
        <v>20231</v>
      </c>
      <c r="I306" s="483" t="s">
        <v>364</v>
      </c>
      <c r="J306" s="472" t="s">
        <v>278</v>
      </c>
      <c r="K306" s="483" t="s">
        <v>279</v>
      </c>
      <c r="L306" s="483" t="s">
        <v>307</v>
      </c>
      <c r="M306" s="483" t="s">
        <v>292</v>
      </c>
      <c r="N306" s="473">
        <v>500</v>
      </c>
      <c r="O306" s="484">
        <v>10</v>
      </c>
      <c r="P306" s="472" t="s">
        <v>365</v>
      </c>
      <c r="Q306" s="483" t="s">
        <v>2186</v>
      </c>
      <c r="R306" s="472" t="s">
        <v>367</v>
      </c>
      <c r="S306" s="474"/>
      <c r="T306" s="474"/>
      <c r="U306" s="475" t="s">
        <v>368</v>
      </c>
      <c r="V306" s="485" t="str">
        <f>CLEAN(TRIM(Table2[[#This Row],[Status]] &amp; "|" &amp; Table2[[#This Row],[Level]] &amp; "|" &amp; Table2[[#This Row],[Participant As]]))</f>
        <v>Narasumber / Pemateri Acara Seminar / Workshop / Pemakalah|External International|Individual</v>
      </c>
      <c r="W306" s="486">
        <f>IFERROR(INDEX(GradingSimkat[Score], MATCH(Table2[[#This Row],[Criteria]], GradingSimkat[Criteria], 0)), 0)</f>
        <v>0</v>
      </c>
    </row>
    <row r="307" spans="1:23" ht="13.75" customHeight="1">
      <c r="A307" s="482" t="s">
        <v>953</v>
      </c>
      <c r="B307" s="483" t="s">
        <v>954</v>
      </c>
      <c r="C307" s="483" t="s">
        <v>274</v>
      </c>
      <c r="D307" s="484">
        <v>2023</v>
      </c>
      <c r="E307" s="483" t="s">
        <v>361</v>
      </c>
      <c r="F307" s="472" t="s">
        <v>362</v>
      </c>
      <c r="G307" s="472" t="s">
        <v>363</v>
      </c>
      <c r="H307" s="473">
        <v>20231</v>
      </c>
      <c r="I307" s="483" t="s">
        <v>364</v>
      </c>
      <c r="J307" s="472" t="s">
        <v>278</v>
      </c>
      <c r="K307" s="483" t="s">
        <v>279</v>
      </c>
      <c r="L307" s="483" t="s">
        <v>307</v>
      </c>
      <c r="M307" s="483" t="s">
        <v>292</v>
      </c>
      <c r="N307" s="473">
        <v>500</v>
      </c>
      <c r="O307" s="484">
        <v>10</v>
      </c>
      <c r="P307" s="472" t="s">
        <v>365</v>
      </c>
      <c r="Q307" s="483" t="s">
        <v>2186</v>
      </c>
      <c r="R307" s="472" t="s">
        <v>367</v>
      </c>
      <c r="S307" s="474"/>
      <c r="T307" s="474"/>
      <c r="U307" s="475" t="s">
        <v>368</v>
      </c>
      <c r="V307" s="485" t="str">
        <f>CLEAN(TRIM(Table2[[#This Row],[Status]] &amp; "|" &amp; Table2[[#This Row],[Level]] &amp; "|" &amp; Table2[[#This Row],[Participant As]]))</f>
        <v>Narasumber / Pemateri Acara Seminar / Workshop / Pemakalah|External International|Individual</v>
      </c>
      <c r="W307" s="486">
        <f>IFERROR(INDEX(GradingSimkat[Score], MATCH(Table2[[#This Row],[Criteria]], GradingSimkat[Criteria], 0)), 0)</f>
        <v>0</v>
      </c>
    </row>
    <row r="308" spans="1:23" ht="13.75" customHeight="1">
      <c r="A308" s="471" t="s">
        <v>982</v>
      </c>
      <c r="B308" s="472" t="s">
        <v>983</v>
      </c>
      <c r="C308" s="472" t="s">
        <v>966</v>
      </c>
      <c r="D308" s="473">
        <v>2023</v>
      </c>
      <c r="E308" s="472" t="s">
        <v>505</v>
      </c>
      <c r="F308" s="472" t="s">
        <v>506</v>
      </c>
      <c r="G308" s="472" t="s">
        <v>506</v>
      </c>
      <c r="H308" s="473">
        <v>20231</v>
      </c>
      <c r="I308" s="474"/>
      <c r="J308" s="472" t="s">
        <v>278</v>
      </c>
      <c r="K308" s="472" t="s">
        <v>2155</v>
      </c>
      <c r="L308" s="472" t="s">
        <v>291</v>
      </c>
      <c r="M308" s="472" t="s">
        <v>292</v>
      </c>
      <c r="N308" s="473">
        <v>50</v>
      </c>
      <c r="O308" s="473">
        <v>4</v>
      </c>
      <c r="P308" s="474"/>
      <c r="Q308" s="472" t="s">
        <v>507</v>
      </c>
      <c r="R308" s="472" t="s">
        <v>508</v>
      </c>
      <c r="S308" s="474"/>
      <c r="T308" s="474"/>
      <c r="U308" s="475" t="s">
        <v>440</v>
      </c>
      <c r="V308" s="481" t="str">
        <f>CLEAN(TRIM(Table2[[#This Row],[Status]] &amp; "|" &amp; Table2[[#This Row],[Level]] &amp; "|" &amp; Table2[[#This Row],[Participant As]]))</f>
        <v>Juri/Pelatih/Wasit|Internal Sekolah / Universitas|Individual</v>
      </c>
      <c r="W308" s="477">
        <f>IFERROR(INDEX(GradingSimkat[Score], MATCH(Table2[[#This Row],[Criteria]], GradingSimkat[Criteria], 0)), 0)</f>
        <v>0</v>
      </c>
    </row>
    <row r="309" spans="1:23" ht="13.75" customHeight="1">
      <c r="A309" s="482" t="s">
        <v>853</v>
      </c>
      <c r="B309" s="483" t="s">
        <v>854</v>
      </c>
      <c r="C309" s="483" t="s">
        <v>274</v>
      </c>
      <c r="D309" s="484">
        <v>2023</v>
      </c>
      <c r="E309" s="483" t="s">
        <v>361</v>
      </c>
      <c r="F309" s="472" t="s">
        <v>362</v>
      </c>
      <c r="G309" s="472" t="s">
        <v>363</v>
      </c>
      <c r="H309" s="473">
        <v>20231</v>
      </c>
      <c r="I309" s="483" t="s">
        <v>364</v>
      </c>
      <c r="J309" s="472" t="s">
        <v>278</v>
      </c>
      <c r="K309" s="483" t="s">
        <v>279</v>
      </c>
      <c r="L309" s="483" t="s">
        <v>307</v>
      </c>
      <c r="M309" s="483" t="s">
        <v>292</v>
      </c>
      <c r="N309" s="473">
        <v>500</v>
      </c>
      <c r="O309" s="484">
        <v>10</v>
      </c>
      <c r="P309" s="472" t="s">
        <v>365</v>
      </c>
      <c r="Q309" s="483" t="s">
        <v>2186</v>
      </c>
      <c r="R309" s="472" t="s">
        <v>367</v>
      </c>
      <c r="S309" s="474"/>
      <c r="T309" s="474"/>
      <c r="U309" s="475" t="s">
        <v>368</v>
      </c>
      <c r="V309" s="485" t="str">
        <f>CLEAN(TRIM(Table2[[#This Row],[Status]] &amp; "|" &amp; Table2[[#This Row],[Level]] &amp; "|" &amp; Table2[[#This Row],[Participant As]]))</f>
        <v>Narasumber / Pemateri Acara Seminar / Workshop / Pemakalah|External International|Individual</v>
      </c>
      <c r="W309" s="486">
        <f>IFERROR(INDEX(GradingSimkat[Score], MATCH(Table2[[#This Row],[Criteria]], GradingSimkat[Criteria], 0)), 0)</f>
        <v>0</v>
      </c>
    </row>
    <row r="310" spans="1:23" ht="13.75" customHeight="1">
      <c r="A310" s="482" t="s">
        <v>1455</v>
      </c>
      <c r="B310" s="483" t="s">
        <v>1456</v>
      </c>
      <c r="C310" s="483" t="s">
        <v>1444</v>
      </c>
      <c r="D310" s="484">
        <v>2019</v>
      </c>
      <c r="E310" s="483" t="s">
        <v>1457</v>
      </c>
      <c r="F310" s="472" t="s">
        <v>1458</v>
      </c>
      <c r="G310" s="472" t="s">
        <v>1458</v>
      </c>
      <c r="H310" s="473">
        <v>20212</v>
      </c>
      <c r="I310" s="483" t="s">
        <v>1459</v>
      </c>
      <c r="J310" s="472" t="s">
        <v>278</v>
      </c>
      <c r="K310" s="483" t="s">
        <v>279</v>
      </c>
      <c r="L310" s="483" t="s">
        <v>291</v>
      </c>
      <c r="M310" s="483" t="s">
        <v>292</v>
      </c>
      <c r="N310" s="473">
        <v>0</v>
      </c>
      <c r="O310" s="484">
        <v>5</v>
      </c>
      <c r="P310" s="474"/>
      <c r="Q310" s="483" t="s">
        <v>2253</v>
      </c>
      <c r="R310" s="474"/>
      <c r="S310" s="474"/>
      <c r="T310" s="474"/>
      <c r="U310" s="475" t="s">
        <v>1461</v>
      </c>
      <c r="V310" s="485" t="str">
        <f>CLEAN(TRIM(Table2[[#This Row],[Status]] &amp; "|" &amp; Table2[[#This Row],[Level]] &amp; "|" &amp; Table2[[#This Row],[Participant As]]))</f>
        <v>Narasumber / Pemateri Acara Seminar / Workshop / Pemakalah|Internal Sekolah / Universitas|Individual</v>
      </c>
      <c r="W310" s="486">
        <f>IFERROR(INDEX(GradingSimkat[Score], MATCH(Table2[[#This Row],[Criteria]], GradingSimkat[Criteria], 0)), 0)</f>
        <v>0</v>
      </c>
    </row>
    <row r="311" spans="1:23" ht="13.75" customHeight="1">
      <c r="A311" s="482" t="s">
        <v>593</v>
      </c>
      <c r="B311" s="483" t="s">
        <v>594</v>
      </c>
      <c r="C311" s="483" t="s">
        <v>274</v>
      </c>
      <c r="D311" s="484">
        <v>2022</v>
      </c>
      <c r="E311" s="483" t="s">
        <v>361</v>
      </c>
      <c r="F311" s="472" t="s">
        <v>362</v>
      </c>
      <c r="G311" s="472" t="s">
        <v>363</v>
      </c>
      <c r="H311" s="473">
        <v>20231</v>
      </c>
      <c r="I311" s="483" t="s">
        <v>364</v>
      </c>
      <c r="J311" s="472" t="s">
        <v>278</v>
      </c>
      <c r="K311" s="483" t="s">
        <v>279</v>
      </c>
      <c r="L311" s="483" t="s">
        <v>307</v>
      </c>
      <c r="M311" s="483" t="s">
        <v>292</v>
      </c>
      <c r="N311" s="473">
        <v>500</v>
      </c>
      <c r="O311" s="484">
        <v>10</v>
      </c>
      <c r="P311" s="472" t="s">
        <v>365</v>
      </c>
      <c r="Q311" s="483" t="s">
        <v>2186</v>
      </c>
      <c r="R311" s="472" t="s">
        <v>367</v>
      </c>
      <c r="S311" s="474"/>
      <c r="T311" s="474"/>
      <c r="U311" s="475" t="s">
        <v>368</v>
      </c>
      <c r="V311" s="485" t="str">
        <f>CLEAN(TRIM(Table2[[#This Row],[Status]] &amp; "|" &amp; Table2[[#This Row],[Level]] &amp; "|" &amp; Table2[[#This Row],[Participant As]]))</f>
        <v>Narasumber / Pemateri Acara Seminar / Workshop / Pemakalah|External International|Individual</v>
      </c>
      <c r="W311" s="486">
        <f>IFERROR(INDEX(GradingSimkat[Score], MATCH(Table2[[#This Row],[Criteria]], GradingSimkat[Criteria], 0)), 0)</f>
        <v>0</v>
      </c>
    </row>
    <row r="312" spans="1:23" ht="13.75" customHeight="1">
      <c r="A312" s="471" t="s">
        <v>685</v>
      </c>
      <c r="B312" s="472" t="s">
        <v>686</v>
      </c>
      <c r="C312" s="472" t="s">
        <v>274</v>
      </c>
      <c r="D312" s="473">
        <v>2022</v>
      </c>
      <c r="E312" s="472" t="s">
        <v>505</v>
      </c>
      <c r="F312" s="472" t="s">
        <v>506</v>
      </c>
      <c r="G312" s="472" t="s">
        <v>506</v>
      </c>
      <c r="H312" s="473">
        <v>20231</v>
      </c>
      <c r="I312" s="474"/>
      <c r="J312" s="472" t="s">
        <v>278</v>
      </c>
      <c r="K312" s="472" t="s">
        <v>2155</v>
      </c>
      <c r="L312" s="472" t="s">
        <v>291</v>
      </c>
      <c r="M312" s="472" t="s">
        <v>292</v>
      </c>
      <c r="N312" s="473">
        <v>50</v>
      </c>
      <c r="O312" s="473">
        <v>4</v>
      </c>
      <c r="P312" s="474"/>
      <c r="Q312" s="472" t="s">
        <v>507</v>
      </c>
      <c r="R312" s="472" t="s">
        <v>508</v>
      </c>
      <c r="S312" s="474"/>
      <c r="T312" s="474"/>
      <c r="U312" s="475" t="s">
        <v>440</v>
      </c>
      <c r="V312" s="481" t="str">
        <f>CLEAN(TRIM(Table2[[#This Row],[Status]] &amp; "|" &amp; Table2[[#This Row],[Level]] &amp; "|" &amp; Table2[[#This Row],[Participant As]]))</f>
        <v>Juri/Pelatih/Wasit|Internal Sekolah / Universitas|Individual</v>
      </c>
      <c r="W312" s="477">
        <f>IFERROR(INDEX(GradingSimkat[Score], MATCH(Table2[[#This Row],[Criteria]], GradingSimkat[Criteria], 0)), 0)</f>
        <v>0</v>
      </c>
    </row>
    <row r="313" spans="1:23" ht="13.75" customHeight="1">
      <c r="A313" s="482" t="s">
        <v>685</v>
      </c>
      <c r="B313" s="483" t="s">
        <v>686</v>
      </c>
      <c r="C313" s="483" t="s">
        <v>274</v>
      </c>
      <c r="D313" s="484">
        <v>2022</v>
      </c>
      <c r="E313" s="483" t="s">
        <v>361</v>
      </c>
      <c r="F313" s="472" t="s">
        <v>362</v>
      </c>
      <c r="G313" s="472" t="s">
        <v>363</v>
      </c>
      <c r="H313" s="473">
        <v>20231</v>
      </c>
      <c r="I313" s="483" t="s">
        <v>364</v>
      </c>
      <c r="J313" s="472" t="s">
        <v>278</v>
      </c>
      <c r="K313" s="483" t="s">
        <v>279</v>
      </c>
      <c r="L313" s="483" t="s">
        <v>307</v>
      </c>
      <c r="M313" s="483" t="s">
        <v>292</v>
      </c>
      <c r="N313" s="473">
        <v>500</v>
      </c>
      <c r="O313" s="484">
        <v>10</v>
      </c>
      <c r="P313" s="472" t="s">
        <v>365</v>
      </c>
      <c r="Q313" s="483" t="s">
        <v>2186</v>
      </c>
      <c r="R313" s="472" t="s">
        <v>367</v>
      </c>
      <c r="S313" s="474"/>
      <c r="T313" s="474"/>
      <c r="U313" s="475" t="s">
        <v>368</v>
      </c>
      <c r="V313" s="485" t="str">
        <f>CLEAN(TRIM(Table2[[#This Row],[Status]] &amp; "|" &amp; Table2[[#This Row],[Level]] &amp; "|" &amp; Table2[[#This Row],[Participant As]]))</f>
        <v>Narasumber / Pemateri Acara Seminar / Workshop / Pemakalah|External International|Individual</v>
      </c>
      <c r="W313" s="486">
        <f>IFERROR(INDEX(GradingSimkat[Score], MATCH(Table2[[#This Row],[Criteria]], GradingSimkat[Criteria], 0)), 0)</f>
        <v>0</v>
      </c>
    </row>
    <row r="314" spans="1:23" ht="13.75" customHeight="1">
      <c r="A314" s="471" t="s">
        <v>1894</v>
      </c>
      <c r="B314" s="472" t="s">
        <v>1895</v>
      </c>
      <c r="C314" s="472" t="s">
        <v>1857</v>
      </c>
      <c r="D314" s="473">
        <v>2020</v>
      </c>
      <c r="E314" s="472" t="s">
        <v>1869</v>
      </c>
      <c r="F314" s="472" t="s">
        <v>1896</v>
      </c>
      <c r="G314" s="472" t="s">
        <v>1897</v>
      </c>
      <c r="H314" s="473">
        <v>20221</v>
      </c>
      <c r="I314" s="472" t="s">
        <v>1898</v>
      </c>
      <c r="J314" s="472" t="s">
        <v>278</v>
      </c>
      <c r="K314" s="472" t="s">
        <v>2160</v>
      </c>
      <c r="L314" s="472" t="s">
        <v>307</v>
      </c>
      <c r="M314" s="472" t="s">
        <v>281</v>
      </c>
      <c r="N314" s="473">
        <v>5</v>
      </c>
      <c r="O314" s="473">
        <v>15</v>
      </c>
      <c r="P314" s="472" t="s">
        <v>1899</v>
      </c>
      <c r="Q314" s="472" t="s">
        <v>1900</v>
      </c>
      <c r="R314" s="474"/>
      <c r="S314" s="474"/>
      <c r="T314" s="474"/>
      <c r="U314" s="475" t="s">
        <v>1875</v>
      </c>
      <c r="V314" s="481" t="str">
        <f>CLEAN(TRIM(Table2[[#This Row],[Status]] &amp; "|" &amp; Table2[[#This Row],[Level]] &amp; "|" &amp; Table2[[#This Row],[Participant As]]))</f>
        <v>Penulis pertama pada jurnal internasional bereputasi atau jurnal nasional terindeks SINTA 1 dan 2|External International|Team</v>
      </c>
      <c r="W314" s="477">
        <f>IFERROR(INDEX(GradingSimkat[Score], MATCH(Table2[[#This Row],[Criteria]], GradingSimkat[Criteria], 0)), 0)</f>
        <v>5</v>
      </c>
    </row>
    <row r="315" spans="1:23" ht="13.75" customHeight="1">
      <c r="A315" s="482" t="s">
        <v>1842</v>
      </c>
      <c r="B315" s="483" t="s">
        <v>1843</v>
      </c>
      <c r="C315" s="483" t="s">
        <v>1794</v>
      </c>
      <c r="D315" s="484">
        <v>2022</v>
      </c>
      <c r="E315" s="483" t="s">
        <v>1844</v>
      </c>
      <c r="F315" s="472" t="s">
        <v>1077</v>
      </c>
      <c r="G315" s="472" t="s">
        <v>1845</v>
      </c>
      <c r="H315" s="473">
        <v>20222</v>
      </c>
      <c r="I315" s="483" t="s">
        <v>1846</v>
      </c>
      <c r="J315" s="472" t="s">
        <v>278</v>
      </c>
      <c r="K315" s="483" t="s">
        <v>279</v>
      </c>
      <c r="L315" s="483" t="s">
        <v>291</v>
      </c>
      <c r="M315" s="483" t="s">
        <v>281</v>
      </c>
      <c r="N315" s="473">
        <v>20</v>
      </c>
      <c r="O315" s="484">
        <v>5</v>
      </c>
      <c r="P315" s="474"/>
      <c r="Q315" s="483" t="s">
        <v>2277</v>
      </c>
      <c r="R315" s="472" t="s">
        <v>1848</v>
      </c>
      <c r="S315" s="474"/>
      <c r="T315" s="474"/>
      <c r="U315" s="475" t="s">
        <v>469</v>
      </c>
      <c r="V315" s="485" t="str">
        <f>CLEAN(TRIM(Table2[[#This Row],[Status]] &amp; "|" &amp; Table2[[#This Row],[Level]] &amp; "|" &amp; Table2[[#This Row],[Participant As]]))</f>
        <v>Narasumber / Pemateri Acara Seminar / Workshop / Pemakalah|Internal Sekolah / Universitas|Team</v>
      </c>
      <c r="W315" s="486">
        <f>IFERROR(INDEX(GradingSimkat[Score], MATCH(Table2[[#This Row],[Criteria]], GradingSimkat[Criteria], 0)), 0)</f>
        <v>0</v>
      </c>
    </row>
    <row r="316" spans="1:23" ht="13.75" customHeight="1">
      <c r="A316" s="482" t="s">
        <v>449</v>
      </c>
      <c r="B316" s="483" t="s">
        <v>450</v>
      </c>
      <c r="C316" s="483" t="s">
        <v>274</v>
      </c>
      <c r="D316" s="484">
        <v>2021</v>
      </c>
      <c r="E316" s="483" t="s">
        <v>361</v>
      </c>
      <c r="F316" s="472" t="s">
        <v>362</v>
      </c>
      <c r="G316" s="472" t="s">
        <v>363</v>
      </c>
      <c r="H316" s="473">
        <v>20231</v>
      </c>
      <c r="I316" s="483" t="s">
        <v>364</v>
      </c>
      <c r="J316" s="472" t="s">
        <v>278</v>
      </c>
      <c r="K316" s="483" t="s">
        <v>279</v>
      </c>
      <c r="L316" s="483" t="s">
        <v>307</v>
      </c>
      <c r="M316" s="483" t="s">
        <v>292</v>
      </c>
      <c r="N316" s="473">
        <v>500</v>
      </c>
      <c r="O316" s="484">
        <v>10</v>
      </c>
      <c r="P316" s="472" t="s">
        <v>365</v>
      </c>
      <c r="Q316" s="483" t="s">
        <v>2186</v>
      </c>
      <c r="R316" s="472" t="s">
        <v>367</v>
      </c>
      <c r="S316" s="474"/>
      <c r="T316" s="474"/>
      <c r="U316" s="475" t="s">
        <v>368</v>
      </c>
      <c r="V316" s="485" t="str">
        <f>CLEAN(TRIM(Table2[[#This Row],[Status]] &amp; "|" &amp; Table2[[#This Row],[Level]] &amp; "|" &amp; Table2[[#This Row],[Participant As]]))</f>
        <v>Narasumber / Pemateri Acara Seminar / Workshop / Pemakalah|External International|Individual</v>
      </c>
      <c r="W316" s="486">
        <f>IFERROR(INDEX(GradingSimkat[Score], MATCH(Table2[[#This Row],[Criteria]], GradingSimkat[Criteria], 0)), 0)</f>
        <v>0</v>
      </c>
    </row>
    <row r="317" spans="1:23" ht="13.75" customHeight="1">
      <c r="A317" s="482" t="s">
        <v>741</v>
      </c>
      <c r="B317" s="483" t="s">
        <v>742</v>
      </c>
      <c r="C317" s="483" t="s">
        <v>274</v>
      </c>
      <c r="D317" s="484">
        <v>2022</v>
      </c>
      <c r="E317" s="483" t="s">
        <v>361</v>
      </c>
      <c r="F317" s="472" t="s">
        <v>362</v>
      </c>
      <c r="G317" s="472" t="s">
        <v>363</v>
      </c>
      <c r="H317" s="473">
        <v>20231</v>
      </c>
      <c r="I317" s="483" t="s">
        <v>364</v>
      </c>
      <c r="J317" s="472" t="s">
        <v>278</v>
      </c>
      <c r="K317" s="483" t="s">
        <v>279</v>
      </c>
      <c r="L317" s="483" t="s">
        <v>307</v>
      </c>
      <c r="M317" s="483" t="s">
        <v>292</v>
      </c>
      <c r="N317" s="473">
        <v>500</v>
      </c>
      <c r="O317" s="484">
        <v>10</v>
      </c>
      <c r="P317" s="472" t="s">
        <v>365</v>
      </c>
      <c r="Q317" s="483" t="s">
        <v>2186</v>
      </c>
      <c r="R317" s="472" t="s">
        <v>367</v>
      </c>
      <c r="S317" s="474"/>
      <c r="T317" s="474"/>
      <c r="U317" s="475" t="s">
        <v>368</v>
      </c>
      <c r="V317" s="485" t="str">
        <f>CLEAN(TRIM(Table2[[#This Row],[Status]] &amp; "|" &amp; Table2[[#This Row],[Level]] &amp; "|" &amp; Table2[[#This Row],[Participant As]]))</f>
        <v>Narasumber / Pemateri Acara Seminar / Workshop / Pemakalah|External International|Individual</v>
      </c>
      <c r="W317" s="486">
        <f>IFERROR(INDEX(GradingSimkat[Score], MATCH(Table2[[#This Row],[Criteria]], GradingSimkat[Criteria], 0)), 0)</f>
        <v>0</v>
      </c>
    </row>
    <row r="318" spans="1:23" ht="13.75" customHeight="1">
      <c r="A318" s="482" t="s">
        <v>1522</v>
      </c>
      <c r="B318" s="483" t="s">
        <v>1523</v>
      </c>
      <c r="C318" s="483" t="s">
        <v>1499</v>
      </c>
      <c r="D318" s="484">
        <v>2020</v>
      </c>
      <c r="E318" s="483" t="s">
        <v>1524</v>
      </c>
      <c r="F318" s="472" t="s">
        <v>1525</v>
      </c>
      <c r="G318" s="472" t="s">
        <v>1525</v>
      </c>
      <c r="H318" s="473">
        <v>20222</v>
      </c>
      <c r="I318" s="483" t="s">
        <v>1526</v>
      </c>
      <c r="J318" s="472" t="s">
        <v>278</v>
      </c>
      <c r="K318" s="483" t="s">
        <v>2157</v>
      </c>
      <c r="L318" s="483" t="s">
        <v>438</v>
      </c>
      <c r="M318" s="483" t="s">
        <v>281</v>
      </c>
      <c r="N318" s="473">
        <v>30</v>
      </c>
      <c r="O318" s="484">
        <v>5</v>
      </c>
      <c r="P318" s="474"/>
      <c r="Q318" s="483" t="s">
        <v>2254</v>
      </c>
      <c r="R318" s="472" t="s">
        <v>1528</v>
      </c>
      <c r="S318" s="474"/>
      <c r="T318" s="474"/>
      <c r="U318" s="475" t="s">
        <v>1529</v>
      </c>
      <c r="V318" s="485" t="str">
        <f>CLEAN(TRIM(Table2[[#This Row],[Status]] &amp; "|" &amp; Table2[[#This Row],[Level]] &amp; "|" &amp; Table2[[#This Row],[Participant As]]))</f>
        <v>Pembicara pada pelatihan/seminar/event berskala|External Regional|Team</v>
      </c>
      <c r="W318" s="486">
        <f>IFERROR(INDEX(GradingSimkat[Score], MATCH(Table2[[#This Row],[Criteria]], GradingSimkat[Criteria], 0)), 0)</f>
        <v>0</v>
      </c>
    </row>
    <row r="319" spans="1:23" ht="13.75" customHeight="1">
      <c r="A319" s="482" t="s">
        <v>795</v>
      </c>
      <c r="B319" s="483" t="s">
        <v>796</v>
      </c>
      <c r="C319" s="483" t="s">
        <v>274</v>
      </c>
      <c r="D319" s="484">
        <v>2023</v>
      </c>
      <c r="E319" s="483" t="s">
        <v>361</v>
      </c>
      <c r="F319" s="472" t="s">
        <v>362</v>
      </c>
      <c r="G319" s="472" t="s">
        <v>363</v>
      </c>
      <c r="H319" s="473">
        <v>20231</v>
      </c>
      <c r="I319" s="483" t="s">
        <v>364</v>
      </c>
      <c r="J319" s="472" t="s">
        <v>278</v>
      </c>
      <c r="K319" s="483" t="s">
        <v>279</v>
      </c>
      <c r="L319" s="483" t="s">
        <v>307</v>
      </c>
      <c r="M319" s="483" t="s">
        <v>292</v>
      </c>
      <c r="N319" s="473">
        <v>500</v>
      </c>
      <c r="O319" s="484">
        <v>10</v>
      </c>
      <c r="P319" s="472" t="s">
        <v>365</v>
      </c>
      <c r="Q319" s="483" t="s">
        <v>2186</v>
      </c>
      <c r="R319" s="472" t="s">
        <v>367</v>
      </c>
      <c r="S319" s="474"/>
      <c r="T319" s="474"/>
      <c r="U319" s="475" t="s">
        <v>368</v>
      </c>
      <c r="V319" s="485" t="str">
        <f>CLEAN(TRIM(Table2[[#This Row],[Status]] &amp; "|" &amp; Table2[[#This Row],[Level]] &amp; "|" &amp; Table2[[#This Row],[Participant As]]))</f>
        <v>Narasumber / Pemateri Acara Seminar / Workshop / Pemakalah|External International|Individual</v>
      </c>
      <c r="W319" s="486">
        <f>IFERROR(INDEX(GradingSimkat[Score], MATCH(Table2[[#This Row],[Criteria]], GradingSimkat[Criteria], 0)), 0)</f>
        <v>0</v>
      </c>
    </row>
    <row r="320" spans="1:23" ht="13.75" customHeight="1">
      <c r="A320" s="482" t="s">
        <v>1757</v>
      </c>
      <c r="B320" s="483" t="s">
        <v>1758</v>
      </c>
      <c r="C320" s="483" t="s">
        <v>1684</v>
      </c>
      <c r="D320" s="484">
        <v>2022</v>
      </c>
      <c r="E320" s="483" t="s">
        <v>361</v>
      </c>
      <c r="F320" s="472" t="s">
        <v>362</v>
      </c>
      <c r="G320" s="472" t="s">
        <v>363</v>
      </c>
      <c r="H320" s="473">
        <v>20231</v>
      </c>
      <c r="I320" s="483" t="s">
        <v>364</v>
      </c>
      <c r="J320" s="472" t="s">
        <v>278</v>
      </c>
      <c r="K320" s="483" t="s">
        <v>279</v>
      </c>
      <c r="L320" s="483" t="s">
        <v>307</v>
      </c>
      <c r="M320" s="483" t="s">
        <v>292</v>
      </c>
      <c r="N320" s="473">
        <v>500</v>
      </c>
      <c r="O320" s="484">
        <v>10</v>
      </c>
      <c r="P320" s="472" t="s">
        <v>365</v>
      </c>
      <c r="Q320" s="483" t="s">
        <v>2188</v>
      </c>
      <c r="R320" s="472" t="s">
        <v>389</v>
      </c>
      <c r="S320" s="474"/>
      <c r="T320" s="474"/>
      <c r="U320" s="475" t="s">
        <v>368</v>
      </c>
      <c r="V320" s="485" t="str">
        <f>CLEAN(TRIM(Table2[[#This Row],[Status]] &amp; "|" &amp; Table2[[#This Row],[Level]] &amp; "|" &amp; Table2[[#This Row],[Participant As]]))</f>
        <v>Narasumber / Pemateri Acara Seminar / Workshop / Pemakalah|External International|Individual</v>
      </c>
      <c r="W320" s="486">
        <f>IFERROR(INDEX(GradingSimkat[Score], MATCH(Table2[[#This Row],[Criteria]], GradingSimkat[Criteria], 0)), 0)</f>
        <v>0</v>
      </c>
    </row>
    <row r="321" spans="1:23" ht="13.75" customHeight="1">
      <c r="A321" s="482" t="s">
        <v>641</v>
      </c>
      <c r="B321" s="483" t="s">
        <v>642</v>
      </c>
      <c r="C321" s="483" t="s">
        <v>274</v>
      </c>
      <c r="D321" s="484">
        <v>2022</v>
      </c>
      <c r="E321" s="483" t="s">
        <v>361</v>
      </c>
      <c r="F321" s="472" t="s">
        <v>362</v>
      </c>
      <c r="G321" s="472" t="s">
        <v>363</v>
      </c>
      <c r="H321" s="473">
        <v>20231</v>
      </c>
      <c r="I321" s="483" t="s">
        <v>364</v>
      </c>
      <c r="J321" s="472" t="s">
        <v>278</v>
      </c>
      <c r="K321" s="483" t="s">
        <v>279</v>
      </c>
      <c r="L321" s="483" t="s">
        <v>307</v>
      </c>
      <c r="M321" s="483" t="s">
        <v>292</v>
      </c>
      <c r="N321" s="473">
        <v>500</v>
      </c>
      <c r="O321" s="484">
        <v>10</v>
      </c>
      <c r="P321" s="472" t="s">
        <v>365</v>
      </c>
      <c r="Q321" s="483" t="s">
        <v>2188</v>
      </c>
      <c r="R321" s="472" t="s">
        <v>389</v>
      </c>
      <c r="S321" s="474"/>
      <c r="T321" s="474"/>
      <c r="U321" s="475" t="s">
        <v>368</v>
      </c>
      <c r="V321" s="485" t="str">
        <f>CLEAN(TRIM(Table2[[#This Row],[Status]] &amp; "|" &amp; Table2[[#This Row],[Level]] &amp; "|" &amp; Table2[[#This Row],[Participant As]]))</f>
        <v>Narasumber / Pemateri Acara Seminar / Workshop / Pemakalah|External International|Individual</v>
      </c>
      <c r="W321" s="486">
        <f>IFERROR(INDEX(GradingSimkat[Score], MATCH(Table2[[#This Row],[Criteria]], GradingSimkat[Criteria], 0)), 0)</f>
        <v>0</v>
      </c>
    </row>
    <row r="322" spans="1:23" ht="13.75" customHeight="1">
      <c r="A322" s="482" t="s">
        <v>823</v>
      </c>
      <c r="B322" s="483" t="s">
        <v>824</v>
      </c>
      <c r="C322" s="483" t="s">
        <v>274</v>
      </c>
      <c r="D322" s="484">
        <v>2023</v>
      </c>
      <c r="E322" s="483" t="s">
        <v>361</v>
      </c>
      <c r="F322" s="472" t="s">
        <v>362</v>
      </c>
      <c r="G322" s="472" t="s">
        <v>363</v>
      </c>
      <c r="H322" s="473">
        <v>20231</v>
      </c>
      <c r="I322" s="483" t="s">
        <v>364</v>
      </c>
      <c r="J322" s="472" t="s">
        <v>278</v>
      </c>
      <c r="K322" s="483" t="s">
        <v>279</v>
      </c>
      <c r="L322" s="483" t="s">
        <v>307</v>
      </c>
      <c r="M322" s="483" t="s">
        <v>292</v>
      </c>
      <c r="N322" s="473">
        <v>500</v>
      </c>
      <c r="O322" s="484">
        <v>10</v>
      </c>
      <c r="P322" s="472" t="s">
        <v>365</v>
      </c>
      <c r="Q322" s="483" t="s">
        <v>2186</v>
      </c>
      <c r="R322" s="472" t="s">
        <v>367</v>
      </c>
      <c r="S322" s="474"/>
      <c r="T322" s="474"/>
      <c r="U322" s="475" t="s">
        <v>368</v>
      </c>
      <c r="V322" s="485" t="str">
        <f>CLEAN(TRIM(Table2[[#This Row],[Status]] &amp; "|" &amp; Table2[[#This Row],[Level]] &amp; "|" &amp; Table2[[#This Row],[Participant As]]))</f>
        <v>Narasumber / Pemateri Acara Seminar / Workshop / Pemakalah|External International|Individual</v>
      </c>
      <c r="W322" s="486">
        <f>IFERROR(INDEX(GradingSimkat[Score], MATCH(Table2[[#This Row],[Criteria]], GradingSimkat[Criteria], 0)), 0)</f>
        <v>0</v>
      </c>
    </row>
    <row r="323" spans="1:23" ht="13.75" customHeight="1">
      <c r="A323" s="482" t="s">
        <v>577</v>
      </c>
      <c r="B323" s="483" t="s">
        <v>578</v>
      </c>
      <c r="C323" s="483" t="s">
        <v>274</v>
      </c>
      <c r="D323" s="484">
        <v>2022</v>
      </c>
      <c r="E323" s="483" t="s">
        <v>361</v>
      </c>
      <c r="F323" s="472" t="s">
        <v>362</v>
      </c>
      <c r="G323" s="472" t="s">
        <v>363</v>
      </c>
      <c r="H323" s="473">
        <v>20231</v>
      </c>
      <c r="I323" s="483" t="s">
        <v>364</v>
      </c>
      <c r="J323" s="472" t="s">
        <v>278</v>
      </c>
      <c r="K323" s="483" t="s">
        <v>279</v>
      </c>
      <c r="L323" s="483" t="s">
        <v>307</v>
      </c>
      <c r="M323" s="483" t="s">
        <v>292</v>
      </c>
      <c r="N323" s="473">
        <v>500</v>
      </c>
      <c r="O323" s="484">
        <v>10</v>
      </c>
      <c r="P323" s="472" t="s">
        <v>365</v>
      </c>
      <c r="Q323" s="483" t="s">
        <v>2186</v>
      </c>
      <c r="R323" s="472" t="s">
        <v>367</v>
      </c>
      <c r="S323" s="474"/>
      <c r="T323" s="474"/>
      <c r="U323" s="475" t="s">
        <v>368</v>
      </c>
      <c r="V323" s="485" t="str">
        <f>CLEAN(TRIM(Table2[[#This Row],[Status]] &amp; "|" &amp; Table2[[#This Row],[Level]] &amp; "|" &amp; Table2[[#This Row],[Participant As]]))</f>
        <v>Narasumber / Pemateri Acara Seminar / Workshop / Pemakalah|External International|Individual</v>
      </c>
      <c r="W323" s="486">
        <f>IFERROR(INDEX(GradingSimkat[Score], MATCH(Table2[[#This Row],[Criteria]], GradingSimkat[Criteria], 0)), 0)</f>
        <v>0</v>
      </c>
    </row>
    <row r="324" spans="1:23" ht="13.75" customHeight="1">
      <c r="A324" s="482" t="s">
        <v>1763</v>
      </c>
      <c r="B324" s="483" t="s">
        <v>1764</v>
      </c>
      <c r="C324" s="483" t="s">
        <v>1684</v>
      </c>
      <c r="D324" s="484">
        <v>2022</v>
      </c>
      <c r="E324" s="483" t="s">
        <v>361</v>
      </c>
      <c r="F324" s="472" t="s">
        <v>362</v>
      </c>
      <c r="G324" s="472" t="s">
        <v>363</v>
      </c>
      <c r="H324" s="473">
        <v>20231</v>
      </c>
      <c r="I324" s="483" t="s">
        <v>364</v>
      </c>
      <c r="J324" s="472" t="s">
        <v>278</v>
      </c>
      <c r="K324" s="483" t="s">
        <v>279</v>
      </c>
      <c r="L324" s="483" t="s">
        <v>307</v>
      </c>
      <c r="M324" s="483" t="s">
        <v>292</v>
      </c>
      <c r="N324" s="473">
        <v>500</v>
      </c>
      <c r="O324" s="484">
        <v>10</v>
      </c>
      <c r="P324" s="472" t="s">
        <v>365</v>
      </c>
      <c r="Q324" s="483" t="s">
        <v>2188</v>
      </c>
      <c r="R324" s="472" t="s">
        <v>389</v>
      </c>
      <c r="S324" s="474"/>
      <c r="T324" s="474"/>
      <c r="U324" s="475" t="s">
        <v>368</v>
      </c>
      <c r="V324" s="485" t="str">
        <f>CLEAN(TRIM(Table2[[#This Row],[Status]] &amp; "|" &amp; Table2[[#This Row],[Level]] &amp; "|" &amp; Table2[[#This Row],[Participant As]]))</f>
        <v>Narasumber / Pemateri Acara Seminar / Workshop / Pemakalah|External International|Individual</v>
      </c>
      <c r="W324" s="486">
        <f>IFERROR(INDEX(GradingSimkat[Score], MATCH(Table2[[#This Row],[Criteria]], GradingSimkat[Criteria], 0)), 0)</f>
        <v>0</v>
      </c>
    </row>
    <row r="325" spans="1:23" ht="13.75" customHeight="1">
      <c r="A325" s="482" t="s">
        <v>813</v>
      </c>
      <c r="B325" s="483" t="s">
        <v>814</v>
      </c>
      <c r="C325" s="483" t="s">
        <v>274</v>
      </c>
      <c r="D325" s="484">
        <v>2023</v>
      </c>
      <c r="E325" s="483" t="s">
        <v>361</v>
      </c>
      <c r="F325" s="472" t="s">
        <v>362</v>
      </c>
      <c r="G325" s="472" t="s">
        <v>363</v>
      </c>
      <c r="H325" s="473">
        <v>20231</v>
      </c>
      <c r="I325" s="483" t="s">
        <v>364</v>
      </c>
      <c r="J325" s="472" t="s">
        <v>278</v>
      </c>
      <c r="K325" s="483" t="s">
        <v>279</v>
      </c>
      <c r="L325" s="483" t="s">
        <v>307</v>
      </c>
      <c r="M325" s="483" t="s">
        <v>292</v>
      </c>
      <c r="N325" s="473">
        <v>500</v>
      </c>
      <c r="O325" s="484">
        <v>10</v>
      </c>
      <c r="P325" s="472" t="s">
        <v>365</v>
      </c>
      <c r="Q325" s="483" t="s">
        <v>2186</v>
      </c>
      <c r="R325" s="472" t="s">
        <v>367</v>
      </c>
      <c r="S325" s="474"/>
      <c r="T325" s="474"/>
      <c r="U325" s="475" t="s">
        <v>368</v>
      </c>
      <c r="V325" s="485" t="str">
        <f>CLEAN(TRIM(Table2[[#This Row],[Status]] &amp; "|" &amp; Table2[[#This Row],[Level]] &amp; "|" &amp; Table2[[#This Row],[Participant As]]))</f>
        <v>Narasumber / Pemateri Acara Seminar / Workshop / Pemakalah|External International|Individual</v>
      </c>
      <c r="W325" s="486">
        <f>IFERROR(INDEX(GradingSimkat[Score], MATCH(Table2[[#This Row],[Criteria]], GradingSimkat[Criteria], 0)), 0)</f>
        <v>0</v>
      </c>
    </row>
    <row r="326" spans="1:23" ht="52.75" customHeight="1">
      <c r="A326" s="482" t="s">
        <v>897</v>
      </c>
      <c r="B326" s="483" t="s">
        <v>898</v>
      </c>
      <c r="C326" s="483" t="s">
        <v>274</v>
      </c>
      <c r="D326" s="484">
        <v>2023</v>
      </c>
      <c r="E326" s="483" t="s">
        <v>361</v>
      </c>
      <c r="F326" s="472" t="s">
        <v>362</v>
      </c>
      <c r="G326" s="472" t="s">
        <v>363</v>
      </c>
      <c r="H326" s="473">
        <v>20231</v>
      </c>
      <c r="I326" s="483" t="s">
        <v>364</v>
      </c>
      <c r="J326" s="472" t="s">
        <v>278</v>
      </c>
      <c r="K326" s="483" t="s">
        <v>279</v>
      </c>
      <c r="L326" s="483" t="s">
        <v>307</v>
      </c>
      <c r="M326" s="483" t="s">
        <v>292</v>
      </c>
      <c r="N326" s="473">
        <v>500</v>
      </c>
      <c r="O326" s="484">
        <v>10</v>
      </c>
      <c r="P326" s="472" t="s">
        <v>365</v>
      </c>
      <c r="Q326" s="483" t="s">
        <v>2186</v>
      </c>
      <c r="R326" s="472" t="s">
        <v>367</v>
      </c>
      <c r="S326" s="474"/>
      <c r="T326" s="474"/>
      <c r="U326" s="475" t="s">
        <v>368</v>
      </c>
      <c r="V326" s="485" t="str">
        <f>CLEAN(TRIM(Table2[[#This Row],[Status]] &amp; "|" &amp; Table2[[#This Row],[Level]] &amp; "|" &amp; Table2[[#This Row],[Participant As]]))</f>
        <v>Narasumber / Pemateri Acara Seminar / Workshop / Pemakalah|External International|Individual</v>
      </c>
      <c r="W326" s="486">
        <f>IFERROR(INDEX(GradingSimkat[Score], MATCH(Table2[[#This Row],[Criteria]], GradingSimkat[Criteria], 0)), 0)</f>
        <v>0</v>
      </c>
    </row>
    <row r="327" spans="1:23" ht="13.75" customHeight="1">
      <c r="A327" s="482" t="s">
        <v>1393</v>
      </c>
      <c r="B327" s="483" t="s">
        <v>1394</v>
      </c>
      <c r="C327" s="483" t="s">
        <v>1356</v>
      </c>
      <c r="D327" s="484">
        <v>2020</v>
      </c>
      <c r="E327" s="483" t="s">
        <v>361</v>
      </c>
      <c r="F327" s="472" t="s">
        <v>362</v>
      </c>
      <c r="G327" s="472" t="s">
        <v>363</v>
      </c>
      <c r="H327" s="473">
        <v>20231</v>
      </c>
      <c r="I327" s="483" t="s">
        <v>364</v>
      </c>
      <c r="J327" s="472" t="s">
        <v>278</v>
      </c>
      <c r="K327" s="483" t="s">
        <v>279</v>
      </c>
      <c r="L327" s="483" t="s">
        <v>307</v>
      </c>
      <c r="M327" s="483" t="s">
        <v>292</v>
      </c>
      <c r="N327" s="473">
        <v>500</v>
      </c>
      <c r="O327" s="484">
        <v>10</v>
      </c>
      <c r="P327" s="472" t="s">
        <v>365</v>
      </c>
      <c r="Q327" s="483" t="s">
        <v>2188</v>
      </c>
      <c r="R327" s="472" t="s">
        <v>389</v>
      </c>
      <c r="S327" s="474"/>
      <c r="T327" s="474"/>
      <c r="U327" s="475" t="s">
        <v>368</v>
      </c>
      <c r="V327" s="485" t="str">
        <f>CLEAN(TRIM(Table2[[#This Row],[Status]] &amp; "|" &amp; Table2[[#This Row],[Level]] &amp; "|" &amp; Table2[[#This Row],[Participant As]]))</f>
        <v>Narasumber / Pemateri Acara Seminar / Workshop / Pemakalah|External International|Individual</v>
      </c>
      <c r="W327" s="486">
        <f>IFERROR(INDEX(GradingSimkat[Score], MATCH(Table2[[#This Row],[Criteria]], GradingSimkat[Criteria], 0)), 0)</f>
        <v>0</v>
      </c>
    </row>
    <row r="328" spans="1:23" ht="13.75" customHeight="1">
      <c r="A328" s="482" t="s">
        <v>1707</v>
      </c>
      <c r="B328" s="483" t="s">
        <v>1708</v>
      </c>
      <c r="C328" s="483" t="s">
        <v>1684</v>
      </c>
      <c r="D328" s="484">
        <v>2020</v>
      </c>
      <c r="E328" s="483" t="s">
        <v>1709</v>
      </c>
      <c r="F328" s="472" t="s">
        <v>1216</v>
      </c>
      <c r="G328" s="472" t="s">
        <v>1216</v>
      </c>
      <c r="H328" s="473">
        <v>20231</v>
      </c>
      <c r="I328" s="483" t="s">
        <v>1710</v>
      </c>
      <c r="J328" s="472" t="s">
        <v>278</v>
      </c>
      <c r="K328" s="483" t="s">
        <v>2157</v>
      </c>
      <c r="L328" s="483" t="s">
        <v>280</v>
      </c>
      <c r="M328" s="483" t="s">
        <v>281</v>
      </c>
      <c r="N328" s="473">
        <v>2</v>
      </c>
      <c r="O328" s="484">
        <v>15</v>
      </c>
      <c r="P328" s="474"/>
      <c r="Q328" s="483" t="s">
        <v>2267</v>
      </c>
      <c r="R328" s="472" t="s">
        <v>1712</v>
      </c>
      <c r="S328" s="474"/>
      <c r="T328" s="474"/>
      <c r="U328" s="475" t="s">
        <v>1713</v>
      </c>
      <c r="V328" s="485" t="str">
        <f>CLEAN(TRIM(Table2[[#This Row],[Status]] &amp; "|" &amp; Table2[[#This Row],[Level]] &amp; "|" &amp; Table2[[#This Row],[Participant As]]))</f>
        <v>Pembicara pada pelatihan/seminar/event berskala|External National|Team</v>
      </c>
      <c r="W328" s="486">
        <f>IFERROR(INDEX(GradingSimkat[Score], MATCH(Table2[[#This Row],[Criteria]], GradingSimkat[Criteria], 0)), 0)</f>
        <v>4</v>
      </c>
    </row>
    <row r="329" spans="1:23" ht="13.75" customHeight="1">
      <c r="A329" s="482" t="s">
        <v>915</v>
      </c>
      <c r="B329" s="483" t="s">
        <v>916</v>
      </c>
      <c r="C329" s="483" t="s">
        <v>274</v>
      </c>
      <c r="D329" s="484">
        <v>2023</v>
      </c>
      <c r="E329" s="483" t="s">
        <v>361</v>
      </c>
      <c r="F329" s="472" t="s">
        <v>362</v>
      </c>
      <c r="G329" s="472" t="s">
        <v>363</v>
      </c>
      <c r="H329" s="473">
        <v>20231</v>
      </c>
      <c r="I329" s="483" t="s">
        <v>364</v>
      </c>
      <c r="J329" s="472" t="s">
        <v>278</v>
      </c>
      <c r="K329" s="483" t="s">
        <v>279</v>
      </c>
      <c r="L329" s="483" t="s">
        <v>307</v>
      </c>
      <c r="M329" s="483" t="s">
        <v>292</v>
      </c>
      <c r="N329" s="473">
        <v>500</v>
      </c>
      <c r="O329" s="484">
        <v>10</v>
      </c>
      <c r="P329" s="472" t="s">
        <v>365</v>
      </c>
      <c r="Q329" s="483" t="s">
        <v>2186</v>
      </c>
      <c r="R329" s="472" t="s">
        <v>367</v>
      </c>
      <c r="S329" s="474"/>
      <c r="T329" s="474"/>
      <c r="U329" s="475" t="s">
        <v>368</v>
      </c>
      <c r="V329" s="485" t="str">
        <f>CLEAN(TRIM(Table2[[#This Row],[Status]] &amp; "|" &amp; Table2[[#This Row],[Level]] &amp; "|" &amp; Table2[[#This Row],[Participant As]]))</f>
        <v>Narasumber / Pemateri Acara Seminar / Workshop / Pemakalah|External International|Individual</v>
      </c>
      <c r="W329" s="486">
        <f>IFERROR(INDEX(GradingSimkat[Score], MATCH(Table2[[#This Row],[Criteria]], GradingSimkat[Criteria], 0)), 0)</f>
        <v>0</v>
      </c>
    </row>
    <row r="330" spans="1:23" ht="52.75" customHeight="1">
      <c r="A330" s="482" t="s">
        <v>895</v>
      </c>
      <c r="B330" s="483" t="s">
        <v>896</v>
      </c>
      <c r="C330" s="483" t="s">
        <v>274</v>
      </c>
      <c r="D330" s="484">
        <v>2023</v>
      </c>
      <c r="E330" s="483" t="s">
        <v>361</v>
      </c>
      <c r="F330" s="472" t="s">
        <v>362</v>
      </c>
      <c r="G330" s="472" t="s">
        <v>363</v>
      </c>
      <c r="H330" s="473">
        <v>20231</v>
      </c>
      <c r="I330" s="483" t="s">
        <v>364</v>
      </c>
      <c r="J330" s="472" t="s">
        <v>278</v>
      </c>
      <c r="K330" s="483" t="s">
        <v>279</v>
      </c>
      <c r="L330" s="483" t="s">
        <v>307</v>
      </c>
      <c r="M330" s="483" t="s">
        <v>292</v>
      </c>
      <c r="N330" s="473">
        <v>500</v>
      </c>
      <c r="O330" s="484">
        <v>10</v>
      </c>
      <c r="P330" s="472" t="s">
        <v>365</v>
      </c>
      <c r="Q330" s="483" t="s">
        <v>2186</v>
      </c>
      <c r="R330" s="472" t="s">
        <v>367</v>
      </c>
      <c r="S330" s="474"/>
      <c r="T330" s="474"/>
      <c r="U330" s="475" t="s">
        <v>368</v>
      </c>
      <c r="V330" s="485" t="str">
        <f>CLEAN(TRIM(Table2[[#This Row],[Status]] &amp; "|" &amp; Table2[[#This Row],[Level]] &amp; "|" &amp; Table2[[#This Row],[Participant As]]))</f>
        <v>Narasumber / Pemateri Acara Seminar / Workshop / Pemakalah|External International|Individual</v>
      </c>
      <c r="W330" s="486">
        <f>IFERROR(INDEX(GradingSimkat[Score], MATCH(Table2[[#This Row],[Criteria]], GradingSimkat[Criteria], 0)), 0)</f>
        <v>0</v>
      </c>
    </row>
    <row r="331" spans="1:23" ht="39.75" customHeight="1">
      <c r="A331" s="482" t="s">
        <v>871</v>
      </c>
      <c r="B331" s="483" t="s">
        <v>872</v>
      </c>
      <c r="C331" s="483" t="s">
        <v>274</v>
      </c>
      <c r="D331" s="484">
        <v>2023</v>
      </c>
      <c r="E331" s="483" t="s">
        <v>361</v>
      </c>
      <c r="F331" s="472" t="s">
        <v>362</v>
      </c>
      <c r="G331" s="472" t="s">
        <v>363</v>
      </c>
      <c r="H331" s="473">
        <v>20231</v>
      </c>
      <c r="I331" s="483" t="s">
        <v>364</v>
      </c>
      <c r="J331" s="472" t="s">
        <v>278</v>
      </c>
      <c r="K331" s="483" t="s">
        <v>279</v>
      </c>
      <c r="L331" s="483" t="s">
        <v>307</v>
      </c>
      <c r="M331" s="483" t="s">
        <v>292</v>
      </c>
      <c r="N331" s="473">
        <v>500</v>
      </c>
      <c r="O331" s="484">
        <v>10</v>
      </c>
      <c r="P331" s="472" t="s">
        <v>365</v>
      </c>
      <c r="Q331" s="483" t="s">
        <v>2186</v>
      </c>
      <c r="R331" s="472" t="s">
        <v>367</v>
      </c>
      <c r="S331" s="474"/>
      <c r="T331" s="474"/>
      <c r="U331" s="475" t="s">
        <v>368</v>
      </c>
      <c r="V331" s="485" t="str">
        <f>CLEAN(TRIM(Table2[[#This Row],[Status]] &amp; "|" &amp; Table2[[#This Row],[Level]] &amp; "|" &amp; Table2[[#This Row],[Participant As]]))</f>
        <v>Narasumber / Pemateri Acara Seminar / Workshop / Pemakalah|External International|Individual</v>
      </c>
      <c r="W331" s="486">
        <f>IFERROR(INDEX(GradingSimkat[Score], MATCH(Table2[[#This Row],[Criteria]], GradingSimkat[Criteria], 0)), 0)</f>
        <v>0</v>
      </c>
    </row>
    <row r="332" spans="1:23" ht="26.75" customHeight="1">
      <c r="A332" s="482" t="s">
        <v>1474</v>
      </c>
      <c r="B332" s="483" t="s">
        <v>1475</v>
      </c>
      <c r="C332" s="483" t="s">
        <v>1444</v>
      </c>
      <c r="D332" s="484">
        <v>2020</v>
      </c>
      <c r="E332" s="483" t="s">
        <v>361</v>
      </c>
      <c r="F332" s="472" t="s">
        <v>362</v>
      </c>
      <c r="G332" s="472" t="s">
        <v>363</v>
      </c>
      <c r="H332" s="473">
        <v>20231</v>
      </c>
      <c r="I332" s="483" t="s">
        <v>364</v>
      </c>
      <c r="J332" s="472" t="s">
        <v>278</v>
      </c>
      <c r="K332" s="483" t="s">
        <v>279</v>
      </c>
      <c r="L332" s="483" t="s">
        <v>307</v>
      </c>
      <c r="M332" s="483" t="s">
        <v>292</v>
      </c>
      <c r="N332" s="473">
        <v>500</v>
      </c>
      <c r="O332" s="484">
        <v>10</v>
      </c>
      <c r="P332" s="472" t="s">
        <v>365</v>
      </c>
      <c r="Q332" s="483" t="s">
        <v>2188</v>
      </c>
      <c r="R332" s="472" t="s">
        <v>389</v>
      </c>
      <c r="S332" s="474"/>
      <c r="T332" s="474"/>
      <c r="U332" s="475" t="s">
        <v>368</v>
      </c>
      <c r="V332" s="485" t="str">
        <f>CLEAN(TRIM(Table2[[#This Row],[Status]] &amp; "|" &amp; Table2[[#This Row],[Level]] &amp; "|" &amp; Table2[[#This Row],[Participant As]]))</f>
        <v>Narasumber / Pemateri Acara Seminar / Workshop / Pemakalah|External International|Individual</v>
      </c>
      <c r="W332" s="486">
        <f>IFERROR(INDEX(GradingSimkat[Score], MATCH(Table2[[#This Row],[Criteria]], GradingSimkat[Criteria], 0)), 0)</f>
        <v>0</v>
      </c>
    </row>
    <row r="333" spans="1:23" ht="13.75" customHeight="1">
      <c r="A333" s="482" t="s">
        <v>1849</v>
      </c>
      <c r="B333" s="483" t="s">
        <v>1850</v>
      </c>
      <c r="C333" s="483" t="s">
        <v>1794</v>
      </c>
      <c r="D333" s="484">
        <v>2022</v>
      </c>
      <c r="E333" s="483" t="s">
        <v>361</v>
      </c>
      <c r="F333" s="472" t="s">
        <v>362</v>
      </c>
      <c r="G333" s="472" t="s">
        <v>363</v>
      </c>
      <c r="H333" s="473">
        <v>20231</v>
      </c>
      <c r="I333" s="483" t="s">
        <v>364</v>
      </c>
      <c r="J333" s="472" t="s">
        <v>278</v>
      </c>
      <c r="K333" s="483" t="s">
        <v>279</v>
      </c>
      <c r="L333" s="483" t="s">
        <v>307</v>
      </c>
      <c r="M333" s="483" t="s">
        <v>292</v>
      </c>
      <c r="N333" s="473">
        <v>500</v>
      </c>
      <c r="O333" s="484">
        <v>10</v>
      </c>
      <c r="P333" s="472" t="s">
        <v>365</v>
      </c>
      <c r="Q333" s="483" t="s">
        <v>2188</v>
      </c>
      <c r="R333" s="472" t="s">
        <v>389</v>
      </c>
      <c r="S333" s="474"/>
      <c r="T333" s="474"/>
      <c r="U333" s="475" t="s">
        <v>368</v>
      </c>
      <c r="V333" s="485" t="str">
        <f>CLEAN(TRIM(Table2[[#This Row],[Status]] &amp; "|" &amp; Table2[[#This Row],[Level]] &amp; "|" &amp; Table2[[#This Row],[Participant As]]))</f>
        <v>Narasumber / Pemateri Acara Seminar / Workshop / Pemakalah|External International|Individual</v>
      </c>
      <c r="W333" s="486">
        <f>IFERROR(INDEX(GradingSimkat[Score], MATCH(Table2[[#This Row],[Criteria]], GradingSimkat[Criteria], 0)), 0)</f>
        <v>0</v>
      </c>
    </row>
    <row r="334" spans="1:23" ht="13.75" customHeight="1">
      <c r="A334" s="482" t="s">
        <v>1572</v>
      </c>
      <c r="B334" s="483" t="s">
        <v>1573</v>
      </c>
      <c r="C334" s="483" t="s">
        <v>1559</v>
      </c>
      <c r="D334" s="484">
        <v>2020</v>
      </c>
      <c r="E334" s="483" t="s">
        <v>361</v>
      </c>
      <c r="F334" s="472" t="s">
        <v>362</v>
      </c>
      <c r="G334" s="472" t="s">
        <v>363</v>
      </c>
      <c r="H334" s="473">
        <v>20231</v>
      </c>
      <c r="I334" s="483" t="s">
        <v>364</v>
      </c>
      <c r="J334" s="472" t="s">
        <v>278</v>
      </c>
      <c r="K334" s="483" t="s">
        <v>279</v>
      </c>
      <c r="L334" s="483" t="s">
        <v>307</v>
      </c>
      <c r="M334" s="483" t="s">
        <v>292</v>
      </c>
      <c r="N334" s="473">
        <v>500</v>
      </c>
      <c r="O334" s="484">
        <v>10</v>
      </c>
      <c r="P334" s="472" t="s">
        <v>365</v>
      </c>
      <c r="Q334" s="483" t="s">
        <v>2188</v>
      </c>
      <c r="R334" s="472" t="s">
        <v>389</v>
      </c>
      <c r="S334" s="474"/>
      <c r="T334" s="474"/>
      <c r="U334" s="475" t="s">
        <v>368</v>
      </c>
      <c r="V334" s="485" t="str">
        <f>CLEAN(TRIM(Table2[[#This Row],[Status]] &amp; "|" &amp; Table2[[#This Row],[Level]] &amp; "|" &amp; Table2[[#This Row],[Participant As]]))</f>
        <v>Narasumber / Pemateri Acara Seminar / Workshop / Pemakalah|External International|Individual</v>
      </c>
      <c r="W334" s="486">
        <f>IFERROR(INDEX(GradingSimkat[Score], MATCH(Table2[[#This Row],[Criteria]], GradingSimkat[Criteria], 0)), 0)</f>
        <v>0</v>
      </c>
    </row>
    <row r="335" spans="1:23" s="470" customFormat="1" ht="13.75" customHeight="1">
      <c r="A335" s="482" t="s">
        <v>1720</v>
      </c>
      <c r="B335" s="483" t="s">
        <v>1721</v>
      </c>
      <c r="C335" s="483" t="s">
        <v>1684</v>
      </c>
      <c r="D335" s="484">
        <v>2020</v>
      </c>
      <c r="E335" s="483" t="s">
        <v>1722</v>
      </c>
      <c r="F335" s="472" t="s">
        <v>1723</v>
      </c>
      <c r="G335" s="472" t="s">
        <v>1153</v>
      </c>
      <c r="H335" s="473">
        <v>20222</v>
      </c>
      <c r="I335" s="483" t="s">
        <v>1724</v>
      </c>
      <c r="J335" s="472" t="s">
        <v>278</v>
      </c>
      <c r="K335" s="483" t="s">
        <v>2157</v>
      </c>
      <c r="L335" s="483" t="s">
        <v>280</v>
      </c>
      <c r="M335" s="483" t="s">
        <v>281</v>
      </c>
      <c r="N335" s="473">
        <v>2</v>
      </c>
      <c r="O335" s="484">
        <v>15</v>
      </c>
      <c r="P335" s="474"/>
      <c r="Q335" s="483" t="s">
        <v>2268</v>
      </c>
      <c r="R335" s="472" t="s">
        <v>1726</v>
      </c>
      <c r="S335" s="474"/>
      <c r="T335" s="474"/>
      <c r="U335" s="475" t="s">
        <v>1727</v>
      </c>
      <c r="V335" s="485" t="str">
        <f>CLEAN(TRIM(Table2[[#This Row],[Status]] &amp; "|" &amp; Table2[[#This Row],[Level]] &amp; "|" &amp; Table2[[#This Row],[Participant As]]))</f>
        <v>Pembicara pada pelatihan/seminar/event berskala|External National|Team</v>
      </c>
      <c r="W335" s="486">
        <f>IFERROR(INDEX(GradingSimkat[Score], MATCH(Table2[[#This Row],[Criteria]], GradingSimkat[Criteria], 0)), 0)</f>
        <v>4</v>
      </c>
    </row>
    <row r="336" spans="1:23" s="470" customFormat="1" ht="13.75" customHeight="1">
      <c r="A336" s="482" t="s">
        <v>881</v>
      </c>
      <c r="B336" s="483" t="s">
        <v>882</v>
      </c>
      <c r="C336" s="483" t="s">
        <v>274</v>
      </c>
      <c r="D336" s="484">
        <v>2023</v>
      </c>
      <c r="E336" s="483" t="s">
        <v>361</v>
      </c>
      <c r="F336" s="472" t="s">
        <v>362</v>
      </c>
      <c r="G336" s="472" t="s">
        <v>363</v>
      </c>
      <c r="H336" s="473">
        <v>20231</v>
      </c>
      <c r="I336" s="483" t="s">
        <v>364</v>
      </c>
      <c r="J336" s="472" t="s">
        <v>278</v>
      </c>
      <c r="K336" s="483" t="s">
        <v>279</v>
      </c>
      <c r="L336" s="483" t="s">
        <v>307</v>
      </c>
      <c r="M336" s="483" t="s">
        <v>292</v>
      </c>
      <c r="N336" s="473">
        <v>500</v>
      </c>
      <c r="O336" s="484">
        <v>10</v>
      </c>
      <c r="P336" s="472" t="s">
        <v>365</v>
      </c>
      <c r="Q336" s="483" t="s">
        <v>2186</v>
      </c>
      <c r="R336" s="472" t="s">
        <v>367</v>
      </c>
      <c r="S336" s="474"/>
      <c r="T336" s="474"/>
      <c r="U336" s="475" t="s">
        <v>368</v>
      </c>
      <c r="V336" s="485" t="str">
        <f>CLEAN(TRIM(Table2[[#This Row],[Status]] &amp; "|" &amp; Table2[[#This Row],[Level]] &amp; "|" &amp; Table2[[#This Row],[Participant As]]))</f>
        <v>Narasumber / Pemateri Acara Seminar / Workshop / Pemakalah|External International|Individual</v>
      </c>
      <c r="W336" s="486">
        <f>IFERROR(INDEX(GradingSimkat[Score], MATCH(Table2[[#This Row],[Criteria]], GradingSimkat[Criteria], 0)), 0)</f>
        <v>0</v>
      </c>
    </row>
    <row r="337" spans="1:23" s="470" customFormat="1" ht="13.75" customHeight="1">
      <c r="A337" s="482" t="s">
        <v>1901</v>
      </c>
      <c r="B337" s="483" t="s">
        <v>1902</v>
      </c>
      <c r="C337" s="483" t="s">
        <v>1857</v>
      </c>
      <c r="D337" s="484">
        <v>2020</v>
      </c>
      <c r="E337" s="483" t="s">
        <v>361</v>
      </c>
      <c r="F337" s="472" t="s">
        <v>362</v>
      </c>
      <c r="G337" s="472" t="s">
        <v>363</v>
      </c>
      <c r="H337" s="473">
        <v>20231</v>
      </c>
      <c r="I337" s="483" t="s">
        <v>364</v>
      </c>
      <c r="J337" s="472" t="s">
        <v>278</v>
      </c>
      <c r="K337" s="483" t="s">
        <v>279</v>
      </c>
      <c r="L337" s="483" t="s">
        <v>307</v>
      </c>
      <c r="M337" s="483" t="s">
        <v>292</v>
      </c>
      <c r="N337" s="473">
        <v>500</v>
      </c>
      <c r="O337" s="484">
        <v>10</v>
      </c>
      <c r="P337" s="472" t="s">
        <v>365</v>
      </c>
      <c r="Q337" s="483" t="s">
        <v>2188</v>
      </c>
      <c r="R337" s="472" t="s">
        <v>389</v>
      </c>
      <c r="S337" s="474"/>
      <c r="T337" s="474"/>
      <c r="U337" s="475" t="s">
        <v>368</v>
      </c>
      <c r="V337" s="485" t="str">
        <f>CLEAN(TRIM(Table2[[#This Row],[Status]] &amp; "|" &amp; Table2[[#This Row],[Level]] &amp; "|" &amp; Table2[[#This Row],[Participant As]]))</f>
        <v>Narasumber / Pemateri Acara Seminar / Workshop / Pemakalah|External International|Individual</v>
      </c>
      <c r="W337" s="486">
        <f>IFERROR(INDEX(GradingSimkat[Score], MATCH(Table2[[#This Row],[Criteria]], GradingSimkat[Criteria], 0)), 0)</f>
        <v>0</v>
      </c>
    </row>
    <row r="338" spans="1:23" s="470" customFormat="1" ht="13.75" customHeight="1">
      <c r="A338" s="482" t="s">
        <v>717</v>
      </c>
      <c r="B338" s="483" t="s">
        <v>718</v>
      </c>
      <c r="C338" s="483" t="s">
        <v>274</v>
      </c>
      <c r="D338" s="484">
        <v>2022</v>
      </c>
      <c r="E338" s="483" t="s">
        <v>361</v>
      </c>
      <c r="F338" s="472" t="s">
        <v>362</v>
      </c>
      <c r="G338" s="472" t="s">
        <v>363</v>
      </c>
      <c r="H338" s="473">
        <v>20231</v>
      </c>
      <c r="I338" s="483" t="s">
        <v>364</v>
      </c>
      <c r="J338" s="472" t="s">
        <v>278</v>
      </c>
      <c r="K338" s="483" t="s">
        <v>279</v>
      </c>
      <c r="L338" s="483" t="s">
        <v>307</v>
      </c>
      <c r="M338" s="483" t="s">
        <v>292</v>
      </c>
      <c r="N338" s="473">
        <v>500</v>
      </c>
      <c r="O338" s="484">
        <v>10</v>
      </c>
      <c r="P338" s="472" t="s">
        <v>365</v>
      </c>
      <c r="Q338" s="483" t="s">
        <v>2186</v>
      </c>
      <c r="R338" s="472" t="s">
        <v>367</v>
      </c>
      <c r="S338" s="474"/>
      <c r="T338" s="474"/>
      <c r="U338" s="475" t="s">
        <v>368</v>
      </c>
      <c r="V338" s="485" t="str">
        <f>CLEAN(TRIM(Table2[[#This Row],[Status]] &amp; "|" &amp; Table2[[#This Row],[Level]] &amp; "|" &amp; Table2[[#This Row],[Participant As]]))</f>
        <v>Narasumber / Pemateri Acara Seminar / Workshop / Pemakalah|External International|Individual</v>
      </c>
      <c r="W338" s="486">
        <f>IFERROR(INDEX(GradingSimkat[Score], MATCH(Table2[[#This Row],[Criteria]], GradingSimkat[Criteria], 0)), 0)</f>
        <v>0</v>
      </c>
    </row>
    <row r="339" spans="1:23" s="470" customFormat="1" ht="13.75" customHeight="1">
      <c r="A339" s="471" t="s">
        <v>503</v>
      </c>
      <c r="B339" s="472" t="s">
        <v>504</v>
      </c>
      <c r="C339" s="472" t="s">
        <v>274</v>
      </c>
      <c r="D339" s="473">
        <v>2021</v>
      </c>
      <c r="E339" s="472" t="s">
        <v>505</v>
      </c>
      <c r="F339" s="472" t="s">
        <v>506</v>
      </c>
      <c r="G339" s="472" t="s">
        <v>506</v>
      </c>
      <c r="H339" s="473">
        <v>20231</v>
      </c>
      <c r="I339" s="474"/>
      <c r="J339" s="472" t="s">
        <v>278</v>
      </c>
      <c r="K339" s="472" t="s">
        <v>2155</v>
      </c>
      <c r="L339" s="472" t="s">
        <v>291</v>
      </c>
      <c r="M339" s="472" t="s">
        <v>292</v>
      </c>
      <c r="N339" s="473">
        <v>50</v>
      </c>
      <c r="O339" s="473">
        <v>4</v>
      </c>
      <c r="P339" s="474"/>
      <c r="Q339" s="472" t="s">
        <v>507</v>
      </c>
      <c r="R339" s="472" t="s">
        <v>508</v>
      </c>
      <c r="S339" s="474"/>
      <c r="T339" s="474"/>
      <c r="U339" s="475" t="s">
        <v>440</v>
      </c>
      <c r="V339" s="481" t="str">
        <f>CLEAN(TRIM(Table2[[#This Row],[Status]] &amp; "|" &amp; Table2[[#This Row],[Level]] &amp; "|" &amp; Table2[[#This Row],[Participant As]]))</f>
        <v>Juri/Pelatih/Wasit|Internal Sekolah / Universitas|Individual</v>
      </c>
      <c r="W339" s="477">
        <f>IFERROR(INDEX(GradingSimkat[Score], MATCH(Table2[[#This Row],[Criteria]], GradingSimkat[Criteria], 0)), 0)</f>
        <v>0</v>
      </c>
    </row>
    <row r="340" spans="1:23" s="470" customFormat="1" ht="13.75" customHeight="1">
      <c r="A340" s="482" t="s">
        <v>516</v>
      </c>
      <c r="B340" s="483" t="s">
        <v>517</v>
      </c>
      <c r="C340" s="483" t="s">
        <v>274</v>
      </c>
      <c r="D340" s="484">
        <v>2021</v>
      </c>
      <c r="E340" s="483" t="s">
        <v>361</v>
      </c>
      <c r="F340" s="472" t="s">
        <v>362</v>
      </c>
      <c r="G340" s="472" t="s">
        <v>363</v>
      </c>
      <c r="H340" s="473">
        <v>20231</v>
      </c>
      <c r="I340" s="483" t="s">
        <v>364</v>
      </c>
      <c r="J340" s="472" t="s">
        <v>278</v>
      </c>
      <c r="K340" s="483" t="s">
        <v>279</v>
      </c>
      <c r="L340" s="483" t="s">
        <v>307</v>
      </c>
      <c r="M340" s="483" t="s">
        <v>292</v>
      </c>
      <c r="N340" s="473">
        <v>500</v>
      </c>
      <c r="O340" s="484">
        <v>10</v>
      </c>
      <c r="P340" s="472" t="s">
        <v>365</v>
      </c>
      <c r="Q340" s="483" t="s">
        <v>2186</v>
      </c>
      <c r="R340" s="472" t="s">
        <v>367</v>
      </c>
      <c r="S340" s="474"/>
      <c r="T340" s="474"/>
      <c r="U340" s="475" t="s">
        <v>368</v>
      </c>
      <c r="V340" s="485" t="str">
        <f>CLEAN(TRIM(Table2[[#This Row],[Status]] &amp; "|" &amp; Table2[[#This Row],[Level]] &amp; "|" &amp; Table2[[#This Row],[Participant As]]))</f>
        <v>Narasumber / Pemateri Acara Seminar / Workshop / Pemakalah|External International|Individual</v>
      </c>
      <c r="W340" s="486">
        <f>IFERROR(INDEX(GradingSimkat[Score], MATCH(Table2[[#This Row],[Criteria]], GradingSimkat[Criteria], 0)), 0)</f>
        <v>0</v>
      </c>
    </row>
    <row r="341" spans="1:23" s="470" customFormat="1" ht="13.75" customHeight="1">
      <c r="A341" s="482" t="s">
        <v>1234</v>
      </c>
      <c r="B341" s="483" t="s">
        <v>1235</v>
      </c>
      <c r="C341" s="483" t="s">
        <v>1227</v>
      </c>
      <c r="D341" s="484">
        <v>2020</v>
      </c>
      <c r="E341" s="483" t="s">
        <v>361</v>
      </c>
      <c r="F341" s="472" t="s">
        <v>362</v>
      </c>
      <c r="G341" s="472" t="s">
        <v>363</v>
      </c>
      <c r="H341" s="473">
        <v>20231</v>
      </c>
      <c r="I341" s="483" t="s">
        <v>364</v>
      </c>
      <c r="J341" s="472" t="s">
        <v>278</v>
      </c>
      <c r="K341" s="483" t="s">
        <v>279</v>
      </c>
      <c r="L341" s="483" t="s">
        <v>307</v>
      </c>
      <c r="M341" s="483" t="s">
        <v>292</v>
      </c>
      <c r="N341" s="473">
        <v>500</v>
      </c>
      <c r="O341" s="484">
        <v>10</v>
      </c>
      <c r="P341" s="472" t="s">
        <v>365</v>
      </c>
      <c r="Q341" s="483" t="s">
        <v>2188</v>
      </c>
      <c r="R341" s="472" t="s">
        <v>389</v>
      </c>
      <c r="S341" s="474"/>
      <c r="T341" s="474"/>
      <c r="U341" s="475" t="s">
        <v>368</v>
      </c>
      <c r="V341" s="485" t="str">
        <f>CLEAN(TRIM(Table2[[#This Row],[Status]] &amp; "|" &amp; Table2[[#This Row],[Level]] &amp; "|" &amp; Table2[[#This Row],[Participant As]]))</f>
        <v>Narasumber / Pemateri Acara Seminar / Workshop / Pemakalah|External International|Individual</v>
      </c>
      <c r="W341" s="486">
        <f>IFERROR(INDEX(GradingSimkat[Score], MATCH(Table2[[#This Row],[Criteria]], GradingSimkat[Criteria], 0)), 0)</f>
        <v>0</v>
      </c>
    </row>
    <row r="342" spans="1:23" ht="13.75" customHeight="1">
      <c r="A342" s="482" t="s">
        <v>1055</v>
      </c>
      <c r="B342" s="483" t="s">
        <v>1056</v>
      </c>
      <c r="C342" s="483" t="s">
        <v>986</v>
      </c>
      <c r="D342" s="484">
        <v>2021</v>
      </c>
      <c r="E342" s="483" t="s">
        <v>1057</v>
      </c>
      <c r="F342" s="472" t="s">
        <v>1058</v>
      </c>
      <c r="G342" s="472" t="s">
        <v>339</v>
      </c>
      <c r="H342" s="473">
        <v>20221</v>
      </c>
      <c r="I342" s="483" t="s">
        <v>1059</v>
      </c>
      <c r="J342" s="472" t="s">
        <v>278</v>
      </c>
      <c r="K342" s="489" t="s">
        <v>2156</v>
      </c>
      <c r="L342" s="483" t="s">
        <v>280</v>
      </c>
      <c r="M342" s="483" t="s">
        <v>281</v>
      </c>
      <c r="N342" s="473">
        <v>3</v>
      </c>
      <c r="O342" s="484">
        <v>15</v>
      </c>
      <c r="P342" s="474"/>
      <c r="Q342" s="483" t="s">
        <v>2214</v>
      </c>
      <c r="R342" s="474"/>
      <c r="S342" s="474"/>
      <c r="T342" s="474"/>
      <c r="U342" s="475" t="s">
        <v>1054</v>
      </c>
      <c r="V342" s="485" t="str">
        <f>CLEAN(TRIM(Table2[[#This Row],[Status]] &amp; "|" &amp; Table2[[#This Row],[Level]] &amp; "|" &amp; Table2[[#This Row],[Participant As]]))</f>
        <v>Pemakalah dalam Conference/Seminar Ilmiah|External National|Team</v>
      </c>
      <c r="W342" s="486">
        <f>IFERROR(INDEX(GradingSimkat[Score], MATCH(Table2[[#This Row],[Criteria]], GradingSimkat[Criteria], 0)), 0)</f>
        <v>4</v>
      </c>
    </row>
    <row r="343" spans="1:23" ht="13.75" customHeight="1">
      <c r="A343" s="482" t="s">
        <v>659</v>
      </c>
      <c r="B343" s="483" t="s">
        <v>660</v>
      </c>
      <c r="C343" s="483" t="s">
        <v>274</v>
      </c>
      <c r="D343" s="484">
        <v>2022</v>
      </c>
      <c r="E343" s="483" t="s">
        <v>361</v>
      </c>
      <c r="F343" s="472" t="s">
        <v>362</v>
      </c>
      <c r="G343" s="472" t="s">
        <v>363</v>
      </c>
      <c r="H343" s="473">
        <v>20231</v>
      </c>
      <c r="I343" s="483" t="s">
        <v>364</v>
      </c>
      <c r="J343" s="472" t="s">
        <v>278</v>
      </c>
      <c r="K343" s="483" t="s">
        <v>279</v>
      </c>
      <c r="L343" s="483" t="s">
        <v>307</v>
      </c>
      <c r="M343" s="483" t="s">
        <v>292</v>
      </c>
      <c r="N343" s="473">
        <v>500</v>
      </c>
      <c r="O343" s="484">
        <v>10</v>
      </c>
      <c r="P343" s="472" t="s">
        <v>365</v>
      </c>
      <c r="Q343" s="483" t="s">
        <v>2186</v>
      </c>
      <c r="R343" s="472" t="s">
        <v>367</v>
      </c>
      <c r="S343" s="474"/>
      <c r="T343" s="474"/>
      <c r="U343" s="475" t="s">
        <v>368</v>
      </c>
      <c r="V343" s="485" t="str">
        <f>CLEAN(TRIM(Table2[[#This Row],[Status]] &amp; "|" &amp; Table2[[#This Row],[Level]] &amp; "|" &amp; Table2[[#This Row],[Participant As]]))</f>
        <v>Narasumber / Pemateri Acara Seminar / Workshop / Pemakalah|External International|Individual</v>
      </c>
      <c r="W343" s="486">
        <f>IFERROR(INDEX(GradingSimkat[Score], MATCH(Table2[[#This Row],[Criteria]], GradingSimkat[Criteria], 0)), 0)</f>
        <v>0</v>
      </c>
    </row>
    <row r="344" spans="1:23" ht="13.75" customHeight="1">
      <c r="A344" s="482" t="s">
        <v>783</v>
      </c>
      <c r="B344" s="483" t="s">
        <v>784</v>
      </c>
      <c r="C344" s="483" t="s">
        <v>274</v>
      </c>
      <c r="D344" s="484">
        <v>2023</v>
      </c>
      <c r="E344" s="483" t="s">
        <v>361</v>
      </c>
      <c r="F344" s="472" t="s">
        <v>362</v>
      </c>
      <c r="G344" s="472" t="s">
        <v>363</v>
      </c>
      <c r="H344" s="473">
        <v>20231</v>
      </c>
      <c r="I344" s="483" t="s">
        <v>364</v>
      </c>
      <c r="J344" s="472" t="s">
        <v>278</v>
      </c>
      <c r="K344" s="483" t="s">
        <v>279</v>
      </c>
      <c r="L344" s="483" t="s">
        <v>307</v>
      </c>
      <c r="M344" s="483" t="s">
        <v>292</v>
      </c>
      <c r="N344" s="473">
        <v>500</v>
      </c>
      <c r="O344" s="484">
        <v>10</v>
      </c>
      <c r="P344" s="472" t="s">
        <v>365</v>
      </c>
      <c r="Q344" s="483" t="s">
        <v>2186</v>
      </c>
      <c r="R344" s="472" t="s">
        <v>367</v>
      </c>
      <c r="S344" s="474"/>
      <c r="T344" s="474"/>
      <c r="U344" s="475" t="s">
        <v>368</v>
      </c>
      <c r="V344" s="485" t="str">
        <f>CLEAN(TRIM(Table2[[#This Row],[Status]] &amp; "|" &amp; Table2[[#This Row],[Level]] &amp; "|" &amp; Table2[[#This Row],[Participant As]]))</f>
        <v>Narasumber / Pemateri Acara Seminar / Workshop / Pemakalah|External International|Individual</v>
      </c>
      <c r="W344" s="486">
        <f>IFERROR(INDEX(GradingSimkat[Score], MATCH(Table2[[#This Row],[Criteria]], GradingSimkat[Criteria], 0)), 0)</f>
        <v>0</v>
      </c>
    </row>
    <row r="345" spans="1:23" ht="13.75" customHeight="1">
      <c r="A345" s="482" t="s">
        <v>587</v>
      </c>
      <c r="B345" s="483" t="s">
        <v>588</v>
      </c>
      <c r="C345" s="483" t="s">
        <v>274</v>
      </c>
      <c r="D345" s="484">
        <v>2022</v>
      </c>
      <c r="E345" s="483" t="s">
        <v>361</v>
      </c>
      <c r="F345" s="472" t="s">
        <v>362</v>
      </c>
      <c r="G345" s="472" t="s">
        <v>363</v>
      </c>
      <c r="H345" s="473">
        <v>20231</v>
      </c>
      <c r="I345" s="483" t="s">
        <v>364</v>
      </c>
      <c r="J345" s="472" t="s">
        <v>278</v>
      </c>
      <c r="K345" s="483" t="s">
        <v>279</v>
      </c>
      <c r="L345" s="483" t="s">
        <v>307</v>
      </c>
      <c r="M345" s="483" t="s">
        <v>292</v>
      </c>
      <c r="N345" s="473">
        <v>500</v>
      </c>
      <c r="O345" s="484">
        <v>10</v>
      </c>
      <c r="P345" s="472" t="s">
        <v>365</v>
      </c>
      <c r="Q345" s="483" t="s">
        <v>2186</v>
      </c>
      <c r="R345" s="472" t="s">
        <v>367</v>
      </c>
      <c r="S345" s="474"/>
      <c r="T345" s="474"/>
      <c r="U345" s="475" t="s">
        <v>368</v>
      </c>
      <c r="V345" s="485" t="str">
        <f>CLEAN(TRIM(Table2[[#This Row],[Status]] &amp; "|" &amp; Table2[[#This Row],[Level]] &amp; "|" &amp; Table2[[#This Row],[Participant As]]))</f>
        <v>Narasumber / Pemateri Acara Seminar / Workshop / Pemakalah|External International|Individual</v>
      </c>
      <c r="W345" s="486">
        <f>IFERROR(INDEX(GradingSimkat[Score], MATCH(Table2[[#This Row],[Criteria]], GradingSimkat[Criteria], 0)), 0)</f>
        <v>0</v>
      </c>
    </row>
    <row r="346" spans="1:23" s="470" customFormat="1" ht="13.75" customHeight="1">
      <c r="A346" s="482" t="s">
        <v>461</v>
      </c>
      <c r="B346" s="483" t="s">
        <v>462</v>
      </c>
      <c r="C346" s="483" t="s">
        <v>274</v>
      </c>
      <c r="D346" s="484">
        <v>2021</v>
      </c>
      <c r="E346" s="483" t="s">
        <v>361</v>
      </c>
      <c r="F346" s="472" t="s">
        <v>362</v>
      </c>
      <c r="G346" s="472" t="s">
        <v>363</v>
      </c>
      <c r="H346" s="473">
        <v>20231</v>
      </c>
      <c r="I346" s="483" t="s">
        <v>364</v>
      </c>
      <c r="J346" s="472" t="s">
        <v>278</v>
      </c>
      <c r="K346" s="483" t="s">
        <v>279</v>
      </c>
      <c r="L346" s="483" t="s">
        <v>307</v>
      </c>
      <c r="M346" s="483" t="s">
        <v>292</v>
      </c>
      <c r="N346" s="473">
        <v>500</v>
      </c>
      <c r="O346" s="484">
        <v>10</v>
      </c>
      <c r="P346" s="472" t="s">
        <v>365</v>
      </c>
      <c r="Q346" s="483" t="s">
        <v>2186</v>
      </c>
      <c r="R346" s="472" t="s">
        <v>367</v>
      </c>
      <c r="S346" s="474"/>
      <c r="T346" s="474"/>
      <c r="U346" s="475" t="s">
        <v>368</v>
      </c>
      <c r="V346" s="485" t="str">
        <f>CLEAN(TRIM(Table2[[#This Row],[Status]] &amp; "|" &amp; Table2[[#This Row],[Level]] &amp; "|" &amp; Table2[[#This Row],[Participant As]]))</f>
        <v>Narasumber / Pemateri Acara Seminar / Workshop / Pemakalah|External International|Individual</v>
      </c>
      <c r="W346" s="486">
        <f>IFERROR(INDEX(GradingSimkat[Score], MATCH(Table2[[#This Row],[Criteria]], GradingSimkat[Criteria], 0)), 0)</f>
        <v>0</v>
      </c>
    </row>
    <row r="347" spans="1:23" ht="13.75" customHeight="1">
      <c r="A347" s="482" t="s">
        <v>639</v>
      </c>
      <c r="B347" s="483" t="s">
        <v>640</v>
      </c>
      <c r="C347" s="483" t="s">
        <v>274</v>
      </c>
      <c r="D347" s="484">
        <v>2022</v>
      </c>
      <c r="E347" s="483" t="s">
        <v>361</v>
      </c>
      <c r="F347" s="472" t="s">
        <v>362</v>
      </c>
      <c r="G347" s="472" t="s">
        <v>363</v>
      </c>
      <c r="H347" s="473">
        <v>20231</v>
      </c>
      <c r="I347" s="483" t="s">
        <v>364</v>
      </c>
      <c r="J347" s="472" t="s">
        <v>278</v>
      </c>
      <c r="K347" s="483" t="s">
        <v>279</v>
      </c>
      <c r="L347" s="483" t="s">
        <v>307</v>
      </c>
      <c r="M347" s="483" t="s">
        <v>292</v>
      </c>
      <c r="N347" s="473">
        <v>500</v>
      </c>
      <c r="O347" s="484">
        <v>10</v>
      </c>
      <c r="P347" s="472" t="s">
        <v>365</v>
      </c>
      <c r="Q347" s="483" t="s">
        <v>2186</v>
      </c>
      <c r="R347" s="472" t="s">
        <v>367</v>
      </c>
      <c r="S347" s="474"/>
      <c r="T347" s="474"/>
      <c r="U347" s="475" t="s">
        <v>368</v>
      </c>
      <c r="V347" s="485" t="str">
        <f>CLEAN(TRIM(Table2[[#This Row],[Status]] &amp; "|" &amp; Table2[[#This Row],[Level]] &amp; "|" &amp; Table2[[#This Row],[Participant As]]))</f>
        <v>Narasumber / Pemateri Acara Seminar / Workshop / Pemakalah|External International|Individual</v>
      </c>
      <c r="W347" s="486">
        <f>IFERROR(INDEX(GradingSimkat[Score], MATCH(Table2[[#This Row],[Criteria]], GradingSimkat[Criteria], 0)), 0)</f>
        <v>0</v>
      </c>
    </row>
    <row r="348" spans="1:23" ht="13.75" customHeight="1">
      <c r="A348" s="482" t="s">
        <v>827</v>
      </c>
      <c r="B348" s="483" t="s">
        <v>828</v>
      </c>
      <c r="C348" s="483" t="s">
        <v>274</v>
      </c>
      <c r="D348" s="484">
        <v>2023</v>
      </c>
      <c r="E348" s="483" t="s">
        <v>361</v>
      </c>
      <c r="F348" s="472" t="s">
        <v>362</v>
      </c>
      <c r="G348" s="472" t="s">
        <v>363</v>
      </c>
      <c r="H348" s="473">
        <v>20231</v>
      </c>
      <c r="I348" s="483" t="s">
        <v>364</v>
      </c>
      <c r="J348" s="472" t="s">
        <v>278</v>
      </c>
      <c r="K348" s="483" t="s">
        <v>279</v>
      </c>
      <c r="L348" s="483" t="s">
        <v>307</v>
      </c>
      <c r="M348" s="483" t="s">
        <v>292</v>
      </c>
      <c r="N348" s="473">
        <v>500</v>
      </c>
      <c r="O348" s="484">
        <v>10</v>
      </c>
      <c r="P348" s="472" t="s">
        <v>365</v>
      </c>
      <c r="Q348" s="483" t="s">
        <v>2186</v>
      </c>
      <c r="R348" s="472" t="s">
        <v>367</v>
      </c>
      <c r="S348" s="474"/>
      <c r="T348" s="474"/>
      <c r="U348" s="475" t="s">
        <v>368</v>
      </c>
      <c r="V348" s="485" t="str">
        <f>CLEAN(TRIM(Table2[[#This Row],[Status]] &amp; "|" &amp; Table2[[#This Row],[Level]] &amp; "|" &amp; Table2[[#This Row],[Participant As]]))</f>
        <v>Narasumber / Pemateri Acara Seminar / Workshop / Pemakalah|External International|Individual</v>
      </c>
      <c r="W348" s="486">
        <f>IFERROR(INDEX(GradingSimkat[Score], MATCH(Table2[[#This Row],[Criteria]], GradingSimkat[Criteria], 0)), 0)</f>
        <v>0</v>
      </c>
    </row>
    <row r="349" spans="1:23" ht="13.75" customHeight="1">
      <c r="A349" s="482" t="s">
        <v>520</v>
      </c>
      <c r="B349" s="483" t="s">
        <v>521</v>
      </c>
      <c r="C349" s="483" t="s">
        <v>274</v>
      </c>
      <c r="D349" s="484">
        <v>2021</v>
      </c>
      <c r="E349" s="483" t="s">
        <v>361</v>
      </c>
      <c r="F349" s="472" t="s">
        <v>362</v>
      </c>
      <c r="G349" s="472" t="s">
        <v>363</v>
      </c>
      <c r="H349" s="473">
        <v>20231</v>
      </c>
      <c r="I349" s="483" t="s">
        <v>364</v>
      </c>
      <c r="J349" s="472" t="s">
        <v>278</v>
      </c>
      <c r="K349" s="483" t="s">
        <v>279</v>
      </c>
      <c r="L349" s="483" t="s">
        <v>307</v>
      </c>
      <c r="M349" s="483" t="s">
        <v>292</v>
      </c>
      <c r="N349" s="473">
        <v>500</v>
      </c>
      <c r="O349" s="484">
        <v>10</v>
      </c>
      <c r="P349" s="472" t="s">
        <v>365</v>
      </c>
      <c r="Q349" s="483" t="s">
        <v>2186</v>
      </c>
      <c r="R349" s="472" t="s">
        <v>367</v>
      </c>
      <c r="S349" s="474"/>
      <c r="T349" s="474"/>
      <c r="U349" s="475" t="s">
        <v>368</v>
      </c>
      <c r="V349" s="485" t="str">
        <f>CLEAN(TRIM(Table2[[#This Row],[Status]] &amp; "|" &amp; Table2[[#This Row],[Level]] &amp; "|" &amp; Table2[[#This Row],[Participant As]]))</f>
        <v>Narasumber / Pemateri Acara Seminar / Workshop / Pemakalah|External International|Individual</v>
      </c>
      <c r="W349" s="486">
        <f>IFERROR(INDEX(GradingSimkat[Score], MATCH(Table2[[#This Row],[Criteria]], GradingSimkat[Criteria], 0)), 0)</f>
        <v>0</v>
      </c>
    </row>
    <row r="350" spans="1:23" ht="13.75" customHeight="1">
      <c r="A350" s="482" t="s">
        <v>964</v>
      </c>
      <c r="B350" s="483" t="s">
        <v>965</v>
      </c>
      <c r="C350" s="483" t="s">
        <v>966</v>
      </c>
      <c r="D350" s="484">
        <v>2020</v>
      </c>
      <c r="E350" s="483" t="s">
        <v>418</v>
      </c>
      <c r="F350" s="472" t="s">
        <v>419</v>
      </c>
      <c r="G350" s="472" t="s">
        <v>419</v>
      </c>
      <c r="H350" s="473">
        <v>20231</v>
      </c>
      <c r="I350" s="483" t="s">
        <v>420</v>
      </c>
      <c r="J350" s="472" t="s">
        <v>278</v>
      </c>
      <c r="K350" s="483" t="s">
        <v>279</v>
      </c>
      <c r="L350" s="483" t="s">
        <v>291</v>
      </c>
      <c r="M350" s="483" t="s">
        <v>292</v>
      </c>
      <c r="N350" s="473">
        <v>250</v>
      </c>
      <c r="O350" s="484">
        <v>4</v>
      </c>
      <c r="P350" s="474"/>
      <c r="Q350" s="483" t="s">
        <v>2191</v>
      </c>
      <c r="R350" s="472" t="s">
        <v>422</v>
      </c>
      <c r="S350" s="474"/>
      <c r="T350" s="474"/>
      <c r="U350" s="475" t="s">
        <v>423</v>
      </c>
      <c r="V350" s="485" t="str">
        <f>CLEAN(TRIM(Table2[[#This Row],[Status]] &amp; "|" &amp; Table2[[#This Row],[Level]] &amp; "|" &amp; Table2[[#This Row],[Participant As]]))</f>
        <v>Narasumber / Pemateri Acara Seminar / Workshop / Pemakalah|Internal Sekolah / Universitas|Individual</v>
      </c>
      <c r="W350" s="486">
        <f>IFERROR(INDEX(GradingSimkat[Score], MATCH(Table2[[#This Row],[Criteria]], GradingSimkat[Criteria], 0)), 0)</f>
        <v>0</v>
      </c>
    </row>
    <row r="351" spans="1:23" ht="13.75" customHeight="1">
      <c r="A351" s="482" t="s">
        <v>1478</v>
      </c>
      <c r="B351" s="483" t="s">
        <v>1479</v>
      </c>
      <c r="C351" s="483" t="s">
        <v>1444</v>
      </c>
      <c r="D351" s="484">
        <v>2020</v>
      </c>
      <c r="E351" s="483" t="s">
        <v>361</v>
      </c>
      <c r="F351" s="472" t="s">
        <v>362</v>
      </c>
      <c r="G351" s="472" t="s">
        <v>363</v>
      </c>
      <c r="H351" s="473">
        <v>20231</v>
      </c>
      <c r="I351" s="483" t="s">
        <v>364</v>
      </c>
      <c r="J351" s="472" t="s">
        <v>278</v>
      </c>
      <c r="K351" s="483" t="s">
        <v>279</v>
      </c>
      <c r="L351" s="483" t="s">
        <v>307</v>
      </c>
      <c r="M351" s="483" t="s">
        <v>292</v>
      </c>
      <c r="N351" s="473">
        <v>500</v>
      </c>
      <c r="O351" s="484">
        <v>10</v>
      </c>
      <c r="P351" s="472" t="s">
        <v>365</v>
      </c>
      <c r="Q351" s="483" t="s">
        <v>2188</v>
      </c>
      <c r="R351" s="472" t="s">
        <v>389</v>
      </c>
      <c r="S351" s="474"/>
      <c r="T351" s="474"/>
      <c r="U351" s="475" t="s">
        <v>368</v>
      </c>
      <c r="V351" s="485" t="str">
        <f>CLEAN(TRIM(Table2[[#This Row],[Status]] &amp; "|" &amp; Table2[[#This Row],[Level]] &amp; "|" &amp; Table2[[#This Row],[Participant As]]))</f>
        <v>Narasumber / Pemateri Acara Seminar / Workshop / Pemakalah|External International|Individual</v>
      </c>
      <c r="W351" s="486">
        <f>IFERROR(INDEX(GradingSimkat[Score], MATCH(Table2[[#This Row],[Criteria]], GradingSimkat[Criteria], 0)), 0)</f>
        <v>0</v>
      </c>
    </row>
    <row r="352" spans="1:23" ht="13.75" customHeight="1">
      <c r="A352" s="482" t="s">
        <v>1385</v>
      </c>
      <c r="B352" s="483" t="s">
        <v>1386</v>
      </c>
      <c r="C352" s="483" t="s">
        <v>1356</v>
      </c>
      <c r="D352" s="484">
        <v>2020</v>
      </c>
      <c r="E352" s="483" t="s">
        <v>361</v>
      </c>
      <c r="F352" s="472" t="s">
        <v>362</v>
      </c>
      <c r="G352" s="472" t="s">
        <v>363</v>
      </c>
      <c r="H352" s="473">
        <v>20231</v>
      </c>
      <c r="I352" s="483" t="s">
        <v>364</v>
      </c>
      <c r="J352" s="472" t="s">
        <v>278</v>
      </c>
      <c r="K352" s="483" t="s">
        <v>279</v>
      </c>
      <c r="L352" s="483" t="s">
        <v>307</v>
      </c>
      <c r="M352" s="483" t="s">
        <v>292</v>
      </c>
      <c r="N352" s="473">
        <v>500</v>
      </c>
      <c r="O352" s="484">
        <v>10</v>
      </c>
      <c r="P352" s="472" t="s">
        <v>365</v>
      </c>
      <c r="Q352" s="483" t="s">
        <v>2188</v>
      </c>
      <c r="R352" s="472" t="s">
        <v>389</v>
      </c>
      <c r="S352" s="474"/>
      <c r="T352" s="474"/>
      <c r="U352" s="475" t="s">
        <v>368</v>
      </c>
      <c r="V352" s="485" t="str">
        <f>CLEAN(TRIM(Table2[[#This Row],[Status]] &amp; "|" &amp; Table2[[#This Row],[Level]] &amp; "|" &amp; Table2[[#This Row],[Participant As]]))</f>
        <v>Narasumber / Pemateri Acara Seminar / Workshop / Pemakalah|External International|Individual</v>
      </c>
      <c r="W352" s="486">
        <f>IFERROR(INDEX(GradingSimkat[Score], MATCH(Table2[[#This Row],[Criteria]], GradingSimkat[Criteria], 0)), 0)</f>
        <v>0</v>
      </c>
    </row>
    <row r="353" spans="1:23" ht="13.75" customHeight="1">
      <c r="A353" s="482" t="s">
        <v>1442</v>
      </c>
      <c r="B353" s="483" t="s">
        <v>1443</v>
      </c>
      <c r="C353" s="483" t="s">
        <v>1444</v>
      </c>
      <c r="D353" s="484">
        <v>2018</v>
      </c>
      <c r="E353" s="483" t="s">
        <v>1445</v>
      </c>
      <c r="F353" s="472" t="s">
        <v>1446</v>
      </c>
      <c r="G353" s="472" t="s">
        <v>1446</v>
      </c>
      <c r="H353" s="473">
        <v>20212</v>
      </c>
      <c r="I353" s="483" t="s">
        <v>1447</v>
      </c>
      <c r="J353" s="472" t="s">
        <v>278</v>
      </c>
      <c r="K353" s="483" t="s">
        <v>279</v>
      </c>
      <c r="L353" s="483" t="s">
        <v>291</v>
      </c>
      <c r="M353" s="483" t="s">
        <v>292</v>
      </c>
      <c r="N353" s="473">
        <v>80</v>
      </c>
      <c r="O353" s="484">
        <v>5</v>
      </c>
      <c r="P353" s="474"/>
      <c r="Q353" s="483" t="s">
        <v>2251</v>
      </c>
      <c r="R353" s="474"/>
      <c r="S353" s="474"/>
      <c r="T353" s="474"/>
      <c r="U353" s="475" t="s">
        <v>1449</v>
      </c>
      <c r="V353" s="485" t="str">
        <f>CLEAN(TRIM(Table2[[#This Row],[Status]] &amp; "|" &amp; Table2[[#This Row],[Level]] &amp; "|" &amp; Table2[[#This Row],[Participant As]]))</f>
        <v>Narasumber / Pemateri Acara Seminar / Workshop / Pemakalah|Internal Sekolah / Universitas|Individual</v>
      </c>
      <c r="W353" s="486">
        <f>IFERROR(INDEX(GradingSimkat[Score], MATCH(Table2[[#This Row],[Criteria]], GradingSimkat[Criteria], 0)), 0)</f>
        <v>0</v>
      </c>
    </row>
    <row r="354" spans="1:23" ht="13.75" customHeight="1">
      <c r="A354" s="482" t="s">
        <v>1442</v>
      </c>
      <c r="B354" s="483" t="s">
        <v>1443</v>
      </c>
      <c r="C354" s="483" t="s">
        <v>1444</v>
      </c>
      <c r="D354" s="484">
        <v>2018</v>
      </c>
      <c r="E354" s="483" t="s">
        <v>1450</v>
      </c>
      <c r="F354" s="472" t="s">
        <v>1451</v>
      </c>
      <c r="G354" s="472" t="s">
        <v>1451</v>
      </c>
      <c r="H354" s="473">
        <v>20221</v>
      </c>
      <c r="I354" s="483" t="s">
        <v>1452</v>
      </c>
      <c r="J354" s="472" t="s">
        <v>278</v>
      </c>
      <c r="K354" s="483" t="s">
        <v>279</v>
      </c>
      <c r="L354" s="483" t="s">
        <v>291</v>
      </c>
      <c r="M354" s="483" t="s">
        <v>292</v>
      </c>
      <c r="N354" s="473">
        <v>200</v>
      </c>
      <c r="O354" s="484">
        <v>5</v>
      </c>
      <c r="P354" s="474"/>
      <c r="Q354" s="483" t="s">
        <v>2252</v>
      </c>
      <c r="R354" s="474"/>
      <c r="S354" s="474"/>
      <c r="T354" s="474"/>
      <c r="U354" s="475" t="s">
        <v>1454</v>
      </c>
      <c r="V354" s="485" t="str">
        <f>CLEAN(TRIM(Table2[[#This Row],[Status]] &amp; "|" &amp; Table2[[#This Row],[Level]] &amp; "|" &amp; Table2[[#This Row],[Participant As]]))</f>
        <v>Narasumber / Pemateri Acara Seminar / Workshop / Pemakalah|Internal Sekolah / Universitas|Individual</v>
      </c>
      <c r="W354" s="486">
        <f>IFERROR(INDEX(GradingSimkat[Score], MATCH(Table2[[#This Row],[Criteria]], GradingSimkat[Criteria], 0)), 0)</f>
        <v>0</v>
      </c>
    </row>
    <row r="355" spans="1:23" ht="13.75" customHeight="1">
      <c r="A355" s="482" t="s">
        <v>901</v>
      </c>
      <c r="B355" s="483" t="s">
        <v>902</v>
      </c>
      <c r="C355" s="483" t="s">
        <v>274</v>
      </c>
      <c r="D355" s="484">
        <v>2023</v>
      </c>
      <c r="E355" s="483" t="s">
        <v>361</v>
      </c>
      <c r="F355" s="472" t="s">
        <v>362</v>
      </c>
      <c r="G355" s="472" t="s">
        <v>363</v>
      </c>
      <c r="H355" s="473">
        <v>20231</v>
      </c>
      <c r="I355" s="483" t="s">
        <v>364</v>
      </c>
      <c r="J355" s="472" t="s">
        <v>278</v>
      </c>
      <c r="K355" s="483" t="s">
        <v>279</v>
      </c>
      <c r="L355" s="483" t="s">
        <v>307</v>
      </c>
      <c r="M355" s="483" t="s">
        <v>292</v>
      </c>
      <c r="N355" s="473">
        <v>500</v>
      </c>
      <c r="O355" s="484">
        <v>10</v>
      </c>
      <c r="P355" s="472" t="s">
        <v>365</v>
      </c>
      <c r="Q355" s="483" t="s">
        <v>2186</v>
      </c>
      <c r="R355" s="472" t="s">
        <v>367</v>
      </c>
      <c r="S355" s="474"/>
      <c r="T355" s="474"/>
      <c r="U355" s="475" t="s">
        <v>368</v>
      </c>
      <c r="V355" s="485" t="str">
        <f>CLEAN(TRIM(Table2[[#This Row],[Status]] &amp; "|" &amp; Table2[[#This Row],[Level]] &amp; "|" &amp; Table2[[#This Row],[Participant As]]))</f>
        <v>Narasumber / Pemateri Acara Seminar / Workshop / Pemakalah|External International|Individual</v>
      </c>
      <c r="W355" s="486">
        <f>IFERROR(INDEX(GradingSimkat[Score], MATCH(Table2[[#This Row],[Criteria]], GradingSimkat[Criteria], 0)), 0)</f>
        <v>0</v>
      </c>
    </row>
    <row r="356" spans="1:23" ht="13.75" customHeight="1">
      <c r="A356" s="482" t="s">
        <v>779</v>
      </c>
      <c r="B356" s="483" t="s">
        <v>780</v>
      </c>
      <c r="C356" s="483" t="s">
        <v>274</v>
      </c>
      <c r="D356" s="484">
        <v>2023</v>
      </c>
      <c r="E356" s="483" t="s">
        <v>361</v>
      </c>
      <c r="F356" s="472" t="s">
        <v>362</v>
      </c>
      <c r="G356" s="472" t="s">
        <v>363</v>
      </c>
      <c r="H356" s="473">
        <v>20231</v>
      </c>
      <c r="I356" s="483" t="s">
        <v>364</v>
      </c>
      <c r="J356" s="472" t="s">
        <v>278</v>
      </c>
      <c r="K356" s="483" t="s">
        <v>279</v>
      </c>
      <c r="L356" s="483" t="s">
        <v>307</v>
      </c>
      <c r="M356" s="483" t="s">
        <v>292</v>
      </c>
      <c r="N356" s="473">
        <v>500</v>
      </c>
      <c r="O356" s="484">
        <v>10</v>
      </c>
      <c r="P356" s="472" t="s">
        <v>365</v>
      </c>
      <c r="Q356" s="483" t="s">
        <v>2186</v>
      </c>
      <c r="R356" s="472" t="s">
        <v>367</v>
      </c>
      <c r="S356" s="474"/>
      <c r="T356" s="474"/>
      <c r="U356" s="475" t="s">
        <v>368</v>
      </c>
      <c r="V356" s="485" t="str">
        <f>CLEAN(TRIM(Table2[[#This Row],[Status]] &amp; "|" &amp; Table2[[#This Row],[Level]] &amp; "|" &amp; Table2[[#This Row],[Participant As]]))</f>
        <v>Narasumber / Pemateri Acara Seminar / Workshop / Pemakalah|External International|Individual</v>
      </c>
      <c r="W356" s="486">
        <f>IFERROR(INDEX(GradingSimkat[Score], MATCH(Table2[[#This Row],[Criteria]], GradingSimkat[Criteria], 0)), 0)</f>
        <v>0</v>
      </c>
    </row>
    <row r="357" spans="1:23" s="470" customFormat="1" ht="13.75" customHeight="1">
      <c r="A357" s="482" t="s">
        <v>1280</v>
      </c>
      <c r="B357" s="483" t="s">
        <v>1281</v>
      </c>
      <c r="C357" s="483" t="s">
        <v>1227</v>
      </c>
      <c r="D357" s="484">
        <v>2021</v>
      </c>
      <c r="E357" s="483" t="s">
        <v>361</v>
      </c>
      <c r="F357" s="472" t="s">
        <v>362</v>
      </c>
      <c r="G357" s="472" t="s">
        <v>363</v>
      </c>
      <c r="H357" s="473">
        <v>20231</v>
      </c>
      <c r="I357" s="483" t="s">
        <v>364</v>
      </c>
      <c r="J357" s="472" t="s">
        <v>278</v>
      </c>
      <c r="K357" s="483" t="s">
        <v>279</v>
      </c>
      <c r="L357" s="483" t="s">
        <v>307</v>
      </c>
      <c r="M357" s="483" t="s">
        <v>292</v>
      </c>
      <c r="N357" s="473">
        <v>500</v>
      </c>
      <c r="O357" s="484">
        <v>10</v>
      </c>
      <c r="P357" s="472" t="s">
        <v>365</v>
      </c>
      <c r="Q357" s="483" t="s">
        <v>2188</v>
      </c>
      <c r="R357" s="472" t="s">
        <v>389</v>
      </c>
      <c r="S357" s="474"/>
      <c r="T357" s="474"/>
      <c r="U357" s="475" t="s">
        <v>368</v>
      </c>
      <c r="V357" s="485" t="str">
        <f>CLEAN(TRIM(Table2[[#This Row],[Status]] &amp; "|" &amp; Table2[[#This Row],[Level]] &amp; "|" &amp; Table2[[#This Row],[Participant As]]))</f>
        <v>Narasumber / Pemateri Acara Seminar / Workshop / Pemakalah|External International|Individual</v>
      </c>
      <c r="W357" s="486">
        <f>IFERROR(INDEX(GradingSimkat[Score], MATCH(Table2[[#This Row],[Criteria]], GradingSimkat[Criteria], 0)), 0)</f>
        <v>0</v>
      </c>
    </row>
    <row r="358" spans="1:23" ht="13.75" customHeight="1">
      <c r="A358" s="471" t="s">
        <v>1129</v>
      </c>
      <c r="B358" s="472" t="s">
        <v>1130</v>
      </c>
      <c r="C358" s="472" t="s">
        <v>986</v>
      </c>
      <c r="D358" s="473">
        <v>2021</v>
      </c>
      <c r="E358" s="472" t="s">
        <v>1131</v>
      </c>
      <c r="F358" s="472" t="s">
        <v>1132</v>
      </c>
      <c r="G358" s="472" t="s">
        <v>1132</v>
      </c>
      <c r="H358" s="473">
        <v>20222</v>
      </c>
      <c r="I358" s="472" t="s">
        <v>1133</v>
      </c>
      <c r="J358" s="472" t="s">
        <v>278</v>
      </c>
      <c r="K358" s="472" t="s">
        <v>2159</v>
      </c>
      <c r="L358" s="472" t="s">
        <v>280</v>
      </c>
      <c r="M358" s="472" t="s">
        <v>292</v>
      </c>
      <c r="N358" s="473">
        <v>1000</v>
      </c>
      <c r="O358" s="473">
        <v>30</v>
      </c>
      <c r="P358" s="474"/>
      <c r="Q358" s="474"/>
      <c r="R358" s="474"/>
      <c r="S358" s="472" t="s">
        <v>1134</v>
      </c>
      <c r="T358" s="474"/>
      <c r="U358" s="475" t="s">
        <v>1131</v>
      </c>
      <c r="V358" s="481" t="str">
        <f>CLEAN(TRIM(Table2[[#This Row],[Status]] &amp; "|" &amp; Table2[[#This Row],[Level]] &amp; "|" &amp; Table2[[#This Row],[Participant As]]))</f>
        <v>Penulis pertama buku ber-ISBN|External National|Individual</v>
      </c>
      <c r="W358" s="477">
        <f>IFERROR(INDEX(GradingSimkat[Score], MATCH(Table2[[#This Row],[Criteria]], GradingSimkat[Criteria], 0)), 0)</f>
        <v>6</v>
      </c>
    </row>
    <row r="359" spans="1:23" ht="13.75" customHeight="1">
      <c r="A359" s="471" t="s">
        <v>390</v>
      </c>
      <c r="B359" s="472" t="s">
        <v>391</v>
      </c>
      <c r="C359" s="472" t="s">
        <v>274</v>
      </c>
      <c r="D359" s="473">
        <v>2020</v>
      </c>
      <c r="E359" s="472" t="s">
        <v>328</v>
      </c>
      <c r="F359" s="472" t="s">
        <v>329</v>
      </c>
      <c r="G359" s="472" t="s">
        <v>330</v>
      </c>
      <c r="H359" s="473">
        <v>20221</v>
      </c>
      <c r="I359" s="472" t="s">
        <v>2164</v>
      </c>
      <c r="J359" s="472" t="s">
        <v>278</v>
      </c>
      <c r="K359" s="472" t="s">
        <v>2155</v>
      </c>
      <c r="L359" s="472" t="s">
        <v>291</v>
      </c>
      <c r="M359" s="472" t="s">
        <v>292</v>
      </c>
      <c r="N359" s="473">
        <v>7</v>
      </c>
      <c r="O359" s="473">
        <v>5</v>
      </c>
      <c r="P359" s="474"/>
      <c r="Q359" s="472" t="s">
        <v>333</v>
      </c>
      <c r="R359" s="472" t="s">
        <v>334</v>
      </c>
      <c r="S359" s="474"/>
      <c r="T359" s="474"/>
      <c r="U359" s="475" t="s">
        <v>335</v>
      </c>
      <c r="V359" s="481" t="str">
        <f>CLEAN(TRIM(Table2[[#This Row],[Status]] &amp; "|" &amp; Table2[[#This Row],[Level]] &amp; "|" &amp; Table2[[#This Row],[Participant As]]))</f>
        <v>Juri/Pelatih/Wasit|Internal Sekolah / Universitas|Individual</v>
      </c>
      <c r="W359" s="477">
        <f>IFERROR(INDEX(GradingSimkat[Score], MATCH(Table2[[#This Row],[Criteria]], GradingSimkat[Criteria], 0)), 0)</f>
        <v>0</v>
      </c>
    </row>
    <row r="360" spans="1:23" ht="13.75" customHeight="1">
      <c r="A360" s="482" t="s">
        <v>683</v>
      </c>
      <c r="B360" s="483" t="s">
        <v>684</v>
      </c>
      <c r="C360" s="483" t="s">
        <v>274</v>
      </c>
      <c r="D360" s="484">
        <v>2022</v>
      </c>
      <c r="E360" s="483" t="s">
        <v>361</v>
      </c>
      <c r="F360" s="472" t="s">
        <v>362</v>
      </c>
      <c r="G360" s="472" t="s">
        <v>363</v>
      </c>
      <c r="H360" s="473">
        <v>20231</v>
      </c>
      <c r="I360" s="483" t="s">
        <v>364</v>
      </c>
      <c r="J360" s="472" t="s">
        <v>278</v>
      </c>
      <c r="K360" s="483" t="s">
        <v>279</v>
      </c>
      <c r="L360" s="483" t="s">
        <v>307</v>
      </c>
      <c r="M360" s="483" t="s">
        <v>292</v>
      </c>
      <c r="N360" s="473">
        <v>500</v>
      </c>
      <c r="O360" s="484">
        <v>10</v>
      </c>
      <c r="P360" s="472" t="s">
        <v>365</v>
      </c>
      <c r="Q360" s="483" t="s">
        <v>2186</v>
      </c>
      <c r="R360" s="472" t="s">
        <v>367</v>
      </c>
      <c r="S360" s="474"/>
      <c r="T360" s="474"/>
      <c r="U360" s="475" t="s">
        <v>368</v>
      </c>
      <c r="V360" s="485" t="str">
        <f>CLEAN(TRIM(Table2[[#This Row],[Status]] &amp; "|" &amp; Table2[[#This Row],[Level]] &amp; "|" &amp; Table2[[#This Row],[Participant As]]))</f>
        <v>Narasumber / Pemateri Acara Seminar / Workshop / Pemakalah|External International|Individual</v>
      </c>
      <c r="W360" s="486">
        <f>IFERROR(INDEX(GradingSimkat[Score], MATCH(Table2[[#This Row],[Criteria]], GradingSimkat[Criteria], 0)), 0)</f>
        <v>0</v>
      </c>
    </row>
    <row r="361" spans="1:23" ht="39.75" customHeight="1">
      <c r="A361" s="482" t="s">
        <v>1761</v>
      </c>
      <c r="B361" s="483" t="s">
        <v>1762</v>
      </c>
      <c r="C361" s="483" t="s">
        <v>1684</v>
      </c>
      <c r="D361" s="484">
        <v>2022</v>
      </c>
      <c r="E361" s="483" t="s">
        <v>361</v>
      </c>
      <c r="F361" s="472" t="s">
        <v>362</v>
      </c>
      <c r="G361" s="472" t="s">
        <v>363</v>
      </c>
      <c r="H361" s="473">
        <v>20231</v>
      </c>
      <c r="I361" s="483" t="s">
        <v>364</v>
      </c>
      <c r="J361" s="472" t="s">
        <v>278</v>
      </c>
      <c r="K361" s="483" t="s">
        <v>279</v>
      </c>
      <c r="L361" s="483" t="s">
        <v>307</v>
      </c>
      <c r="M361" s="483" t="s">
        <v>292</v>
      </c>
      <c r="N361" s="473">
        <v>500</v>
      </c>
      <c r="O361" s="484">
        <v>10</v>
      </c>
      <c r="P361" s="472" t="s">
        <v>365</v>
      </c>
      <c r="Q361" s="483" t="s">
        <v>2188</v>
      </c>
      <c r="R361" s="472" t="s">
        <v>389</v>
      </c>
      <c r="S361" s="474"/>
      <c r="T361" s="474"/>
      <c r="U361" s="475" t="s">
        <v>368</v>
      </c>
      <c r="V361" s="485" t="str">
        <f>CLEAN(TRIM(Table2[[#This Row],[Status]] &amp; "|" &amp; Table2[[#This Row],[Level]] &amp; "|" &amp; Table2[[#This Row],[Participant As]]))</f>
        <v>Narasumber / Pemateri Acara Seminar / Workshop / Pemakalah|External International|Individual</v>
      </c>
      <c r="W361" s="486">
        <f>IFERROR(INDEX(GradingSimkat[Score], MATCH(Table2[[#This Row],[Criteria]], GradingSimkat[Criteria], 0)), 0)</f>
        <v>0</v>
      </c>
    </row>
    <row r="362" spans="1:23" ht="13.75" customHeight="1">
      <c r="A362" s="482" t="s">
        <v>931</v>
      </c>
      <c r="B362" s="483" t="s">
        <v>932</v>
      </c>
      <c r="C362" s="483" t="s">
        <v>274</v>
      </c>
      <c r="D362" s="484">
        <v>2023</v>
      </c>
      <c r="E362" s="483" t="s">
        <v>361</v>
      </c>
      <c r="F362" s="472" t="s">
        <v>362</v>
      </c>
      <c r="G362" s="472" t="s">
        <v>363</v>
      </c>
      <c r="H362" s="473">
        <v>20231</v>
      </c>
      <c r="I362" s="483" t="s">
        <v>364</v>
      </c>
      <c r="J362" s="472" t="s">
        <v>278</v>
      </c>
      <c r="K362" s="483" t="s">
        <v>279</v>
      </c>
      <c r="L362" s="483" t="s">
        <v>307</v>
      </c>
      <c r="M362" s="483" t="s">
        <v>292</v>
      </c>
      <c r="N362" s="473">
        <v>500</v>
      </c>
      <c r="O362" s="484">
        <v>10</v>
      </c>
      <c r="P362" s="472" t="s">
        <v>365</v>
      </c>
      <c r="Q362" s="483" t="s">
        <v>2186</v>
      </c>
      <c r="R362" s="472" t="s">
        <v>367</v>
      </c>
      <c r="S362" s="474"/>
      <c r="T362" s="474"/>
      <c r="U362" s="475" t="s">
        <v>368</v>
      </c>
      <c r="V362" s="485" t="str">
        <f>CLEAN(TRIM(Table2[[#This Row],[Status]] &amp; "|" &amp; Table2[[#This Row],[Level]] &amp; "|" &amp; Table2[[#This Row],[Participant As]]))</f>
        <v>Narasumber / Pemateri Acara Seminar / Workshop / Pemakalah|External International|Individual</v>
      </c>
      <c r="W362" s="486">
        <f>IFERROR(INDEX(GradingSimkat[Score], MATCH(Table2[[#This Row],[Criteria]], GradingSimkat[Criteria], 0)), 0)</f>
        <v>0</v>
      </c>
    </row>
    <row r="363" spans="1:23" s="470" customFormat="1" ht="13.75" customHeight="1">
      <c r="A363" s="482" t="s">
        <v>526</v>
      </c>
      <c r="B363" s="483" t="s">
        <v>527</v>
      </c>
      <c r="C363" s="483" t="s">
        <v>274</v>
      </c>
      <c r="D363" s="484">
        <v>2021</v>
      </c>
      <c r="E363" s="483" t="s">
        <v>528</v>
      </c>
      <c r="F363" s="472" t="s">
        <v>529</v>
      </c>
      <c r="G363" s="472" t="s">
        <v>529</v>
      </c>
      <c r="H363" s="473">
        <v>20221</v>
      </c>
      <c r="I363" s="488" t="s">
        <v>530</v>
      </c>
      <c r="J363" s="472" t="s">
        <v>278</v>
      </c>
      <c r="K363" s="493" t="s">
        <v>2156</v>
      </c>
      <c r="L363" s="483" t="s">
        <v>280</v>
      </c>
      <c r="M363" s="483" t="s">
        <v>281</v>
      </c>
      <c r="N363" s="473">
        <v>1000</v>
      </c>
      <c r="O363" s="484">
        <v>15</v>
      </c>
      <c r="P363" s="474"/>
      <c r="Q363" s="483" t="s">
        <v>2201</v>
      </c>
      <c r="R363" s="472" t="s">
        <v>532</v>
      </c>
      <c r="S363" s="474"/>
      <c r="T363" s="474"/>
      <c r="U363" s="475" t="s">
        <v>343</v>
      </c>
      <c r="V363" s="485" t="str">
        <f>CLEAN(TRIM(Table2[[#This Row],[Status]] &amp; "|" &amp; Table2[[#This Row],[Level]] &amp; "|" &amp; Table2[[#This Row],[Participant As]]))</f>
        <v>Pemakalah dalam Conference/Seminar Ilmiah|External National|Team</v>
      </c>
      <c r="W363" s="486">
        <f>IFERROR(INDEX(GradingSimkat[Score], MATCH(Table2[[#This Row],[Criteria]], GradingSimkat[Criteria], 0)), 0)</f>
        <v>4</v>
      </c>
    </row>
    <row r="364" spans="1:23" s="470" customFormat="1" ht="13.75" customHeight="1">
      <c r="A364" s="482" t="s">
        <v>526</v>
      </c>
      <c r="B364" s="483" t="s">
        <v>527</v>
      </c>
      <c r="C364" s="483" t="s">
        <v>274</v>
      </c>
      <c r="D364" s="484">
        <v>2021</v>
      </c>
      <c r="E364" s="483" t="s">
        <v>361</v>
      </c>
      <c r="F364" s="472" t="s">
        <v>362</v>
      </c>
      <c r="G364" s="472" t="s">
        <v>363</v>
      </c>
      <c r="H364" s="473">
        <v>20231</v>
      </c>
      <c r="I364" s="483" t="s">
        <v>364</v>
      </c>
      <c r="J364" s="472" t="s">
        <v>278</v>
      </c>
      <c r="K364" s="483" t="s">
        <v>279</v>
      </c>
      <c r="L364" s="483" t="s">
        <v>307</v>
      </c>
      <c r="M364" s="483" t="s">
        <v>292</v>
      </c>
      <c r="N364" s="473">
        <v>500</v>
      </c>
      <c r="O364" s="484">
        <v>10</v>
      </c>
      <c r="P364" s="472" t="s">
        <v>365</v>
      </c>
      <c r="Q364" s="483" t="s">
        <v>2186</v>
      </c>
      <c r="R364" s="472" t="s">
        <v>367</v>
      </c>
      <c r="S364" s="474"/>
      <c r="T364" s="474"/>
      <c r="U364" s="475" t="s">
        <v>368</v>
      </c>
      <c r="V364" s="485" t="str">
        <f>CLEAN(TRIM(Table2[[#This Row],[Status]] &amp; "|" &amp; Table2[[#This Row],[Level]] &amp; "|" &amp; Table2[[#This Row],[Participant As]]))</f>
        <v>Narasumber / Pemateri Acara Seminar / Workshop / Pemakalah|External International|Individual</v>
      </c>
      <c r="W364" s="486">
        <f>IFERROR(INDEX(GradingSimkat[Score], MATCH(Table2[[#This Row],[Criteria]], GradingSimkat[Criteria], 0)), 0)</f>
        <v>0</v>
      </c>
    </row>
    <row r="365" spans="1:23" s="470" customFormat="1" ht="13.75" customHeight="1">
      <c r="A365" s="482" t="s">
        <v>655</v>
      </c>
      <c r="B365" s="483" t="s">
        <v>656</v>
      </c>
      <c r="C365" s="483" t="s">
        <v>274</v>
      </c>
      <c r="D365" s="484">
        <v>2022</v>
      </c>
      <c r="E365" s="483" t="s">
        <v>361</v>
      </c>
      <c r="F365" s="472" t="s">
        <v>362</v>
      </c>
      <c r="G365" s="472" t="s">
        <v>363</v>
      </c>
      <c r="H365" s="473">
        <v>20231</v>
      </c>
      <c r="I365" s="483" t="s">
        <v>364</v>
      </c>
      <c r="J365" s="472" t="s">
        <v>278</v>
      </c>
      <c r="K365" s="483" t="s">
        <v>279</v>
      </c>
      <c r="L365" s="483" t="s">
        <v>307</v>
      </c>
      <c r="M365" s="483" t="s">
        <v>292</v>
      </c>
      <c r="N365" s="473">
        <v>500</v>
      </c>
      <c r="O365" s="484">
        <v>10</v>
      </c>
      <c r="P365" s="472" t="s">
        <v>365</v>
      </c>
      <c r="Q365" s="483" t="s">
        <v>2186</v>
      </c>
      <c r="R365" s="472" t="s">
        <v>367</v>
      </c>
      <c r="S365" s="474"/>
      <c r="T365" s="474"/>
      <c r="U365" s="475" t="s">
        <v>368</v>
      </c>
      <c r="V365" s="485" t="str">
        <f>CLEAN(TRIM(Table2[[#This Row],[Status]] &amp; "|" &amp; Table2[[#This Row],[Level]] &amp; "|" &amp; Table2[[#This Row],[Participant As]]))</f>
        <v>Narasumber / Pemateri Acara Seminar / Workshop / Pemakalah|External International|Individual</v>
      </c>
      <c r="W365" s="486">
        <f>IFERROR(INDEX(GradingSimkat[Score], MATCH(Table2[[#This Row],[Criteria]], GradingSimkat[Criteria], 0)), 0)</f>
        <v>0</v>
      </c>
    </row>
    <row r="366" spans="1:23" s="470" customFormat="1" ht="13.75" customHeight="1">
      <c r="A366" s="471" t="s">
        <v>1403</v>
      </c>
      <c r="B366" s="472" t="s">
        <v>1404</v>
      </c>
      <c r="C366" s="472" t="s">
        <v>1356</v>
      </c>
      <c r="D366" s="473">
        <v>2021</v>
      </c>
      <c r="E366" s="472" t="s">
        <v>328</v>
      </c>
      <c r="F366" s="472" t="s">
        <v>329</v>
      </c>
      <c r="G366" s="472" t="s">
        <v>330</v>
      </c>
      <c r="H366" s="473">
        <v>20221</v>
      </c>
      <c r="I366" s="472" t="s">
        <v>2164</v>
      </c>
      <c r="J366" s="472" t="s">
        <v>278</v>
      </c>
      <c r="K366" s="472" t="s">
        <v>2155</v>
      </c>
      <c r="L366" s="472" t="s">
        <v>291</v>
      </c>
      <c r="M366" s="472" t="s">
        <v>292</v>
      </c>
      <c r="N366" s="473">
        <v>7</v>
      </c>
      <c r="O366" s="473">
        <v>5</v>
      </c>
      <c r="P366" s="474"/>
      <c r="Q366" s="472" t="s">
        <v>333</v>
      </c>
      <c r="R366" s="472" t="s">
        <v>334</v>
      </c>
      <c r="S366" s="474"/>
      <c r="T366" s="474"/>
      <c r="U366" s="475" t="s">
        <v>335</v>
      </c>
      <c r="V366" s="481" t="str">
        <f>CLEAN(TRIM(Table2[[#This Row],[Status]] &amp; "|" &amp; Table2[[#This Row],[Level]] &amp; "|" &amp; Table2[[#This Row],[Participant As]]))</f>
        <v>Juri/Pelatih/Wasit|Internal Sekolah / Universitas|Individual</v>
      </c>
      <c r="W366" s="477">
        <f>IFERROR(INDEX(GradingSimkat[Score], MATCH(Table2[[#This Row],[Criteria]], GradingSimkat[Criteria], 0)), 0)</f>
        <v>0</v>
      </c>
    </row>
    <row r="367" spans="1:23" ht="13.75" customHeight="1">
      <c r="A367" s="482" t="s">
        <v>1863</v>
      </c>
      <c r="B367" s="483" t="s">
        <v>1864</v>
      </c>
      <c r="C367" s="483" t="s">
        <v>1857</v>
      </c>
      <c r="D367" s="484">
        <v>2019</v>
      </c>
      <c r="E367" s="483" t="s">
        <v>361</v>
      </c>
      <c r="F367" s="472" t="s">
        <v>362</v>
      </c>
      <c r="G367" s="472" t="s">
        <v>363</v>
      </c>
      <c r="H367" s="473">
        <v>20231</v>
      </c>
      <c r="I367" s="483" t="s">
        <v>364</v>
      </c>
      <c r="J367" s="472" t="s">
        <v>278</v>
      </c>
      <c r="K367" s="483" t="s">
        <v>279</v>
      </c>
      <c r="L367" s="483" t="s">
        <v>307</v>
      </c>
      <c r="M367" s="483" t="s">
        <v>292</v>
      </c>
      <c r="N367" s="473">
        <v>500</v>
      </c>
      <c r="O367" s="484">
        <v>10</v>
      </c>
      <c r="P367" s="472" t="s">
        <v>365</v>
      </c>
      <c r="Q367" s="483" t="s">
        <v>2188</v>
      </c>
      <c r="R367" s="472" t="s">
        <v>389</v>
      </c>
      <c r="S367" s="474"/>
      <c r="T367" s="474"/>
      <c r="U367" s="475" t="s">
        <v>368</v>
      </c>
      <c r="V367" s="485" t="str">
        <f>CLEAN(TRIM(Table2[[#This Row],[Status]] &amp; "|" &amp; Table2[[#This Row],[Level]] &amp; "|" &amp; Table2[[#This Row],[Participant As]]))</f>
        <v>Narasumber / Pemateri Acara Seminar / Workshop / Pemakalah|External International|Individual</v>
      </c>
      <c r="W367" s="486">
        <f>IFERROR(INDEX(GradingSimkat[Score], MATCH(Table2[[#This Row],[Criteria]], GradingSimkat[Criteria], 0)), 0)</f>
        <v>0</v>
      </c>
    </row>
    <row r="368" spans="1:23" ht="13.75" customHeight="1">
      <c r="A368" s="482" t="s">
        <v>1790</v>
      </c>
      <c r="B368" s="483" t="s">
        <v>1791</v>
      </c>
      <c r="C368" s="483" t="s">
        <v>1684</v>
      </c>
      <c r="D368" s="484">
        <v>2022</v>
      </c>
      <c r="E368" s="483" t="s">
        <v>361</v>
      </c>
      <c r="F368" s="472" t="s">
        <v>362</v>
      </c>
      <c r="G368" s="472" t="s">
        <v>363</v>
      </c>
      <c r="H368" s="473">
        <v>20231</v>
      </c>
      <c r="I368" s="483" t="s">
        <v>364</v>
      </c>
      <c r="J368" s="472" t="s">
        <v>278</v>
      </c>
      <c r="K368" s="483" t="s">
        <v>279</v>
      </c>
      <c r="L368" s="483" t="s">
        <v>307</v>
      </c>
      <c r="M368" s="483" t="s">
        <v>292</v>
      </c>
      <c r="N368" s="473">
        <v>500</v>
      </c>
      <c r="O368" s="484">
        <v>10</v>
      </c>
      <c r="P368" s="472" t="s">
        <v>365</v>
      </c>
      <c r="Q368" s="483" t="s">
        <v>2188</v>
      </c>
      <c r="R368" s="472" t="s">
        <v>389</v>
      </c>
      <c r="S368" s="474"/>
      <c r="T368" s="474"/>
      <c r="U368" s="475" t="s">
        <v>368</v>
      </c>
      <c r="V368" s="485" t="str">
        <f>CLEAN(TRIM(Table2[[#This Row],[Status]] &amp; "|" &amp; Table2[[#This Row],[Level]] &amp; "|" &amp; Table2[[#This Row],[Participant As]]))</f>
        <v>Narasumber / Pemateri Acara Seminar / Workshop / Pemakalah|External International|Individual</v>
      </c>
      <c r="W368" s="486">
        <f>IFERROR(INDEX(GradingSimkat[Score], MATCH(Table2[[#This Row],[Criteria]], GradingSimkat[Criteria], 0)), 0)</f>
        <v>0</v>
      </c>
    </row>
    <row r="369" spans="1:23" ht="13.75" customHeight="1">
      <c r="A369" s="482" t="s">
        <v>1716</v>
      </c>
      <c r="B369" s="483" t="s">
        <v>1717</v>
      </c>
      <c r="C369" s="483" t="s">
        <v>1684</v>
      </c>
      <c r="D369" s="484">
        <v>2020</v>
      </c>
      <c r="E369" s="483" t="s">
        <v>361</v>
      </c>
      <c r="F369" s="472" t="s">
        <v>362</v>
      </c>
      <c r="G369" s="472" t="s">
        <v>363</v>
      </c>
      <c r="H369" s="473">
        <v>20231</v>
      </c>
      <c r="I369" s="483" t="s">
        <v>364</v>
      </c>
      <c r="J369" s="472" t="s">
        <v>278</v>
      </c>
      <c r="K369" s="483" t="s">
        <v>279</v>
      </c>
      <c r="L369" s="483" t="s">
        <v>307</v>
      </c>
      <c r="M369" s="483" t="s">
        <v>292</v>
      </c>
      <c r="N369" s="473">
        <v>500</v>
      </c>
      <c r="O369" s="484">
        <v>10</v>
      </c>
      <c r="P369" s="472" t="s">
        <v>365</v>
      </c>
      <c r="Q369" s="483" t="s">
        <v>2188</v>
      </c>
      <c r="R369" s="472" t="s">
        <v>389</v>
      </c>
      <c r="S369" s="474"/>
      <c r="T369" s="474"/>
      <c r="U369" s="475" t="s">
        <v>368</v>
      </c>
      <c r="V369" s="485" t="str">
        <f>CLEAN(TRIM(Table2[[#This Row],[Status]] &amp; "|" &amp; Table2[[#This Row],[Level]] &amp; "|" &amp; Table2[[#This Row],[Participant As]]))</f>
        <v>Narasumber / Pemateri Acara Seminar / Workshop / Pemakalah|External International|Individual</v>
      </c>
      <c r="W369" s="486">
        <f>IFERROR(INDEX(GradingSimkat[Score], MATCH(Table2[[#This Row],[Criteria]], GradingSimkat[Criteria], 0)), 0)</f>
        <v>0</v>
      </c>
    </row>
    <row r="370" spans="1:23" ht="13.75" customHeight="1">
      <c r="A370" s="482" t="s">
        <v>396</v>
      </c>
      <c r="B370" s="483" t="s">
        <v>397</v>
      </c>
      <c r="C370" s="483" t="s">
        <v>274</v>
      </c>
      <c r="D370" s="484">
        <v>2020</v>
      </c>
      <c r="E370" s="483" t="s">
        <v>361</v>
      </c>
      <c r="F370" s="472" t="s">
        <v>362</v>
      </c>
      <c r="G370" s="472" t="s">
        <v>363</v>
      </c>
      <c r="H370" s="473">
        <v>20231</v>
      </c>
      <c r="I370" s="483" t="s">
        <v>364</v>
      </c>
      <c r="J370" s="472" t="s">
        <v>278</v>
      </c>
      <c r="K370" s="483" t="s">
        <v>279</v>
      </c>
      <c r="L370" s="483" t="s">
        <v>307</v>
      </c>
      <c r="M370" s="483" t="s">
        <v>292</v>
      </c>
      <c r="N370" s="473">
        <v>500</v>
      </c>
      <c r="O370" s="484">
        <v>10</v>
      </c>
      <c r="P370" s="472" t="s">
        <v>365</v>
      </c>
      <c r="Q370" s="483" t="s">
        <v>2186</v>
      </c>
      <c r="R370" s="472" t="s">
        <v>367</v>
      </c>
      <c r="S370" s="474"/>
      <c r="T370" s="474"/>
      <c r="U370" s="475" t="s">
        <v>368</v>
      </c>
      <c r="V370" s="485" t="str">
        <f>CLEAN(TRIM(Table2[[#This Row],[Status]] &amp; "|" &amp; Table2[[#This Row],[Level]] &amp; "|" &amp; Table2[[#This Row],[Participant As]]))</f>
        <v>Narasumber / Pemateri Acara Seminar / Workshop / Pemakalah|External International|Individual</v>
      </c>
      <c r="W370" s="486">
        <f>IFERROR(INDEX(GradingSimkat[Score], MATCH(Table2[[#This Row],[Criteria]], GradingSimkat[Criteria], 0)), 0)</f>
        <v>0</v>
      </c>
    </row>
    <row r="371" spans="1:23" ht="13.75" customHeight="1">
      <c r="A371" s="482" t="s">
        <v>1346</v>
      </c>
      <c r="B371" s="483" t="s">
        <v>1347</v>
      </c>
      <c r="C371" s="483" t="s">
        <v>1304</v>
      </c>
      <c r="D371" s="484">
        <v>2020</v>
      </c>
      <c r="E371" s="483" t="s">
        <v>418</v>
      </c>
      <c r="F371" s="472" t="s">
        <v>419</v>
      </c>
      <c r="G371" s="472" t="s">
        <v>419</v>
      </c>
      <c r="H371" s="473">
        <v>20231</v>
      </c>
      <c r="I371" s="483" t="s">
        <v>420</v>
      </c>
      <c r="J371" s="472" t="s">
        <v>278</v>
      </c>
      <c r="K371" s="483" t="s">
        <v>279</v>
      </c>
      <c r="L371" s="483" t="s">
        <v>291</v>
      </c>
      <c r="M371" s="483" t="s">
        <v>292</v>
      </c>
      <c r="N371" s="473">
        <v>250</v>
      </c>
      <c r="O371" s="484">
        <v>4</v>
      </c>
      <c r="P371" s="474"/>
      <c r="Q371" s="483" t="s">
        <v>2191</v>
      </c>
      <c r="R371" s="472" t="s">
        <v>422</v>
      </c>
      <c r="S371" s="474"/>
      <c r="T371" s="474"/>
      <c r="U371" s="475" t="s">
        <v>423</v>
      </c>
      <c r="V371" s="485" t="str">
        <f>CLEAN(TRIM(Table2[[#This Row],[Status]] &amp; "|" &amp; Table2[[#This Row],[Level]] &amp; "|" &amp; Table2[[#This Row],[Participant As]]))</f>
        <v>Narasumber / Pemateri Acara Seminar / Workshop / Pemakalah|Internal Sekolah / Universitas|Individual</v>
      </c>
      <c r="W371" s="486">
        <f>IFERROR(INDEX(GradingSimkat[Score], MATCH(Table2[[#This Row],[Criteria]], GradingSimkat[Criteria], 0)), 0)</f>
        <v>0</v>
      </c>
    </row>
    <row r="372" spans="1:23" s="470" customFormat="1" ht="13.75" customHeight="1">
      <c r="A372" s="482" t="s">
        <v>537</v>
      </c>
      <c r="B372" s="483" t="s">
        <v>538</v>
      </c>
      <c r="C372" s="483" t="s">
        <v>274</v>
      </c>
      <c r="D372" s="484">
        <v>2022</v>
      </c>
      <c r="E372" s="483" t="s">
        <v>361</v>
      </c>
      <c r="F372" s="472" t="s">
        <v>362</v>
      </c>
      <c r="G372" s="472" t="s">
        <v>363</v>
      </c>
      <c r="H372" s="473">
        <v>20231</v>
      </c>
      <c r="I372" s="483" t="s">
        <v>364</v>
      </c>
      <c r="J372" s="472" t="s">
        <v>278</v>
      </c>
      <c r="K372" s="483" t="s">
        <v>279</v>
      </c>
      <c r="L372" s="483" t="s">
        <v>307</v>
      </c>
      <c r="M372" s="483" t="s">
        <v>292</v>
      </c>
      <c r="N372" s="473">
        <v>500</v>
      </c>
      <c r="O372" s="484">
        <v>10</v>
      </c>
      <c r="P372" s="472" t="s">
        <v>365</v>
      </c>
      <c r="Q372" s="483" t="s">
        <v>2186</v>
      </c>
      <c r="R372" s="472" t="s">
        <v>367</v>
      </c>
      <c r="S372" s="474"/>
      <c r="T372" s="474"/>
      <c r="U372" s="475" t="s">
        <v>368</v>
      </c>
      <c r="V372" s="485" t="str">
        <f>CLEAN(TRIM(Table2[[#This Row],[Status]] &amp; "|" &amp; Table2[[#This Row],[Level]] &amp; "|" &amp; Table2[[#This Row],[Participant As]]))</f>
        <v>Narasumber / Pemateri Acara Seminar / Workshop / Pemakalah|External International|Individual</v>
      </c>
      <c r="W372" s="486">
        <f>IFERROR(INDEX(GradingSimkat[Score], MATCH(Table2[[#This Row],[Criteria]], GradingSimkat[Criteria], 0)), 0)</f>
        <v>0</v>
      </c>
    </row>
    <row r="373" spans="1:23" s="470" customFormat="1" ht="13.75" customHeight="1">
      <c r="A373" s="482" t="s">
        <v>1876</v>
      </c>
      <c r="B373" s="483" t="s">
        <v>1877</v>
      </c>
      <c r="C373" s="483" t="s">
        <v>1857</v>
      </c>
      <c r="D373" s="484">
        <v>2020</v>
      </c>
      <c r="E373" s="483" t="s">
        <v>1878</v>
      </c>
      <c r="F373" s="472" t="s">
        <v>1879</v>
      </c>
      <c r="G373" s="472" t="s">
        <v>1879</v>
      </c>
      <c r="H373" s="473">
        <v>20221</v>
      </c>
      <c r="I373" s="483" t="s">
        <v>1880</v>
      </c>
      <c r="J373" s="472" t="s">
        <v>278</v>
      </c>
      <c r="K373" s="483" t="s">
        <v>2157</v>
      </c>
      <c r="L373" s="483" t="s">
        <v>280</v>
      </c>
      <c r="M373" s="483" t="s">
        <v>292</v>
      </c>
      <c r="N373" s="473">
        <v>150</v>
      </c>
      <c r="O373" s="484">
        <v>15</v>
      </c>
      <c r="P373" s="472" t="s">
        <v>1881</v>
      </c>
      <c r="Q373" s="483" t="s">
        <v>2278</v>
      </c>
      <c r="R373" s="474"/>
      <c r="S373" s="474"/>
      <c r="T373" s="474"/>
      <c r="U373" s="475" t="s">
        <v>1883</v>
      </c>
      <c r="V373" s="485" t="str">
        <f>CLEAN(TRIM(Table2[[#This Row],[Status]] &amp; "|" &amp; Table2[[#This Row],[Level]] &amp; "|" &amp; Table2[[#This Row],[Participant As]]))</f>
        <v>Pembicara pada pelatihan/seminar/event berskala|External National|Individual</v>
      </c>
      <c r="W373" s="486">
        <f>IFERROR(INDEX(GradingSimkat[Score], MATCH(Table2[[#This Row],[Criteria]], GradingSimkat[Criteria], 0)), 0)</f>
        <v>4</v>
      </c>
    </row>
    <row r="374" spans="1:23" s="470" customFormat="1" ht="13.75" customHeight="1">
      <c r="A374" s="471" t="s">
        <v>1876</v>
      </c>
      <c r="B374" s="472" t="s">
        <v>1877</v>
      </c>
      <c r="C374" s="472" t="s">
        <v>1857</v>
      </c>
      <c r="D374" s="473">
        <v>2020</v>
      </c>
      <c r="E374" s="472" t="s">
        <v>1884</v>
      </c>
      <c r="F374" s="472" t="s">
        <v>1885</v>
      </c>
      <c r="G374" s="472" t="s">
        <v>1885</v>
      </c>
      <c r="H374" s="473">
        <v>20231</v>
      </c>
      <c r="I374" s="472" t="s">
        <v>1886</v>
      </c>
      <c r="J374" s="472" t="s">
        <v>278</v>
      </c>
      <c r="K374" s="472" t="s">
        <v>2160</v>
      </c>
      <c r="L374" s="472" t="s">
        <v>307</v>
      </c>
      <c r="M374" s="472" t="s">
        <v>292</v>
      </c>
      <c r="N374" s="473">
        <v>2</v>
      </c>
      <c r="O374" s="473">
        <v>40</v>
      </c>
      <c r="P374" s="472" t="s">
        <v>1887</v>
      </c>
      <c r="Q374" s="472" t="s">
        <v>1888</v>
      </c>
      <c r="R374" s="474"/>
      <c r="S374" s="474"/>
      <c r="T374" s="474"/>
      <c r="U374" s="475" t="s">
        <v>1889</v>
      </c>
      <c r="V374" s="481" t="str">
        <f>CLEAN(TRIM(Table2[[#This Row],[Status]] &amp; "|" &amp; Table2[[#This Row],[Level]] &amp; "|" &amp; Table2[[#This Row],[Participant As]]))</f>
        <v>Penulis pertama pada jurnal internasional bereputasi atau jurnal nasional terindeks SINTA 1 dan 2|External International|Individual</v>
      </c>
      <c r="W374" s="477">
        <f>IFERROR(INDEX(GradingSimkat[Score], MATCH(Table2[[#This Row],[Criteria]], GradingSimkat[Criteria], 0)), 0)</f>
        <v>5</v>
      </c>
    </row>
    <row r="375" spans="1:23" ht="13.75" customHeight="1">
      <c r="A375" s="482" t="s">
        <v>801</v>
      </c>
      <c r="B375" s="483" t="s">
        <v>802</v>
      </c>
      <c r="C375" s="483" t="s">
        <v>274</v>
      </c>
      <c r="D375" s="484">
        <v>2023</v>
      </c>
      <c r="E375" s="483" t="s">
        <v>361</v>
      </c>
      <c r="F375" s="472" t="s">
        <v>362</v>
      </c>
      <c r="G375" s="472" t="s">
        <v>363</v>
      </c>
      <c r="H375" s="473">
        <v>20231</v>
      </c>
      <c r="I375" s="483" t="s">
        <v>364</v>
      </c>
      <c r="J375" s="472" t="s">
        <v>278</v>
      </c>
      <c r="K375" s="483" t="s">
        <v>279</v>
      </c>
      <c r="L375" s="483" t="s">
        <v>307</v>
      </c>
      <c r="M375" s="483" t="s">
        <v>292</v>
      </c>
      <c r="N375" s="473">
        <v>500</v>
      </c>
      <c r="O375" s="484">
        <v>10</v>
      </c>
      <c r="P375" s="472" t="s">
        <v>365</v>
      </c>
      <c r="Q375" s="483" t="s">
        <v>2186</v>
      </c>
      <c r="R375" s="472" t="s">
        <v>367</v>
      </c>
      <c r="S375" s="474"/>
      <c r="T375" s="474"/>
      <c r="U375" s="475" t="s">
        <v>368</v>
      </c>
      <c r="V375" s="485" t="str">
        <f>CLEAN(TRIM(Table2[[#This Row],[Status]] &amp; "|" &amp; Table2[[#This Row],[Level]] &amp; "|" &amp; Table2[[#This Row],[Participant As]]))</f>
        <v>Narasumber / Pemateri Acara Seminar / Workshop / Pemakalah|External International|Individual</v>
      </c>
      <c r="W375" s="486">
        <f>IFERROR(INDEX(GradingSimkat[Score], MATCH(Table2[[#This Row],[Criteria]], GradingSimkat[Criteria], 0)), 0)</f>
        <v>0</v>
      </c>
    </row>
    <row r="376" spans="1:23" ht="13.75" customHeight="1">
      <c r="A376" s="482" t="s">
        <v>831</v>
      </c>
      <c r="B376" s="483" t="s">
        <v>832</v>
      </c>
      <c r="C376" s="483" t="s">
        <v>274</v>
      </c>
      <c r="D376" s="484">
        <v>2023</v>
      </c>
      <c r="E376" s="483" t="s">
        <v>361</v>
      </c>
      <c r="F376" s="472" t="s">
        <v>362</v>
      </c>
      <c r="G376" s="472" t="s">
        <v>363</v>
      </c>
      <c r="H376" s="473">
        <v>20231</v>
      </c>
      <c r="I376" s="483" t="s">
        <v>364</v>
      </c>
      <c r="J376" s="472" t="s">
        <v>278</v>
      </c>
      <c r="K376" s="483" t="s">
        <v>279</v>
      </c>
      <c r="L376" s="483" t="s">
        <v>307</v>
      </c>
      <c r="M376" s="483" t="s">
        <v>292</v>
      </c>
      <c r="N376" s="473">
        <v>500</v>
      </c>
      <c r="O376" s="484">
        <v>10</v>
      </c>
      <c r="P376" s="472" t="s">
        <v>365</v>
      </c>
      <c r="Q376" s="483" t="s">
        <v>2186</v>
      </c>
      <c r="R376" s="472" t="s">
        <v>367</v>
      </c>
      <c r="S376" s="474"/>
      <c r="T376" s="474"/>
      <c r="U376" s="475" t="s">
        <v>368</v>
      </c>
      <c r="V376" s="485" t="str">
        <f>CLEAN(TRIM(Table2[[#This Row],[Status]] &amp; "|" &amp; Table2[[#This Row],[Level]] &amp; "|" &amp; Table2[[#This Row],[Participant As]]))</f>
        <v>Narasumber / Pemateri Acara Seminar / Workshop / Pemakalah|External International|Individual</v>
      </c>
      <c r="W376" s="486">
        <f>IFERROR(INDEX(GradingSimkat[Score], MATCH(Table2[[#This Row],[Criteria]], GradingSimkat[Criteria], 0)), 0)</f>
        <v>0</v>
      </c>
    </row>
    <row r="377" spans="1:23" ht="13.75" customHeight="1">
      <c r="A377" s="482" t="s">
        <v>579</v>
      </c>
      <c r="B377" s="483" t="s">
        <v>580</v>
      </c>
      <c r="C377" s="483" t="s">
        <v>274</v>
      </c>
      <c r="D377" s="484">
        <v>2022</v>
      </c>
      <c r="E377" s="483" t="s">
        <v>361</v>
      </c>
      <c r="F377" s="472" t="s">
        <v>362</v>
      </c>
      <c r="G377" s="472" t="s">
        <v>363</v>
      </c>
      <c r="H377" s="473">
        <v>20231</v>
      </c>
      <c r="I377" s="483" t="s">
        <v>364</v>
      </c>
      <c r="J377" s="472" t="s">
        <v>278</v>
      </c>
      <c r="K377" s="483" t="s">
        <v>279</v>
      </c>
      <c r="L377" s="483" t="s">
        <v>307</v>
      </c>
      <c r="M377" s="483" t="s">
        <v>292</v>
      </c>
      <c r="N377" s="473">
        <v>500</v>
      </c>
      <c r="O377" s="484">
        <v>10</v>
      </c>
      <c r="P377" s="472" t="s">
        <v>365</v>
      </c>
      <c r="Q377" s="483" t="s">
        <v>2186</v>
      </c>
      <c r="R377" s="472" t="s">
        <v>367</v>
      </c>
      <c r="S377" s="474"/>
      <c r="T377" s="474"/>
      <c r="U377" s="475" t="s">
        <v>368</v>
      </c>
      <c r="V377" s="485" t="str">
        <f>CLEAN(TRIM(Table2[[#This Row],[Status]] &amp; "|" &amp; Table2[[#This Row],[Level]] &amp; "|" &amp; Table2[[#This Row],[Participant As]]))</f>
        <v>Narasumber / Pemateri Acara Seminar / Workshop / Pemakalah|External International|Individual</v>
      </c>
      <c r="W377" s="486">
        <f>IFERROR(INDEX(GradingSimkat[Score], MATCH(Table2[[#This Row],[Criteria]], GradingSimkat[Criteria], 0)), 0)</f>
        <v>0</v>
      </c>
    </row>
    <row r="378" spans="1:23" ht="13.75" customHeight="1">
      <c r="A378" s="482" t="s">
        <v>647</v>
      </c>
      <c r="B378" s="483" t="s">
        <v>648</v>
      </c>
      <c r="C378" s="483" t="s">
        <v>274</v>
      </c>
      <c r="D378" s="484">
        <v>2022</v>
      </c>
      <c r="E378" s="483" t="s">
        <v>361</v>
      </c>
      <c r="F378" s="472" t="s">
        <v>362</v>
      </c>
      <c r="G378" s="472" t="s">
        <v>363</v>
      </c>
      <c r="H378" s="473">
        <v>20231</v>
      </c>
      <c r="I378" s="483" t="s">
        <v>364</v>
      </c>
      <c r="J378" s="472" t="s">
        <v>278</v>
      </c>
      <c r="K378" s="483" t="s">
        <v>279</v>
      </c>
      <c r="L378" s="483" t="s">
        <v>307</v>
      </c>
      <c r="M378" s="483" t="s">
        <v>292</v>
      </c>
      <c r="N378" s="473">
        <v>500</v>
      </c>
      <c r="O378" s="484">
        <v>10</v>
      </c>
      <c r="P378" s="472" t="s">
        <v>365</v>
      </c>
      <c r="Q378" s="483" t="s">
        <v>2186</v>
      </c>
      <c r="R378" s="472" t="s">
        <v>367</v>
      </c>
      <c r="S378" s="474"/>
      <c r="T378" s="474"/>
      <c r="U378" s="475" t="s">
        <v>368</v>
      </c>
      <c r="V378" s="485" t="str">
        <f>CLEAN(TRIM(Table2[[#This Row],[Status]] &amp; "|" &amp; Table2[[#This Row],[Level]] &amp; "|" &amp; Table2[[#This Row],[Participant As]]))</f>
        <v>Narasumber / Pemateri Acara Seminar / Workshop / Pemakalah|External International|Individual</v>
      </c>
      <c r="W378" s="486">
        <f>IFERROR(INDEX(GradingSimkat[Score], MATCH(Table2[[#This Row],[Criteria]], GradingSimkat[Criteria], 0)), 0)</f>
        <v>0</v>
      </c>
    </row>
    <row r="379" spans="1:23" ht="13.75" customHeight="1">
      <c r="A379" s="482" t="s">
        <v>1383</v>
      </c>
      <c r="B379" s="483" t="s">
        <v>1384</v>
      </c>
      <c r="C379" s="483" t="s">
        <v>1356</v>
      </c>
      <c r="D379" s="484">
        <v>2020</v>
      </c>
      <c r="E379" s="483" t="s">
        <v>361</v>
      </c>
      <c r="F379" s="472" t="s">
        <v>362</v>
      </c>
      <c r="G379" s="472" t="s">
        <v>363</v>
      </c>
      <c r="H379" s="473">
        <v>20231</v>
      </c>
      <c r="I379" s="483" t="s">
        <v>364</v>
      </c>
      <c r="J379" s="472" t="s">
        <v>278</v>
      </c>
      <c r="K379" s="483" t="s">
        <v>279</v>
      </c>
      <c r="L379" s="483" t="s">
        <v>307</v>
      </c>
      <c r="M379" s="483" t="s">
        <v>292</v>
      </c>
      <c r="N379" s="473">
        <v>500</v>
      </c>
      <c r="O379" s="484">
        <v>10</v>
      </c>
      <c r="P379" s="472" t="s">
        <v>365</v>
      </c>
      <c r="Q379" s="483" t="s">
        <v>2188</v>
      </c>
      <c r="R379" s="472" t="s">
        <v>389</v>
      </c>
      <c r="S379" s="474"/>
      <c r="T379" s="474"/>
      <c r="U379" s="475" t="s">
        <v>368</v>
      </c>
      <c r="V379" s="485" t="str">
        <f>CLEAN(TRIM(Table2[[#This Row],[Status]] &amp; "|" &amp; Table2[[#This Row],[Level]] &amp; "|" &amp; Table2[[#This Row],[Participant As]]))</f>
        <v>Narasumber / Pemateri Acara Seminar / Workshop / Pemakalah|External International|Individual</v>
      </c>
      <c r="W379" s="486">
        <f>IFERROR(INDEX(GradingSimkat[Score], MATCH(Table2[[#This Row],[Criteria]], GradingSimkat[Criteria], 0)), 0)</f>
        <v>0</v>
      </c>
    </row>
    <row r="380" spans="1:23" ht="13.75" customHeight="1">
      <c r="A380" s="482" t="s">
        <v>1410</v>
      </c>
      <c r="B380" s="483" t="s">
        <v>1411</v>
      </c>
      <c r="C380" s="483" t="s">
        <v>1407</v>
      </c>
      <c r="D380" s="484">
        <v>2020</v>
      </c>
      <c r="E380" s="483" t="s">
        <v>361</v>
      </c>
      <c r="F380" s="472" t="s">
        <v>362</v>
      </c>
      <c r="G380" s="472" t="s">
        <v>363</v>
      </c>
      <c r="H380" s="473">
        <v>20231</v>
      </c>
      <c r="I380" s="483" t="s">
        <v>364</v>
      </c>
      <c r="J380" s="472" t="s">
        <v>278</v>
      </c>
      <c r="K380" s="483" t="s">
        <v>279</v>
      </c>
      <c r="L380" s="483" t="s">
        <v>307</v>
      </c>
      <c r="M380" s="483" t="s">
        <v>292</v>
      </c>
      <c r="N380" s="473">
        <v>500</v>
      </c>
      <c r="O380" s="484">
        <v>10</v>
      </c>
      <c r="P380" s="472" t="s">
        <v>365</v>
      </c>
      <c r="Q380" s="483" t="s">
        <v>2188</v>
      </c>
      <c r="R380" s="472" t="s">
        <v>389</v>
      </c>
      <c r="S380" s="474"/>
      <c r="T380" s="474"/>
      <c r="U380" s="475" t="s">
        <v>368</v>
      </c>
      <c r="V380" s="485" t="str">
        <f>CLEAN(TRIM(Table2[[#This Row],[Status]] &amp; "|" &amp; Table2[[#This Row],[Level]] &amp; "|" &amp; Table2[[#This Row],[Participant As]]))</f>
        <v>Narasumber / Pemateri Acara Seminar / Workshop / Pemakalah|External International|Individual</v>
      </c>
      <c r="W380" s="486">
        <f>IFERROR(INDEX(GradingSimkat[Score], MATCH(Table2[[#This Row],[Criteria]], GradingSimkat[Criteria], 0)), 0)</f>
        <v>0</v>
      </c>
    </row>
    <row r="381" spans="1:23" ht="13.75" customHeight="1">
      <c r="A381" s="482" t="s">
        <v>941</v>
      </c>
      <c r="B381" s="483" t="s">
        <v>942</v>
      </c>
      <c r="C381" s="483" t="s">
        <v>274</v>
      </c>
      <c r="D381" s="484">
        <v>2023</v>
      </c>
      <c r="E381" s="483" t="s">
        <v>361</v>
      </c>
      <c r="F381" s="472" t="s">
        <v>362</v>
      </c>
      <c r="G381" s="472" t="s">
        <v>363</v>
      </c>
      <c r="H381" s="473">
        <v>20231</v>
      </c>
      <c r="I381" s="483" t="s">
        <v>364</v>
      </c>
      <c r="J381" s="472" t="s">
        <v>278</v>
      </c>
      <c r="K381" s="483" t="s">
        <v>279</v>
      </c>
      <c r="L381" s="483" t="s">
        <v>307</v>
      </c>
      <c r="M381" s="483" t="s">
        <v>292</v>
      </c>
      <c r="N381" s="473">
        <v>500</v>
      </c>
      <c r="O381" s="484">
        <v>10</v>
      </c>
      <c r="P381" s="472" t="s">
        <v>365</v>
      </c>
      <c r="Q381" s="483" t="s">
        <v>2186</v>
      </c>
      <c r="R381" s="472" t="s">
        <v>367</v>
      </c>
      <c r="S381" s="474"/>
      <c r="T381" s="474"/>
      <c r="U381" s="475" t="s">
        <v>368</v>
      </c>
      <c r="V381" s="485" t="str">
        <f>CLEAN(TRIM(Table2[[#This Row],[Status]] &amp; "|" &amp; Table2[[#This Row],[Level]] &amp; "|" &amp; Table2[[#This Row],[Participant As]]))</f>
        <v>Narasumber / Pemateri Acara Seminar / Workshop / Pemakalah|External International|Individual</v>
      </c>
      <c r="W381" s="486">
        <f>IFERROR(INDEX(GradingSimkat[Score], MATCH(Table2[[#This Row],[Criteria]], GradingSimkat[Criteria], 0)), 0)</f>
        <v>0</v>
      </c>
    </row>
    <row r="382" spans="1:23" ht="13.75" customHeight="1">
      <c r="A382" s="482" t="s">
        <v>887</v>
      </c>
      <c r="B382" s="483" t="s">
        <v>888</v>
      </c>
      <c r="C382" s="483" t="s">
        <v>274</v>
      </c>
      <c r="D382" s="484">
        <v>2023</v>
      </c>
      <c r="E382" s="483" t="s">
        <v>361</v>
      </c>
      <c r="F382" s="472" t="s">
        <v>362</v>
      </c>
      <c r="G382" s="472" t="s">
        <v>363</v>
      </c>
      <c r="H382" s="473">
        <v>20231</v>
      </c>
      <c r="I382" s="483" t="s">
        <v>364</v>
      </c>
      <c r="J382" s="472" t="s">
        <v>278</v>
      </c>
      <c r="K382" s="483" t="s">
        <v>279</v>
      </c>
      <c r="L382" s="483" t="s">
        <v>307</v>
      </c>
      <c r="M382" s="483" t="s">
        <v>292</v>
      </c>
      <c r="N382" s="473">
        <v>500</v>
      </c>
      <c r="O382" s="484">
        <v>10</v>
      </c>
      <c r="P382" s="472" t="s">
        <v>365</v>
      </c>
      <c r="Q382" s="483" t="s">
        <v>2186</v>
      </c>
      <c r="R382" s="472" t="s">
        <v>367</v>
      </c>
      <c r="S382" s="474"/>
      <c r="T382" s="474"/>
      <c r="U382" s="475" t="s">
        <v>368</v>
      </c>
      <c r="V382" s="485" t="str">
        <f>CLEAN(TRIM(Table2[[#This Row],[Status]] &amp; "|" &amp; Table2[[#This Row],[Level]] &amp; "|" &amp; Table2[[#This Row],[Participant As]]))</f>
        <v>Narasumber / Pemateri Acara Seminar / Workshop / Pemakalah|External International|Individual</v>
      </c>
      <c r="W382" s="486">
        <f>IFERROR(INDEX(GradingSimkat[Score], MATCH(Table2[[#This Row],[Criteria]], GradingSimkat[Criteria], 0)), 0)</f>
        <v>0</v>
      </c>
    </row>
    <row r="383" spans="1:23" ht="13.75" customHeight="1">
      <c r="A383" s="482" t="s">
        <v>768</v>
      </c>
      <c r="B383" s="483" t="s">
        <v>769</v>
      </c>
      <c r="C383" s="483" t="s">
        <v>274</v>
      </c>
      <c r="D383" s="484">
        <v>2023</v>
      </c>
      <c r="E383" s="483" t="s">
        <v>361</v>
      </c>
      <c r="F383" s="472" t="s">
        <v>362</v>
      </c>
      <c r="G383" s="472" t="s">
        <v>363</v>
      </c>
      <c r="H383" s="473">
        <v>20231</v>
      </c>
      <c r="I383" s="483" t="s">
        <v>364</v>
      </c>
      <c r="J383" s="472" t="s">
        <v>278</v>
      </c>
      <c r="K383" s="483" t="s">
        <v>279</v>
      </c>
      <c r="L383" s="483" t="s">
        <v>307</v>
      </c>
      <c r="M383" s="483" t="s">
        <v>292</v>
      </c>
      <c r="N383" s="473">
        <v>500</v>
      </c>
      <c r="O383" s="484">
        <v>10</v>
      </c>
      <c r="P383" s="472" t="s">
        <v>365</v>
      </c>
      <c r="Q383" s="483" t="s">
        <v>2186</v>
      </c>
      <c r="R383" s="472" t="s">
        <v>367</v>
      </c>
      <c r="S383" s="474"/>
      <c r="T383" s="474"/>
      <c r="U383" s="475" t="s">
        <v>368</v>
      </c>
      <c r="V383" s="485" t="str">
        <f>CLEAN(TRIM(Table2[[#This Row],[Status]] &amp; "|" &amp; Table2[[#This Row],[Level]] &amp; "|" &amp; Table2[[#This Row],[Participant As]]))</f>
        <v>Narasumber / Pemateri Acara Seminar / Workshop / Pemakalah|External International|Individual</v>
      </c>
      <c r="W383" s="486">
        <f>IFERROR(INDEX(GradingSimkat[Score], MATCH(Table2[[#This Row],[Criteria]], GradingSimkat[Criteria], 0)), 0)</f>
        <v>0</v>
      </c>
    </row>
    <row r="384" spans="1:23" ht="13.75" customHeight="1">
      <c r="A384" s="482" t="s">
        <v>1391</v>
      </c>
      <c r="B384" s="483" t="s">
        <v>1392</v>
      </c>
      <c r="C384" s="483" t="s">
        <v>1356</v>
      </c>
      <c r="D384" s="484">
        <v>2020</v>
      </c>
      <c r="E384" s="483" t="s">
        <v>361</v>
      </c>
      <c r="F384" s="472" t="s">
        <v>362</v>
      </c>
      <c r="G384" s="472" t="s">
        <v>363</v>
      </c>
      <c r="H384" s="473">
        <v>20231</v>
      </c>
      <c r="I384" s="483" t="s">
        <v>364</v>
      </c>
      <c r="J384" s="472" t="s">
        <v>278</v>
      </c>
      <c r="K384" s="483" t="s">
        <v>279</v>
      </c>
      <c r="L384" s="483" t="s">
        <v>307</v>
      </c>
      <c r="M384" s="483" t="s">
        <v>292</v>
      </c>
      <c r="N384" s="473">
        <v>500</v>
      </c>
      <c r="O384" s="484">
        <v>10</v>
      </c>
      <c r="P384" s="472" t="s">
        <v>365</v>
      </c>
      <c r="Q384" s="483" t="s">
        <v>2188</v>
      </c>
      <c r="R384" s="472" t="s">
        <v>389</v>
      </c>
      <c r="S384" s="474"/>
      <c r="T384" s="474"/>
      <c r="U384" s="475" t="s">
        <v>368</v>
      </c>
      <c r="V384" s="485" t="str">
        <f>CLEAN(TRIM(Table2[[#This Row],[Status]] &amp; "|" &amp; Table2[[#This Row],[Level]] &amp; "|" &amp; Table2[[#This Row],[Participant As]]))</f>
        <v>Narasumber / Pemateri Acara Seminar / Workshop / Pemakalah|External International|Individual</v>
      </c>
      <c r="W384" s="486">
        <f>IFERROR(INDEX(GradingSimkat[Score], MATCH(Table2[[#This Row],[Criteria]], GradingSimkat[Criteria], 0)), 0)</f>
        <v>0</v>
      </c>
    </row>
    <row r="385" spans="1:23" ht="13.75" customHeight="1">
      <c r="A385" s="482" t="s">
        <v>1851</v>
      </c>
      <c r="B385" s="483" t="s">
        <v>1852</v>
      </c>
      <c r="C385" s="483" t="s">
        <v>1794</v>
      </c>
      <c r="D385" s="484">
        <v>2022</v>
      </c>
      <c r="E385" s="483" t="s">
        <v>361</v>
      </c>
      <c r="F385" s="472" t="s">
        <v>362</v>
      </c>
      <c r="G385" s="472" t="s">
        <v>363</v>
      </c>
      <c r="H385" s="473">
        <v>20231</v>
      </c>
      <c r="I385" s="483" t="s">
        <v>364</v>
      </c>
      <c r="J385" s="472" t="s">
        <v>278</v>
      </c>
      <c r="K385" s="483" t="s">
        <v>279</v>
      </c>
      <c r="L385" s="483" t="s">
        <v>307</v>
      </c>
      <c r="M385" s="483" t="s">
        <v>292</v>
      </c>
      <c r="N385" s="473">
        <v>500</v>
      </c>
      <c r="O385" s="484">
        <v>10</v>
      </c>
      <c r="P385" s="472" t="s">
        <v>365</v>
      </c>
      <c r="Q385" s="483" t="s">
        <v>2188</v>
      </c>
      <c r="R385" s="472" t="s">
        <v>389</v>
      </c>
      <c r="S385" s="474"/>
      <c r="T385" s="474"/>
      <c r="U385" s="475" t="s">
        <v>368</v>
      </c>
      <c r="V385" s="485" t="str">
        <f>CLEAN(TRIM(Table2[[#This Row],[Status]] &amp; "|" &amp; Table2[[#This Row],[Level]] &amp; "|" &amp; Table2[[#This Row],[Participant As]]))</f>
        <v>Narasumber / Pemateri Acara Seminar / Workshop / Pemakalah|External International|Individual</v>
      </c>
      <c r="W385" s="486">
        <f>IFERROR(INDEX(GradingSimkat[Score], MATCH(Table2[[#This Row],[Criteria]], GradingSimkat[Criteria], 0)), 0)</f>
        <v>0</v>
      </c>
    </row>
    <row r="386" spans="1:23" ht="52.75" customHeight="1">
      <c r="A386" s="471" t="s">
        <v>1354</v>
      </c>
      <c r="B386" s="472" t="s">
        <v>1355</v>
      </c>
      <c r="C386" s="472" t="s">
        <v>1356</v>
      </c>
      <c r="D386" s="473">
        <v>2019</v>
      </c>
      <c r="E386" s="472" t="s">
        <v>328</v>
      </c>
      <c r="F386" s="472" t="s">
        <v>329</v>
      </c>
      <c r="G386" s="472" t="s">
        <v>330</v>
      </c>
      <c r="H386" s="473">
        <v>20221</v>
      </c>
      <c r="I386" s="472" t="s">
        <v>2164</v>
      </c>
      <c r="J386" s="472" t="s">
        <v>278</v>
      </c>
      <c r="K386" s="472" t="s">
        <v>2155</v>
      </c>
      <c r="L386" s="472" t="s">
        <v>291</v>
      </c>
      <c r="M386" s="472" t="s">
        <v>292</v>
      </c>
      <c r="N386" s="473">
        <v>7</v>
      </c>
      <c r="O386" s="473">
        <v>5</v>
      </c>
      <c r="P386" s="474"/>
      <c r="Q386" s="472" t="s">
        <v>333</v>
      </c>
      <c r="R386" s="472" t="s">
        <v>334</v>
      </c>
      <c r="S386" s="474"/>
      <c r="T386" s="474"/>
      <c r="U386" s="475" t="s">
        <v>335</v>
      </c>
      <c r="V386" s="481" t="str">
        <f>CLEAN(TRIM(Table2[[#This Row],[Status]] &amp; "|" &amp; Table2[[#This Row],[Level]] &amp; "|" &amp; Table2[[#This Row],[Participant As]]))</f>
        <v>Juri/Pelatih/Wasit|Internal Sekolah / Universitas|Individual</v>
      </c>
      <c r="W386" s="477">
        <f>IFERROR(INDEX(GradingSimkat[Score], MATCH(Table2[[#This Row],[Criteria]], GradingSimkat[Criteria], 0)), 0)</f>
        <v>0</v>
      </c>
    </row>
    <row r="387" spans="1:23" ht="13.75" customHeight="1">
      <c r="A387" s="482" t="s">
        <v>1232</v>
      </c>
      <c r="B387" s="483" t="s">
        <v>1233</v>
      </c>
      <c r="C387" s="483" t="s">
        <v>1227</v>
      </c>
      <c r="D387" s="484">
        <v>2020</v>
      </c>
      <c r="E387" s="483" t="s">
        <v>361</v>
      </c>
      <c r="F387" s="472" t="s">
        <v>362</v>
      </c>
      <c r="G387" s="472" t="s">
        <v>363</v>
      </c>
      <c r="H387" s="473">
        <v>20231</v>
      </c>
      <c r="I387" s="483" t="s">
        <v>364</v>
      </c>
      <c r="J387" s="472" t="s">
        <v>278</v>
      </c>
      <c r="K387" s="483" t="s">
        <v>279</v>
      </c>
      <c r="L387" s="483" t="s">
        <v>307</v>
      </c>
      <c r="M387" s="483" t="s">
        <v>292</v>
      </c>
      <c r="N387" s="473">
        <v>500</v>
      </c>
      <c r="O387" s="484">
        <v>10</v>
      </c>
      <c r="P387" s="472" t="s">
        <v>365</v>
      </c>
      <c r="Q387" s="483" t="s">
        <v>2188</v>
      </c>
      <c r="R387" s="472" t="s">
        <v>389</v>
      </c>
      <c r="S387" s="474"/>
      <c r="T387" s="474"/>
      <c r="U387" s="475" t="s">
        <v>368</v>
      </c>
      <c r="V387" s="485" t="str">
        <f>CLEAN(TRIM(Table2[[#This Row],[Status]] &amp; "|" &amp; Table2[[#This Row],[Level]] &amp; "|" &amp; Table2[[#This Row],[Participant As]]))</f>
        <v>Narasumber / Pemateri Acara Seminar / Workshop / Pemakalah|External International|Individual</v>
      </c>
      <c r="W387" s="486">
        <f>IFERROR(INDEX(GradingSimkat[Score], MATCH(Table2[[#This Row],[Criteria]], GradingSimkat[Criteria], 0)), 0)</f>
        <v>0</v>
      </c>
    </row>
    <row r="388" spans="1:23" ht="13.75" customHeight="1">
      <c r="A388" s="482" t="s">
        <v>891</v>
      </c>
      <c r="B388" s="483" t="s">
        <v>892</v>
      </c>
      <c r="C388" s="483" t="s">
        <v>274</v>
      </c>
      <c r="D388" s="484">
        <v>2023</v>
      </c>
      <c r="E388" s="483" t="s">
        <v>361</v>
      </c>
      <c r="F388" s="472" t="s">
        <v>362</v>
      </c>
      <c r="G388" s="472" t="s">
        <v>363</v>
      </c>
      <c r="H388" s="473">
        <v>20231</v>
      </c>
      <c r="I388" s="483" t="s">
        <v>364</v>
      </c>
      <c r="J388" s="472" t="s">
        <v>278</v>
      </c>
      <c r="K388" s="483" t="s">
        <v>279</v>
      </c>
      <c r="L388" s="483" t="s">
        <v>307</v>
      </c>
      <c r="M388" s="483" t="s">
        <v>292</v>
      </c>
      <c r="N388" s="473">
        <v>500</v>
      </c>
      <c r="O388" s="484">
        <v>10</v>
      </c>
      <c r="P388" s="472" t="s">
        <v>365</v>
      </c>
      <c r="Q388" s="483" t="s">
        <v>2186</v>
      </c>
      <c r="R388" s="472" t="s">
        <v>367</v>
      </c>
      <c r="S388" s="474"/>
      <c r="T388" s="474"/>
      <c r="U388" s="475" t="s">
        <v>368</v>
      </c>
      <c r="V388" s="485" t="str">
        <f>CLEAN(TRIM(Table2[[#This Row],[Status]] &amp; "|" &amp; Table2[[#This Row],[Level]] &amp; "|" &amp; Table2[[#This Row],[Participant As]]))</f>
        <v>Narasumber / Pemateri Acara Seminar / Workshop / Pemakalah|External International|Individual</v>
      </c>
      <c r="W388" s="486">
        <f>IFERROR(INDEX(GradingSimkat[Score], MATCH(Table2[[#This Row],[Criteria]], GradingSimkat[Criteria], 0)), 0)</f>
        <v>0</v>
      </c>
    </row>
    <row r="389" spans="1:23" ht="13.75" customHeight="1">
      <c r="A389" s="482" t="s">
        <v>1607</v>
      </c>
      <c r="B389" s="483" t="s">
        <v>1608</v>
      </c>
      <c r="C389" s="483" t="s">
        <v>1559</v>
      </c>
      <c r="D389" s="484">
        <v>2020</v>
      </c>
      <c r="E389" s="483" t="s">
        <v>1609</v>
      </c>
      <c r="F389" s="472" t="s">
        <v>1610</v>
      </c>
      <c r="G389" s="472" t="s">
        <v>1610</v>
      </c>
      <c r="H389" s="473">
        <v>20231</v>
      </c>
      <c r="I389" s="487"/>
      <c r="J389" s="472" t="s">
        <v>278</v>
      </c>
      <c r="K389" s="483" t="s">
        <v>279</v>
      </c>
      <c r="L389" s="483" t="s">
        <v>291</v>
      </c>
      <c r="M389" s="483" t="s">
        <v>292</v>
      </c>
      <c r="N389" s="473">
        <v>500</v>
      </c>
      <c r="O389" s="484">
        <v>4</v>
      </c>
      <c r="P389" s="474"/>
      <c r="Q389" s="483" t="s">
        <v>2259</v>
      </c>
      <c r="R389" s="472" t="s">
        <v>1612</v>
      </c>
      <c r="S389" s="474"/>
      <c r="T389" s="474"/>
      <c r="U389" s="475" t="s">
        <v>1613</v>
      </c>
      <c r="V389" s="485" t="str">
        <f>CLEAN(TRIM(Table2[[#This Row],[Status]] &amp; "|" &amp; Table2[[#This Row],[Level]] &amp; "|" &amp; Table2[[#This Row],[Participant As]]))</f>
        <v>Narasumber / Pemateri Acara Seminar / Workshop / Pemakalah|Internal Sekolah / Universitas|Individual</v>
      </c>
      <c r="W389" s="486">
        <f>IFERROR(INDEX(GradingSimkat[Score], MATCH(Table2[[#This Row],[Criteria]], GradingSimkat[Criteria], 0)), 0)</f>
        <v>0</v>
      </c>
    </row>
    <row r="390" spans="1:23" ht="13.75" customHeight="1">
      <c r="A390" s="482" t="s">
        <v>465</v>
      </c>
      <c r="B390" s="483" t="s">
        <v>466</v>
      </c>
      <c r="C390" s="483" t="s">
        <v>274</v>
      </c>
      <c r="D390" s="484">
        <v>2021</v>
      </c>
      <c r="E390" s="483" t="s">
        <v>435</v>
      </c>
      <c r="F390" s="472" t="s">
        <v>339</v>
      </c>
      <c r="G390" s="472" t="s">
        <v>339</v>
      </c>
      <c r="H390" s="473">
        <v>20221</v>
      </c>
      <c r="I390" s="483" t="s">
        <v>467</v>
      </c>
      <c r="J390" s="472" t="s">
        <v>278</v>
      </c>
      <c r="K390" s="489" t="s">
        <v>279</v>
      </c>
      <c r="L390" s="483" t="s">
        <v>280</v>
      </c>
      <c r="M390" s="483" t="s">
        <v>281</v>
      </c>
      <c r="N390" s="473">
        <v>4</v>
      </c>
      <c r="O390" s="484">
        <v>15</v>
      </c>
      <c r="P390" s="474"/>
      <c r="Q390" s="483" t="s">
        <v>2195</v>
      </c>
      <c r="R390" s="474"/>
      <c r="S390" s="474"/>
      <c r="T390" s="474"/>
      <c r="U390" s="475" t="s">
        <v>469</v>
      </c>
      <c r="V390" s="485" t="str">
        <f>CLEAN(TRIM(Table2[[#This Row],[Status]] &amp; "|" &amp; Table2[[#This Row],[Level]] &amp; "|" &amp; Table2[[#This Row],[Participant As]]))</f>
        <v>Narasumber / Pemateri Acara Seminar / Workshop / Pemakalah|External National|Team</v>
      </c>
      <c r="W390" s="486">
        <f>IFERROR(INDEX(GradingSimkat[Score], MATCH(Table2[[#This Row],[Criteria]], GradingSimkat[Criteria], 0)), 0)</f>
        <v>0</v>
      </c>
    </row>
    <row r="391" spans="1:23" s="470" customFormat="1" ht="13.75" customHeight="1">
      <c r="A391" s="482" t="s">
        <v>465</v>
      </c>
      <c r="B391" s="483" t="s">
        <v>466</v>
      </c>
      <c r="C391" s="483" t="s">
        <v>274</v>
      </c>
      <c r="D391" s="484">
        <v>2021</v>
      </c>
      <c r="E391" s="483" t="s">
        <v>418</v>
      </c>
      <c r="F391" s="472" t="s">
        <v>419</v>
      </c>
      <c r="G391" s="472" t="s">
        <v>419</v>
      </c>
      <c r="H391" s="473">
        <v>20231</v>
      </c>
      <c r="I391" s="483" t="s">
        <v>420</v>
      </c>
      <c r="J391" s="472" t="s">
        <v>278</v>
      </c>
      <c r="K391" s="483" t="s">
        <v>279</v>
      </c>
      <c r="L391" s="483" t="s">
        <v>291</v>
      </c>
      <c r="M391" s="483" t="s">
        <v>292</v>
      </c>
      <c r="N391" s="473">
        <v>250</v>
      </c>
      <c r="O391" s="484">
        <v>4</v>
      </c>
      <c r="P391" s="474"/>
      <c r="Q391" s="483" t="s">
        <v>2191</v>
      </c>
      <c r="R391" s="472" t="s">
        <v>422</v>
      </c>
      <c r="S391" s="474"/>
      <c r="T391" s="474"/>
      <c r="U391" s="475" t="s">
        <v>423</v>
      </c>
      <c r="V391" s="485" t="str">
        <f>CLEAN(TRIM(Table2[[#This Row],[Status]] &amp; "|" &amp; Table2[[#This Row],[Level]] &amp; "|" &amp; Table2[[#This Row],[Participant As]]))</f>
        <v>Narasumber / Pemateri Acara Seminar / Workshop / Pemakalah|Internal Sekolah / Universitas|Individual</v>
      </c>
      <c r="W391" s="486">
        <f>IFERROR(INDEX(GradingSimkat[Score], MATCH(Table2[[#This Row],[Criteria]], GradingSimkat[Criteria], 0)), 0)</f>
        <v>0</v>
      </c>
    </row>
    <row r="392" spans="1:23" ht="13.75" customHeight="1">
      <c r="A392" s="482" t="s">
        <v>847</v>
      </c>
      <c r="B392" s="483" t="s">
        <v>848</v>
      </c>
      <c r="C392" s="483" t="s">
        <v>274</v>
      </c>
      <c r="D392" s="484">
        <v>2023</v>
      </c>
      <c r="E392" s="483" t="s">
        <v>361</v>
      </c>
      <c r="F392" s="472" t="s">
        <v>362</v>
      </c>
      <c r="G392" s="472" t="s">
        <v>363</v>
      </c>
      <c r="H392" s="473">
        <v>20231</v>
      </c>
      <c r="I392" s="483" t="s">
        <v>364</v>
      </c>
      <c r="J392" s="472" t="s">
        <v>278</v>
      </c>
      <c r="K392" s="483" t="s">
        <v>279</v>
      </c>
      <c r="L392" s="483" t="s">
        <v>307</v>
      </c>
      <c r="M392" s="483" t="s">
        <v>292</v>
      </c>
      <c r="N392" s="473">
        <v>500</v>
      </c>
      <c r="O392" s="484">
        <v>10</v>
      </c>
      <c r="P392" s="472" t="s">
        <v>365</v>
      </c>
      <c r="Q392" s="483" t="s">
        <v>2186</v>
      </c>
      <c r="R392" s="472" t="s">
        <v>367</v>
      </c>
      <c r="S392" s="474"/>
      <c r="T392" s="474"/>
      <c r="U392" s="475" t="s">
        <v>368</v>
      </c>
      <c r="V392" s="485" t="str">
        <f>CLEAN(TRIM(Table2[[#This Row],[Status]] &amp; "|" &amp; Table2[[#This Row],[Level]] &amp; "|" &amp; Table2[[#This Row],[Participant As]]))</f>
        <v>Narasumber / Pemateri Acara Seminar / Workshop / Pemakalah|External International|Individual</v>
      </c>
      <c r="W392" s="486">
        <f>IFERROR(INDEX(GradingSimkat[Score], MATCH(Table2[[#This Row],[Criteria]], GradingSimkat[Criteria], 0)), 0)</f>
        <v>0</v>
      </c>
    </row>
    <row r="393" spans="1:23" s="470" customFormat="1" ht="13.75" customHeight="1">
      <c r="A393" s="482" t="s">
        <v>841</v>
      </c>
      <c r="B393" s="483" t="s">
        <v>842</v>
      </c>
      <c r="C393" s="483" t="s">
        <v>274</v>
      </c>
      <c r="D393" s="484">
        <v>2023</v>
      </c>
      <c r="E393" s="483" t="s">
        <v>361</v>
      </c>
      <c r="F393" s="472" t="s">
        <v>362</v>
      </c>
      <c r="G393" s="472" t="s">
        <v>363</v>
      </c>
      <c r="H393" s="473">
        <v>20231</v>
      </c>
      <c r="I393" s="483" t="s">
        <v>364</v>
      </c>
      <c r="J393" s="472" t="s">
        <v>278</v>
      </c>
      <c r="K393" s="483" t="s">
        <v>279</v>
      </c>
      <c r="L393" s="483" t="s">
        <v>307</v>
      </c>
      <c r="M393" s="483" t="s">
        <v>292</v>
      </c>
      <c r="N393" s="473">
        <v>500</v>
      </c>
      <c r="O393" s="484">
        <v>10</v>
      </c>
      <c r="P393" s="472" t="s">
        <v>365</v>
      </c>
      <c r="Q393" s="483" t="s">
        <v>2186</v>
      </c>
      <c r="R393" s="472" t="s">
        <v>367</v>
      </c>
      <c r="S393" s="474"/>
      <c r="T393" s="474"/>
      <c r="U393" s="475" t="s">
        <v>368</v>
      </c>
      <c r="V393" s="485" t="str">
        <f>CLEAN(TRIM(Table2[[#This Row],[Status]] &amp; "|" &amp; Table2[[#This Row],[Level]] &amp; "|" &amp; Table2[[#This Row],[Participant As]]))</f>
        <v>Narasumber / Pemateri Acara Seminar / Workshop / Pemakalah|External International|Individual</v>
      </c>
      <c r="W393" s="486">
        <f>IFERROR(INDEX(GradingSimkat[Score], MATCH(Table2[[#This Row],[Criteria]], GradingSimkat[Criteria], 0)), 0)</f>
        <v>0</v>
      </c>
    </row>
    <row r="394" spans="1:23" s="470" customFormat="1" ht="13.75" customHeight="1">
      <c r="A394" s="471" t="s">
        <v>765</v>
      </c>
      <c r="B394" s="472" t="s">
        <v>766</v>
      </c>
      <c r="C394" s="472" t="s">
        <v>274</v>
      </c>
      <c r="D394" s="473">
        <v>2022</v>
      </c>
      <c r="E394" s="472" t="s">
        <v>759</v>
      </c>
      <c r="F394" s="472" t="s">
        <v>760</v>
      </c>
      <c r="G394" s="472" t="s">
        <v>760</v>
      </c>
      <c r="H394" s="473">
        <v>20222</v>
      </c>
      <c r="I394" s="472" t="s">
        <v>2166</v>
      </c>
      <c r="J394" s="472" t="s">
        <v>278</v>
      </c>
      <c r="K394" s="472" t="s">
        <v>2155</v>
      </c>
      <c r="L394" s="472" t="s">
        <v>438</v>
      </c>
      <c r="M394" s="472" t="s">
        <v>292</v>
      </c>
      <c r="N394" s="473">
        <v>33</v>
      </c>
      <c r="O394" s="473">
        <v>10</v>
      </c>
      <c r="P394" s="472" t="s">
        <v>762</v>
      </c>
      <c r="Q394" s="472" t="s">
        <v>767</v>
      </c>
      <c r="R394" s="474"/>
      <c r="S394" s="474"/>
      <c r="T394" s="474"/>
      <c r="U394" s="475" t="s">
        <v>764</v>
      </c>
      <c r="V394" s="481" t="str">
        <f>CLEAN(TRIM(Table2[[#This Row],[Status]] &amp; "|" &amp; Table2[[#This Row],[Level]] &amp; "|" &amp; Table2[[#This Row],[Participant As]]))</f>
        <v>Juri/Pelatih/Wasit|External Regional|Individual</v>
      </c>
      <c r="W394" s="477">
        <f>IFERROR(INDEX(GradingSimkat[Score], MATCH(Table2[[#This Row],[Criteria]], GradingSimkat[Criteria], 0)), 0)</f>
        <v>0</v>
      </c>
    </row>
    <row r="395" spans="1:23" ht="13.75" customHeight="1">
      <c r="A395" s="482" t="s">
        <v>821</v>
      </c>
      <c r="B395" s="483" t="s">
        <v>822</v>
      </c>
      <c r="C395" s="483" t="s">
        <v>274</v>
      </c>
      <c r="D395" s="484">
        <v>2023</v>
      </c>
      <c r="E395" s="483" t="s">
        <v>361</v>
      </c>
      <c r="F395" s="472" t="s">
        <v>362</v>
      </c>
      <c r="G395" s="472" t="s">
        <v>363</v>
      </c>
      <c r="H395" s="473">
        <v>20231</v>
      </c>
      <c r="I395" s="483" t="s">
        <v>364</v>
      </c>
      <c r="J395" s="472" t="s">
        <v>278</v>
      </c>
      <c r="K395" s="483" t="s">
        <v>279</v>
      </c>
      <c r="L395" s="483" t="s">
        <v>307</v>
      </c>
      <c r="M395" s="483" t="s">
        <v>292</v>
      </c>
      <c r="N395" s="473">
        <v>500</v>
      </c>
      <c r="O395" s="484">
        <v>10</v>
      </c>
      <c r="P395" s="472" t="s">
        <v>365</v>
      </c>
      <c r="Q395" s="483" t="s">
        <v>2186</v>
      </c>
      <c r="R395" s="472" t="s">
        <v>367</v>
      </c>
      <c r="S395" s="474"/>
      <c r="T395" s="474"/>
      <c r="U395" s="475" t="s">
        <v>368</v>
      </c>
      <c r="V395" s="485" t="str">
        <f>CLEAN(TRIM(Table2[[#This Row],[Status]] &amp; "|" &amp; Table2[[#This Row],[Level]] &amp; "|" &amp; Table2[[#This Row],[Participant As]]))</f>
        <v>Narasumber / Pemateri Acara Seminar / Workshop / Pemakalah|External International|Individual</v>
      </c>
      <c r="W395" s="486">
        <f>IFERROR(INDEX(GradingSimkat[Score], MATCH(Table2[[#This Row],[Criteria]], GradingSimkat[Criteria], 0)), 0)</f>
        <v>0</v>
      </c>
    </row>
    <row r="396" spans="1:23" ht="13.75" customHeight="1">
      <c r="A396" s="482" t="s">
        <v>394</v>
      </c>
      <c r="B396" s="483" t="s">
        <v>395</v>
      </c>
      <c r="C396" s="483" t="s">
        <v>274</v>
      </c>
      <c r="D396" s="484">
        <v>2020</v>
      </c>
      <c r="E396" s="483" t="s">
        <v>361</v>
      </c>
      <c r="F396" s="472" t="s">
        <v>362</v>
      </c>
      <c r="G396" s="472" t="s">
        <v>363</v>
      </c>
      <c r="H396" s="473">
        <v>20231</v>
      </c>
      <c r="I396" s="483" t="s">
        <v>364</v>
      </c>
      <c r="J396" s="472" t="s">
        <v>278</v>
      </c>
      <c r="K396" s="483" t="s">
        <v>279</v>
      </c>
      <c r="L396" s="483" t="s">
        <v>307</v>
      </c>
      <c r="M396" s="483" t="s">
        <v>292</v>
      </c>
      <c r="N396" s="473">
        <v>500</v>
      </c>
      <c r="O396" s="484">
        <v>10</v>
      </c>
      <c r="P396" s="472" t="s">
        <v>365</v>
      </c>
      <c r="Q396" s="483" t="s">
        <v>2186</v>
      </c>
      <c r="R396" s="472" t="s">
        <v>367</v>
      </c>
      <c r="S396" s="474"/>
      <c r="T396" s="474"/>
      <c r="U396" s="475" t="s">
        <v>368</v>
      </c>
      <c r="V396" s="485" t="str">
        <f>CLEAN(TRIM(Table2[[#This Row],[Status]] &amp; "|" &amp; Table2[[#This Row],[Level]] &amp; "|" &amp; Table2[[#This Row],[Participant As]]))</f>
        <v>Narasumber / Pemateri Acara Seminar / Workshop / Pemakalah|External International|Individual</v>
      </c>
      <c r="W396" s="486">
        <f>IFERROR(INDEX(GradingSimkat[Score], MATCH(Table2[[#This Row],[Criteria]], GradingSimkat[Criteria], 0)), 0)</f>
        <v>0</v>
      </c>
    </row>
    <row r="397" spans="1:23" ht="13.75" customHeight="1">
      <c r="A397" s="482" t="s">
        <v>1194</v>
      </c>
      <c r="B397" s="483" t="s">
        <v>1195</v>
      </c>
      <c r="C397" s="483" t="s">
        <v>986</v>
      </c>
      <c r="D397" s="484">
        <v>2023</v>
      </c>
      <c r="E397" s="483" t="s">
        <v>1196</v>
      </c>
      <c r="F397" s="472" t="s">
        <v>1197</v>
      </c>
      <c r="G397" s="472" t="s">
        <v>1197</v>
      </c>
      <c r="H397" s="473">
        <v>20231</v>
      </c>
      <c r="I397" s="483" t="s">
        <v>1198</v>
      </c>
      <c r="J397" s="472" t="s">
        <v>278</v>
      </c>
      <c r="K397" s="483" t="s">
        <v>2157</v>
      </c>
      <c r="L397" s="483" t="s">
        <v>438</v>
      </c>
      <c r="M397" s="483" t="s">
        <v>292</v>
      </c>
      <c r="N397" s="473">
        <v>18</v>
      </c>
      <c r="O397" s="484">
        <v>10</v>
      </c>
      <c r="P397" s="472" t="s">
        <v>1199</v>
      </c>
      <c r="Q397" s="483" t="s">
        <v>2237</v>
      </c>
      <c r="R397" s="472" t="s">
        <v>1201</v>
      </c>
      <c r="S397" s="474"/>
      <c r="T397" s="474"/>
      <c r="U397" s="475" t="s">
        <v>1202</v>
      </c>
      <c r="V397" s="485" t="str">
        <f>CLEAN(TRIM(Table2[[#This Row],[Status]] &amp; "|" &amp; Table2[[#This Row],[Level]] &amp; "|" &amp; Table2[[#This Row],[Participant As]]))</f>
        <v>Pembicara pada pelatihan/seminar/event berskala|External Regional|Individual</v>
      </c>
      <c r="W397" s="486">
        <f>IFERROR(INDEX(GradingSimkat[Score], MATCH(Table2[[#This Row],[Criteria]], GradingSimkat[Criteria], 0)), 0)</f>
        <v>0</v>
      </c>
    </row>
    <row r="398" spans="1:23" ht="13.75" customHeight="1">
      <c r="A398" s="482" t="s">
        <v>1194</v>
      </c>
      <c r="B398" s="483" t="s">
        <v>1195</v>
      </c>
      <c r="C398" s="483" t="s">
        <v>986</v>
      </c>
      <c r="D398" s="484">
        <v>2023</v>
      </c>
      <c r="E398" s="483" t="s">
        <v>1203</v>
      </c>
      <c r="F398" s="472" t="s">
        <v>1204</v>
      </c>
      <c r="G398" s="472" t="s">
        <v>1204</v>
      </c>
      <c r="H398" s="473">
        <v>20231</v>
      </c>
      <c r="I398" s="483" t="s">
        <v>1205</v>
      </c>
      <c r="J398" s="472" t="s">
        <v>278</v>
      </c>
      <c r="K398" s="483" t="s">
        <v>279</v>
      </c>
      <c r="L398" s="483" t="s">
        <v>438</v>
      </c>
      <c r="M398" s="483" t="s">
        <v>292</v>
      </c>
      <c r="N398" s="473">
        <v>3</v>
      </c>
      <c r="O398" s="484">
        <v>10</v>
      </c>
      <c r="P398" s="472" t="s">
        <v>1206</v>
      </c>
      <c r="Q398" s="483" t="s">
        <v>2238</v>
      </c>
      <c r="R398" s="474"/>
      <c r="S398" s="474"/>
      <c r="T398" s="474"/>
      <c r="U398" s="475" t="s">
        <v>1208</v>
      </c>
      <c r="V398" s="485" t="str">
        <f>CLEAN(TRIM(Table2[[#This Row],[Status]] &amp; "|" &amp; Table2[[#This Row],[Level]] &amp; "|" &amp; Table2[[#This Row],[Participant As]]))</f>
        <v>Narasumber / Pemateri Acara Seminar / Workshop / Pemakalah|External Regional|Individual</v>
      </c>
      <c r="W398" s="486">
        <f>IFERROR(INDEX(GradingSimkat[Score], MATCH(Table2[[#This Row],[Criteria]], GradingSimkat[Criteria], 0)), 0)</f>
        <v>0</v>
      </c>
    </row>
    <row r="399" spans="1:23" ht="65.75" customHeight="1">
      <c r="A399" s="482" t="s">
        <v>1194</v>
      </c>
      <c r="B399" s="483" t="s">
        <v>1195</v>
      </c>
      <c r="C399" s="483" t="s">
        <v>986</v>
      </c>
      <c r="D399" s="484">
        <v>2023</v>
      </c>
      <c r="E399" s="483" t="s">
        <v>1209</v>
      </c>
      <c r="F399" s="472" t="s">
        <v>1210</v>
      </c>
      <c r="G399" s="472" t="s">
        <v>1210</v>
      </c>
      <c r="H399" s="473">
        <v>20231</v>
      </c>
      <c r="I399" s="483" t="s">
        <v>1211</v>
      </c>
      <c r="J399" s="472" t="s">
        <v>278</v>
      </c>
      <c r="K399" s="483" t="s">
        <v>2157</v>
      </c>
      <c r="L399" s="483" t="s">
        <v>438</v>
      </c>
      <c r="M399" s="483" t="s">
        <v>292</v>
      </c>
      <c r="N399" s="473">
        <v>50</v>
      </c>
      <c r="O399" s="484">
        <v>10</v>
      </c>
      <c r="P399" s="472" t="s">
        <v>1212</v>
      </c>
      <c r="Q399" s="483" t="s">
        <v>2239</v>
      </c>
      <c r="R399" s="474"/>
      <c r="S399" s="474"/>
      <c r="T399" s="474"/>
      <c r="U399" s="475" t="s">
        <v>1214</v>
      </c>
      <c r="V399" s="485" t="str">
        <f>CLEAN(TRIM(Table2[[#This Row],[Status]] &amp; "|" &amp; Table2[[#This Row],[Level]] &amp; "|" &amp; Table2[[#This Row],[Participant As]]))</f>
        <v>Pembicara pada pelatihan/seminar/event berskala|External Regional|Individual</v>
      </c>
      <c r="W399" s="486">
        <f>IFERROR(INDEX(GradingSimkat[Score], MATCH(Table2[[#This Row],[Criteria]], GradingSimkat[Criteria], 0)), 0)</f>
        <v>0</v>
      </c>
    </row>
    <row r="400" spans="1:23" ht="26.75" customHeight="1">
      <c r="A400" s="471" t="s">
        <v>1194</v>
      </c>
      <c r="B400" s="472" t="s">
        <v>1195</v>
      </c>
      <c r="C400" s="472" t="s">
        <v>986</v>
      </c>
      <c r="D400" s="473">
        <v>2023</v>
      </c>
      <c r="E400" s="472" t="s">
        <v>1215</v>
      </c>
      <c r="F400" s="472" t="s">
        <v>1216</v>
      </c>
      <c r="G400" s="472" t="s">
        <v>1216</v>
      </c>
      <c r="H400" s="473">
        <v>20231</v>
      </c>
      <c r="I400" s="472" t="s">
        <v>2168</v>
      </c>
      <c r="J400" s="472" t="s">
        <v>278</v>
      </c>
      <c r="K400" s="472" t="s">
        <v>2155</v>
      </c>
      <c r="L400" s="472" t="s">
        <v>280</v>
      </c>
      <c r="M400" s="472" t="s">
        <v>292</v>
      </c>
      <c r="N400" s="473">
        <v>11</v>
      </c>
      <c r="O400" s="473">
        <v>15</v>
      </c>
      <c r="P400" s="472" t="s">
        <v>1218</v>
      </c>
      <c r="Q400" s="472" t="s">
        <v>1219</v>
      </c>
      <c r="R400" s="472" t="s">
        <v>1220</v>
      </c>
      <c r="S400" s="474"/>
      <c r="T400" s="474"/>
      <c r="U400" s="475" t="s">
        <v>1221</v>
      </c>
      <c r="V400" s="481" t="str">
        <f>CLEAN(TRIM(Table2[[#This Row],[Status]] &amp; "|" &amp; Table2[[#This Row],[Level]] &amp; "|" &amp; Table2[[#This Row],[Participant As]]))</f>
        <v>Juri/Pelatih/Wasit|External National|Individual</v>
      </c>
      <c r="W400" s="477">
        <f>IFERROR(INDEX(GradingSimkat[Score], MATCH(Table2[[#This Row],[Criteria]], GradingSimkat[Criteria], 0)), 0)</f>
        <v>8</v>
      </c>
    </row>
    <row r="401" spans="1:23" s="470" customFormat="1" ht="13.75" customHeight="1">
      <c r="A401" s="471" t="s">
        <v>1590</v>
      </c>
      <c r="B401" s="472" t="s">
        <v>1591</v>
      </c>
      <c r="C401" s="472" t="s">
        <v>1559</v>
      </c>
      <c r="D401" s="473">
        <v>2020</v>
      </c>
      <c r="E401" s="472" t="s">
        <v>1592</v>
      </c>
      <c r="F401" s="472" t="s">
        <v>1593</v>
      </c>
      <c r="G401" s="472" t="s">
        <v>1594</v>
      </c>
      <c r="H401" s="473">
        <v>20211</v>
      </c>
      <c r="I401" s="492" t="s">
        <v>1595</v>
      </c>
      <c r="J401" s="472" t="s">
        <v>278</v>
      </c>
      <c r="K401" s="472" t="s">
        <v>2159</v>
      </c>
      <c r="L401" s="472" t="s">
        <v>280</v>
      </c>
      <c r="M401" s="472" t="s">
        <v>281</v>
      </c>
      <c r="N401" s="473">
        <v>38</v>
      </c>
      <c r="O401" s="473">
        <v>12</v>
      </c>
      <c r="P401" s="472" t="s">
        <v>1596</v>
      </c>
      <c r="Q401" s="474"/>
      <c r="R401" s="474"/>
      <c r="S401" s="472" t="s">
        <v>1597</v>
      </c>
      <c r="T401" s="474"/>
      <c r="U401" s="475" t="s">
        <v>1598</v>
      </c>
      <c r="V401" s="481" t="str">
        <f>CLEAN(TRIM(Table2[[#This Row],[Status]] &amp; "|" &amp; Table2[[#This Row],[Level]] &amp; "|" &amp; Table2[[#This Row],[Participant As]]))</f>
        <v>Penulis pertama buku ber-ISBN|External National|Team</v>
      </c>
      <c r="W401" s="477">
        <f>IFERROR(INDEX(GradingSimkat[Score], MATCH(Table2[[#This Row],[Criteria]], GradingSimkat[Criteria], 0)), 0)</f>
        <v>6</v>
      </c>
    </row>
    <row r="402" spans="1:23" ht="26.75" customHeight="1">
      <c r="A402" s="482" t="s">
        <v>1590</v>
      </c>
      <c r="B402" s="483" t="s">
        <v>1591</v>
      </c>
      <c r="C402" s="483" t="s">
        <v>1559</v>
      </c>
      <c r="D402" s="484">
        <v>2020</v>
      </c>
      <c r="E402" s="483" t="s">
        <v>418</v>
      </c>
      <c r="F402" s="472" t="s">
        <v>419</v>
      </c>
      <c r="G402" s="472" t="s">
        <v>419</v>
      </c>
      <c r="H402" s="473">
        <v>20231</v>
      </c>
      <c r="I402" s="483" t="s">
        <v>420</v>
      </c>
      <c r="J402" s="472" t="s">
        <v>278</v>
      </c>
      <c r="K402" s="483" t="s">
        <v>279</v>
      </c>
      <c r="L402" s="483" t="s">
        <v>291</v>
      </c>
      <c r="M402" s="483" t="s">
        <v>292</v>
      </c>
      <c r="N402" s="473">
        <v>250</v>
      </c>
      <c r="O402" s="484">
        <v>4</v>
      </c>
      <c r="P402" s="474"/>
      <c r="Q402" s="483" t="s">
        <v>2191</v>
      </c>
      <c r="R402" s="472" t="s">
        <v>422</v>
      </c>
      <c r="S402" s="474"/>
      <c r="T402" s="474"/>
      <c r="U402" s="475" t="s">
        <v>423</v>
      </c>
      <c r="V402" s="485" t="str">
        <f>CLEAN(TRIM(Table2[[#This Row],[Status]] &amp; "|" &amp; Table2[[#This Row],[Level]] &amp; "|" &amp; Table2[[#This Row],[Participant As]]))</f>
        <v>Narasumber / Pemateri Acara Seminar / Workshop / Pemakalah|Internal Sekolah / Universitas|Individual</v>
      </c>
      <c r="W402" s="486">
        <f>IFERROR(INDEX(GradingSimkat[Score], MATCH(Table2[[#This Row],[Criteria]], GradingSimkat[Criteria], 0)), 0)</f>
        <v>0</v>
      </c>
    </row>
    <row r="403" spans="1:23" s="470" customFormat="1" ht="13.75" customHeight="1">
      <c r="A403" s="482" t="s">
        <v>695</v>
      </c>
      <c r="B403" s="483" t="s">
        <v>696</v>
      </c>
      <c r="C403" s="483" t="s">
        <v>274</v>
      </c>
      <c r="D403" s="484">
        <v>2022</v>
      </c>
      <c r="E403" s="483" t="s">
        <v>361</v>
      </c>
      <c r="F403" s="472" t="s">
        <v>362</v>
      </c>
      <c r="G403" s="472" t="s">
        <v>363</v>
      </c>
      <c r="H403" s="473">
        <v>20231</v>
      </c>
      <c r="I403" s="483" t="s">
        <v>364</v>
      </c>
      <c r="J403" s="472" t="s">
        <v>278</v>
      </c>
      <c r="K403" s="483" t="s">
        <v>279</v>
      </c>
      <c r="L403" s="483" t="s">
        <v>307</v>
      </c>
      <c r="M403" s="483" t="s">
        <v>292</v>
      </c>
      <c r="N403" s="473">
        <v>500</v>
      </c>
      <c r="O403" s="484">
        <v>10</v>
      </c>
      <c r="P403" s="472" t="s">
        <v>365</v>
      </c>
      <c r="Q403" s="483" t="s">
        <v>2186</v>
      </c>
      <c r="R403" s="472" t="s">
        <v>367</v>
      </c>
      <c r="S403" s="474"/>
      <c r="T403" s="474"/>
      <c r="U403" s="475" t="s">
        <v>368</v>
      </c>
      <c r="V403" s="485" t="str">
        <f>CLEAN(TRIM(Table2[[#This Row],[Status]] &amp; "|" &amp; Table2[[#This Row],[Level]] &amp; "|" &amp; Table2[[#This Row],[Participant As]]))</f>
        <v>Narasumber / Pemateri Acara Seminar / Workshop / Pemakalah|External International|Individual</v>
      </c>
      <c r="W403" s="486">
        <f>IFERROR(INDEX(GradingSimkat[Score], MATCH(Table2[[#This Row],[Criteria]], GradingSimkat[Criteria], 0)), 0)</f>
        <v>0</v>
      </c>
    </row>
    <row r="404" spans="1:23" s="470" customFormat="1" ht="13.75" customHeight="1">
      <c r="A404" s="482" t="s">
        <v>522</v>
      </c>
      <c r="B404" s="483" t="s">
        <v>523</v>
      </c>
      <c r="C404" s="483" t="s">
        <v>274</v>
      </c>
      <c r="D404" s="484">
        <v>2021</v>
      </c>
      <c r="E404" s="483" t="s">
        <v>361</v>
      </c>
      <c r="F404" s="472" t="s">
        <v>362</v>
      </c>
      <c r="G404" s="472" t="s">
        <v>363</v>
      </c>
      <c r="H404" s="473">
        <v>20231</v>
      </c>
      <c r="I404" s="483" t="s">
        <v>364</v>
      </c>
      <c r="J404" s="472" t="s">
        <v>278</v>
      </c>
      <c r="K404" s="483" t="s">
        <v>279</v>
      </c>
      <c r="L404" s="483" t="s">
        <v>307</v>
      </c>
      <c r="M404" s="483" t="s">
        <v>292</v>
      </c>
      <c r="N404" s="473">
        <v>500</v>
      </c>
      <c r="O404" s="484">
        <v>10</v>
      </c>
      <c r="P404" s="472" t="s">
        <v>365</v>
      </c>
      <c r="Q404" s="483" t="s">
        <v>2186</v>
      </c>
      <c r="R404" s="472" t="s">
        <v>367</v>
      </c>
      <c r="S404" s="474"/>
      <c r="T404" s="474"/>
      <c r="U404" s="475" t="s">
        <v>368</v>
      </c>
      <c r="V404" s="485" t="str">
        <f>CLEAN(TRIM(Table2[[#This Row],[Status]] &amp; "|" &amp; Table2[[#This Row],[Level]] &amp; "|" &amp; Table2[[#This Row],[Participant As]]))</f>
        <v>Narasumber / Pemateri Acara Seminar / Workshop / Pemakalah|External International|Individual</v>
      </c>
      <c r="W404" s="486">
        <f>IFERROR(INDEX(GradingSimkat[Score], MATCH(Table2[[#This Row],[Criteria]], GradingSimkat[Criteria], 0)), 0)</f>
        <v>0</v>
      </c>
    </row>
    <row r="405" spans="1:23" ht="13.75" customHeight="1">
      <c r="A405" s="482" t="s">
        <v>1658</v>
      </c>
      <c r="B405" s="483" t="s">
        <v>1659</v>
      </c>
      <c r="C405" s="483" t="s">
        <v>1559</v>
      </c>
      <c r="D405" s="484">
        <v>2022</v>
      </c>
      <c r="E405" s="483" t="s">
        <v>1660</v>
      </c>
      <c r="F405" s="472" t="s">
        <v>1661</v>
      </c>
      <c r="G405" s="472" t="s">
        <v>1661</v>
      </c>
      <c r="H405" s="473">
        <v>20222</v>
      </c>
      <c r="I405" s="483" t="s">
        <v>1662</v>
      </c>
      <c r="J405" s="472" t="s">
        <v>278</v>
      </c>
      <c r="K405" s="483" t="s">
        <v>279</v>
      </c>
      <c r="L405" s="483" t="s">
        <v>438</v>
      </c>
      <c r="M405" s="483" t="s">
        <v>292</v>
      </c>
      <c r="N405" s="473">
        <v>25</v>
      </c>
      <c r="O405" s="484">
        <v>10</v>
      </c>
      <c r="P405" s="474"/>
      <c r="Q405" s="483" t="s">
        <v>2265</v>
      </c>
      <c r="R405" s="474"/>
      <c r="S405" s="474"/>
      <c r="T405" s="474"/>
      <c r="U405" s="475" t="s">
        <v>1664</v>
      </c>
      <c r="V405" s="485" t="str">
        <f>CLEAN(TRIM(Table2[[#This Row],[Status]] &amp; "|" &amp; Table2[[#This Row],[Level]] &amp; "|" &amp; Table2[[#This Row],[Participant As]]))</f>
        <v>Narasumber / Pemateri Acara Seminar / Workshop / Pemakalah|External Regional|Individual</v>
      </c>
      <c r="W405" s="486">
        <f>IFERROR(INDEX(GradingSimkat[Score], MATCH(Table2[[#This Row],[Criteria]], GradingSimkat[Criteria], 0)), 0)</f>
        <v>0</v>
      </c>
    </row>
    <row r="406" spans="1:23" s="470" customFormat="1" ht="13.75" customHeight="1">
      <c r="A406" s="482" t="s">
        <v>472</v>
      </c>
      <c r="B406" s="483" t="s">
        <v>473</v>
      </c>
      <c r="C406" s="483" t="s">
        <v>274</v>
      </c>
      <c r="D406" s="484">
        <v>2021</v>
      </c>
      <c r="E406" s="483" t="s">
        <v>474</v>
      </c>
      <c r="F406" s="472" t="s">
        <v>475</v>
      </c>
      <c r="G406" s="472" t="s">
        <v>475</v>
      </c>
      <c r="H406" s="473">
        <v>20221</v>
      </c>
      <c r="I406" s="483" t="s">
        <v>476</v>
      </c>
      <c r="J406" s="472" t="s">
        <v>278</v>
      </c>
      <c r="K406" s="483" t="s">
        <v>279</v>
      </c>
      <c r="L406" s="483" t="s">
        <v>438</v>
      </c>
      <c r="M406" s="483" t="s">
        <v>292</v>
      </c>
      <c r="N406" s="473">
        <v>1</v>
      </c>
      <c r="O406" s="484">
        <v>5</v>
      </c>
      <c r="P406" s="472" t="s">
        <v>477</v>
      </c>
      <c r="Q406" s="483" t="s">
        <v>2196</v>
      </c>
      <c r="R406" s="472" t="s">
        <v>479</v>
      </c>
      <c r="S406" s="474"/>
      <c r="T406" s="474"/>
      <c r="U406" s="475" t="s">
        <v>480</v>
      </c>
      <c r="V406" s="485" t="str">
        <f>CLEAN(TRIM(Table2[[#This Row],[Status]] &amp; "|" &amp; Table2[[#This Row],[Level]] &amp; "|" &amp; Table2[[#This Row],[Participant As]]))</f>
        <v>Narasumber / Pemateri Acara Seminar / Workshop / Pemakalah|External Regional|Individual</v>
      </c>
      <c r="W406" s="486">
        <f>IFERROR(INDEX(GradingSimkat[Score], MATCH(Table2[[#This Row],[Criteria]], GradingSimkat[Criteria], 0)), 0)</f>
        <v>0</v>
      </c>
    </row>
    <row r="407" spans="1:23" s="470" customFormat="1" ht="13.75" customHeight="1">
      <c r="A407" s="471" t="s">
        <v>1311</v>
      </c>
      <c r="B407" s="472" t="s">
        <v>1312</v>
      </c>
      <c r="C407" s="472" t="s">
        <v>1304</v>
      </c>
      <c r="D407" s="473">
        <v>2019</v>
      </c>
      <c r="E407" s="472" t="s">
        <v>1313</v>
      </c>
      <c r="F407" s="472" t="s">
        <v>1314</v>
      </c>
      <c r="G407" s="472" t="s">
        <v>1314</v>
      </c>
      <c r="H407" s="473">
        <v>20191</v>
      </c>
      <c r="I407" s="472" t="s">
        <v>1315</v>
      </c>
      <c r="J407" s="472" t="s">
        <v>278</v>
      </c>
      <c r="K407" s="472" t="s">
        <v>2159</v>
      </c>
      <c r="L407" s="472" t="s">
        <v>280</v>
      </c>
      <c r="M407" s="472" t="s">
        <v>292</v>
      </c>
      <c r="N407" s="473">
        <v>13</v>
      </c>
      <c r="O407" s="473">
        <v>30</v>
      </c>
      <c r="P407" s="472" t="s">
        <v>1316</v>
      </c>
      <c r="Q407" s="474"/>
      <c r="R407" s="474"/>
      <c r="S407" s="472" t="s">
        <v>1317</v>
      </c>
      <c r="T407" s="474"/>
      <c r="U407" s="475" t="s">
        <v>1318</v>
      </c>
      <c r="V407" s="481" t="str">
        <f>CLEAN(TRIM(Table2[[#This Row],[Status]] &amp; "|" &amp; Table2[[#This Row],[Level]] &amp; "|" &amp; Table2[[#This Row],[Participant As]]))</f>
        <v>Penulis pertama buku ber-ISBN|External National|Individual</v>
      </c>
      <c r="W407" s="477">
        <f>IFERROR(INDEX(GradingSimkat[Score], MATCH(Table2[[#This Row],[Criteria]], GradingSimkat[Criteria], 0)), 0)</f>
        <v>6</v>
      </c>
    </row>
    <row r="408" spans="1:23" ht="13.75" customHeight="1">
      <c r="A408" s="471" t="s">
        <v>1311</v>
      </c>
      <c r="B408" s="472" t="s">
        <v>1312</v>
      </c>
      <c r="C408" s="472" t="s">
        <v>1304</v>
      </c>
      <c r="D408" s="473">
        <v>2019</v>
      </c>
      <c r="E408" s="472" t="s">
        <v>1319</v>
      </c>
      <c r="F408" s="472" t="s">
        <v>1320</v>
      </c>
      <c r="G408" s="472" t="s">
        <v>1320</v>
      </c>
      <c r="H408" s="473">
        <v>20222</v>
      </c>
      <c r="I408" s="492" t="s">
        <v>1321</v>
      </c>
      <c r="J408" s="472" t="s">
        <v>278</v>
      </c>
      <c r="K408" s="472" t="s">
        <v>2159</v>
      </c>
      <c r="L408" s="472" t="s">
        <v>280</v>
      </c>
      <c r="M408" s="472" t="s">
        <v>292</v>
      </c>
      <c r="N408" s="473">
        <v>1</v>
      </c>
      <c r="O408" s="473">
        <v>30</v>
      </c>
      <c r="P408" s="472" t="s">
        <v>1322</v>
      </c>
      <c r="Q408" s="474"/>
      <c r="R408" s="474"/>
      <c r="S408" s="472" t="s">
        <v>1323</v>
      </c>
      <c r="T408" s="474"/>
      <c r="U408" s="475" t="s">
        <v>1324</v>
      </c>
      <c r="V408" s="481" t="str">
        <f>CLEAN(TRIM(Table2[[#This Row],[Status]] &amp; "|" &amp; Table2[[#This Row],[Level]] &amp; "|" &amp; Table2[[#This Row],[Participant As]]))</f>
        <v>Penulis pertama buku ber-ISBN|External National|Individual</v>
      </c>
      <c r="W408" s="477">
        <f>IFERROR(INDEX(GradingSimkat[Score], MATCH(Table2[[#This Row],[Criteria]], GradingSimkat[Criteria], 0)), 0)</f>
        <v>6</v>
      </c>
    </row>
    <row r="409" spans="1:23" ht="13.75" customHeight="1">
      <c r="A409" s="471" t="s">
        <v>1311</v>
      </c>
      <c r="B409" s="472" t="s">
        <v>1312</v>
      </c>
      <c r="C409" s="472" t="s">
        <v>1304</v>
      </c>
      <c r="D409" s="473">
        <v>2019</v>
      </c>
      <c r="E409" s="472" t="s">
        <v>1325</v>
      </c>
      <c r="F409" s="472" t="s">
        <v>1326</v>
      </c>
      <c r="G409" s="472" t="s">
        <v>1326</v>
      </c>
      <c r="H409" s="473">
        <v>20222</v>
      </c>
      <c r="I409" s="492" t="s">
        <v>1327</v>
      </c>
      <c r="J409" s="472" t="s">
        <v>278</v>
      </c>
      <c r="K409" s="472" t="s">
        <v>2159</v>
      </c>
      <c r="L409" s="472" t="s">
        <v>280</v>
      </c>
      <c r="M409" s="472" t="s">
        <v>292</v>
      </c>
      <c r="N409" s="473">
        <v>1</v>
      </c>
      <c r="O409" s="473">
        <v>30</v>
      </c>
      <c r="P409" s="472" t="s">
        <v>1322</v>
      </c>
      <c r="Q409" s="474"/>
      <c r="R409" s="474"/>
      <c r="S409" s="472" t="s">
        <v>1328</v>
      </c>
      <c r="T409" s="474"/>
      <c r="U409" s="475" t="s">
        <v>1324</v>
      </c>
      <c r="V409" s="481" t="str">
        <f>CLEAN(TRIM(Table2[[#This Row],[Status]] &amp; "|" &amp; Table2[[#This Row],[Level]] &amp; "|" &amp; Table2[[#This Row],[Participant As]]))</f>
        <v>Penulis pertama buku ber-ISBN|External National|Individual</v>
      </c>
      <c r="W409" s="477">
        <f>IFERROR(INDEX(GradingSimkat[Score], MATCH(Table2[[#This Row],[Criteria]], GradingSimkat[Criteria], 0)), 0)</f>
        <v>6</v>
      </c>
    </row>
    <row r="410" spans="1:23" s="470" customFormat="1" ht="13.75" customHeight="1">
      <c r="A410" s="482" t="s">
        <v>1311</v>
      </c>
      <c r="B410" s="483" t="s">
        <v>1312</v>
      </c>
      <c r="C410" s="483" t="s">
        <v>1304</v>
      </c>
      <c r="D410" s="484">
        <v>2019</v>
      </c>
      <c r="E410" s="483" t="s">
        <v>1329</v>
      </c>
      <c r="F410" s="472" t="s">
        <v>1330</v>
      </c>
      <c r="G410" s="472" t="s">
        <v>1330</v>
      </c>
      <c r="H410" s="473">
        <v>20222</v>
      </c>
      <c r="I410" s="488" t="s">
        <v>1331</v>
      </c>
      <c r="J410" s="472" t="s">
        <v>278</v>
      </c>
      <c r="K410" s="483" t="s">
        <v>2157</v>
      </c>
      <c r="L410" s="483" t="s">
        <v>438</v>
      </c>
      <c r="M410" s="483" t="s">
        <v>292</v>
      </c>
      <c r="N410" s="473">
        <v>43</v>
      </c>
      <c r="O410" s="484">
        <v>5</v>
      </c>
      <c r="P410" s="472" t="s">
        <v>1332</v>
      </c>
      <c r="Q410" s="483" t="s">
        <v>2245</v>
      </c>
      <c r="R410" s="474"/>
      <c r="S410" s="474"/>
      <c r="T410" s="474"/>
      <c r="U410" s="475" t="s">
        <v>1334</v>
      </c>
      <c r="V410" s="485" t="str">
        <f>CLEAN(TRIM(Table2[[#This Row],[Status]] &amp; "|" &amp; Table2[[#This Row],[Level]] &amp; "|" &amp; Table2[[#This Row],[Participant As]]))</f>
        <v>Pembicara pada pelatihan/seminar/event berskala|External Regional|Individual</v>
      </c>
      <c r="W410" s="486">
        <f>IFERROR(INDEX(GradingSimkat[Score], MATCH(Table2[[#This Row],[Criteria]], GradingSimkat[Criteria], 0)), 0)</f>
        <v>0</v>
      </c>
    </row>
    <row r="411" spans="1:23" s="470" customFormat="1" ht="13.75" customHeight="1">
      <c r="A411" s="482" t="s">
        <v>1302</v>
      </c>
      <c r="B411" s="483" t="s">
        <v>1303</v>
      </c>
      <c r="C411" s="483" t="s">
        <v>1304</v>
      </c>
      <c r="D411" s="484">
        <v>2019</v>
      </c>
      <c r="E411" s="483" t="s">
        <v>1305</v>
      </c>
      <c r="F411" s="472" t="s">
        <v>1306</v>
      </c>
      <c r="G411" s="472" t="s">
        <v>1306</v>
      </c>
      <c r="H411" s="473">
        <v>20211</v>
      </c>
      <c r="I411" s="483" t="s">
        <v>1307</v>
      </c>
      <c r="J411" s="472" t="s">
        <v>278</v>
      </c>
      <c r="K411" s="483" t="s">
        <v>2157</v>
      </c>
      <c r="L411" s="483" t="s">
        <v>280</v>
      </c>
      <c r="M411" s="483" t="s">
        <v>292</v>
      </c>
      <c r="N411" s="473">
        <v>51</v>
      </c>
      <c r="O411" s="484">
        <v>15</v>
      </c>
      <c r="P411" s="472" t="s">
        <v>1308</v>
      </c>
      <c r="Q411" s="483" t="s">
        <v>2244</v>
      </c>
      <c r="R411" s="474"/>
      <c r="S411" s="474"/>
      <c r="T411" s="474"/>
      <c r="U411" s="475" t="s">
        <v>1310</v>
      </c>
      <c r="V411" s="485" t="str">
        <f>CLEAN(TRIM(Table2[[#This Row],[Status]] &amp; "|" &amp; Table2[[#This Row],[Level]] &amp; "|" &amp; Table2[[#This Row],[Participant As]]))</f>
        <v>Pembicara pada pelatihan/seminar/event berskala|External National|Individual</v>
      </c>
      <c r="W411" s="486">
        <f>IFERROR(INDEX(GradingSimkat[Score], MATCH(Table2[[#This Row],[Criteria]], GradingSimkat[Criteria], 0)), 0)</f>
        <v>4</v>
      </c>
    </row>
    <row r="412" spans="1:23" s="470" customFormat="1" ht="13.75" customHeight="1">
      <c r="A412" s="482" t="s">
        <v>605</v>
      </c>
      <c r="B412" s="483" t="s">
        <v>606</v>
      </c>
      <c r="C412" s="483" t="s">
        <v>274</v>
      </c>
      <c r="D412" s="484">
        <v>2022</v>
      </c>
      <c r="E412" s="483" t="s">
        <v>361</v>
      </c>
      <c r="F412" s="472" t="s">
        <v>362</v>
      </c>
      <c r="G412" s="472" t="s">
        <v>363</v>
      </c>
      <c r="H412" s="473">
        <v>20231</v>
      </c>
      <c r="I412" s="483" t="s">
        <v>364</v>
      </c>
      <c r="J412" s="472" t="s">
        <v>278</v>
      </c>
      <c r="K412" s="483" t="s">
        <v>279</v>
      </c>
      <c r="L412" s="483" t="s">
        <v>307</v>
      </c>
      <c r="M412" s="483" t="s">
        <v>292</v>
      </c>
      <c r="N412" s="473">
        <v>500</v>
      </c>
      <c r="O412" s="484">
        <v>10</v>
      </c>
      <c r="P412" s="472" t="s">
        <v>365</v>
      </c>
      <c r="Q412" s="483" t="s">
        <v>2186</v>
      </c>
      <c r="R412" s="472" t="s">
        <v>367</v>
      </c>
      <c r="S412" s="474"/>
      <c r="T412" s="474"/>
      <c r="U412" s="475" t="s">
        <v>368</v>
      </c>
      <c r="V412" s="485" t="str">
        <f>CLEAN(TRIM(Table2[[#This Row],[Status]] &amp; "|" &amp; Table2[[#This Row],[Level]] &amp; "|" &amp; Table2[[#This Row],[Participant As]]))</f>
        <v>Narasumber / Pemateri Acara Seminar / Workshop / Pemakalah|External International|Individual</v>
      </c>
      <c r="W412" s="486">
        <f>IFERROR(INDEX(GradingSimkat[Score], MATCH(Table2[[#This Row],[Criteria]], GradingSimkat[Criteria], 0)), 0)</f>
        <v>0</v>
      </c>
    </row>
    <row r="413" spans="1:23" s="470" customFormat="1" ht="13.75" customHeight="1">
      <c r="A413" s="482" t="s">
        <v>1369</v>
      </c>
      <c r="B413" s="483" t="s">
        <v>1370</v>
      </c>
      <c r="C413" s="483" t="s">
        <v>1356</v>
      </c>
      <c r="D413" s="484">
        <v>2020</v>
      </c>
      <c r="E413" s="483" t="s">
        <v>361</v>
      </c>
      <c r="F413" s="472" t="s">
        <v>362</v>
      </c>
      <c r="G413" s="472" t="s">
        <v>363</v>
      </c>
      <c r="H413" s="473">
        <v>20231</v>
      </c>
      <c r="I413" s="483" t="s">
        <v>364</v>
      </c>
      <c r="J413" s="472" t="s">
        <v>278</v>
      </c>
      <c r="K413" s="483" t="s">
        <v>279</v>
      </c>
      <c r="L413" s="483" t="s">
        <v>307</v>
      </c>
      <c r="M413" s="483" t="s">
        <v>292</v>
      </c>
      <c r="N413" s="473">
        <v>500</v>
      </c>
      <c r="O413" s="484">
        <v>10</v>
      </c>
      <c r="P413" s="472" t="s">
        <v>365</v>
      </c>
      <c r="Q413" s="483" t="s">
        <v>2188</v>
      </c>
      <c r="R413" s="472" t="s">
        <v>389</v>
      </c>
      <c r="S413" s="474"/>
      <c r="T413" s="474"/>
      <c r="U413" s="475" t="s">
        <v>368</v>
      </c>
      <c r="V413" s="485" t="str">
        <f>CLEAN(TRIM(Table2[[#This Row],[Status]] &amp; "|" &amp; Table2[[#This Row],[Level]] &amp; "|" &amp; Table2[[#This Row],[Participant As]]))</f>
        <v>Narasumber / Pemateri Acara Seminar / Workshop / Pemakalah|External International|Individual</v>
      </c>
      <c r="W413" s="486">
        <f>IFERROR(INDEX(GradingSimkat[Score], MATCH(Table2[[#This Row],[Criteria]], GradingSimkat[Criteria], 0)), 0)</f>
        <v>0</v>
      </c>
    </row>
    <row r="414" spans="1:23" ht="13.75" customHeight="1">
      <c r="A414" s="482" t="s">
        <v>1369</v>
      </c>
      <c r="B414" s="483" t="s">
        <v>1370</v>
      </c>
      <c r="C414" s="483" t="s">
        <v>1356</v>
      </c>
      <c r="D414" s="484">
        <v>2020</v>
      </c>
      <c r="E414" s="483" t="s">
        <v>1371</v>
      </c>
      <c r="F414" s="472" t="s">
        <v>1372</v>
      </c>
      <c r="G414" s="472" t="s">
        <v>1372</v>
      </c>
      <c r="H414" s="473">
        <v>20231</v>
      </c>
      <c r="I414" s="483" t="s">
        <v>1373</v>
      </c>
      <c r="J414" s="472" t="s">
        <v>278</v>
      </c>
      <c r="K414" s="483" t="s">
        <v>279</v>
      </c>
      <c r="L414" s="483" t="s">
        <v>291</v>
      </c>
      <c r="M414" s="483" t="s">
        <v>292</v>
      </c>
      <c r="N414" s="473">
        <v>50</v>
      </c>
      <c r="O414" s="484">
        <v>5</v>
      </c>
      <c r="P414" s="474"/>
      <c r="Q414" s="483" t="s">
        <v>2248</v>
      </c>
      <c r="R414" s="472" t="s">
        <v>1375</v>
      </c>
      <c r="S414" s="474"/>
      <c r="T414" s="474"/>
      <c r="U414" s="475" t="s">
        <v>1376</v>
      </c>
      <c r="V414" s="485" t="str">
        <f>CLEAN(TRIM(Table2[[#This Row],[Status]] &amp; "|" &amp; Table2[[#This Row],[Level]] &amp; "|" &amp; Table2[[#This Row],[Participant As]]))</f>
        <v>Narasumber / Pemateri Acara Seminar / Workshop / Pemakalah|Internal Sekolah / Universitas|Individual</v>
      </c>
      <c r="W414" s="486">
        <f>IFERROR(INDEX(GradingSimkat[Score], MATCH(Table2[[#This Row],[Criteria]], GradingSimkat[Criteria], 0)), 0)</f>
        <v>0</v>
      </c>
    </row>
    <row r="415" spans="1:23" ht="13.75" customHeight="1">
      <c r="A415" s="482" t="s">
        <v>1740</v>
      </c>
      <c r="B415" s="483" t="s">
        <v>1741</v>
      </c>
      <c r="C415" s="483" t="s">
        <v>1684</v>
      </c>
      <c r="D415" s="484">
        <v>2020</v>
      </c>
      <c r="E415" s="483" t="s">
        <v>361</v>
      </c>
      <c r="F415" s="472" t="s">
        <v>362</v>
      </c>
      <c r="G415" s="472" t="s">
        <v>363</v>
      </c>
      <c r="H415" s="473">
        <v>20231</v>
      </c>
      <c r="I415" s="483" t="s">
        <v>364</v>
      </c>
      <c r="J415" s="472" t="s">
        <v>278</v>
      </c>
      <c r="K415" s="483" t="s">
        <v>279</v>
      </c>
      <c r="L415" s="483" t="s">
        <v>307</v>
      </c>
      <c r="M415" s="483" t="s">
        <v>292</v>
      </c>
      <c r="N415" s="473">
        <v>500</v>
      </c>
      <c r="O415" s="484">
        <v>10</v>
      </c>
      <c r="P415" s="472" t="s">
        <v>365</v>
      </c>
      <c r="Q415" s="483" t="s">
        <v>2188</v>
      </c>
      <c r="R415" s="472" t="s">
        <v>389</v>
      </c>
      <c r="S415" s="474"/>
      <c r="T415" s="474"/>
      <c r="U415" s="475" t="s">
        <v>368</v>
      </c>
      <c r="V415" s="485" t="str">
        <f>CLEAN(TRIM(Table2[[#This Row],[Status]] &amp; "|" &amp; Table2[[#This Row],[Level]] &amp; "|" &amp; Table2[[#This Row],[Participant As]]))</f>
        <v>Narasumber / Pemateri Acara Seminar / Workshop / Pemakalah|External International|Individual</v>
      </c>
      <c r="W415" s="486">
        <f>IFERROR(INDEX(GradingSimkat[Score], MATCH(Table2[[#This Row],[Criteria]], GradingSimkat[Criteria], 0)), 0)</f>
        <v>0</v>
      </c>
    </row>
    <row r="416" spans="1:23" s="470" customFormat="1" ht="13.75" customHeight="1">
      <c r="A416" s="482" t="s">
        <v>1622</v>
      </c>
      <c r="B416" s="483" t="s">
        <v>1623</v>
      </c>
      <c r="C416" s="483" t="s">
        <v>1559</v>
      </c>
      <c r="D416" s="484">
        <v>2021</v>
      </c>
      <c r="E416" s="483" t="s">
        <v>361</v>
      </c>
      <c r="F416" s="472" t="s">
        <v>362</v>
      </c>
      <c r="G416" s="472" t="s">
        <v>363</v>
      </c>
      <c r="H416" s="473">
        <v>20231</v>
      </c>
      <c r="I416" s="483" t="s">
        <v>364</v>
      </c>
      <c r="J416" s="472" t="s">
        <v>278</v>
      </c>
      <c r="K416" s="483" t="s">
        <v>279</v>
      </c>
      <c r="L416" s="483" t="s">
        <v>307</v>
      </c>
      <c r="M416" s="483" t="s">
        <v>292</v>
      </c>
      <c r="N416" s="473">
        <v>500</v>
      </c>
      <c r="O416" s="484">
        <v>10</v>
      </c>
      <c r="P416" s="472" t="s">
        <v>365</v>
      </c>
      <c r="Q416" s="483" t="s">
        <v>2188</v>
      </c>
      <c r="R416" s="472" t="s">
        <v>389</v>
      </c>
      <c r="S416" s="474"/>
      <c r="T416" s="474"/>
      <c r="U416" s="475" t="s">
        <v>368</v>
      </c>
      <c r="V416" s="485" t="str">
        <f>CLEAN(TRIM(Table2[[#This Row],[Status]] &amp; "|" &amp; Table2[[#This Row],[Level]] &amp; "|" &amp; Table2[[#This Row],[Participant As]]))</f>
        <v>Narasumber / Pemateri Acara Seminar / Workshop / Pemakalah|External International|Individual</v>
      </c>
      <c r="W416" s="486">
        <f>IFERROR(INDEX(GradingSimkat[Score], MATCH(Table2[[#This Row],[Criteria]], GradingSimkat[Criteria], 0)), 0)</f>
        <v>0</v>
      </c>
    </row>
    <row r="417" spans="1:23" ht="13.75" customHeight="1">
      <c r="A417" s="482" t="s">
        <v>671</v>
      </c>
      <c r="B417" s="483" t="s">
        <v>672</v>
      </c>
      <c r="C417" s="483" t="s">
        <v>274</v>
      </c>
      <c r="D417" s="484">
        <v>2022</v>
      </c>
      <c r="E417" s="483" t="s">
        <v>361</v>
      </c>
      <c r="F417" s="472" t="s">
        <v>362</v>
      </c>
      <c r="G417" s="472" t="s">
        <v>363</v>
      </c>
      <c r="H417" s="473">
        <v>20231</v>
      </c>
      <c r="I417" s="483" t="s">
        <v>364</v>
      </c>
      <c r="J417" s="472" t="s">
        <v>278</v>
      </c>
      <c r="K417" s="483" t="s">
        <v>279</v>
      </c>
      <c r="L417" s="483" t="s">
        <v>307</v>
      </c>
      <c r="M417" s="483" t="s">
        <v>292</v>
      </c>
      <c r="N417" s="473">
        <v>500</v>
      </c>
      <c r="O417" s="484">
        <v>10</v>
      </c>
      <c r="P417" s="472" t="s">
        <v>365</v>
      </c>
      <c r="Q417" s="483" t="s">
        <v>2186</v>
      </c>
      <c r="R417" s="472" t="s">
        <v>367</v>
      </c>
      <c r="S417" s="474"/>
      <c r="T417" s="474"/>
      <c r="U417" s="475" t="s">
        <v>368</v>
      </c>
      <c r="V417" s="485" t="str">
        <f>CLEAN(TRIM(Table2[[#This Row],[Status]] &amp; "|" &amp; Table2[[#This Row],[Level]] &amp; "|" &amp; Table2[[#This Row],[Participant As]]))</f>
        <v>Narasumber / Pemateri Acara Seminar / Workshop / Pemakalah|External International|Individual</v>
      </c>
      <c r="W417" s="486">
        <f>IFERROR(INDEX(GradingSimkat[Score], MATCH(Table2[[#This Row],[Criteria]], GradingSimkat[Criteria], 0)), 0)</f>
        <v>0</v>
      </c>
    </row>
    <row r="418" spans="1:23" ht="13.75" customHeight="1">
      <c r="A418" s="482" t="s">
        <v>1472</v>
      </c>
      <c r="B418" s="483" t="s">
        <v>1473</v>
      </c>
      <c r="C418" s="483" t="s">
        <v>1444</v>
      </c>
      <c r="D418" s="484">
        <v>2020</v>
      </c>
      <c r="E418" s="483" t="s">
        <v>361</v>
      </c>
      <c r="F418" s="472" t="s">
        <v>362</v>
      </c>
      <c r="G418" s="472" t="s">
        <v>363</v>
      </c>
      <c r="H418" s="473">
        <v>20231</v>
      </c>
      <c r="I418" s="483" t="s">
        <v>364</v>
      </c>
      <c r="J418" s="472" t="s">
        <v>278</v>
      </c>
      <c r="K418" s="483" t="s">
        <v>279</v>
      </c>
      <c r="L418" s="483" t="s">
        <v>307</v>
      </c>
      <c r="M418" s="483" t="s">
        <v>292</v>
      </c>
      <c r="N418" s="473">
        <v>500</v>
      </c>
      <c r="O418" s="484">
        <v>10</v>
      </c>
      <c r="P418" s="472" t="s">
        <v>365</v>
      </c>
      <c r="Q418" s="483" t="s">
        <v>2188</v>
      </c>
      <c r="R418" s="472" t="s">
        <v>389</v>
      </c>
      <c r="S418" s="474"/>
      <c r="T418" s="474"/>
      <c r="U418" s="475" t="s">
        <v>368</v>
      </c>
      <c r="V418" s="485" t="str">
        <f>CLEAN(TRIM(Table2[[#This Row],[Status]] &amp; "|" &amp; Table2[[#This Row],[Level]] &amp; "|" &amp; Table2[[#This Row],[Participant As]]))</f>
        <v>Narasumber / Pemateri Acara Seminar / Workshop / Pemakalah|External International|Individual</v>
      </c>
      <c r="W418" s="486">
        <f>IFERROR(INDEX(GradingSimkat[Score], MATCH(Table2[[#This Row],[Criteria]], GradingSimkat[Criteria], 0)), 0)</f>
        <v>0</v>
      </c>
    </row>
    <row r="419" spans="1:23" ht="13.75" customHeight="1">
      <c r="A419" s="482" t="s">
        <v>392</v>
      </c>
      <c r="B419" s="483" t="s">
        <v>393</v>
      </c>
      <c r="C419" s="483" t="s">
        <v>274</v>
      </c>
      <c r="D419" s="484">
        <v>2020</v>
      </c>
      <c r="E419" s="483" t="s">
        <v>361</v>
      </c>
      <c r="F419" s="472" t="s">
        <v>362</v>
      </c>
      <c r="G419" s="472" t="s">
        <v>363</v>
      </c>
      <c r="H419" s="473">
        <v>20231</v>
      </c>
      <c r="I419" s="483" t="s">
        <v>364</v>
      </c>
      <c r="J419" s="472" t="s">
        <v>278</v>
      </c>
      <c r="K419" s="483" t="s">
        <v>279</v>
      </c>
      <c r="L419" s="483" t="s">
        <v>307</v>
      </c>
      <c r="M419" s="483" t="s">
        <v>292</v>
      </c>
      <c r="N419" s="473">
        <v>500</v>
      </c>
      <c r="O419" s="484">
        <v>10</v>
      </c>
      <c r="P419" s="472" t="s">
        <v>365</v>
      </c>
      <c r="Q419" s="483" t="s">
        <v>2188</v>
      </c>
      <c r="R419" s="472" t="s">
        <v>389</v>
      </c>
      <c r="S419" s="474"/>
      <c r="T419" s="474"/>
      <c r="U419" s="475" t="s">
        <v>368</v>
      </c>
      <c r="V419" s="485" t="str">
        <f>CLEAN(TRIM(Table2[[#This Row],[Status]] &amp; "|" &amp; Table2[[#This Row],[Level]] &amp; "|" &amp; Table2[[#This Row],[Participant As]]))</f>
        <v>Narasumber / Pemateri Acara Seminar / Workshop / Pemakalah|External International|Individual</v>
      </c>
      <c r="W419" s="486">
        <f>IFERROR(INDEX(GradingSimkat[Score], MATCH(Table2[[#This Row],[Criteria]], GradingSimkat[Criteria], 0)), 0)</f>
        <v>0</v>
      </c>
    </row>
    <row r="420" spans="1:23" ht="13.75" customHeight="1">
      <c r="A420" s="471" t="s">
        <v>1665</v>
      </c>
      <c r="B420" s="472" t="s">
        <v>1666</v>
      </c>
      <c r="C420" s="472" t="s">
        <v>1559</v>
      </c>
      <c r="D420" s="473">
        <v>2022</v>
      </c>
      <c r="E420" s="472" t="s">
        <v>1667</v>
      </c>
      <c r="F420" s="472" t="s">
        <v>1668</v>
      </c>
      <c r="G420" s="472" t="s">
        <v>1669</v>
      </c>
      <c r="H420" s="473">
        <v>20212</v>
      </c>
      <c r="I420" s="472" t="s">
        <v>1670</v>
      </c>
      <c r="J420" s="472" t="s">
        <v>278</v>
      </c>
      <c r="K420" s="472" t="s">
        <v>2155</v>
      </c>
      <c r="L420" s="472" t="s">
        <v>438</v>
      </c>
      <c r="M420" s="472" t="s">
        <v>292</v>
      </c>
      <c r="N420" s="473">
        <v>10</v>
      </c>
      <c r="O420" s="473">
        <v>10</v>
      </c>
      <c r="P420" s="472" t="s">
        <v>1671</v>
      </c>
      <c r="Q420" s="472" t="s">
        <v>1672</v>
      </c>
      <c r="R420" s="474"/>
      <c r="S420" s="474"/>
      <c r="T420" s="474"/>
      <c r="U420" s="475" t="s">
        <v>1673</v>
      </c>
      <c r="V420" s="481" t="str">
        <f>CLEAN(TRIM(Table2[[#This Row],[Status]] &amp; "|" &amp; Table2[[#This Row],[Level]] &amp; "|" &amp; Table2[[#This Row],[Participant As]]))</f>
        <v>Juri/Pelatih/Wasit|External Regional|Individual</v>
      </c>
      <c r="W420" s="477">
        <f>IFERROR(INDEX(GradingSimkat[Score], MATCH(Table2[[#This Row],[Criteria]], GradingSimkat[Criteria], 0)), 0)</f>
        <v>0</v>
      </c>
    </row>
    <row r="421" spans="1:23" ht="13.75" customHeight="1">
      <c r="A421" s="482" t="s">
        <v>302</v>
      </c>
      <c r="B421" s="483" t="s">
        <v>303</v>
      </c>
      <c r="C421" s="483" t="s">
        <v>274</v>
      </c>
      <c r="D421" s="484">
        <v>2019</v>
      </c>
      <c r="E421" s="483" t="s">
        <v>304</v>
      </c>
      <c r="F421" s="472" t="s">
        <v>305</v>
      </c>
      <c r="G421" s="472" t="s">
        <v>305</v>
      </c>
      <c r="H421" s="473">
        <v>20221</v>
      </c>
      <c r="I421" s="488" t="s">
        <v>306</v>
      </c>
      <c r="J421" s="472" t="s">
        <v>278</v>
      </c>
      <c r="K421" s="491" t="s">
        <v>2157</v>
      </c>
      <c r="L421" s="483" t="s">
        <v>307</v>
      </c>
      <c r="M421" s="483" t="s">
        <v>281</v>
      </c>
      <c r="N421" s="473">
        <v>40</v>
      </c>
      <c r="O421" s="484">
        <v>20</v>
      </c>
      <c r="P421" s="474"/>
      <c r="Q421" s="483" t="s">
        <v>2182</v>
      </c>
      <c r="R421" s="474"/>
      <c r="S421" s="474"/>
      <c r="T421" s="474"/>
      <c r="U421" s="475" t="s">
        <v>309</v>
      </c>
      <c r="V421" s="485" t="str">
        <f>CLEAN(TRIM(Table2[[#This Row],[Status]] &amp; "|" &amp; Table2[[#This Row],[Level]] &amp; "|" &amp; Table2[[#This Row],[Participant As]]))</f>
        <v>Pembicara pada pelatihan/seminar/event berskala|External International|Team</v>
      </c>
      <c r="W421" s="486">
        <f>IFERROR(INDEX(GradingSimkat[Score], MATCH(Table2[[#This Row],[Criteria]], GradingSimkat[Criteria], 0)), 0)</f>
        <v>4</v>
      </c>
    </row>
    <row r="422" spans="1:23" ht="13.75" customHeight="1">
      <c r="A422" s="482" t="s">
        <v>935</v>
      </c>
      <c r="B422" s="483" t="s">
        <v>936</v>
      </c>
      <c r="C422" s="483" t="s">
        <v>274</v>
      </c>
      <c r="D422" s="484">
        <v>2023</v>
      </c>
      <c r="E422" s="483" t="s">
        <v>361</v>
      </c>
      <c r="F422" s="472" t="s">
        <v>362</v>
      </c>
      <c r="G422" s="472" t="s">
        <v>363</v>
      </c>
      <c r="H422" s="473">
        <v>20231</v>
      </c>
      <c r="I422" s="483" t="s">
        <v>364</v>
      </c>
      <c r="J422" s="472" t="s">
        <v>278</v>
      </c>
      <c r="K422" s="483" t="s">
        <v>279</v>
      </c>
      <c r="L422" s="483" t="s">
        <v>307</v>
      </c>
      <c r="M422" s="483" t="s">
        <v>292</v>
      </c>
      <c r="N422" s="473">
        <v>500</v>
      </c>
      <c r="O422" s="484">
        <v>10</v>
      </c>
      <c r="P422" s="472" t="s">
        <v>365</v>
      </c>
      <c r="Q422" s="483" t="s">
        <v>2186</v>
      </c>
      <c r="R422" s="472" t="s">
        <v>367</v>
      </c>
      <c r="S422" s="474"/>
      <c r="T422" s="474"/>
      <c r="U422" s="475" t="s">
        <v>368</v>
      </c>
      <c r="V422" s="485" t="str">
        <f>CLEAN(TRIM(Table2[[#This Row],[Status]] &amp; "|" &amp; Table2[[#This Row],[Level]] &amp; "|" &amp; Table2[[#This Row],[Participant As]]))</f>
        <v>Narasumber / Pemateri Acara Seminar / Workshop / Pemakalah|External International|Individual</v>
      </c>
      <c r="W422" s="486">
        <f>IFERROR(INDEX(GradingSimkat[Score], MATCH(Table2[[#This Row],[Criteria]], GradingSimkat[Criteria], 0)), 0)</f>
        <v>0</v>
      </c>
    </row>
    <row r="423" spans="1:23" ht="13.75" customHeight="1">
      <c r="A423" s="482" t="s">
        <v>845</v>
      </c>
      <c r="B423" s="483" t="s">
        <v>846</v>
      </c>
      <c r="C423" s="483" t="s">
        <v>274</v>
      </c>
      <c r="D423" s="484">
        <v>2023</v>
      </c>
      <c r="E423" s="483" t="s">
        <v>361</v>
      </c>
      <c r="F423" s="472" t="s">
        <v>362</v>
      </c>
      <c r="G423" s="472" t="s">
        <v>363</v>
      </c>
      <c r="H423" s="473">
        <v>20231</v>
      </c>
      <c r="I423" s="483" t="s">
        <v>364</v>
      </c>
      <c r="J423" s="472" t="s">
        <v>278</v>
      </c>
      <c r="K423" s="483" t="s">
        <v>279</v>
      </c>
      <c r="L423" s="483" t="s">
        <v>307</v>
      </c>
      <c r="M423" s="483" t="s">
        <v>292</v>
      </c>
      <c r="N423" s="473">
        <v>500</v>
      </c>
      <c r="O423" s="484">
        <v>10</v>
      </c>
      <c r="P423" s="472" t="s">
        <v>365</v>
      </c>
      <c r="Q423" s="483" t="s">
        <v>2186</v>
      </c>
      <c r="R423" s="472" t="s">
        <v>367</v>
      </c>
      <c r="S423" s="474"/>
      <c r="T423" s="474"/>
      <c r="U423" s="475" t="s">
        <v>368</v>
      </c>
      <c r="V423" s="485" t="str">
        <f>CLEAN(TRIM(Table2[[#This Row],[Status]] &amp; "|" &amp; Table2[[#This Row],[Level]] &amp; "|" &amp; Table2[[#This Row],[Participant As]]))</f>
        <v>Narasumber / Pemateri Acara Seminar / Workshop / Pemakalah|External International|Individual</v>
      </c>
      <c r="W423" s="486">
        <f>IFERROR(INDEX(GradingSimkat[Score], MATCH(Table2[[#This Row],[Criteria]], GradingSimkat[Criteria], 0)), 0)</f>
        <v>0</v>
      </c>
    </row>
    <row r="424" spans="1:23" ht="13.75" customHeight="1">
      <c r="A424" s="482" t="s">
        <v>905</v>
      </c>
      <c r="B424" s="483" t="s">
        <v>906</v>
      </c>
      <c r="C424" s="483" t="s">
        <v>274</v>
      </c>
      <c r="D424" s="484">
        <v>2023</v>
      </c>
      <c r="E424" s="483" t="s">
        <v>361</v>
      </c>
      <c r="F424" s="472" t="s">
        <v>362</v>
      </c>
      <c r="G424" s="472" t="s">
        <v>363</v>
      </c>
      <c r="H424" s="473">
        <v>20231</v>
      </c>
      <c r="I424" s="483" t="s">
        <v>364</v>
      </c>
      <c r="J424" s="472" t="s">
        <v>278</v>
      </c>
      <c r="K424" s="483" t="s">
        <v>279</v>
      </c>
      <c r="L424" s="483" t="s">
        <v>307</v>
      </c>
      <c r="M424" s="483" t="s">
        <v>292</v>
      </c>
      <c r="N424" s="473">
        <v>500</v>
      </c>
      <c r="O424" s="484">
        <v>10</v>
      </c>
      <c r="P424" s="472" t="s">
        <v>365</v>
      </c>
      <c r="Q424" s="483" t="s">
        <v>2186</v>
      </c>
      <c r="R424" s="472" t="s">
        <v>367</v>
      </c>
      <c r="S424" s="474"/>
      <c r="T424" s="474"/>
      <c r="U424" s="475" t="s">
        <v>368</v>
      </c>
      <c r="V424" s="485" t="str">
        <f>CLEAN(TRIM(Table2[[#This Row],[Status]] &amp; "|" &amp; Table2[[#This Row],[Level]] &amp; "|" &amp; Table2[[#This Row],[Participant As]]))</f>
        <v>Narasumber / Pemateri Acara Seminar / Workshop / Pemakalah|External International|Individual</v>
      </c>
      <c r="W424" s="486">
        <f>IFERROR(INDEX(GradingSimkat[Score], MATCH(Table2[[#This Row],[Criteria]], GradingSimkat[Criteria], 0)), 0)</f>
        <v>0</v>
      </c>
    </row>
    <row r="425" spans="1:23" ht="13.75" customHeight="1">
      <c r="A425" s="482" t="s">
        <v>691</v>
      </c>
      <c r="B425" s="483" t="s">
        <v>692</v>
      </c>
      <c r="C425" s="483" t="s">
        <v>274</v>
      </c>
      <c r="D425" s="484">
        <v>2022</v>
      </c>
      <c r="E425" s="483" t="s">
        <v>361</v>
      </c>
      <c r="F425" s="472" t="s">
        <v>362</v>
      </c>
      <c r="G425" s="472" t="s">
        <v>363</v>
      </c>
      <c r="H425" s="473">
        <v>20231</v>
      </c>
      <c r="I425" s="483" t="s">
        <v>364</v>
      </c>
      <c r="J425" s="472" t="s">
        <v>278</v>
      </c>
      <c r="K425" s="483" t="s">
        <v>279</v>
      </c>
      <c r="L425" s="483" t="s">
        <v>307</v>
      </c>
      <c r="M425" s="483" t="s">
        <v>292</v>
      </c>
      <c r="N425" s="473">
        <v>500</v>
      </c>
      <c r="O425" s="484">
        <v>10</v>
      </c>
      <c r="P425" s="472" t="s">
        <v>365</v>
      </c>
      <c r="Q425" s="483" t="s">
        <v>2186</v>
      </c>
      <c r="R425" s="472" t="s">
        <v>367</v>
      </c>
      <c r="S425" s="474"/>
      <c r="T425" s="474"/>
      <c r="U425" s="475" t="s">
        <v>368</v>
      </c>
      <c r="V425" s="485" t="str">
        <f>CLEAN(TRIM(Table2[[#This Row],[Status]] &amp; "|" &amp; Table2[[#This Row],[Level]] &amp; "|" &amp; Table2[[#This Row],[Participant As]]))</f>
        <v>Narasumber / Pemateri Acara Seminar / Workshop / Pemakalah|External International|Individual</v>
      </c>
      <c r="W425" s="486">
        <f>IFERROR(INDEX(GradingSimkat[Score], MATCH(Table2[[#This Row],[Criteria]], GradingSimkat[Criteria], 0)), 0)</f>
        <v>0</v>
      </c>
    </row>
    <row r="426" spans="1:23" s="470" customFormat="1" ht="13.75" customHeight="1">
      <c r="A426" s="482" t="s">
        <v>1786</v>
      </c>
      <c r="B426" s="483" t="s">
        <v>1787</v>
      </c>
      <c r="C426" s="483" t="s">
        <v>1684</v>
      </c>
      <c r="D426" s="484">
        <v>2022</v>
      </c>
      <c r="E426" s="483" t="s">
        <v>361</v>
      </c>
      <c r="F426" s="472" t="s">
        <v>362</v>
      </c>
      <c r="G426" s="472" t="s">
        <v>363</v>
      </c>
      <c r="H426" s="473">
        <v>20231</v>
      </c>
      <c r="I426" s="483" t="s">
        <v>364</v>
      </c>
      <c r="J426" s="472" t="s">
        <v>278</v>
      </c>
      <c r="K426" s="483" t="s">
        <v>279</v>
      </c>
      <c r="L426" s="483" t="s">
        <v>307</v>
      </c>
      <c r="M426" s="483" t="s">
        <v>292</v>
      </c>
      <c r="N426" s="473">
        <v>500</v>
      </c>
      <c r="O426" s="484">
        <v>10</v>
      </c>
      <c r="P426" s="472" t="s">
        <v>365</v>
      </c>
      <c r="Q426" s="483" t="s">
        <v>2188</v>
      </c>
      <c r="R426" s="472" t="s">
        <v>389</v>
      </c>
      <c r="S426" s="474"/>
      <c r="T426" s="474"/>
      <c r="U426" s="475" t="s">
        <v>368</v>
      </c>
      <c r="V426" s="485" t="str">
        <f>CLEAN(TRIM(Table2[[#This Row],[Status]] &amp; "|" &amp; Table2[[#This Row],[Level]] &amp; "|" &amp; Table2[[#This Row],[Participant As]]))</f>
        <v>Narasumber / Pemateri Acara Seminar / Workshop / Pemakalah|External International|Individual</v>
      </c>
      <c r="W426" s="486">
        <f>IFERROR(INDEX(GradingSimkat[Score], MATCH(Table2[[#This Row],[Criteria]], GradingSimkat[Criteria], 0)), 0)</f>
        <v>0</v>
      </c>
    </row>
    <row r="427" spans="1:23" s="470" customFormat="1" ht="13.75" customHeight="1">
      <c r="A427" s="482" t="s">
        <v>1765</v>
      </c>
      <c r="B427" s="483" t="s">
        <v>1766</v>
      </c>
      <c r="C427" s="483" t="s">
        <v>1684</v>
      </c>
      <c r="D427" s="484">
        <v>2022</v>
      </c>
      <c r="E427" s="483" t="s">
        <v>1767</v>
      </c>
      <c r="F427" s="472" t="s">
        <v>1124</v>
      </c>
      <c r="G427" s="472" t="s">
        <v>1124</v>
      </c>
      <c r="H427" s="473">
        <v>20222</v>
      </c>
      <c r="I427" s="483" t="s">
        <v>1768</v>
      </c>
      <c r="J427" s="472" t="s">
        <v>278</v>
      </c>
      <c r="K427" s="483" t="s">
        <v>2157</v>
      </c>
      <c r="L427" s="483" t="s">
        <v>280</v>
      </c>
      <c r="M427" s="483" t="s">
        <v>292</v>
      </c>
      <c r="N427" s="473">
        <v>200</v>
      </c>
      <c r="O427" s="484">
        <v>15</v>
      </c>
      <c r="P427" s="472" t="s">
        <v>1769</v>
      </c>
      <c r="Q427" s="483" t="s">
        <v>2272</v>
      </c>
      <c r="R427" s="472" t="s">
        <v>1771</v>
      </c>
      <c r="S427" s="474"/>
      <c r="T427" s="474"/>
      <c r="U427" s="475" t="s">
        <v>1772</v>
      </c>
      <c r="V427" s="485" t="str">
        <f>CLEAN(TRIM(Table2[[#This Row],[Status]] &amp; "|" &amp; Table2[[#This Row],[Level]] &amp; "|" &amp; Table2[[#This Row],[Participant As]]))</f>
        <v>Pembicara pada pelatihan/seminar/event berskala|External National|Individual</v>
      </c>
      <c r="W427" s="486">
        <f>IFERROR(INDEX(GradingSimkat[Score], MATCH(Table2[[#This Row],[Criteria]], GradingSimkat[Criteria], 0)), 0)</f>
        <v>4</v>
      </c>
    </row>
    <row r="428" spans="1:23" ht="13.75" customHeight="1">
      <c r="A428" s="482" t="s">
        <v>1765</v>
      </c>
      <c r="B428" s="483" t="s">
        <v>1766</v>
      </c>
      <c r="C428" s="483" t="s">
        <v>1684</v>
      </c>
      <c r="D428" s="484">
        <v>2022</v>
      </c>
      <c r="E428" s="483" t="s">
        <v>361</v>
      </c>
      <c r="F428" s="472" t="s">
        <v>362</v>
      </c>
      <c r="G428" s="472" t="s">
        <v>363</v>
      </c>
      <c r="H428" s="473">
        <v>20231</v>
      </c>
      <c r="I428" s="483" t="s">
        <v>364</v>
      </c>
      <c r="J428" s="472" t="s">
        <v>278</v>
      </c>
      <c r="K428" s="483" t="s">
        <v>279</v>
      </c>
      <c r="L428" s="483" t="s">
        <v>307</v>
      </c>
      <c r="M428" s="483" t="s">
        <v>292</v>
      </c>
      <c r="N428" s="473">
        <v>500</v>
      </c>
      <c r="O428" s="484">
        <v>10</v>
      </c>
      <c r="P428" s="472" t="s">
        <v>365</v>
      </c>
      <c r="Q428" s="483" t="s">
        <v>2188</v>
      </c>
      <c r="R428" s="472" t="s">
        <v>389</v>
      </c>
      <c r="S428" s="474"/>
      <c r="T428" s="474"/>
      <c r="U428" s="475" t="s">
        <v>368</v>
      </c>
      <c r="V428" s="485" t="str">
        <f>CLEAN(TRIM(Table2[[#This Row],[Status]] &amp; "|" &amp; Table2[[#This Row],[Level]] &amp; "|" &amp; Table2[[#This Row],[Participant As]]))</f>
        <v>Narasumber / Pemateri Acara Seminar / Workshop / Pemakalah|External International|Individual</v>
      </c>
      <c r="W428" s="486">
        <f>IFERROR(INDEX(GradingSimkat[Score], MATCH(Table2[[#This Row],[Criteria]], GradingSimkat[Criteria], 0)), 0)</f>
        <v>0</v>
      </c>
    </row>
    <row r="429" spans="1:23" ht="13.75" customHeight="1">
      <c r="A429" s="482" t="s">
        <v>463</v>
      </c>
      <c r="B429" s="483" t="s">
        <v>464</v>
      </c>
      <c r="C429" s="483" t="s">
        <v>274</v>
      </c>
      <c r="D429" s="484">
        <v>2021</v>
      </c>
      <c r="E429" s="483" t="s">
        <v>361</v>
      </c>
      <c r="F429" s="472" t="s">
        <v>362</v>
      </c>
      <c r="G429" s="472" t="s">
        <v>363</v>
      </c>
      <c r="H429" s="473">
        <v>20231</v>
      </c>
      <c r="I429" s="483" t="s">
        <v>364</v>
      </c>
      <c r="J429" s="472" t="s">
        <v>278</v>
      </c>
      <c r="K429" s="483" t="s">
        <v>279</v>
      </c>
      <c r="L429" s="483" t="s">
        <v>307</v>
      </c>
      <c r="M429" s="483" t="s">
        <v>292</v>
      </c>
      <c r="N429" s="473">
        <v>500</v>
      </c>
      <c r="O429" s="484">
        <v>10</v>
      </c>
      <c r="P429" s="472" t="s">
        <v>365</v>
      </c>
      <c r="Q429" s="483" t="s">
        <v>2186</v>
      </c>
      <c r="R429" s="472" t="s">
        <v>367</v>
      </c>
      <c r="S429" s="474"/>
      <c r="T429" s="474"/>
      <c r="U429" s="475" t="s">
        <v>368</v>
      </c>
      <c r="V429" s="485" t="str">
        <f>CLEAN(TRIM(Table2[[#This Row],[Status]] &amp; "|" &amp; Table2[[#This Row],[Level]] &amp; "|" &amp; Table2[[#This Row],[Participant As]]))</f>
        <v>Narasumber / Pemateri Acara Seminar / Workshop / Pemakalah|External International|Individual</v>
      </c>
      <c r="W429" s="486">
        <f>IFERROR(INDEX(GradingSimkat[Score], MATCH(Table2[[#This Row],[Criteria]], GradingSimkat[Criteria], 0)), 0)</f>
        <v>0</v>
      </c>
    </row>
    <row r="430" spans="1:23" ht="13.75" customHeight="1">
      <c r="A430" s="482" t="s">
        <v>583</v>
      </c>
      <c r="B430" s="483" t="s">
        <v>584</v>
      </c>
      <c r="C430" s="483" t="s">
        <v>274</v>
      </c>
      <c r="D430" s="484">
        <v>2022</v>
      </c>
      <c r="E430" s="483" t="s">
        <v>361</v>
      </c>
      <c r="F430" s="472" t="s">
        <v>362</v>
      </c>
      <c r="G430" s="472" t="s">
        <v>363</v>
      </c>
      <c r="H430" s="473">
        <v>20231</v>
      </c>
      <c r="I430" s="483" t="s">
        <v>364</v>
      </c>
      <c r="J430" s="472" t="s">
        <v>278</v>
      </c>
      <c r="K430" s="483" t="s">
        <v>279</v>
      </c>
      <c r="L430" s="483" t="s">
        <v>307</v>
      </c>
      <c r="M430" s="483" t="s">
        <v>292</v>
      </c>
      <c r="N430" s="473">
        <v>500</v>
      </c>
      <c r="O430" s="484">
        <v>10</v>
      </c>
      <c r="P430" s="472" t="s">
        <v>365</v>
      </c>
      <c r="Q430" s="483" t="s">
        <v>2186</v>
      </c>
      <c r="R430" s="472" t="s">
        <v>367</v>
      </c>
      <c r="S430" s="474"/>
      <c r="T430" s="474"/>
      <c r="U430" s="475" t="s">
        <v>368</v>
      </c>
      <c r="V430" s="485" t="str">
        <f>CLEAN(TRIM(Table2[[#This Row],[Status]] &amp; "|" &amp; Table2[[#This Row],[Level]] &amp; "|" &amp; Table2[[#This Row],[Participant As]]))</f>
        <v>Narasumber / Pemateri Acara Seminar / Workshop / Pemakalah|External International|Individual</v>
      </c>
      <c r="W430" s="486">
        <f>IFERROR(INDEX(GradingSimkat[Score], MATCH(Table2[[#This Row],[Criteria]], GradingSimkat[Criteria], 0)), 0)</f>
        <v>0</v>
      </c>
    </row>
    <row r="431" spans="1:23" ht="13.75" customHeight="1">
      <c r="A431" s="482" t="s">
        <v>781</v>
      </c>
      <c r="B431" s="483" t="s">
        <v>782</v>
      </c>
      <c r="C431" s="483" t="s">
        <v>274</v>
      </c>
      <c r="D431" s="484">
        <v>2023</v>
      </c>
      <c r="E431" s="483" t="s">
        <v>361</v>
      </c>
      <c r="F431" s="472" t="s">
        <v>362</v>
      </c>
      <c r="G431" s="472" t="s">
        <v>363</v>
      </c>
      <c r="H431" s="473">
        <v>20231</v>
      </c>
      <c r="I431" s="483" t="s">
        <v>364</v>
      </c>
      <c r="J431" s="472" t="s">
        <v>278</v>
      </c>
      <c r="K431" s="483" t="s">
        <v>279</v>
      </c>
      <c r="L431" s="483" t="s">
        <v>307</v>
      </c>
      <c r="M431" s="483" t="s">
        <v>292</v>
      </c>
      <c r="N431" s="473">
        <v>500</v>
      </c>
      <c r="O431" s="484">
        <v>10</v>
      </c>
      <c r="P431" s="472" t="s">
        <v>365</v>
      </c>
      <c r="Q431" s="483" t="s">
        <v>2186</v>
      </c>
      <c r="R431" s="472" t="s">
        <v>367</v>
      </c>
      <c r="S431" s="474"/>
      <c r="T431" s="474"/>
      <c r="U431" s="475" t="s">
        <v>368</v>
      </c>
      <c r="V431" s="485" t="str">
        <f>CLEAN(TRIM(Table2[[#This Row],[Status]] &amp; "|" &amp; Table2[[#This Row],[Level]] &amp; "|" &amp; Table2[[#This Row],[Participant As]]))</f>
        <v>Narasumber / Pemateri Acara Seminar / Workshop / Pemakalah|External International|Individual</v>
      </c>
      <c r="W431" s="486">
        <f>IFERROR(INDEX(GradingSimkat[Score], MATCH(Table2[[#This Row],[Criteria]], GradingSimkat[Criteria], 0)), 0)</f>
        <v>0</v>
      </c>
    </row>
    <row r="432" spans="1:23" ht="13.75" customHeight="1">
      <c r="A432" s="482" t="s">
        <v>1264</v>
      </c>
      <c r="B432" s="483" t="s">
        <v>1265</v>
      </c>
      <c r="C432" s="483" t="s">
        <v>1227</v>
      </c>
      <c r="D432" s="484">
        <v>2021</v>
      </c>
      <c r="E432" s="483" t="s">
        <v>361</v>
      </c>
      <c r="F432" s="472" t="s">
        <v>362</v>
      </c>
      <c r="G432" s="472" t="s">
        <v>363</v>
      </c>
      <c r="H432" s="473">
        <v>20231</v>
      </c>
      <c r="I432" s="483" t="s">
        <v>364</v>
      </c>
      <c r="J432" s="472" t="s">
        <v>278</v>
      </c>
      <c r="K432" s="483" t="s">
        <v>279</v>
      </c>
      <c r="L432" s="483" t="s">
        <v>307</v>
      </c>
      <c r="M432" s="483" t="s">
        <v>292</v>
      </c>
      <c r="N432" s="473">
        <v>500</v>
      </c>
      <c r="O432" s="484">
        <v>10</v>
      </c>
      <c r="P432" s="472" t="s">
        <v>365</v>
      </c>
      <c r="Q432" s="483" t="s">
        <v>2188</v>
      </c>
      <c r="R432" s="472" t="s">
        <v>389</v>
      </c>
      <c r="S432" s="474"/>
      <c r="T432" s="474"/>
      <c r="U432" s="475" t="s">
        <v>368</v>
      </c>
      <c r="V432" s="485" t="str">
        <f>CLEAN(TRIM(Table2[[#This Row],[Status]] &amp; "|" &amp; Table2[[#This Row],[Level]] &amp; "|" &amp; Table2[[#This Row],[Participant As]]))</f>
        <v>Narasumber / Pemateri Acara Seminar / Workshop / Pemakalah|External International|Individual</v>
      </c>
      <c r="W432" s="486">
        <f>IFERROR(INDEX(GradingSimkat[Score], MATCH(Table2[[#This Row],[Criteria]], GradingSimkat[Criteria], 0)), 0)</f>
        <v>0</v>
      </c>
    </row>
    <row r="433" spans="1:23" ht="13.75" customHeight="1">
      <c r="A433" s="482" t="s">
        <v>861</v>
      </c>
      <c r="B433" s="483" t="s">
        <v>862</v>
      </c>
      <c r="C433" s="483" t="s">
        <v>274</v>
      </c>
      <c r="D433" s="484">
        <v>2023</v>
      </c>
      <c r="E433" s="483" t="s">
        <v>361</v>
      </c>
      <c r="F433" s="472" t="s">
        <v>362</v>
      </c>
      <c r="G433" s="472" t="s">
        <v>363</v>
      </c>
      <c r="H433" s="473">
        <v>20231</v>
      </c>
      <c r="I433" s="483" t="s">
        <v>364</v>
      </c>
      <c r="J433" s="472" t="s">
        <v>278</v>
      </c>
      <c r="K433" s="483" t="s">
        <v>279</v>
      </c>
      <c r="L433" s="483" t="s">
        <v>307</v>
      </c>
      <c r="M433" s="483" t="s">
        <v>292</v>
      </c>
      <c r="N433" s="473">
        <v>500</v>
      </c>
      <c r="O433" s="484">
        <v>10</v>
      </c>
      <c r="P433" s="472" t="s">
        <v>365</v>
      </c>
      <c r="Q433" s="483" t="s">
        <v>2186</v>
      </c>
      <c r="R433" s="472" t="s">
        <v>367</v>
      </c>
      <c r="S433" s="474"/>
      <c r="T433" s="474"/>
      <c r="U433" s="475" t="s">
        <v>368</v>
      </c>
      <c r="V433" s="485" t="str">
        <f>CLEAN(TRIM(Table2[[#This Row],[Status]] &amp; "|" &amp; Table2[[#This Row],[Level]] &amp; "|" &amp; Table2[[#This Row],[Participant As]]))</f>
        <v>Narasumber / Pemateri Acara Seminar / Workshop / Pemakalah|External International|Individual</v>
      </c>
      <c r="W433" s="486">
        <f>IFERROR(INDEX(GradingSimkat[Score], MATCH(Table2[[#This Row],[Criteria]], GradingSimkat[Criteria], 0)), 0)</f>
        <v>0</v>
      </c>
    </row>
    <row r="434" spans="1:23" ht="13.75" customHeight="1">
      <c r="A434" s="482" t="s">
        <v>731</v>
      </c>
      <c r="B434" s="483" t="s">
        <v>732</v>
      </c>
      <c r="C434" s="483" t="s">
        <v>274</v>
      </c>
      <c r="D434" s="484">
        <v>2022</v>
      </c>
      <c r="E434" s="483" t="s">
        <v>361</v>
      </c>
      <c r="F434" s="472" t="s">
        <v>362</v>
      </c>
      <c r="G434" s="472" t="s">
        <v>363</v>
      </c>
      <c r="H434" s="473">
        <v>20231</v>
      </c>
      <c r="I434" s="483" t="s">
        <v>364</v>
      </c>
      <c r="J434" s="472" t="s">
        <v>278</v>
      </c>
      <c r="K434" s="483" t="s">
        <v>279</v>
      </c>
      <c r="L434" s="483" t="s">
        <v>307</v>
      </c>
      <c r="M434" s="483" t="s">
        <v>292</v>
      </c>
      <c r="N434" s="473">
        <v>500</v>
      </c>
      <c r="O434" s="484">
        <v>10</v>
      </c>
      <c r="P434" s="472" t="s">
        <v>365</v>
      </c>
      <c r="Q434" s="483" t="s">
        <v>2186</v>
      </c>
      <c r="R434" s="472" t="s">
        <v>367</v>
      </c>
      <c r="S434" s="474"/>
      <c r="T434" s="474"/>
      <c r="U434" s="475" t="s">
        <v>368</v>
      </c>
      <c r="V434" s="485" t="str">
        <f>CLEAN(TRIM(Table2[[#This Row],[Status]] &amp; "|" &amp; Table2[[#This Row],[Level]] &amp; "|" &amp; Table2[[#This Row],[Participant As]]))</f>
        <v>Narasumber / Pemateri Acara Seminar / Workshop / Pemakalah|External International|Individual</v>
      </c>
      <c r="W434" s="486">
        <f>IFERROR(INDEX(GradingSimkat[Score], MATCH(Table2[[#This Row],[Criteria]], GradingSimkat[Criteria], 0)), 0)</f>
        <v>0</v>
      </c>
    </row>
    <row r="435" spans="1:23" ht="13.75" customHeight="1">
      <c r="A435" s="482" t="s">
        <v>1428</v>
      </c>
      <c r="B435" s="483" t="s">
        <v>1429</v>
      </c>
      <c r="C435" s="483" t="s">
        <v>1407</v>
      </c>
      <c r="D435" s="484">
        <v>2021</v>
      </c>
      <c r="E435" s="483" t="s">
        <v>418</v>
      </c>
      <c r="F435" s="472" t="s">
        <v>419</v>
      </c>
      <c r="G435" s="472" t="s">
        <v>419</v>
      </c>
      <c r="H435" s="473">
        <v>20231</v>
      </c>
      <c r="I435" s="483" t="s">
        <v>420</v>
      </c>
      <c r="J435" s="472" t="s">
        <v>278</v>
      </c>
      <c r="K435" s="483" t="s">
        <v>279</v>
      </c>
      <c r="L435" s="483" t="s">
        <v>291</v>
      </c>
      <c r="M435" s="483" t="s">
        <v>292</v>
      </c>
      <c r="N435" s="473">
        <v>250</v>
      </c>
      <c r="O435" s="484">
        <v>4</v>
      </c>
      <c r="P435" s="474"/>
      <c r="Q435" s="483" t="s">
        <v>2191</v>
      </c>
      <c r="R435" s="472" t="s">
        <v>422</v>
      </c>
      <c r="S435" s="474"/>
      <c r="T435" s="474"/>
      <c r="U435" s="475" t="s">
        <v>423</v>
      </c>
      <c r="V435" s="485" t="str">
        <f>CLEAN(TRIM(Table2[[#This Row],[Status]] &amp; "|" &amp; Table2[[#This Row],[Level]] &amp; "|" &amp; Table2[[#This Row],[Participant As]]))</f>
        <v>Narasumber / Pemateri Acara Seminar / Workshop / Pemakalah|Internal Sekolah / Universitas|Individual</v>
      </c>
      <c r="W435" s="486">
        <f>IFERROR(INDEX(GradingSimkat[Score], MATCH(Table2[[#This Row],[Criteria]], GradingSimkat[Criteria], 0)), 0)</f>
        <v>0</v>
      </c>
    </row>
    <row r="436" spans="1:23" ht="13.75" customHeight="1">
      <c r="A436" s="471" t="s">
        <v>1497</v>
      </c>
      <c r="B436" s="472" t="s">
        <v>1498</v>
      </c>
      <c r="C436" s="472" t="s">
        <v>1499</v>
      </c>
      <c r="D436" s="473">
        <v>2019</v>
      </c>
      <c r="E436" s="472" t="s">
        <v>1500</v>
      </c>
      <c r="F436" s="472" t="s">
        <v>1501</v>
      </c>
      <c r="G436" s="472" t="s">
        <v>1501</v>
      </c>
      <c r="H436" s="473">
        <v>20222</v>
      </c>
      <c r="I436" s="472" t="s">
        <v>2171</v>
      </c>
      <c r="J436" s="472" t="s">
        <v>278</v>
      </c>
      <c r="K436" s="472" t="s">
        <v>2155</v>
      </c>
      <c r="L436" s="472" t="s">
        <v>438</v>
      </c>
      <c r="M436" s="472" t="s">
        <v>292</v>
      </c>
      <c r="N436" s="473">
        <v>1</v>
      </c>
      <c r="O436" s="473">
        <v>8</v>
      </c>
      <c r="P436" s="472" t="s">
        <v>1503</v>
      </c>
      <c r="Q436" s="472" t="s">
        <v>1504</v>
      </c>
      <c r="R436" s="474"/>
      <c r="S436" s="474"/>
      <c r="T436" s="474"/>
      <c r="U436" s="475" t="s">
        <v>1505</v>
      </c>
      <c r="V436" s="481" t="str">
        <f>CLEAN(TRIM(Table2[[#This Row],[Status]] &amp; "|" &amp; Table2[[#This Row],[Level]] &amp; "|" &amp; Table2[[#This Row],[Participant As]]))</f>
        <v>Juri/Pelatih/Wasit|External Regional|Individual</v>
      </c>
      <c r="W436" s="477">
        <f>IFERROR(INDEX(GradingSimkat[Score], MATCH(Table2[[#This Row],[Criteria]], GradingSimkat[Criteria], 0)), 0)</f>
        <v>0</v>
      </c>
    </row>
    <row r="437" spans="1:23" ht="13.75" customHeight="1">
      <c r="A437" s="482" t="s">
        <v>1892</v>
      </c>
      <c r="B437" s="483" t="s">
        <v>1893</v>
      </c>
      <c r="C437" s="483" t="s">
        <v>1857</v>
      </c>
      <c r="D437" s="484">
        <v>2020</v>
      </c>
      <c r="E437" s="483" t="s">
        <v>361</v>
      </c>
      <c r="F437" s="472" t="s">
        <v>362</v>
      </c>
      <c r="G437" s="472" t="s">
        <v>363</v>
      </c>
      <c r="H437" s="473">
        <v>20231</v>
      </c>
      <c r="I437" s="483" t="s">
        <v>364</v>
      </c>
      <c r="J437" s="472" t="s">
        <v>278</v>
      </c>
      <c r="K437" s="483" t="s">
        <v>279</v>
      </c>
      <c r="L437" s="483" t="s">
        <v>307</v>
      </c>
      <c r="M437" s="483" t="s">
        <v>292</v>
      </c>
      <c r="N437" s="473">
        <v>500</v>
      </c>
      <c r="O437" s="484">
        <v>10</v>
      </c>
      <c r="P437" s="472" t="s">
        <v>365</v>
      </c>
      <c r="Q437" s="483" t="s">
        <v>2188</v>
      </c>
      <c r="R437" s="472" t="s">
        <v>389</v>
      </c>
      <c r="S437" s="474"/>
      <c r="T437" s="474"/>
      <c r="U437" s="475" t="s">
        <v>368</v>
      </c>
      <c r="V437" s="485" t="str">
        <f>CLEAN(TRIM(Table2[[#This Row],[Status]] &amp; "|" &amp; Table2[[#This Row],[Level]] &amp; "|" &amp; Table2[[#This Row],[Participant As]]))</f>
        <v>Narasumber / Pemateri Acara Seminar / Workshop / Pemakalah|External International|Individual</v>
      </c>
      <c r="W437" s="486">
        <f>IFERROR(INDEX(GradingSimkat[Score], MATCH(Table2[[#This Row],[Criteria]], GradingSimkat[Criteria], 0)), 0)</f>
        <v>0</v>
      </c>
    </row>
    <row r="438" spans="1:23" ht="13.75" customHeight="1">
      <c r="A438" s="482" t="s">
        <v>1824</v>
      </c>
      <c r="B438" s="483" t="s">
        <v>1825</v>
      </c>
      <c r="C438" s="483" t="s">
        <v>1794</v>
      </c>
      <c r="D438" s="484">
        <v>2021</v>
      </c>
      <c r="E438" s="483" t="s">
        <v>361</v>
      </c>
      <c r="F438" s="472" t="s">
        <v>362</v>
      </c>
      <c r="G438" s="472" t="s">
        <v>363</v>
      </c>
      <c r="H438" s="473">
        <v>20231</v>
      </c>
      <c r="I438" s="483" t="s">
        <v>364</v>
      </c>
      <c r="J438" s="472" t="s">
        <v>278</v>
      </c>
      <c r="K438" s="483" t="s">
        <v>279</v>
      </c>
      <c r="L438" s="483" t="s">
        <v>307</v>
      </c>
      <c r="M438" s="483" t="s">
        <v>292</v>
      </c>
      <c r="N438" s="473">
        <v>500</v>
      </c>
      <c r="O438" s="484">
        <v>10</v>
      </c>
      <c r="P438" s="472" t="s">
        <v>365</v>
      </c>
      <c r="Q438" s="483" t="s">
        <v>2188</v>
      </c>
      <c r="R438" s="472" t="s">
        <v>389</v>
      </c>
      <c r="S438" s="474"/>
      <c r="T438" s="474"/>
      <c r="U438" s="475" t="s">
        <v>368</v>
      </c>
      <c r="V438" s="485" t="str">
        <f>CLEAN(TRIM(Table2[[#This Row],[Status]] &amp; "|" &amp; Table2[[#This Row],[Level]] &amp; "|" &amp; Table2[[#This Row],[Participant As]]))</f>
        <v>Narasumber / Pemateri Acara Seminar / Workshop / Pemakalah|External International|Individual</v>
      </c>
      <c r="W438" s="486">
        <f>IFERROR(INDEX(GradingSimkat[Score], MATCH(Table2[[#This Row],[Criteria]], GradingSimkat[Criteria], 0)), 0)</f>
        <v>0</v>
      </c>
    </row>
    <row r="439" spans="1:23" ht="13.75" customHeight="1">
      <c r="A439" s="482" t="s">
        <v>867</v>
      </c>
      <c r="B439" s="483" t="s">
        <v>868</v>
      </c>
      <c r="C439" s="483" t="s">
        <v>274</v>
      </c>
      <c r="D439" s="484">
        <v>2023</v>
      </c>
      <c r="E439" s="483" t="s">
        <v>361</v>
      </c>
      <c r="F439" s="472" t="s">
        <v>362</v>
      </c>
      <c r="G439" s="472" t="s">
        <v>363</v>
      </c>
      <c r="H439" s="473">
        <v>20231</v>
      </c>
      <c r="I439" s="483" t="s">
        <v>364</v>
      </c>
      <c r="J439" s="472" t="s">
        <v>278</v>
      </c>
      <c r="K439" s="483" t="s">
        <v>279</v>
      </c>
      <c r="L439" s="483" t="s">
        <v>307</v>
      </c>
      <c r="M439" s="483" t="s">
        <v>292</v>
      </c>
      <c r="N439" s="473">
        <v>500</v>
      </c>
      <c r="O439" s="484">
        <v>10</v>
      </c>
      <c r="P439" s="472" t="s">
        <v>365</v>
      </c>
      <c r="Q439" s="483" t="s">
        <v>2186</v>
      </c>
      <c r="R439" s="472" t="s">
        <v>367</v>
      </c>
      <c r="S439" s="474"/>
      <c r="T439" s="474"/>
      <c r="U439" s="475" t="s">
        <v>368</v>
      </c>
      <c r="V439" s="485" t="str">
        <f>CLEAN(TRIM(Table2[[#This Row],[Status]] &amp; "|" &amp; Table2[[#This Row],[Level]] &amp; "|" &amp; Table2[[#This Row],[Participant As]]))</f>
        <v>Narasumber / Pemateri Acara Seminar / Workshop / Pemakalah|External International|Individual</v>
      </c>
      <c r="W439" s="486">
        <f>IFERROR(INDEX(GradingSimkat[Score], MATCH(Table2[[#This Row],[Criteria]], GradingSimkat[Criteria], 0)), 0)</f>
        <v>0</v>
      </c>
    </row>
    <row r="440" spans="1:23" ht="13.75" customHeight="1">
      <c r="A440" s="482" t="s">
        <v>1434</v>
      </c>
      <c r="B440" s="483" t="s">
        <v>1435</v>
      </c>
      <c r="C440" s="483" t="s">
        <v>1407</v>
      </c>
      <c r="D440" s="484">
        <v>2022</v>
      </c>
      <c r="E440" s="483" t="s">
        <v>361</v>
      </c>
      <c r="F440" s="472" t="s">
        <v>362</v>
      </c>
      <c r="G440" s="472" t="s">
        <v>363</v>
      </c>
      <c r="H440" s="473">
        <v>20231</v>
      </c>
      <c r="I440" s="483" t="s">
        <v>364</v>
      </c>
      <c r="J440" s="472" t="s">
        <v>278</v>
      </c>
      <c r="K440" s="483" t="s">
        <v>279</v>
      </c>
      <c r="L440" s="483" t="s">
        <v>307</v>
      </c>
      <c r="M440" s="483" t="s">
        <v>292</v>
      </c>
      <c r="N440" s="473">
        <v>500</v>
      </c>
      <c r="O440" s="484">
        <v>10</v>
      </c>
      <c r="P440" s="472" t="s">
        <v>365</v>
      </c>
      <c r="Q440" s="483" t="s">
        <v>2188</v>
      </c>
      <c r="R440" s="472" t="s">
        <v>389</v>
      </c>
      <c r="S440" s="474"/>
      <c r="T440" s="474"/>
      <c r="U440" s="475" t="s">
        <v>368</v>
      </c>
      <c r="V440" s="485" t="str">
        <f>CLEAN(TRIM(Table2[[#This Row],[Status]] &amp; "|" &amp; Table2[[#This Row],[Level]] &amp; "|" &amp; Table2[[#This Row],[Participant As]]))</f>
        <v>Narasumber / Pemateri Acara Seminar / Workshop / Pemakalah|External International|Individual</v>
      </c>
      <c r="W440" s="486">
        <f>IFERROR(INDEX(GradingSimkat[Score], MATCH(Table2[[#This Row],[Criteria]], GradingSimkat[Criteria], 0)), 0)</f>
        <v>0</v>
      </c>
    </row>
    <row r="441" spans="1:23" ht="13.75" customHeight="1">
      <c r="A441" s="482" t="s">
        <v>1016</v>
      </c>
      <c r="B441" s="483" t="s">
        <v>1017</v>
      </c>
      <c r="C441" s="483" t="s">
        <v>986</v>
      </c>
      <c r="D441" s="484">
        <v>2020</v>
      </c>
      <c r="E441" s="483" t="s">
        <v>1018</v>
      </c>
      <c r="F441" s="472" t="s">
        <v>1019</v>
      </c>
      <c r="G441" s="472" t="s">
        <v>1020</v>
      </c>
      <c r="H441" s="473">
        <v>20212</v>
      </c>
      <c r="I441" s="487"/>
      <c r="J441" s="472" t="s">
        <v>278</v>
      </c>
      <c r="K441" s="493" t="s">
        <v>2157</v>
      </c>
      <c r="L441" s="483" t="s">
        <v>280</v>
      </c>
      <c r="M441" s="483" t="s">
        <v>281</v>
      </c>
      <c r="N441" s="473">
        <v>4</v>
      </c>
      <c r="O441" s="484">
        <v>15</v>
      </c>
      <c r="P441" s="474"/>
      <c r="Q441" s="483" t="s">
        <v>2211</v>
      </c>
      <c r="R441" s="474"/>
      <c r="S441" s="474"/>
      <c r="T441" s="474"/>
      <c r="U441" s="475" t="s">
        <v>1022</v>
      </c>
      <c r="V441" s="485" t="str">
        <f>CLEAN(TRIM(Table2[[#This Row],[Status]] &amp; "|" &amp; Table2[[#This Row],[Level]] &amp; "|" &amp; Table2[[#This Row],[Participant As]]))</f>
        <v>Pembicara pada pelatihan/seminar/event berskala|External National|Team</v>
      </c>
      <c r="W441" s="486">
        <f>IFERROR(INDEX(GradingSimkat[Score], MATCH(Table2[[#This Row],[Criteria]], GradingSimkat[Criteria], 0)), 0)</f>
        <v>4</v>
      </c>
    </row>
    <row r="442" spans="1:23" ht="13.75" customHeight="1">
      <c r="A442" s="482" t="s">
        <v>883</v>
      </c>
      <c r="B442" s="483" t="s">
        <v>884</v>
      </c>
      <c r="C442" s="483" t="s">
        <v>274</v>
      </c>
      <c r="D442" s="484">
        <v>2023</v>
      </c>
      <c r="E442" s="483" t="s">
        <v>361</v>
      </c>
      <c r="F442" s="472" t="s">
        <v>362</v>
      </c>
      <c r="G442" s="472" t="s">
        <v>363</v>
      </c>
      <c r="H442" s="473">
        <v>20231</v>
      </c>
      <c r="I442" s="483" t="s">
        <v>364</v>
      </c>
      <c r="J442" s="472" t="s">
        <v>278</v>
      </c>
      <c r="K442" s="483" t="s">
        <v>279</v>
      </c>
      <c r="L442" s="483" t="s">
        <v>307</v>
      </c>
      <c r="M442" s="483" t="s">
        <v>292</v>
      </c>
      <c r="N442" s="473">
        <v>500</v>
      </c>
      <c r="O442" s="484">
        <v>10</v>
      </c>
      <c r="P442" s="472" t="s">
        <v>365</v>
      </c>
      <c r="Q442" s="483" t="s">
        <v>2186</v>
      </c>
      <c r="R442" s="472" t="s">
        <v>367</v>
      </c>
      <c r="S442" s="474"/>
      <c r="T442" s="474"/>
      <c r="U442" s="475" t="s">
        <v>368</v>
      </c>
      <c r="V442" s="485" t="str">
        <f>CLEAN(TRIM(Table2[[#This Row],[Status]] &amp; "|" &amp; Table2[[#This Row],[Level]] &amp; "|" &amp; Table2[[#This Row],[Participant As]]))</f>
        <v>Narasumber / Pemateri Acara Seminar / Workshop / Pemakalah|External International|Individual</v>
      </c>
      <c r="W442" s="486">
        <f>IFERROR(INDEX(GradingSimkat[Score], MATCH(Table2[[#This Row],[Criteria]], GradingSimkat[Criteria], 0)), 0)</f>
        <v>0</v>
      </c>
    </row>
    <row r="443" spans="1:23" ht="13.75" customHeight="1">
      <c r="A443" s="482" t="s">
        <v>485</v>
      </c>
      <c r="B443" s="483" t="s">
        <v>486</v>
      </c>
      <c r="C443" s="483" t="s">
        <v>274</v>
      </c>
      <c r="D443" s="484">
        <v>2021</v>
      </c>
      <c r="E443" s="483" t="s">
        <v>487</v>
      </c>
      <c r="F443" s="472" t="s">
        <v>458</v>
      </c>
      <c r="G443" s="472" t="s">
        <v>339</v>
      </c>
      <c r="H443" s="473">
        <v>20221</v>
      </c>
      <c r="I443" s="483" t="s">
        <v>487</v>
      </c>
      <c r="J443" s="472" t="s">
        <v>278</v>
      </c>
      <c r="K443" s="483" t="s">
        <v>279</v>
      </c>
      <c r="L443" s="483" t="s">
        <v>280</v>
      </c>
      <c r="M443" s="483" t="s">
        <v>281</v>
      </c>
      <c r="N443" s="473">
        <v>5</v>
      </c>
      <c r="O443" s="484">
        <v>15</v>
      </c>
      <c r="P443" s="474"/>
      <c r="Q443" s="483" t="s">
        <v>2198</v>
      </c>
      <c r="R443" s="472" t="s">
        <v>489</v>
      </c>
      <c r="S443" s="474"/>
      <c r="T443" s="474"/>
      <c r="U443" s="475" t="s">
        <v>490</v>
      </c>
      <c r="V443" s="485" t="str">
        <f>CLEAN(TRIM(Table2[[#This Row],[Status]] &amp; "|" &amp; Table2[[#This Row],[Level]] &amp; "|" &amp; Table2[[#This Row],[Participant As]]))</f>
        <v>Narasumber / Pemateri Acara Seminar / Workshop / Pemakalah|External National|Team</v>
      </c>
      <c r="W443" s="486">
        <f>IFERROR(INDEX(GradingSimkat[Score], MATCH(Table2[[#This Row],[Criteria]], GradingSimkat[Criteria], 0)), 0)</f>
        <v>0</v>
      </c>
    </row>
    <row r="444" spans="1:23" ht="13.75" customHeight="1">
      <c r="A444" s="482" t="s">
        <v>565</v>
      </c>
      <c r="B444" s="483" t="s">
        <v>566</v>
      </c>
      <c r="C444" s="483" t="s">
        <v>274</v>
      </c>
      <c r="D444" s="484">
        <v>2022</v>
      </c>
      <c r="E444" s="483" t="s">
        <v>361</v>
      </c>
      <c r="F444" s="472" t="s">
        <v>362</v>
      </c>
      <c r="G444" s="472" t="s">
        <v>363</v>
      </c>
      <c r="H444" s="473">
        <v>20231</v>
      </c>
      <c r="I444" s="483" t="s">
        <v>364</v>
      </c>
      <c r="J444" s="472" t="s">
        <v>278</v>
      </c>
      <c r="K444" s="483" t="s">
        <v>279</v>
      </c>
      <c r="L444" s="483" t="s">
        <v>307</v>
      </c>
      <c r="M444" s="483" t="s">
        <v>292</v>
      </c>
      <c r="N444" s="473">
        <v>500</v>
      </c>
      <c r="O444" s="484">
        <v>10</v>
      </c>
      <c r="P444" s="472" t="s">
        <v>365</v>
      </c>
      <c r="Q444" s="483" t="s">
        <v>2186</v>
      </c>
      <c r="R444" s="472" t="s">
        <v>367</v>
      </c>
      <c r="S444" s="474"/>
      <c r="T444" s="474"/>
      <c r="U444" s="475" t="s">
        <v>368</v>
      </c>
      <c r="V444" s="485" t="str">
        <f>CLEAN(TRIM(Table2[[#This Row],[Status]] &amp; "|" &amp; Table2[[#This Row],[Level]] &amp; "|" &amp; Table2[[#This Row],[Participant As]]))</f>
        <v>Narasumber / Pemateri Acara Seminar / Workshop / Pemakalah|External International|Individual</v>
      </c>
      <c r="W444" s="486">
        <f>IFERROR(INDEX(GradingSimkat[Score], MATCH(Table2[[#This Row],[Criteria]], GradingSimkat[Criteria], 0)), 0)</f>
        <v>0</v>
      </c>
    </row>
    <row r="445" spans="1:23" ht="13.75" customHeight="1">
      <c r="A445" s="482" t="s">
        <v>909</v>
      </c>
      <c r="B445" s="483" t="s">
        <v>910</v>
      </c>
      <c r="C445" s="483" t="s">
        <v>274</v>
      </c>
      <c r="D445" s="484">
        <v>2023</v>
      </c>
      <c r="E445" s="483" t="s">
        <v>361</v>
      </c>
      <c r="F445" s="472" t="s">
        <v>362</v>
      </c>
      <c r="G445" s="472" t="s">
        <v>363</v>
      </c>
      <c r="H445" s="473">
        <v>20231</v>
      </c>
      <c r="I445" s="483" t="s">
        <v>364</v>
      </c>
      <c r="J445" s="472" t="s">
        <v>278</v>
      </c>
      <c r="K445" s="483" t="s">
        <v>279</v>
      </c>
      <c r="L445" s="483" t="s">
        <v>307</v>
      </c>
      <c r="M445" s="483" t="s">
        <v>292</v>
      </c>
      <c r="N445" s="473">
        <v>500</v>
      </c>
      <c r="O445" s="484">
        <v>10</v>
      </c>
      <c r="P445" s="472" t="s">
        <v>365</v>
      </c>
      <c r="Q445" s="483" t="s">
        <v>2186</v>
      </c>
      <c r="R445" s="472" t="s">
        <v>367</v>
      </c>
      <c r="S445" s="474"/>
      <c r="T445" s="474"/>
      <c r="U445" s="475" t="s">
        <v>368</v>
      </c>
      <c r="V445" s="485" t="str">
        <f>CLEAN(TRIM(Table2[[#This Row],[Status]] &amp; "|" &amp; Table2[[#This Row],[Level]] &amp; "|" &amp; Table2[[#This Row],[Participant As]]))</f>
        <v>Narasumber / Pemateri Acara Seminar / Workshop / Pemakalah|External International|Individual</v>
      </c>
      <c r="W445" s="486">
        <f>IFERROR(INDEX(GradingSimkat[Score], MATCH(Table2[[#This Row],[Criteria]], GradingSimkat[Criteria], 0)), 0)</f>
        <v>0</v>
      </c>
    </row>
    <row r="446" spans="1:23" ht="13.75" customHeight="1">
      <c r="A446" s="482" t="s">
        <v>1728</v>
      </c>
      <c r="B446" s="483" t="s">
        <v>1729</v>
      </c>
      <c r="C446" s="483" t="s">
        <v>1684</v>
      </c>
      <c r="D446" s="484">
        <v>2020</v>
      </c>
      <c r="E446" s="483" t="s">
        <v>361</v>
      </c>
      <c r="F446" s="472" t="s">
        <v>362</v>
      </c>
      <c r="G446" s="472" t="s">
        <v>363</v>
      </c>
      <c r="H446" s="473">
        <v>20231</v>
      </c>
      <c r="I446" s="483" t="s">
        <v>364</v>
      </c>
      <c r="J446" s="472" t="s">
        <v>278</v>
      </c>
      <c r="K446" s="483" t="s">
        <v>279</v>
      </c>
      <c r="L446" s="483" t="s">
        <v>307</v>
      </c>
      <c r="M446" s="483" t="s">
        <v>292</v>
      </c>
      <c r="N446" s="473">
        <v>500</v>
      </c>
      <c r="O446" s="484">
        <v>10</v>
      </c>
      <c r="P446" s="472" t="s">
        <v>365</v>
      </c>
      <c r="Q446" s="483" t="s">
        <v>2188</v>
      </c>
      <c r="R446" s="472" t="s">
        <v>389</v>
      </c>
      <c r="S446" s="474"/>
      <c r="T446" s="474"/>
      <c r="U446" s="475" t="s">
        <v>368</v>
      </c>
      <c r="V446" s="485" t="str">
        <f>CLEAN(TRIM(Table2[[#This Row],[Status]] &amp; "|" &amp; Table2[[#This Row],[Level]] &amp; "|" &amp; Table2[[#This Row],[Participant As]]))</f>
        <v>Narasumber / Pemateri Acara Seminar / Workshop / Pemakalah|External International|Individual</v>
      </c>
      <c r="W446" s="486">
        <f>IFERROR(INDEX(GradingSimkat[Score], MATCH(Table2[[#This Row],[Criteria]], GradingSimkat[Criteria], 0)), 0)</f>
        <v>0</v>
      </c>
    </row>
    <row r="447" spans="1:23" s="470" customFormat="1" ht="13.75" customHeight="1">
      <c r="A447" s="482" t="s">
        <v>453</v>
      </c>
      <c r="B447" s="483" t="s">
        <v>454</v>
      </c>
      <c r="C447" s="483" t="s">
        <v>274</v>
      </c>
      <c r="D447" s="484">
        <v>2021</v>
      </c>
      <c r="E447" s="483" t="s">
        <v>361</v>
      </c>
      <c r="F447" s="472" t="s">
        <v>362</v>
      </c>
      <c r="G447" s="472" t="s">
        <v>363</v>
      </c>
      <c r="H447" s="473">
        <v>20231</v>
      </c>
      <c r="I447" s="483" t="s">
        <v>364</v>
      </c>
      <c r="J447" s="472" t="s">
        <v>278</v>
      </c>
      <c r="K447" s="483" t="s">
        <v>279</v>
      </c>
      <c r="L447" s="483" t="s">
        <v>307</v>
      </c>
      <c r="M447" s="483" t="s">
        <v>292</v>
      </c>
      <c r="N447" s="473">
        <v>500</v>
      </c>
      <c r="O447" s="484">
        <v>10</v>
      </c>
      <c r="P447" s="472" t="s">
        <v>365</v>
      </c>
      <c r="Q447" s="483" t="s">
        <v>2186</v>
      </c>
      <c r="R447" s="472" t="s">
        <v>367</v>
      </c>
      <c r="S447" s="474"/>
      <c r="T447" s="474"/>
      <c r="U447" s="475" t="s">
        <v>368</v>
      </c>
      <c r="V447" s="485" t="str">
        <f>CLEAN(TRIM(Table2[[#This Row],[Status]] &amp; "|" &amp; Table2[[#This Row],[Level]] &amp; "|" &amp; Table2[[#This Row],[Participant As]]))</f>
        <v>Narasumber / Pemateri Acara Seminar / Workshop / Pemakalah|External International|Individual</v>
      </c>
      <c r="W447" s="486">
        <f>IFERROR(INDEX(GradingSimkat[Score], MATCH(Table2[[#This Row],[Criteria]], GradingSimkat[Criteria], 0)), 0)</f>
        <v>0</v>
      </c>
    </row>
    <row r="448" spans="1:23" s="470" customFormat="1" ht="13.75" customHeight="1">
      <c r="A448" s="482" t="s">
        <v>907</v>
      </c>
      <c r="B448" s="483" t="s">
        <v>908</v>
      </c>
      <c r="C448" s="483" t="s">
        <v>274</v>
      </c>
      <c r="D448" s="484">
        <v>2023</v>
      </c>
      <c r="E448" s="483" t="s">
        <v>361</v>
      </c>
      <c r="F448" s="472" t="s">
        <v>362</v>
      </c>
      <c r="G448" s="472" t="s">
        <v>363</v>
      </c>
      <c r="H448" s="473">
        <v>20231</v>
      </c>
      <c r="I448" s="483" t="s">
        <v>364</v>
      </c>
      <c r="J448" s="472" t="s">
        <v>278</v>
      </c>
      <c r="K448" s="483" t="s">
        <v>279</v>
      </c>
      <c r="L448" s="483" t="s">
        <v>307</v>
      </c>
      <c r="M448" s="483" t="s">
        <v>292</v>
      </c>
      <c r="N448" s="473">
        <v>500</v>
      </c>
      <c r="O448" s="484">
        <v>10</v>
      </c>
      <c r="P448" s="472" t="s">
        <v>365</v>
      </c>
      <c r="Q448" s="483" t="s">
        <v>2186</v>
      </c>
      <c r="R448" s="472" t="s">
        <v>367</v>
      </c>
      <c r="S448" s="474"/>
      <c r="T448" s="474"/>
      <c r="U448" s="475" t="s">
        <v>368</v>
      </c>
      <c r="V448" s="485" t="str">
        <f>CLEAN(TRIM(Table2[[#This Row],[Status]] &amp; "|" &amp; Table2[[#This Row],[Level]] &amp; "|" &amp; Table2[[#This Row],[Participant As]]))</f>
        <v>Narasumber / Pemateri Acara Seminar / Workshop / Pemakalah|External International|Individual</v>
      </c>
      <c r="W448" s="486">
        <f>IFERROR(INDEX(GradingSimkat[Score], MATCH(Table2[[#This Row],[Criteria]], GradingSimkat[Criteria], 0)), 0)</f>
        <v>0</v>
      </c>
    </row>
    <row r="449" spans="1:23" s="470" customFormat="1" ht="13.75" customHeight="1">
      <c r="A449" s="482" t="s">
        <v>1751</v>
      </c>
      <c r="B449" s="483" t="s">
        <v>1752</v>
      </c>
      <c r="C449" s="483" t="s">
        <v>1684</v>
      </c>
      <c r="D449" s="484">
        <v>2021</v>
      </c>
      <c r="E449" s="483" t="s">
        <v>361</v>
      </c>
      <c r="F449" s="472" t="s">
        <v>362</v>
      </c>
      <c r="G449" s="472" t="s">
        <v>363</v>
      </c>
      <c r="H449" s="473">
        <v>20231</v>
      </c>
      <c r="I449" s="483" t="s">
        <v>364</v>
      </c>
      <c r="J449" s="472" t="s">
        <v>278</v>
      </c>
      <c r="K449" s="483" t="s">
        <v>279</v>
      </c>
      <c r="L449" s="483" t="s">
        <v>307</v>
      </c>
      <c r="M449" s="483" t="s">
        <v>292</v>
      </c>
      <c r="N449" s="473">
        <v>500</v>
      </c>
      <c r="O449" s="484">
        <v>10</v>
      </c>
      <c r="P449" s="472" t="s">
        <v>365</v>
      </c>
      <c r="Q449" s="483" t="s">
        <v>2188</v>
      </c>
      <c r="R449" s="472" t="s">
        <v>389</v>
      </c>
      <c r="S449" s="474"/>
      <c r="T449" s="474"/>
      <c r="U449" s="475" t="s">
        <v>368</v>
      </c>
      <c r="V449" s="485" t="str">
        <f>CLEAN(TRIM(Table2[[#This Row],[Status]] &amp; "|" &amp; Table2[[#This Row],[Level]] &amp; "|" &amp; Table2[[#This Row],[Participant As]]))</f>
        <v>Narasumber / Pemateri Acara Seminar / Workshop / Pemakalah|External International|Individual</v>
      </c>
      <c r="W449" s="486">
        <f>IFERROR(INDEX(GradingSimkat[Score], MATCH(Table2[[#This Row],[Criteria]], GradingSimkat[Criteria], 0)), 0)</f>
        <v>0</v>
      </c>
    </row>
    <row r="450" spans="1:23" ht="13.75" customHeight="1">
      <c r="A450" s="482" t="s">
        <v>1348</v>
      </c>
      <c r="B450" s="483" t="s">
        <v>1349</v>
      </c>
      <c r="C450" s="483" t="s">
        <v>1304</v>
      </c>
      <c r="D450" s="484">
        <v>2021</v>
      </c>
      <c r="E450" s="483" t="s">
        <v>418</v>
      </c>
      <c r="F450" s="472" t="s">
        <v>419</v>
      </c>
      <c r="G450" s="472" t="s">
        <v>419</v>
      </c>
      <c r="H450" s="473">
        <v>20231</v>
      </c>
      <c r="I450" s="483" t="s">
        <v>420</v>
      </c>
      <c r="J450" s="472" t="s">
        <v>278</v>
      </c>
      <c r="K450" s="483" t="s">
        <v>279</v>
      </c>
      <c r="L450" s="483" t="s">
        <v>291</v>
      </c>
      <c r="M450" s="483" t="s">
        <v>292</v>
      </c>
      <c r="N450" s="473">
        <v>250</v>
      </c>
      <c r="O450" s="484">
        <v>4</v>
      </c>
      <c r="P450" s="474"/>
      <c r="Q450" s="483" t="s">
        <v>2191</v>
      </c>
      <c r="R450" s="472" t="s">
        <v>422</v>
      </c>
      <c r="S450" s="474"/>
      <c r="T450" s="474"/>
      <c r="U450" s="475" t="s">
        <v>423</v>
      </c>
      <c r="V450" s="485" t="str">
        <f>CLEAN(TRIM(Table2[[#This Row],[Status]] &amp; "|" &amp; Table2[[#This Row],[Level]] &amp; "|" &amp; Table2[[#This Row],[Participant As]]))</f>
        <v>Narasumber / Pemateri Acara Seminar / Workshop / Pemakalah|Internal Sekolah / Universitas|Individual</v>
      </c>
      <c r="W450" s="486">
        <f>IFERROR(INDEX(GradingSimkat[Score], MATCH(Table2[[#This Row],[Criteria]], GradingSimkat[Criteria], 0)), 0)</f>
        <v>0</v>
      </c>
    </row>
    <row r="451" spans="1:23" ht="13.75" customHeight="1">
      <c r="A451" s="482" t="s">
        <v>603</v>
      </c>
      <c r="B451" s="483" t="s">
        <v>604</v>
      </c>
      <c r="C451" s="483" t="s">
        <v>274</v>
      </c>
      <c r="D451" s="484">
        <v>2022</v>
      </c>
      <c r="E451" s="483" t="s">
        <v>361</v>
      </c>
      <c r="F451" s="472" t="s">
        <v>362</v>
      </c>
      <c r="G451" s="472" t="s">
        <v>363</v>
      </c>
      <c r="H451" s="473">
        <v>20231</v>
      </c>
      <c r="I451" s="483" t="s">
        <v>364</v>
      </c>
      <c r="J451" s="472" t="s">
        <v>278</v>
      </c>
      <c r="K451" s="483" t="s">
        <v>279</v>
      </c>
      <c r="L451" s="483" t="s">
        <v>307</v>
      </c>
      <c r="M451" s="483" t="s">
        <v>292</v>
      </c>
      <c r="N451" s="473">
        <v>500</v>
      </c>
      <c r="O451" s="484">
        <v>10</v>
      </c>
      <c r="P451" s="472" t="s">
        <v>365</v>
      </c>
      <c r="Q451" s="483" t="s">
        <v>2186</v>
      </c>
      <c r="R451" s="472" t="s">
        <v>367</v>
      </c>
      <c r="S451" s="474"/>
      <c r="T451" s="474"/>
      <c r="U451" s="475" t="s">
        <v>368</v>
      </c>
      <c r="V451" s="485" t="str">
        <f>CLEAN(TRIM(Table2[[#This Row],[Status]] &amp; "|" &amp; Table2[[#This Row],[Level]] &amp; "|" &amp; Table2[[#This Row],[Participant As]]))</f>
        <v>Narasumber / Pemateri Acara Seminar / Workshop / Pemakalah|External International|Individual</v>
      </c>
      <c r="W451" s="486">
        <f>IFERROR(INDEX(GradingSimkat[Score], MATCH(Table2[[#This Row],[Criteria]], GradingSimkat[Criteria], 0)), 0)</f>
        <v>0</v>
      </c>
    </row>
    <row r="452" spans="1:23" ht="13.75" customHeight="1">
      <c r="A452" s="482" t="s">
        <v>1440</v>
      </c>
      <c r="B452" s="483" t="s">
        <v>1441</v>
      </c>
      <c r="C452" s="483" t="s">
        <v>1407</v>
      </c>
      <c r="D452" s="484">
        <v>2022</v>
      </c>
      <c r="E452" s="483" t="s">
        <v>361</v>
      </c>
      <c r="F452" s="472" t="s">
        <v>362</v>
      </c>
      <c r="G452" s="472" t="s">
        <v>363</v>
      </c>
      <c r="H452" s="473">
        <v>20231</v>
      </c>
      <c r="I452" s="483" t="s">
        <v>364</v>
      </c>
      <c r="J452" s="472" t="s">
        <v>278</v>
      </c>
      <c r="K452" s="483" t="s">
        <v>279</v>
      </c>
      <c r="L452" s="483" t="s">
        <v>307</v>
      </c>
      <c r="M452" s="483" t="s">
        <v>292</v>
      </c>
      <c r="N452" s="473">
        <v>500</v>
      </c>
      <c r="O452" s="484">
        <v>10</v>
      </c>
      <c r="P452" s="472" t="s">
        <v>365</v>
      </c>
      <c r="Q452" s="483" t="s">
        <v>2188</v>
      </c>
      <c r="R452" s="472" t="s">
        <v>389</v>
      </c>
      <c r="S452" s="474"/>
      <c r="T452" s="474"/>
      <c r="U452" s="475" t="s">
        <v>368</v>
      </c>
      <c r="V452" s="485" t="str">
        <f>CLEAN(TRIM(Table2[[#This Row],[Status]] &amp; "|" &amp; Table2[[#This Row],[Level]] &amp; "|" &amp; Table2[[#This Row],[Participant As]]))</f>
        <v>Narasumber / Pemateri Acara Seminar / Workshop / Pemakalah|External International|Individual</v>
      </c>
      <c r="W452" s="486">
        <f>IFERROR(INDEX(GradingSimkat[Score], MATCH(Table2[[#This Row],[Criteria]], GradingSimkat[Criteria], 0)), 0)</f>
        <v>0</v>
      </c>
    </row>
    <row r="453" spans="1:23" ht="13.75" customHeight="1">
      <c r="A453" s="482" t="s">
        <v>1633</v>
      </c>
      <c r="B453" s="483" t="s">
        <v>1634</v>
      </c>
      <c r="C453" s="483" t="s">
        <v>1559</v>
      </c>
      <c r="D453" s="484">
        <v>2021</v>
      </c>
      <c r="E453" s="483" t="s">
        <v>361</v>
      </c>
      <c r="F453" s="472" t="s">
        <v>362</v>
      </c>
      <c r="G453" s="472" t="s">
        <v>363</v>
      </c>
      <c r="H453" s="473">
        <v>20231</v>
      </c>
      <c r="I453" s="483" t="s">
        <v>364</v>
      </c>
      <c r="J453" s="472" t="s">
        <v>278</v>
      </c>
      <c r="K453" s="483" t="s">
        <v>279</v>
      </c>
      <c r="L453" s="483" t="s">
        <v>307</v>
      </c>
      <c r="M453" s="483" t="s">
        <v>292</v>
      </c>
      <c r="N453" s="473">
        <v>500</v>
      </c>
      <c r="O453" s="484">
        <v>10</v>
      </c>
      <c r="P453" s="472" t="s">
        <v>365</v>
      </c>
      <c r="Q453" s="483" t="s">
        <v>2188</v>
      </c>
      <c r="R453" s="472" t="s">
        <v>389</v>
      </c>
      <c r="S453" s="474"/>
      <c r="T453" s="474"/>
      <c r="U453" s="475" t="s">
        <v>368</v>
      </c>
      <c r="V453" s="485" t="str">
        <f>CLEAN(TRIM(Table2[[#This Row],[Status]] &amp; "|" &amp; Table2[[#This Row],[Level]] &amp; "|" &amp; Table2[[#This Row],[Participant As]]))</f>
        <v>Narasumber / Pemateri Acara Seminar / Workshop / Pemakalah|External International|Individual</v>
      </c>
      <c r="W453" s="486">
        <f>IFERROR(INDEX(GradingSimkat[Score], MATCH(Table2[[#This Row],[Criteria]], GradingSimkat[Criteria], 0)), 0)</f>
        <v>0</v>
      </c>
    </row>
    <row r="454" spans="1:23" s="470" customFormat="1" ht="13.75" customHeight="1">
      <c r="A454" s="482" t="s">
        <v>745</v>
      </c>
      <c r="B454" s="483" t="s">
        <v>746</v>
      </c>
      <c r="C454" s="483" t="s">
        <v>274</v>
      </c>
      <c r="D454" s="484">
        <v>2022</v>
      </c>
      <c r="E454" s="483" t="s">
        <v>361</v>
      </c>
      <c r="F454" s="472" t="s">
        <v>362</v>
      </c>
      <c r="G454" s="472" t="s">
        <v>363</v>
      </c>
      <c r="H454" s="473">
        <v>20231</v>
      </c>
      <c r="I454" s="483" t="s">
        <v>364</v>
      </c>
      <c r="J454" s="472" t="s">
        <v>278</v>
      </c>
      <c r="K454" s="483" t="s">
        <v>279</v>
      </c>
      <c r="L454" s="483" t="s">
        <v>307</v>
      </c>
      <c r="M454" s="483" t="s">
        <v>292</v>
      </c>
      <c r="N454" s="473">
        <v>500</v>
      </c>
      <c r="O454" s="484">
        <v>10</v>
      </c>
      <c r="P454" s="472" t="s">
        <v>365</v>
      </c>
      <c r="Q454" s="483" t="s">
        <v>2186</v>
      </c>
      <c r="R454" s="472" t="s">
        <v>367</v>
      </c>
      <c r="S454" s="474"/>
      <c r="T454" s="474"/>
      <c r="U454" s="475" t="s">
        <v>368</v>
      </c>
      <c r="V454" s="485" t="str">
        <f>CLEAN(TRIM(Table2[[#This Row],[Status]] &amp; "|" &amp; Table2[[#This Row],[Level]] &amp; "|" &amp; Table2[[#This Row],[Participant As]]))</f>
        <v>Narasumber / Pemateri Acara Seminar / Workshop / Pemakalah|External International|Individual</v>
      </c>
      <c r="W454" s="486">
        <f>IFERROR(INDEX(GradingSimkat[Score], MATCH(Table2[[#This Row],[Criteria]], GradingSimkat[Criteria], 0)), 0)</f>
        <v>0</v>
      </c>
    </row>
    <row r="455" spans="1:23" ht="13.75" customHeight="1">
      <c r="A455" s="482" t="s">
        <v>617</v>
      </c>
      <c r="B455" s="483" t="s">
        <v>618</v>
      </c>
      <c r="C455" s="483" t="s">
        <v>274</v>
      </c>
      <c r="D455" s="484">
        <v>2022</v>
      </c>
      <c r="E455" s="483" t="s">
        <v>361</v>
      </c>
      <c r="F455" s="472" t="s">
        <v>362</v>
      </c>
      <c r="G455" s="472" t="s">
        <v>363</v>
      </c>
      <c r="H455" s="473">
        <v>20231</v>
      </c>
      <c r="I455" s="483" t="s">
        <v>364</v>
      </c>
      <c r="J455" s="472" t="s">
        <v>278</v>
      </c>
      <c r="K455" s="483" t="s">
        <v>279</v>
      </c>
      <c r="L455" s="483" t="s">
        <v>307</v>
      </c>
      <c r="M455" s="483" t="s">
        <v>292</v>
      </c>
      <c r="N455" s="473">
        <v>500</v>
      </c>
      <c r="O455" s="484">
        <v>10</v>
      </c>
      <c r="P455" s="472" t="s">
        <v>365</v>
      </c>
      <c r="Q455" s="483" t="s">
        <v>2186</v>
      </c>
      <c r="R455" s="472" t="s">
        <v>367</v>
      </c>
      <c r="S455" s="474"/>
      <c r="T455" s="474"/>
      <c r="U455" s="475" t="s">
        <v>368</v>
      </c>
      <c r="V455" s="485" t="str">
        <f>CLEAN(TRIM(Table2[[#This Row],[Status]] &amp; "|" &amp; Table2[[#This Row],[Level]] &amp; "|" &amp; Table2[[#This Row],[Participant As]]))</f>
        <v>Narasumber / Pemateri Acara Seminar / Workshop / Pemakalah|External International|Individual</v>
      </c>
      <c r="W455" s="486">
        <f>IFERROR(INDEX(GradingSimkat[Score], MATCH(Table2[[#This Row],[Criteria]], GradingSimkat[Criteria], 0)), 0)</f>
        <v>0</v>
      </c>
    </row>
    <row r="456" spans="1:23" ht="13.75" customHeight="1">
      <c r="A456" s="482" t="s">
        <v>927</v>
      </c>
      <c r="B456" s="483" t="s">
        <v>928</v>
      </c>
      <c r="C456" s="483" t="s">
        <v>274</v>
      </c>
      <c r="D456" s="484">
        <v>2023</v>
      </c>
      <c r="E456" s="483" t="s">
        <v>361</v>
      </c>
      <c r="F456" s="472" t="s">
        <v>362</v>
      </c>
      <c r="G456" s="472" t="s">
        <v>363</v>
      </c>
      <c r="H456" s="473">
        <v>20231</v>
      </c>
      <c r="I456" s="483" t="s">
        <v>364</v>
      </c>
      <c r="J456" s="472" t="s">
        <v>278</v>
      </c>
      <c r="K456" s="483" t="s">
        <v>279</v>
      </c>
      <c r="L456" s="483" t="s">
        <v>307</v>
      </c>
      <c r="M456" s="483" t="s">
        <v>292</v>
      </c>
      <c r="N456" s="473">
        <v>500</v>
      </c>
      <c r="O456" s="484">
        <v>10</v>
      </c>
      <c r="P456" s="472" t="s">
        <v>365</v>
      </c>
      <c r="Q456" s="483" t="s">
        <v>2186</v>
      </c>
      <c r="R456" s="472" t="s">
        <v>367</v>
      </c>
      <c r="S456" s="474"/>
      <c r="T456" s="474"/>
      <c r="U456" s="475" t="s">
        <v>368</v>
      </c>
      <c r="V456" s="485" t="str">
        <f>CLEAN(TRIM(Table2[[#This Row],[Status]] &amp; "|" &amp; Table2[[#This Row],[Level]] &amp; "|" &amp; Table2[[#This Row],[Participant As]]))</f>
        <v>Narasumber / Pemateri Acara Seminar / Workshop / Pemakalah|External International|Individual</v>
      </c>
      <c r="W456" s="486">
        <f>IFERROR(INDEX(GradingSimkat[Score], MATCH(Table2[[#This Row],[Criteria]], GradingSimkat[Criteria], 0)), 0)</f>
        <v>0</v>
      </c>
    </row>
    <row r="457" spans="1:23" ht="13.75" customHeight="1">
      <c r="A457" s="482" t="s">
        <v>1088</v>
      </c>
      <c r="B457" s="483" t="s">
        <v>1089</v>
      </c>
      <c r="C457" s="483" t="s">
        <v>986</v>
      </c>
      <c r="D457" s="484">
        <v>2021</v>
      </c>
      <c r="E457" s="483" t="s">
        <v>1090</v>
      </c>
      <c r="F457" s="472" t="s">
        <v>1091</v>
      </c>
      <c r="G457" s="472" t="s">
        <v>1091</v>
      </c>
      <c r="H457" s="473">
        <v>20221</v>
      </c>
      <c r="I457" s="483" t="s">
        <v>1092</v>
      </c>
      <c r="J457" s="472" t="s">
        <v>278</v>
      </c>
      <c r="K457" s="483" t="s">
        <v>2157</v>
      </c>
      <c r="L457" s="483" t="s">
        <v>280</v>
      </c>
      <c r="M457" s="483" t="s">
        <v>292</v>
      </c>
      <c r="N457" s="473">
        <v>1</v>
      </c>
      <c r="O457" s="484">
        <v>15</v>
      </c>
      <c r="P457" s="474"/>
      <c r="Q457" s="483" t="s">
        <v>2221</v>
      </c>
      <c r="R457" s="472" t="s">
        <v>1094</v>
      </c>
      <c r="S457" s="474"/>
      <c r="T457" s="474"/>
      <c r="U457" s="475" t="s">
        <v>1090</v>
      </c>
      <c r="V457" s="485" t="str">
        <f>CLEAN(TRIM(Table2[[#This Row],[Status]] &amp; "|" &amp; Table2[[#This Row],[Level]] &amp; "|" &amp; Table2[[#This Row],[Participant As]]))</f>
        <v>Pembicara pada pelatihan/seminar/event berskala|External National|Individual</v>
      </c>
      <c r="W457" s="486">
        <f>IFERROR(INDEX(GradingSimkat[Score], MATCH(Table2[[#This Row],[Criteria]], GradingSimkat[Criteria], 0)), 0)</f>
        <v>4</v>
      </c>
    </row>
    <row r="458" spans="1:23" s="470" customFormat="1" ht="13.75" customHeight="1">
      <c r="A458" s="482" t="s">
        <v>414</v>
      </c>
      <c r="B458" s="483" t="s">
        <v>415</v>
      </c>
      <c r="C458" s="483" t="s">
        <v>274</v>
      </c>
      <c r="D458" s="484">
        <v>2020</v>
      </c>
      <c r="E458" s="483" t="s">
        <v>361</v>
      </c>
      <c r="F458" s="472" t="s">
        <v>362</v>
      </c>
      <c r="G458" s="472" t="s">
        <v>363</v>
      </c>
      <c r="H458" s="473">
        <v>20231</v>
      </c>
      <c r="I458" s="483" t="s">
        <v>364</v>
      </c>
      <c r="J458" s="472" t="s">
        <v>278</v>
      </c>
      <c r="K458" s="483" t="s">
        <v>279</v>
      </c>
      <c r="L458" s="483" t="s">
        <v>307</v>
      </c>
      <c r="M458" s="483" t="s">
        <v>292</v>
      </c>
      <c r="N458" s="473">
        <v>500</v>
      </c>
      <c r="O458" s="484">
        <v>10</v>
      </c>
      <c r="P458" s="472" t="s">
        <v>365</v>
      </c>
      <c r="Q458" s="483" t="s">
        <v>2186</v>
      </c>
      <c r="R458" s="472" t="s">
        <v>367</v>
      </c>
      <c r="S458" s="474"/>
      <c r="T458" s="474"/>
      <c r="U458" s="475" t="s">
        <v>368</v>
      </c>
      <c r="V458" s="485" t="str">
        <f>CLEAN(TRIM(Table2[[#This Row],[Status]] &amp; "|" &amp; Table2[[#This Row],[Level]] &amp; "|" &amp; Table2[[#This Row],[Participant As]]))</f>
        <v>Narasumber / Pemateri Acara Seminar / Workshop / Pemakalah|External International|Individual</v>
      </c>
      <c r="W458" s="486">
        <f>IFERROR(INDEX(GradingSimkat[Score], MATCH(Table2[[#This Row],[Criteria]], GradingSimkat[Criteria], 0)), 0)</f>
        <v>0</v>
      </c>
    </row>
    <row r="459" spans="1:23" ht="13.75" customHeight="1">
      <c r="A459" s="482" t="s">
        <v>1759</v>
      </c>
      <c r="B459" s="483" t="s">
        <v>1760</v>
      </c>
      <c r="C459" s="483" t="s">
        <v>1684</v>
      </c>
      <c r="D459" s="484">
        <v>2022</v>
      </c>
      <c r="E459" s="483" t="s">
        <v>361</v>
      </c>
      <c r="F459" s="472" t="s">
        <v>362</v>
      </c>
      <c r="G459" s="472" t="s">
        <v>363</v>
      </c>
      <c r="H459" s="473">
        <v>20231</v>
      </c>
      <c r="I459" s="483" t="s">
        <v>364</v>
      </c>
      <c r="J459" s="472" t="s">
        <v>278</v>
      </c>
      <c r="K459" s="483" t="s">
        <v>279</v>
      </c>
      <c r="L459" s="483" t="s">
        <v>307</v>
      </c>
      <c r="M459" s="483" t="s">
        <v>292</v>
      </c>
      <c r="N459" s="473">
        <v>500</v>
      </c>
      <c r="O459" s="484">
        <v>10</v>
      </c>
      <c r="P459" s="472" t="s">
        <v>365</v>
      </c>
      <c r="Q459" s="483" t="s">
        <v>2188</v>
      </c>
      <c r="R459" s="472" t="s">
        <v>389</v>
      </c>
      <c r="S459" s="474"/>
      <c r="T459" s="474"/>
      <c r="U459" s="475" t="s">
        <v>368</v>
      </c>
      <c r="V459" s="485" t="str">
        <f>CLEAN(TRIM(Table2[[#This Row],[Status]] &amp; "|" &amp; Table2[[#This Row],[Level]] &amp; "|" &amp; Table2[[#This Row],[Participant As]]))</f>
        <v>Narasumber / Pemateri Acara Seminar / Workshop / Pemakalah|External International|Individual</v>
      </c>
      <c r="W459" s="486">
        <f>IFERROR(INDEX(GradingSimkat[Score], MATCH(Table2[[#This Row],[Criteria]], GradingSimkat[Criteria], 0)), 0)</f>
        <v>0</v>
      </c>
    </row>
    <row r="460" spans="1:23" ht="13.75" customHeight="1">
      <c r="A460" s="482" t="s">
        <v>1648</v>
      </c>
      <c r="B460" s="483" t="s">
        <v>1649</v>
      </c>
      <c r="C460" s="483" t="s">
        <v>1559</v>
      </c>
      <c r="D460" s="484">
        <v>2021</v>
      </c>
      <c r="E460" s="483" t="s">
        <v>418</v>
      </c>
      <c r="F460" s="472" t="s">
        <v>419</v>
      </c>
      <c r="G460" s="472" t="s">
        <v>419</v>
      </c>
      <c r="H460" s="473">
        <v>20231</v>
      </c>
      <c r="I460" s="487"/>
      <c r="J460" s="472" t="s">
        <v>278</v>
      </c>
      <c r="K460" s="483" t="s">
        <v>279</v>
      </c>
      <c r="L460" s="483" t="s">
        <v>291</v>
      </c>
      <c r="M460" s="483" t="s">
        <v>292</v>
      </c>
      <c r="N460" s="473">
        <v>250</v>
      </c>
      <c r="O460" s="484">
        <v>5</v>
      </c>
      <c r="P460" s="474"/>
      <c r="Q460" s="483" t="s">
        <v>2260</v>
      </c>
      <c r="R460" s="472" t="s">
        <v>1627</v>
      </c>
      <c r="S460" s="474"/>
      <c r="T460" s="474"/>
      <c r="U460" s="475" t="s">
        <v>423</v>
      </c>
      <c r="V460" s="485" t="str">
        <f>CLEAN(TRIM(Table2[[#This Row],[Status]] &amp; "|" &amp; Table2[[#This Row],[Level]] &amp; "|" &amp; Table2[[#This Row],[Participant As]]))</f>
        <v>Narasumber / Pemateri Acara Seminar / Workshop / Pemakalah|Internal Sekolah / Universitas|Individual</v>
      </c>
      <c r="W460" s="486">
        <f>IFERROR(INDEX(GradingSimkat[Score], MATCH(Table2[[#This Row],[Criteria]], GradingSimkat[Criteria], 0)), 0)</f>
        <v>0</v>
      </c>
    </row>
    <row r="461" spans="1:23" ht="13.75" customHeight="1">
      <c r="A461" s="482" t="s">
        <v>1742</v>
      </c>
      <c r="B461" s="483" t="s">
        <v>1743</v>
      </c>
      <c r="C461" s="483" t="s">
        <v>1684</v>
      </c>
      <c r="D461" s="484">
        <v>2020</v>
      </c>
      <c r="E461" s="483" t="s">
        <v>361</v>
      </c>
      <c r="F461" s="472" t="s">
        <v>362</v>
      </c>
      <c r="G461" s="472" t="s">
        <v>363</v>
      </c>
      <c r="H461" s="473">
        <v>20231</v>
      </c>
      <c r="I461" s="483" t="s">
        <v>364</v>
      </c>
      <c r="J461" s="472" t="s">
        <v>278</v>
      </c>
      <c r="K461" s="483" t="s">
        <v>279</v>
      </c>
      <c r="L461" s="483" t="s">
        <v>307</v>
      </c>
      <c r="M461" s="483" t="s">
        <v>292</v>
      </c>
      <c r="N461" s="473">
        <v>500</v>
      </c>
      <c r="O461" s="484">
        <v>10</v>
      </c>
      <c r="P461" s="472" t="s">
        <v>365</v>
      </c>
      <c r="Q461" s="483" t="s">
        <v>2188</v>
      </c>
      <c r="R461" s="472" t="s">
        <v>389</v>
      </c>
      <c r="S461" s="474"/>
      <c r="T461" s="474"/>
      <c r="U461" s="475" t="s">
        <v>368</v>
      </c>
      <c r="V461" s="485" t="str">
        <f>CLEAN(TRIM(Table2[[#This Row],[Status]] &amp; "|" &amp; Table2[[#This Row],[Level]] &amp; "|" &amp; Table2[[#This Row],[Participant As]]))</f>
        <v>Narasumber / Pemateri Acara Seminar / Workshop / Pemakalah|External International|Individual</v>
      </c>
      <c r="W461" s="486">
        <f>IFERROR(INDEX(GradingSimkat[Score], MATCH(Table2[[#This Row],[Criteria]], GradingSimkat[Criteria], 0)), 0)</f>
        <v>0</v>
      </c>
    </row>
    <row r="462" spans="1:23" ht="13.75" customHeight="1">
      <c r="A462" s="482" t="s">
        <v>1274</v>
      </c>
      <c r="B462" s="483" t="s">
        <v>1275</v>
      </c>
      <c r="C462" s="483" t="s">
        <v>1227</v>
      </c>
      <c r="D462" s="484">
        <v>2021</v>
      </c>
      <c r="E462" s="483" t="s">
        <v>361</v>
      </c>
      <c r="F462" s="472" t="s">
        <v>362</v>
      </c>
      <c r="G462" s="472" t="s">
        <v>363</v>
      </c>
      <c r="H462" s="473">
        <v>20231</v>
      </c>
      <c r="I462" s="483" t="s">
        <v>364</v>
      </c>
      <c r="J462" s="472" t="s">
        <v>278</v>
      </c>
      <c r="K462" s="483" t="s">
        <v>279</v>
      </c>
      <c r="L462" s="483" t="s">
        <v>307</v>
      </c>
      <c r="M462" s="483" t="s">
        <v>292</v>
      </c>
      <c r="N462" s="473">
        <v>500</v>
      </c>
      <c r="O462" s="484">
        <v>10</v>
      </c>
      <c r="P462" s="472" t="s">
        <v>365</v>
      </c>
      <c r="Q462" s="483" t="s">
        <v>2188</v>
      </c>
      <c r="R462" s="472" t="s">
        <v>389</v>
      </c>
      <c r="S462" s="474"/>
      <c r="T462" s="474"/>
      <c r="U462" s="475" t="s">
        <v>368</v>
      </c>
      <c r="V462" s="485" t="str">
        <f>CLEAN(TRIM(Table2[[#This Row],[Status]] &amp; "|" &amp; Table2[[#This Row],[Level]] &amp; "|" &amp; Table2[[#This Row],[Participant As]]))</f>
        <v>Narasumber / Pemateri Acara Seminar / Workshop / Pemakalah|External International|Individual</v>
      </c>
      <c r="W462" s="486">
        <f>IFERROR(INDEX(GradingSimkat[Score], MATCH(Table2[[#This Row],[Criteria]], GradingSimkat[Criteria], 0)), 0)</f>
        <v>0</v>
      </c>
    </row>
    <row r="463" spans="1:23" ht="13.75" customHeight="1">
      <c r="A463" s="482" t="s">
        <v>378</v>
      </c>
      <c r="B463" s="483" t="s">
        <v>379</v>
      </c>
      <c r="C463" s="483" t="s">
        <v>274</v>
      </c>
      <c r="D463" s="484">
        <v>2020</v>
      </c>
      <c r="E463" s="483" t="s">
        <v>361</v>
      </c>
      <c r="F463" s="472" t="s">
        <v>362</v>
      </c>
      <c r="G463" s="472" t="s">
        <v>363</v>
      </c>
      <c r="H463" s="473">
        <v>20231</v>
      </c>
      <c r="I463" s="483" t="s">
        <v>364</v>
      </c>
      <c r="J463" s="472" t="s">
        <v>278</v>
      </c>
      <c r="K463" s="483" t="s">
        <v>279</v>
      </c>
      <c r="L463" s="483" t="s">
        <v>307</v>
      </c>
      <c r="M463" s="483" t="s">
        <v>292</v>
      </c>
      <c r="N463" s="473">
        <v>500</v>
      </c>
      <c r="O463" s="484">
        <v>10</v>
      </c>
      <c r="P463" s="472" t="s">
        <v>365</v>
      </c>
      <c r="Q463" s="483" t="s">
        <v>2186</v>
      </c>
      <c r="R463" s="472" t="s">
        <v>367</v>
      </c>
      <c r="S463" s="474"/>
      <c r="T463" s="474"/>
      <c r="U463" s="475" t="s">
        <v>368</v>
      </c>
      <c r="V463" s="485" t="str">
        <f>CLEAN(TRIM(Table2[[#This Row],[Status]] &amp; "|" &amp; Table2[[#This Row],[Level]] &amp; "|" &amp; Table2[[#This Row],[Participant As]]))</f>
        <v>Narasumber / Pemateri Acara Seminar / Workshop / Pemakalah|External International|Individual</v>
      </c>
      <c r="W463" s="486">
        <f>IFERROR(INDEX(GradingSimkat[Score], MATCH(Table2[[#This Row],[Criteria]], GradingSimkat[Criteria], 0)), 0)</f>
        <v>0</v>
      </c>
    </row>
    <row r="464" spans="1:23" ht="13.75" customHeight="1">
      <c r="A464" s="482" t="s">
        <v>751</v>
      </c>
      <c r="B464" s="483" t="s">
        <v>752</v>
      </c>
      <c r="C464" s="483" t="s">
        <v>274</v>
      </c>
      <c r="D464" s="484">
        <v>2022</v>
      </c>
      <c r="E464" s="483" t="s">
        <v>361</v>
      </c>
      <c r="F464" s="472" t="s">
        <v>362</v>
      </c>
      <c r="G464" s="472" t="s">
        <v>363</v>
      </c>
      <c r="H464" s="473">
        <v>20231</v>
      </c>
      <c r="I464" s="483" t="s">
        <v>364</v>
      </c>
      <c r="J464" s="472" t="s">
        <v>278</v>
      </c>
      <c r="K464" s="483" t="s">
        <v>279</v>
      </c>
      <c r="L464" s="483" t="s">
        <v>307</v>
      </c>
      <c r="M464" s="483" t="s">
        <v>292</v>
      </c>
      <c r="N464" s="473">
        <v>500</v>
      </c>
      <c r="O464" s="484">
        <v>10</v>
      </c>
      <c r="P464" s="472" t="s">
        <v>365</v>
      </c>
      <c r="Q464" s="483" t="s">
        <v>2186</v>
      </c>
      <c r="R464" s="472" t="s">
        <v>367</v>
      </c>
      <c r="S464" s="474"/>
      <c r="T464" s="474"/>
      <c r="U464" s="475" t="s">
        <v>368</v>
      </c>
      <c r="V464" s="485" t="str">
        <f>CLEAN(TRIM(Table2[[#This Row],[Status]] &amp; "|" &amp; Table2[[#This Row],[Level]] &amp; "|" &amp; Table2[[#This Row],[Participant As]]))</f>
        <v>Narasumber / Pemateri Acara Seminar / Workshop / Pemakalah|External International|Individual</v>
      </c>
      <c r="W464" s="486">
        <f>IFERROR(INDEX(GradingSimkat[Score], MATCH(Table2[[#This Row],[Criteria]], GradingSimkat[Criteria], 0)), 0)</f>
        <v>0</v>
      </c>
    </row>
    <row r="465" spans="1:23" ht="13.75" customHeight="1">
      <c r="A465" s="482" t="s">
        <v>319</v>
      </c>
      <c r="B465" s="483" t="s">
        <v>320</v>
      </c>
      <c r="C465" s="483" t="s">
        <v>274</v>
      </c>
      <c r="D465" s="484">
        <v>2019</v>
      </c>
      <c r="E465" s="483" t="s">
        <v>321</v>
      </c>
      <c r="F465" s="472" t="s">
        <v>322</v>
      </c>
      <c r="G465" s="472" t="s">
        <v>322</v>
      </c>
      <c r="H465" s="473">
        <v>20212</v>
      </c>
      <c r="I465" s="483" t="s">
        <v>323</v>
      </c>
      <c r="J465" s="472" t="s">
        <v>278</v>
      </c>
      <c r="K465" s="491" t="s">
        <v>2157</v>
      </c>
      <c r="L465" s="483" t="s">
        <v>307</v>
      </c>
      <c r="M465" s="483" t="s">
        <v>281</v>
      </c>
      <c r="N465" s="473">
        <v>20</v>
      </c>
      <c r="O465" s="484">
        <v>15</v>
      </c>
      <c r="P465" s="474"/>
      <c r="Q465" s="483" t="s">
        <v>2184</v>
      </c>
      <c r="R465" s="474"/>
      <c r="S465" s="474"/>
      <c r="T465" s="474"/>
      <c r="U465" s="475" t="s">
        <v>325</v>
      </c>
      <c r="V465" s="485" t="str">
        <f>CLEAN(TRIM(Table2[[#This Row],[Status]] &amp; "|" &amp; Table2[[#This Row],[Level]] &amp; "|" &amp; Table2[[#This Row],[Participant As]]))</f>
        <v>Pembicara pada pelatihan/seminar/event berskala|External International|Team</v>
      </c>
      <c r="W465" s="486">
        <f>IFERROR(INDEX(GradingSimkat[Score], MATCH(Table2[[#This Row],[Criteria]], GradingSimkat[Criteria], 0)), 0)</f>
        <v>4</v>
      </c>
    </row>
    <row r="466" spans="1:23" ht="13.75" customHeight="1">
      <c r="A466" s="482" t="s">
        <v>1276</v>
      </c>
      <c r="B466" s="483" t="s">
        <v>1277</v>
      </c>
      <c r="C466" s="483" t="s">
        <v>1227</v>
      </c>
      <c r="D466" s="484">
        <v>2021</v>
      </c>
      <c r="E466" s="483" t="s">
        <v>361</v>
      </c>
      <c r="F466" s="472" t="s">
        <v>362</v>
      </c>
      <c r="G466" s="472" t="s">
        <v>363</v>
      </c>
      <c r="H466" s="473">
        <v>20231</v>
      </c>
      <c r="I466" s="483" t="s">
        <v>364</v>
      </c>
      <c r="J466" s="472" t="s">
        <v>278</v>
      </c>
      <c r="K466" s="483" t="s">
        <v>279</v>
      </c>
      <c r="L466" s="483" t="s">
        <v>307</v>
      </c>
      <c r="M466" s="483" t="s">
        <v>292</v>
      </c>
      <c r="N466" s="473">
        <v>500</v>
      </c>
      <c r="O466" s="484">
        <v>10</v>
      </c>
      <c r="P466" s="472" t="s">
        <v>365</v>
      </c>
      <c r="Q466" s="483" t="s">
        <v>2188</v>
      </c>
      <c r="R466" s="472" t="s">
        <v>389</v>
      </c>
      <c r="S466" s="474"/>
      <c r="T466" s="474"/>
      <c r="U466" s="475" t="s">
        <v>368</v>
      </c>
      <c r="V466" s="485" t="str">
        <f>CLEAN(TRIM(Table2[[#This Row],[Status]] &amp; "|" &amp; Table2[[#This Row],[Level]] &amp; "|" &amp; Table2[[#This Row],[Participant As]]))</f>
        <v>Narasumber / Pemateri Acara Seminar / Workshop / Pemakalah|External International|Individual</v>
      </c>
      <c r="W466" s="486">
        <f>IFERROR(INDEX(GradingSimkat[Score], MATCH(Table2[[#This Row],[Criteria]], GradingSimkat[Criteria], 0)), 0)</f>
        <v>0</v>
      </c>
    </row>
    <row r="467" spans="1:23" ht="13.75" customHeight="1">
      <c r="A467" s="482" t="s">
        <v>1381</v>
      </c>
      <c r="B467" s="483" t="s">
        <v>1382</v>
      </c>
      <c r="C467" s="483" t="s">
        <v>1356</v>
      </c>
      <c r="D467" s="484">
        <v>2020</v>
      </c>
      <c r="E467" s="483" t="s">
        <v>361</v>
      </c>
      <c r="F467" s="472" t="s">
        <v>362</v>
      </c>
      <c r="G467" s="472" t="s">
        <v>363</v>
      </c>
      <c r="H467" s="473">
        <v>20231</v>
      </c>
      <c r="I467" s="483" t="s">
        <v>364</v>
      </c>
      <c r="J467" s="472" t="s">
        <v>278</v>
      </c>
      <c r="K467" s="483" t="s">
        <v>279</v>
      </c>
      <c r="L467" s="483" t="s">
        <v>307</v>
      </c>
      <c r="M467" s="483" t="s">
        <v>292</v>
      </c>
      <c r="N467" s="473">
        <v>500</v>
      </c>
      <c r="O467" s="484">
        <v>10</v>
      </c>
      <c r="P467" s="472" t="s">
        <v>365</v>
      </c>
      <c r="Q467" s="483" t="s">
        <v>2188</v>
      </c>
      <c r="R467" s="472" t="s">
        <v>389</v>
      </c>
      <c r="S467" s="474"/>
      <c r="T467" s="474"/>
      <c r="U467" s="475" t="s">
        <v>368</v>
      </c>
      <c r="V467" s="485" t="str">
        <f>CLEAN(TRIM(Table2[[#This Row],[Status]] &amp; "|" &amp; Table2[[#This Row],[Level]] &amp; "|" &amp; Table2[[#This Row],[Participant As]]))</f>
        <v>Narasumber / Pemateri Acara Seminar / Workshop / Pemakalah|External International|Individual</v>
      </c>
      <c r="W467" s="486">
        <f>IFERROR(INDEX(GradingSimkat[Score], MATCH(Table2[[#This Row],[Criteria]], GradingSimkat[Criteria], 0)), 0)</f>
        <v>0</v>
      </c>
    </row>
    <row r="468" spans="1:23" ht="13.75" customHeight="1">
      <c r="A468" s="495" t="s">
        <v>1699</v>
      </c>
      <c r="B468" s="496" t="s">
        <v>1700</v>
      </c>
      <c r="C468" s="496" t="s">
        <v>1684</v>
      </c>
      <c r="D468" s="497">
        <v>2019</v>
      </c>
      <c r="E468" s="496" t="s">
        <v>1701</v>
      </c>
      <c r="F468" s="496" t="s">
        <v>1702</v>
      </c>
      <c r="G468" s="496" t="s">
        <v>1702</v>
      </c>
      <c r="H468" s="497">
        <v>20222</v>
      </c>
      <c r="I468" s="496" t="s">
        <v>1703</v>
      </c>
      <c r="J468" s="496" t="s">
        <v>278</v>
      </c>
      <c r="K468" s="496" t="s">
        <v>2160</v>
      </c>
      <c r="L468" s="496" t="s">
        <v>307</v>
      </c>
      <c r="M468" s="496" t="s">
        <v>281</v>
      </c>
      <c r="N468" s="497">
        <v>3</v>
      </c>
      <c r="O468" s="497">
        <v>40</v>
      </c>
      <c r="P468" s="496" t="s">
        <v>1704</v>
      </c>
      <c r="Q468" s="496" t="s">
        <v>1705</v>
      </c>
      <c r="R468" s="498"/>
      <c r="S468" s="498"/>
      <c r="T468" s="498"/>
      <c r="U468" s="499" t="s">
        <v>1706</v>
      </c>
      <c r="V468" s="481" t="str">
        <f>CLEAN(TRIM(Table2[[#This Row],[Status]] &amp; "|" &amp; Table2[[#This Row],[Level]] &amp; "|" &amp; Table2[[#This Row],[Participant As]]))</f>
        <v>Penulis pertama pada jurnal internasional bereputasi atau jurnal nasional terindeks SINTA 1 dan 2|External International|Team</v>
      </c>
      <c r="W468" s="477">
        <f>IFERROR(INDEX(GradingSimkat[Score], MATCH(Table2[[#This Row],[Criteria]], GradingSimkat[Criteria], 0)), 0)</f>
        <v>5</v>
      </c>
    </row>
  </sheetData>
  <hyperlinks>
    <hyperlink ref="P97" r:id="rId1" xr:uid="{00000000-0004-0000-0300-000000000000}"/>
    <hyperlink ref="Q97" r:id="rId2" xr:uid="{00000000-0004-0000-0300-000001000000}"/>
    <hyperlink ref="R97" r:id="rId3" xr:uid="{00000000-0004-0000-0300-000002000000}"/>
    <hyperlink ref="Q146" r:id="rId4" xr:uid="{00000000-0004-0000-0300-000003000000}"/>
    <hyperlink ref="Q158" r:id="rId5" xr:uid="{00000000-0004-0000-0300-000004000000}"/>
    <hyperlink ref="Q421" r:id="rId6" xr:uid="{00000000-0004-0000-0300-000005000000}"/>
    <hyperlink ref="Q138" r:id="rId7" xr:uid="{00000000-0004-0000-0300-000006000000}"/>
    <hyperlink ref="R138" r:id="rId8" xr:uid="{00000000-0004-0000-0300-000007000000}"/>
    <hyperlink ref="Q465" r:id="rId9" xr:uid="{00000000-0004-0000-0300-000008000000}"/>
    <hyperlink ref="Q271" r:id="rId10" xr:uid="{00000000-0004-0000-0300-000009000000}"/>
    <hyperlink ref="R271" r:id="rId11" xr:uid="{00000000-0004-0000-0300-00000A000000}"/>
    <hyperlink ref="Q261" r:id="rId12" xr:uid="{00000000-0004-0000-0300-00000B000000}"/>
    <hyperlink ref="R261" r:id="rId13" xr:uid="{00000000-0004-0000-0300-00000C000000}"/>
    <hyperlink ref="P262" r:id="rId14" xr:uid="{00000000-0004-0000-0300-00000D000000}"/>
    <hyperlink ref="S262" r:id="rId15" xr:uid="{00000000-0004-0000-0300-00000E000000}"/>
    <hyperlink ref="P263" r:id="rId16" xr:uid="{00000000-0004-0000-0300-00000F000000}"/>
    <hyperlink ref="Q263" r:id="rId17" xr:uid="{00000000-0004-0000-0300-000010000000}"/>
    <hyperlink ref="P4" r:id="rId18" xr:uid="{00000000-0004-0000-0300-000011000000}"/>
    <hyperlink ref="Q4" r:id="rId19" xr:uid="{00000000-0004-0000-0300-000012000000}"/>
    <hyperlink ref="R4" r:id="rId20" xr:uid="{00000000-0004-0000-0300-000013000000}"/>
    <hyperlink ref="P106" r:id="rId21" xr:uid="{00000000-0004-0000-0300-000014000000}"/>
    <hyperlink ref="S106" r:id="rId22" xr:uid="{00000000-0004-0000-0300-000015000000}"/>
    <hyperlink ref="P463" r:id="rId23" xr:uid="{00000000-0004-0000-0300-000016000000}"/>
    <hyperlink ref="Q463" r:id="rId24" xr:uid="{00000000-0004-0000-0300-000017000000}"/>
    <hyperlink ref="R463" r:id="rId25" xr:uid="{00000000-0004-0000-0300-000018000000}"/>
    <hyperlink ref="Q22" r:id="rId26" xr:uid="{00000000-0004-0000-0300-000019000000}"/>
    <hyperlink ref="R22" r:id="rId27" xr:uid="{00000000-0004-0000-0300-00001A000000}"/>
    <hyperlink ref="P23" r:id="rId28" xr:uid="{00000000-0004-0000-0300-00001B000000}"/>
    <hyperlink ref="Q23" r:id="rId29" xr:uid="{00000000-0004-0000-0300-00001C000000}"/>
    <hyperlink ref="R23" r:id="rId30" xr:uid="{00000000-0004-0000-0300-00001D000000}"/>
    <hyperlink ref="Q359" r:id="rId31" xr:uid="{00000000-0004-0000-0300-00001E000000}"/>
    <hyperlink ref="R359" r:id="rId32" xr:uid="{00000000-0004-0000-0300-00001F000000}"/>
    <hyperlink ref="P419" r:id="rId33" xr:uid="{00000000-0004-0000-0300-000020000000}"/>
    <hyperlink ref="Q419" r:id="rId34" xr:uid="{00000000-0004-0000-0300-000021000000}"/>
    <hyperlink ref="R419" r:id="rId35" xr:uid="{00000000-0004-0000-0300-000022000000}"/>
    <hyperlink ref="P396" r:id="rId36" xr:uid="{00000000-0004-0000-0300-000023000000}"/>
    <hyperlink ref="Q396" r:id="rId37" xr:uid="{00000000-0004-0000-0300-000024000000}"/>
    <hyperlink ref="R396" r:id="rId38" xr:uid="{00000000-0004-0000-0300-000025000000}"/>
    <hyperlink ref="P370" r:id="rId39" xr:uid="{00000000-0004-0000-0300-000026000000}"/>
    <hyperlink ref="Q370" r:id="rId40" xr:uid="{00000000-0004-0000-0300-000027000000}"/>
    <hyperlink ref="R370" r:id="rId41" xr:uid="{00000000-0004-0000-0300-000028000000}"/>
    <hyperlink ref="P228" r:id="rId42" xr:uid="{00000000-0004-0000-0300-000029000000}"/>
    <hyperlink ref="Q228" r:id="rId43" xr:uid="{00000000-0004-0000-0300-00002A000000}"/>
    <hyperlink ref="R228" r:id="rId44" xr:uid="{00000000-0004-0000-0300-00002B000000}"/>
    <hyperlink ref="Q98" r:id="rId45" xr:uid="{00000000-0004-0000-0300-00002C000000}"/>
    <hyperlink ref="R98" r:id="rId46" xr:uid="{00000000-0004-0000-0300-00002D000000}"/>
    <hyperlink ref="Q99" r:id="rId47" xr:uid="{00000000-0004-0000-0300-00002E000000}"/>
    <hyperlink ref="R99" r:id="rId48" xr:uid="{00000000-0004-0000-0300-00002F000000}"/>
    <hyperlink ref="P458" r:id="rId49" xr:uid="{00000000-0004-0000-0300-000030000000}"/>
    <hyperlink ref="Q458" r:id="rId50" xr:uid="{00000000-0004-0000-0300-000031000000}"/>
    <hyperlink ref="R458" r:id="rId51" xr:uid="{00000000-0004-0000-0300-000032000000}"/>
    <hyperlink ref="Q139" r:id="rId52" xr:uid="{00000000-0004-0000-0300-000033000000}"/>
    <hyperlink ref="R139" r:id="rId53" xr:uid="{00000000-0004-0000-0300-000034000000}"/>
    <hyperlink ref="P222" r:id="rId54" xr:uid="{00000000-0004-0000-0300-000035000000}"/>
    <hyperlink ref="Q222" r:id="rId55" xr:uid="{00000000-0004-0000-0300-000036000000}"/>
    <hyperlink ref="R222" r:id="rId56" xr:uid="{00000000-0004-0000-0300-000037000000}"/>
    <hyperlink ref="Q87" r:id="rId57" xr:uid="{00000000-0004-0000-0300-000038000000}"/>
    <hyperlink ref="R87" r:id="rId58" xr:uid="{00000000-0004-0000-0300-000039000000}"/>
    <hyperlink ref="Q63" r:id="rId59" xr:uid="{00000000-0004-0000-0300-00003A000000}"/>
    <hyperlink ref="P291" r:id="rId60" xr:uid="{00000000-0004-0000-0300-00003B000000}"/>
    <hyperlink ref="Q291" r:id="rId61" xr:uid="{00000000-0004-0000-0300-00003C000000}"/>
    <hyperlink ref="R291" r:id="rId62" xr:uid="{00000000-0004-0000-0300-00003D000000}"/>
    <hyperlink ref="P141" r:id="rId63" xr:uid="{00000000-0004-0000-0300-00003E000000}"/>
    <hyperlink ref="Q141" r:id="rId64" xr:uid="{00000000-0004-0000-0300-00003F000000}"/>
    <hyperlink ref="R141" r:id="rId65" xr:uid="{00000000-0004-0000-0300-000040000000}"/>
    <hyperlink ref="P277" r:id="rId66" xr:uid="{00000000-0004-0000-0300-000041000000}"/>
    <hyperlink ref="Q277" r:id="rId67" xr:uid="{00000000-0004-0000-0300-000042000000}"/>
    <hyperlink ref="R277" r:id="rId68" xr:uid="{00000000-0004-0000-0300-000043000000}"/>
    <hyperlink ref="P163" r:id="rId69" xr:uid="{00000000-0004-0000-0300-000044000000}"/>
    <hyperlink ref="Q163" r:id="rId70" xr:uid="{00000000-0004-0000-0300-000045000000}"/>
    <hyperlink ref="R163" r:id="rId71" xr:uid="{00000000-0004-0000-0300-000046000000}"/>
    <hyperlink ref="P316" r:id="rId72" xr:uid="{00000000-0004-0000-0300-000047000000}"/>
    <hyperlink ref="Q316" r:id="rId73" xr:uid="{00000000-0004-0000-0300-000048000000}"/>
    <hyperlink ref="R316" r:id="rId74" xr:uid="{00000000-0004-0000-0300-000049000000}"/>
    <hyperlink ref="P37" r:id="rId75" xr:uid="{00000000-0004-0000-0300-00004A000000}"/>
    <hyperlink ref="Q37" r:id="rId76" xr:uid="{00000000-0004-0000-0300-00004B000000}"/>
    <hyperlink ref="R37" r:id="rId77" xr:uid="{00000000-0004-0000-0300-00004C000000}"/>
    <hyperlink ref="P447" r:id="rId78" xr:uid="{00000000-0004-0000-0300-00004D000000}"/>
    <hyperlink ref="Q447" r:id="rId79" xr:uid="{00000000-0004-0000-0300-00004E000000}"/>
    <hyperlink ref="R447" r:id="rId80" xr:uid="{00000000-0004-0000-0300-00004F000000}"/>
    <hyperlink ref="Q147" r:id="rId81" xr:uid="{00000000-0004-0000-0300-000050000000}"/>
    <hyperlink ref="P346" r:id="rId82" xr:uid="{00000000-0004-0000-0300-000051000000}"/>
    <hyperlink ref="Q346" r:id="rId83" xr:uid="{00000000-0004-0000-0300-000052000000}"/>
    <hyperlink ref="R346" r:id="rId84" xr:uid="{00000000-0004-0000-0300-000053000000}"/>
    <hyperlink ref="P429" r:id="rId85" xr:uid="{00000000-0004-0000-0300-000054000000}"/>
    <hyperlink ref="Q429" r:id="rId86" xr:uid="{00000000-0004-0000-0300-000055000000}"/>
    <hyperlink ref="R429" r:id="rId87" xr:uid="{00000000-0004-0000-0300-000056000000}"/>
    <hyperlink ref="Q390" r:id="rId88" xr:uid="{00000000-0004-0000-0300-000057000000}"/>
    <hyperlink ref="Q391" r:id="rId89" xr:uid="{00000000-0004-0000-0300-000058000000}"/>
    <hyperlink ref="R391" r:id="rId90" xr:uid="{00000000-0004-0000-0300-000059000000}"/>
    <hyperlink ref="P280" r:id="rId91" xr:uid="{00000000-0004-0000-0300-00005A000000}"/>
    <hyperlink ref="Q280" r:id="rId92" xr:uid="{00000000-0004-0000-0300-00005B000000}"/>
    <hyperlink ref="R280" r:id="rId93" xr:uid="{00000000-0004-0000-0300-00005C000000}"/>
    <hyperlink ref="Q406" r:id="rId94" xr:uid="{00000000-0004-0000-0300-00005D000000}"/>
    <hyperlink ref="R406" r:id="rId95" xr:uid="{00000000-0004-0000-0300-00005E000000}"/>
    <hyperlink ref="Q180" r:id="rId96" xr:uid="{00000000-0004-0000-0300-00005F000000}"/>
    <hyperlink ref="Q443" r:id="rId97" xr:uid="{00000000-0004-0000-0300-000060000000}"/>
    <hyperlink ref="R443" r:id="rId98" xr:uid="{00000000-0004-0000-0300-000061000000}"/>
    <hyperlink ref="Q297" r:id="rId99" xr:uid="{00000000-0004-0000-0300-000062000000}"/>
    <hyperlink ref="R297" r:id="rId100" xr:uid="{00000000-0004-0000-0300-000063000000}"/>
    <hyperlink ref="P25" r:id="rId101" xr:uid="{00000000-0004-0000-0300-000064000000}"/>
    <hyperlink ref="Q25" r:id="rId102" xr:uid="{00000000-0004-0000-0300-000065000000}"/>
    <hyperlink ref="R25" r:id="rId103" xr:uid="{00000000-0004-0000-0300-000066000000}"/>
    <hyperlink ref="P12" r:id="rId104" xr:uid="{00000000-0004-0000-0300-000067000000}"/>
    <hyperlink ref="Q12" r:id="rId105" xr:uid="{00000000-0004-0000-0300-000068000000}"/>
    <hyperlink ref="R12" r:id="rId106" xr:uid="{00000000-0004-0000-0300-000069000000}"/>
    <hyperlink ref="P164" r:id="rId107" xr:uid="{00000000-0004-0000-0300-00006A000000}"/>
    <hyperlink ref="Q164" r:id="rId108" xr:uid="{00000000-0004-0000-0300-00006B000000}"/>
    <hyperlink ref="R164" r:id="rId109" xr:uid="{00000000-0004-0000-0300-00006C000000}"/>
    <hyperlink ref="Q339" r:id="rId110" xr:uid="{00000000-0004-0000-0300-00006D000000}"/>
    <hyperlink ref="R339" r:id="rId111" xr:uid="{00000000-0004-0000-0300-00006E000000}"/>
    <hyperlink ref="P85" r:id="rId112" xr:uid="{00000000-0004-0000-0300-00006F000000}"/>
    <hyperlink ref="Q85" r:id="rId113" xr:uid="{00000000-0004-0000-0300-000070000000}"/>
    <hyperlink ref="P340" r:id="rId114" xr:uid="{00000000-0004-0000-0300-000071000000}"/>
    <hyperlink ref="Q340" r:id="rId115" xr:uid="{00000000-0004-0000-0300-000072000000}"/>
    <hyperlink ref="R340" r:id="rId116" xr:uid="{00000000-0004-0000-0300-000073000000}"/>
    <hyperlink ref="P7" r:id="rId117" xr:uid="{00000000-0004-0000-0300-000074000000}"/>
    <hyperlink ref="Q7" r:id="rId118" xr:uid="{00000000-0004-0000-0300-000075000000}"/>
    <hyperlink ref="R7" r:id="rId119" xr:uid="{00000000-0004-0000-0300-000076000000}"/>
    <hyperlink ref="P349" r:id="rId120" xr:uid="{00000000-0004-0000-0300-000077000000}"/>
    <hyperlink ref="Q349" r:id="rId121" xr:uid="{00000000-0004-0000-0300-000078000000}"/>
    <hyperlink ref="R349" r:id="rId122" xr:uid="{00000000-0004-0000-0300-000079000000}"/>
    <hyperlink ref="P404" r:id="rId123" xr:uid="{00000000-0004-0000-0300-00007A000000}"/>
    <hyperlink ref="Q404" r:id="rId124" xr:uid="{00000000-0004-0000-0300-00007B000000}"/>
    <hyperlink ref="R404" r:id="rId125" xr:uid="{00000000-0004-0000-0300-00007C000000}"/>
    <hyperlink ref="P160" r:id="rId126" xr:uid="{00000000-0004-0000-0300-00007D000000}"/>
    <hyperlink ref="Q160" r:id="rId127" xr:uid="{00000000-0004-0000-0300-00007E000000}"/>
    <hyperlink ref="R160" r:id="rId128" xr:uid="{00000000-0004-0000-0300-00007F000000}"/>
    <hyperlink ref="Q363" r:id="rId129" xr:uid="{00000000-0004-0000-0300-000080000000}"/>
    <hyperlink ref="R363" r:id="rId130" xr:uid="{00000000-0004-0000-0300-000081000000}"/>
    <hyperlink ref="P364" r:id="rId131" xr:uid="{00000000-0004-0000-0300-000082000000}"/>
    <hyperlink ref="Q364" r:id="rId132" xr:uid="{00000000-0004-0000-0300-000083000000}"/>
    <hyperlink ref="R364" r:id="rId133" xr:uid="{00000000-0004-0000-0300-000084000000}"/>
    <hyperlink ref="P285" r:id="rId134" xr:uid="{00000000-0004-0000-0300-000085000000}"/>
    <hyperlink ref="Q285" r:id="rId135" xr:uid="{00000000-0004-0000-0300-000086000000}"/>
    <hyperlink ref="R285" r:id="rId136" xr:uid="{00000000-0004-0000-0300-000087000000}"/>
    <hyperlink ref="P129" r:id="rId137" xr:uid="{00000000-0004-0000-0300-000088000000}"/>
    <hyperlink ref="Q129" r:id="rId138" xr:uid="{00000000-0004-0000-0300-000089000000}"/>
    <hyperlink ref="R129" r:id="rId139" xr:uid="{00000000-0004-0000-0300-00008A000000}"/>
    <hyperlink ref="P372" r:id="rId140" xr:uid="{00000000-0004-0000-0300-00008B000000}"/>
    <hyperlink ref="Q372" r:id="rId141" xr:uid="{00000000-0004-0000-0300-00008C000000}"/>
    <hyperlink ref="R372" r:id="rId142" xr:uid="{00000000-0004-0000-0300-00008D000000}"/>
    <hyperlink ref="Q148" r:id="rId143" xr:uid="{00000000-0004-0000-0300-00008E000000}"/>
    <hyperlink ref="P149" r:id="rId144" xr:uid="{00000000-0004-0000-0300-00008F000000}"/>
    <hyperlink ref="Q149" r:id="rId145" xr:uid="{00000000-0004-0000-0300-000090000000}"/>
    <hyperlink ref="R149" r:id="rId146" xr:uid="{00000000-0004-0000-0300-000091000000}"/>
    <hyperlink ref="P289" r:id="rId147" xr:uid="{00000000-0004-0000-0300-000092000000}"/>
    <hyperlink ref="Q289" r:id="rId148" xr:uid="{00000000-0004-0000-0300-000093000000}"/>
    <hyperlink ref="R289" r:id="rId149" xr:uid="{00000000-0004-0000-0300-000094000000}"/>
    <hyperlink ref="P195" r:id="rId150" xr:uid="{00000000-0004-0000-0300-000095000000}"/>
    <hyperlink ref="Q195" r:id="rId151" xr:uid="{00000000-0004-0000-0300-000096000000}"/>
    <hyperlink ref="Q196" r:id="rId152" xr:uid="{00000000-0004-0000-0300-000097000000}"/>
    <hyperlink ref="R196" r:id="rId153" xr:uid="{00000000-0004-0000-0300-000098000000}"/>
    <hyperlink ref="Q197" r:id="rId154" xr:uid="{00000000-0004-0000-0300-000099000000}"/>
    <hyperlink ref="P65" r:id="rId155" xr:uid="{00000000-0004-0000-0300-00009A000000}"/>
    <hyperlink ref="Q65" r:id="rId156" xr:uid="{00000000-0004-0000-0300-00009B000000}"/>
    <hyperlink ref="R65" r:id="rId157" xr:uid="{00000000-0004-0000-0300-00009C000000}"/>
    <hyperlink ref="P165" r:id="rId158" xr:uid="{00000000-0004-0000-0300-00009D000000}"/>
    <hyperlink ref="Q165" r:id="rId159" xr:uid="{00000000-0004-0000-0300-00009E000000}"/>
    <hyperlink ref="R165" r:id="rId160" xr:uid="{00000000-0004-0000-0300-00009F000000}"/>
    <hyperlink ref="P444" r:id="rId161" xr:uid="{00000000-0004-0000-0300-0000A0000000}"/>
    <hyperlink ref="Q444" r:id="rId162" xr:uid="{00000000-0004-0000-0300-0000A1000000}"/>
    <hyperlink ref="R444" r:id="rId163" xr:uid="{00000000-0004-0000-0300-0000A2000000}"/>
    <hyperlink ref="P92" r:id="rId164" xr:uid="{00000000-0004-0000-0300-0000A3000000}"/>
    <hyperlink ref="Q92" r:id="rId165" xr:uid="{00000000-0004-0000-0300-0000A4000000}"/>
    <hyperlink ref="R92" r:id="rId166" xr:uid="{00000000-0004-0000-0300-0000A5000000}"/>
    <hyperlink ref="S93" r:id="rId167" xr:uid="{00000000-0004-0000-0300-0000A6000000}"/>
    <hyperlink ref="P20" r:id="rId168" xr:uid="{00000000-0004-0000-0300-0000A7000000}"/>
    <hyperlink ref="Q20" r:id="rId169" xr:uid="{00000000-0004-0000-0300-0000A8000000}"/>
    <hyperlink ref="R20" r:id="rId170" xr:uid="{00000000-0004-0000-0300-0000A9000000}"/>
    <hyperlink ref="P323" r:id="rId171" xr:uid="{00000000-0004-0000-0300-0000AA000000}"/>
    <hyperlink ref="Q323" r:id="rId172" xr:uid="{00000000-0004-0000-0300-0000AB000000}"/>
    <hyperlink ref="R323" r:id="rId173" xr:uid="{00000000-0004-0000-0300-0000AC000000}"/>
    <hyperlink ref="P377" r:id="rId174" xr:uid="{00000000-0004-0000-0300-0000AD000000}"/>
    <hyperlink ref="Q377" r:id="rId175" xr:uid="{00000000-0004-0000-0300-0000AE000000}"/>
    <hyperlink ref="R377" r:id="rId176" xr:uid="{00000000-0004-0000-0300-0000AF000000}"/>
    <hyperlink ref="P227" r:id="rId177" xr:uid="{00000000-0004-0000-0300-0000B0000000}"/>
    <hyperlink ref="Q227" r:id="rId178" xr:uid="{00000000-0004-0000-0300-0000B1000000}"/>
    <hyperlink ref="R227" r:id="rId179" xr:uid="{00000000-0004-0000-0300-0000B2000000}"/>
    <hyperlink ref="P430" r:id="rId180" xr:uid="{00000000-0004-0000-0300-0000B3000000}"/>
    <hyperlink ref="Q430" r:id="rId181" xr:uid="{00000000-0004-0000-0300-0000B4000000}"/>
    <hyperlink ref="R430" r:id="rId182" xr:uid="{00000000-0004-0000-0300-0000B5000000}"/>
    <hyperlink ref="P40" r:id="rId183" xr:uid="{00000000-0004-0000-0300-0000B6000000}"/>
    <hyperlink ref="Q40" r:id="rId184" xr:uid="{00000000-0004-0000-0300-0000B7000000}"/>
    <hyperlink ref="R40" r:id="rId185" xr:uid="{00000000-0004-0000-0300-0000B8000000}"/>
    <hyperlink ref="P345" r:id="rId186" xr:uid="{00000000-0004-0000-0300-0000B9000000}"/>
    <hyperlink ref="Q345" r:id="rId187" xr:uid="{00000000-0004-0000-0300-0000BA000000}"/>
    <hyperlink ref="R345" r:id="rId188" xr:uid="{00000000-0004-0000-0300-0000BB000000}"/>
    <hyperlink ref="P224" r:id="rId189" xr:uid="{00000000-0004-0000-0300-0000BC000000}"/>
    <hyperlink ref="Q224" r:id="rId190" xr:uid="{00000000-0004-0000-0300-0000BD000000}"/>
    <hyperlink ref="R224" r:id="rId191" xr:uid="{00000000-0004-0000-0300-0000BE000000}"/>
    <hyperlink ref="P304" r:id="rId192" xr:uid="{00000000-0004-0000-0300-0000BF000000}"/>
    <hyperlink ref="Q304" r:id="rId193" xr:uid="{00000000-0004-0000-0300-0000C0000000}"/>
    <hyperlink ref="R304" r:id="rId194" xr:uid="{00000000-0004-0000-0300-0000C1000000}"/>
    <hyperlink ref="P311" r:id="rId195" xr:uid="{00000000-0004-0000-0300-0000C2000000}"/>
    <hyperlink ref="Q311" r:id="rId196" xr:uid="{00000000-0004-0000-0300-0000C3000000}"/>
    <hyperlink ref="R311" r:id="rId197" xr:uid="{00000000-0004-0000-0300-0000C4000000}"/>
    <hyperlink ref="P131" r:id="rId198" xr:uid="{00000000-0004-0000-0300-0000C5000000}"/>
    <hyperlink ref="Q131" r:id="rId199" xr:uid="{00000000-0004-0000-0300-0000C6000000}"/>
    <hyperlink ref="R131" r:id="rId200" xr:uid="{00000000-0004-0000-0300-0000C7000000}"/>
    <hyperlink ref="P46" r:id="rId201" xr:uid="{00000000-0004-0000-0300-0000C8000000}"/>
    <hyperlink ref="Q46" r:id="rId202" xr:uid="{00000000-0004-0000-0300-0000C9000000}"/>
    <hyperlink ref="R46" r:id="rId203" xr:uid="{00000000-0004-0000-0300-0000CA000000}"/>
    <hyperlink ref="P292" r:id="rId204" xr:uid="{00000000-0004-0000-0300-0000CB000000}"/>
    <hyperlink ref="Q292" r:id="rId205" xr:uid="{00000000-0004-0000-0300-0000CC000000}"/>
    <hyperlink ref="R292" r:id="rId206" xr:uid="{00000000-0004-0000-0300-0000CD000000}"/>
    <hyperlink ref="P143" r:id="rId207" xr:uid="{00000000-0004-0000-0300-0000CE000000}"/>
    <hyperlink ref="Q143" r:id="rId208" xr:uid="{00000000-0004-0000-0300-0000CF000000}"/>
    <hyperlink ref="R143" r:id="rId209" xr:uid="{00000000-0004-0000-0300-0000D0000000}"/>
    <hyperlink ref="P451" r:id="rId210" xr:uid="{00000000-0004-0000-0300-0000D1000000}"/>
    <hyperlink ref="Q451" r:id="rId211" xr:uid="{00000000-0004-0000-0300-0000D2000000}"/>
    <hyperlink ref="R451" r:id="rId212" xr:uid="{00000000-0004-0000-0300-0000D3000000}"/>
    <hyperlink ref="P412" r:id="rId213" xr:uid="{00000000-0004-0000-0300-0000D4000000}"/>
    <hyperlink ref="Q412" r:id="rId214" xr:uid="{00000000-0004-0000-0300-0000D5000000}"/>
    <hyperlink ref="R412" r:id="rId215" xr:uid="{00000000-0004-0000-0300-0000D6000000}"/>
    <hyperlink ref="P267" r:id="rId216" xr:uid="{00000000-0004-0000-0300-0000D7000000}"/>
    <hyperlink ref="Q267" r:id="rId217" xr:uid="{00000000-0004-0000-0300-0000D8000000}"/>
    <hyperlink ref="R267" r:id="rId218" xr:uid="{00000000-0004-0000-0300-0000D9000000}"/>
    <hyperlink ref="P154" r:id="rId219" xr:uid="{00000000-0004-0000-0300-0000DA000000}"/>
    <hyperlink ref="Q154" r:id="rId220" xr:uid="{00000000-0004-0000-0300-0000DB000000}"/>
    <hyperlink ref="R154" r:id="rId221" xr:uid="{00000000-0004-0000-0300-0000DC000000}"/>
    <hyperlink ref="P287" r:id="rId222" xr:uid="{00000000-0004-0000-0300-0000DD000000}"/>
    <hyperlink ref="Q287" r:id="rId223" xr:uid="{00000000-0004-0000-0300-0000DE000000}"/>
    <hyperlink ref="R287" r:id="rId224" xr:uid="{00000000-0004-0000-0300-0000DF000000}"/>
    <hyperlink ref="P218" r:id="rId225" xr:uid="{00000000-0004-0000-0300-0000E0000000}"/>
    <hyperlink ref="Q218" r:id="rId226" xr:uid="{00000000-0004-0000-0300-0000E1000000}"/>
    <hyperlink ref="R218" r:id="rId227" xr:uid="{00000000-0004-0000-0300-0000E2000000}"/>
    <hyperlink ref="P172" r:id="rId228" xr:uid="{00000000-0004-0000-0300-0000E3000000}"/>
    <hyperlink ref="Q172" r:id="rId229" xr:uid="{00000000-0004-0000-0300-0000E4000000}"/>
    <hyperlink ref="R172" r:id="rId230" xr:uid="{00000000-0004-0000-0300-0000E5000000}"/>
    <hyperlink ref="P455" r:id="rId231" xr:uid="{00000000-0004-0000-0300-0000E6000000}"/>
    <hyperlink ref="Q455" r:id="rId232" xr:uid="{00000000-0004-0000-0300-0000E7000000}"/>
    <hyperlink ref="R455" r:id="rId233" xr:uid="{00000000-0004-0000-0300-0000E8000000}"/>
    <hyperlink ref="P226" r:id="rId234" xr:uid="{00000000-0004-0000-0300-0000E9000000}"/>
    <hyperlink ref="Q226" r:id="rId235" xr:uid="{00000000-0004-0000-0300-0000EA000000}"/>
    <hyperlink ref="R226" r:id="rId236" xr:uid="{00000000-0004-0000-0300-0000EB000000}"/>
    <hyperlink ref="P35" r:id="rId237" xr:uid="{00000000-0004-0000-0300-0000EC000000}"/>
    <hyperlink ref="Q35" r:id="rId238" xr:uid="{00000000-0004-0000-0300-0000ED000000}"/>
    <hyperlink ref="R35" r:id="rId239" xr:uid="{00000000-0004-0000-0300-0000EE000000}"/>
    <hyperlink ref="P290" r:id="rId240" xr:uid="{00000000-0004-0000-0300-0000EF000000}"/>
    <hyperlink ref="Q290" r:id="rId241" xr:uid="{00000000-0004-0000-0300-0000F0000000}"/>
    <hyperlink ref="R290" r:id="rId242" xr:uid="{00000000-0004-0000-0300-0000F1000000}"/>
    <hyperlink ref="P16" r:id="rId243" xr:uid="{00000000-0004-0000-0300-0000F2000000}"/>
    <hyperlink ref="Q16" r:id="rId244" xr:uid="{00000000-0004-0000-0300-0000F3000000}"/>
    <hyperlink ref="R16" r:id="rId245" xr:uid="{00000000-0004-0000-0300-0000F4000000}"/>
    <hyperlink ref="P281" r:id="rId246" xr:uid="{00000000-0004-0000-0300-0000F5000000}"/>
    <hyperlink ref="Q281" r:id="rId247" xr:uid="{00000000-0004-0000-0300-0000F6000000}"/>
    <hyperlink ref="R281" r:id="rId248" xr:uid="{00000000-0004-0000-0300-0000F7000000}"/>
    <hyperlink ref="P171" r:id="rId249" xr:uid="{00000000-0004-0000-0300-0000F8000000}"/>
    <hyperlink ref="Q171" r:id="rId250" xr:uid="{00000000-0004-0000-0300-0000F9000000}"/>
    <hyperlink ref="R171" r:id="rId251" xr:uid="{00000000-0004-0000-0300-0000FA000000}"/>
    <hyperlink ref="P274" r:id="rId252" xr:uid="{00000000-0004-0000-0300-0000FB000000}"/>
    <hyperlink ref="Q274" r:id="rId253" xr:uid="{00000000-0004-0000-0300-0000FC000000}"/>
    <hyperlink ref="R274" r:id="rId254" xr:uid="{00000000-0004-0000-0300-0000FD000000}"/>
    <hyperlink ref="P136" r:id="rId255" xr:uid="{00000000-0004-0000-0300-0000FE000000}"/>
    <hyperlink ref="Q136" r:id="rId256" xr:uid="{00000000-0004-0000-0300-0000FF000000}"/>
    <hyperlink ref="R136" r:id="rId257" xr:uid="{00000000-0004-0000-0300-000000010000}"/>
    <hyperlink ref="P108" r:id="rId258" xr:uid="{00000000-0004-0000-0300-000001010000}"/>
    <hyperlink ref="Q108" r:id="rId259" xr:uid="{00000000-0004-0000-0300-000002010000}"/>
    <hyperlink ref="R108" r:id="rId260" xr:uid="{00000000-0004-0000-0300-000003010000}"/>
    <hyperlink ref="P168" r:id="rId261" xr:uid="{00000000-0004-0000-0300-000004010000}"/>
    <hyperlink ref="Q168" r:id="rId262" xr:uid="{00000000-0004-0000-0300-000005010000}"/>
    <hyperlink ref="R168" r:id="rId263" xr:uid="{00000000-0004-0000-0300-000006010000}"/>
    <hyperlink ref="P347" r:id="rId264" xr:uid="{00000000-0004-0000-0300-000007010000}"/>
    <hyperlink ref="Q347" r:id="rId265" xr:uid="{00000000-0004-0000-0300-000008010000}"/>
    <hyperlink ref="R347" r:id="rId266" xr:uid="{00000000-0004-0000-0300-000009010000}"/>
    <hyperlink ref="P321" r:id="rId267" xr:uid="{00000000-0004-0000-0300-00000A010000}"/>
    <hyperlink ref="Q321" r:id="rId268" xr:uid="{00000000-0004-0000-0300-00000B010000}"/>
    <hyperlink ref="R321" r:id="rId269" xr:uid="{00000000-0004-0000-0300-00000C010000}"/>
    <hyperlink ref="P90" r:id="rId270" xr:uid="{00000000-0004-0000-0300-00000D010000}"/>
    <hyperlink ref="Q90" r:id="rId271" xr:uid="{00000000-0004-0000-0300-00000E010000}"/>
    <hyperlink ref="R90" r:id="rId272" xr:uid="{00000000-0004-0000-0300-00000F010000}"/>
    <hyperlink ref="P216" r:id="rId273" xr:uid="{00000000-0004-0000-0300-000010010000}"/>
    <hyperlink ref="Q216" r:id="rId274" xr:uid="{00000000-0004-0000-0300-000011010000}"/>
    <hyperlink ref="R216" r:id="rId275" xr:uid="{00000000-0004-0000-0300-000012010000}"/>
    <hyperlink ref="P378" r:id="rId276" xr:uid="{00000000-0004-0000-0300-000013010000}"/>
    <hyperlink ref="Q378" r:id="rId277" xr:uid="{00000000-0004-0000-0300-000014010000}"/>
    <hyperlink ref="R378" r:id="rId278" xr:uid="{00000000-0004-0000-0300-000015010000}"/>
    <hyperlink ref="P273" r:id="rId279" xr:uid="{00000000-0004-0000-0300-000016010000}"/>
    <hyperlink ref="Q273" r:id="rId280" xr:uid="{00000000-0004-0000-0300-000017010000}"/>
    <hyperlink ref="R273" r:id="rId281" xr:uid="{00000000-0004-0000-0300-000018010000}"/>
    <hyperlink ref="P120" r:id="rId282" xr:uid="{00000000-0004-0000-0300-000019010000}"/>
    <hyperlink ref="Q120" r:id="rId283" xr:uid="{00000000-0004-0000-0300-00001A010000}"/>
    <hyperlink ref="R120" r:id="rId284" xr:uid="{00000000-0004-0000-0300-00001B010000}"/>
    <hyperlink ref="Q275" r:id="rId285" xr:uid="{00000000-0004-0000-0300-00001C010000}"/>
    <hyperlink ref="R275" r:id="rId286" xr:uid="{00000000-0004-0000-0300-00001D010000}"/>
    <hyperlink ref="P365" r:id="rId287" xr:uid="{00000000-0004-0000-0300-00001E010000}"/>
    <hyperlink ref="Q365" r:id="rId288" xr:uid="{00000000-0004-0000-0300-00001F010000}"/>
    <hyperlink ref="R365" r:id="rId289" xr:uid="{00000000-0004-0000-0300-000020010000}"/>
    <hyperlink ref="P229" r:id="rId290" xr:uid="{00000000-0004-0000-0300-000021010000}"/>
    <hyperlink ref="Q229" r:id="rId291" xr:uid="{00000000-0004-0000-0300-000022010000}"/>
    <hyperlink ref="R229" r:id="rId292" xr:uid="{00000000-0004-0000-0300-000023010000}"/>
    <hyperlink ref="P343" r:id="rId293" xr:uid="{00000000-0004-0000-0300-000024010000}"/>
    <hyperlink ref="Q343" r:id="rId294" xr:uid="{00000000-0004-0000-0300-000025010000}"/>
    <hyperlink ref="R343" r:id="rId295" xr:uid="{00000000-0004-0000-0300-000026010000}"/>
    <hyperlink ref="P102" r:id="rId296" xr:uid="{00000000-0004-0000-0300-000027010000}"/>
    <hyperlink ref="Q102" r:id="rId297" xr:uid="{00000000-0004-0000-0300-000028010000}"/>
    <hyperlink ref="R102" r:id="rId298" xr:uid="{00000000-0004-0000-0300-000029010000}"/>
    <hyperlink ref="P109" r:id="rId299" xr:uid="{00000000-0004-0000-0300-00002A010000}"/>
    <hyperlink ref="Q109" r:id="rId300" xr:uid="{00000000-0004-0000-0300-00002B010000}"/>
    <hyperlink ref="R109" r:id="rId301" xr:uid="{00000000-0004-0000-0300-00002C010000}"/>
    <hyperlink ref="P184" r:id="rId302" xr:uid="{00000000-0004-0000-0300-00002D010000}"/>
    <hyperlink ref="Q184" r:id="rId303" xr:uid="{00000000-0004-0000-0300-00002E010000}"/>
    <hyperlink ref="R184" r:id="rId304" xr:uid="{00000000-0004-0000-0300-00002F010000}"/>
    <hyperlink ref="P223" r:id="rId305" xr:uid="{00000000-0004-0000-0300-000030010000}"/>
    <hyperlink ref="Q223" r:id="rId306" xr:uid="{00000000-0004-0000-0300-000031010000}"/>
    <hyperlink ref="R223" r:id="rId307" xr:uid="{00000000-0004-0000-0300-000032010000}"/>
    <hyperlink ref="P272" r:id="rId308" xr:uid="{00000000-0004-0000-0300-000033010000}"/>
    <hyperlink ref="Q272" r:id="rId309" xr:uid="{00000000-0004-0000-0300-000034010000}"/>
    <hyperlink ref="R272" r:id="rId310" xr:uid="{00000000-0004-0000-0300-000035010000}"/>
    <hyperlink ref="P417" r:id="rId311" xr:uid="{00000000-0004-0000-0300-000036010000}"/>
    <hyperlink ref="Q417" r:id="rId312" xr:uid="{00000000-0004-0000-0300-000037010000}"/>
    <hyperlink ref="R417" r:id="rId313" xr:uid="{00000000-0004-0000-0300-000038010000}"/>
    <hyperlink ref="P305" r:id="rId314" xr:uid="{00000000-0004-0000-0300-000039010000}"/>
    <hyperlink ref="Q305" r:id="rId315" xr:uid="{00000000-0004-0000-0300-00003A010000}"/>
    <hyperlink ref="R305" r:id="rId316" xr:uid="{00000000-0004-0000-0300-00003B010000}"/>
    <hyperlink ref="P299" r:id="rId317" xr:uid="{00000000-0004-0000-0300-00003C010000}"/>
    <hyperlink ref="Q299" r:id="rId318" xr:uid="{00000000-0004-0000-0300-00003D010000}"/>
    <hyperlink ref="R299" r:id="rId319" xr:uid="{00000000-0004-0000-0300-00003E010000}"/>
    <hyperlink ref="P95" r:id="rId320" xr:uid="{00000000-0004-0000-0300-00003F010000}"/>
    <hyperlink ref="Q95" r:id="rId321" xr:uid="{00000000-0004-0000-0300-000040010000}"/>
    <hyperlink ref="R95" r:id="rId322" xr:uid="{00000000-0004-0000-0300-000041010000}"/>
    <hyperlink ref="P145" r:id="rId323" xr:uid="{00000000-0004-0000-0300-000042010000}"/>
    <hyperlink ref="Q145" r:id="rId324" xr:uid="{00000000-0004-0000-0300-000043010000}"/>
    <hyperlink ref="R145" r:id="rId325" xr:uid="{00000000-0004-0000-0300-000044010000}"/>
    <hyperlink ref="P36" r:id="rId326" xr:uid="{00000000-0004-0000-0300-000045010000}"/>
    <hyperlink ref="Q36" r:id="rId327" xr:uid="{00000000-0004-0000-0300-000046010000}"/>
    <hyperlink ref="R36" r:id="rId328" xr:uid="{00000000-0004-0000-0300-000047010000}"/>
    <hyperlink ref="P360" r:id="rId329" xr:uid="{00000000-0004-0000-0300-000048010000}"/>
    <hyperlink ref="Q360" r:id="rId330" xr:uid="{00000000-0004-0000-0300-000049010000}"/>
    <hyperlink ref="R360" r:id="rId331" xr:uid="{00000000-0004-0000-0300-00004A010000}"/>
    <hyperlink ref="Q312" r:id="rId332" xr:uid="{00000000-0004-0000-0300-00004B010000}"/>
    <hyperlink ref="R312" r:id="rId333" xr:uid="{00000000-0004-0000-0300-00004C010000}"/>
    <hyperlink ref="P313" r:id="rId334" xr:uid="{00000000-0004-0000-0300-00004D010000}"/>
    <hyperlink ref="Q313" r:id="rId335" xr:uid="{00000000-0004-0000-0300-00004E010000}"/>
    <hyperlink ref="R313" r:id="rId336" xr:uid="{00000000-0004-0000-0300-00004F010000}"/>
    <hyperlink ref="P198" r:id="rId337" xr:uid="{00000000-0004-0000-0300-000050010000}"/>
    <hyperlink ref="Q198" r:id="rId338" xr:uid="{00000000-0004-0000-0300-000051010000}"/>
    <hyperlink ref="R198" r:id="rId339" xr:uid="{00000000-0004-0000-0300-000052010000}"/>
    <hyperlink ref="P125" r:id="rId340" xr:uid="{00000000-0004-0000-0300-000053010000}"/>
    <hyperlink ref="Q125" r:id="rId341" xr:uid="{00000000-0004-0000-0300-000054010000}"/>
    <hyperlink ref="R125" r:id="rId342" xr:uid="{00000000-0004-0000-0300-000055010000}"/>
    <hyperlink ref="P425" r:id="rId343" xr:uid="{00000000-0004-0000-0300-000056010000}"/>
    <hyperlink ref="Q425" r:id="rId344" xr:uid="{00000000-0004-0000-0300-000057010000}"/>
    <hyperlink ref="R425" r:id="rId345" xr:uid="{00000000-0004-0000-0300-000058010000}"/>
    <hyperlink ref="P55" r:id="rId346" xr:uid="{00000000-0004-0000-0300-000059010000}"/>
    <hyperlink ref="Q55" r:id="rId347" xr:uid="{00000000-0004-0000-0300-00005A010000}"/>
    <hyperlink ref="R55" r:id="rId348" xr:uid="{00000000-0004-0000-0300-00005B010000}"/>
    <hyperlink ref="P403" r:id="rId349" xr:uid="{00000000-0004-0000-0300-00005C010000}"/>
    <hyperlink ref="Q403" r:id="rId350" xr:uid="{00000000-0004-0000-0300-00005D010000}"/>
    <hyperlink ref="R403" r:id="rId351" xr:uid="{00000000-0004-0000-0300-00005E010000}"/>
    <hyperlink ref="P76" r:id="rId352" xr:uid="{00000000-0004-0000-0300-00005F010000}"/>
    <hyperlink ref="Q76" r:id="rId353" xr:uid="{00000000-0004-0000-0300-000060010000}"/>
    <hyperlink ref="R76" r:id="rId354" xr:uid="{00000000-0004-0000-0300-000061010000}"/>
    <hyperlink ref="P296" r:id="rId355" xr:uid="{00000000-0004-0000-0300-000062010000}"/>
    <hyperlink ref="Q296" r:id="rId356" xr:uid="{00000000-0004-0000-0300-000063010000}"/>
    <hyperlink ref="R296" r:id="rId357" xr:uid="{00000000-0004-0000-0300-000064010000}"/>
    <hyperlink ref="P43" r:id="rId358" xr:uid="{00000000-0004-0000-0300-000065010000}"/>
    <hyperlink ref="Q43" r:id="rId359" xr:uid="{00000000-0004-0000-0300-000066010000}"/>
    <hyperlink ref="R43" r:id="rId360" xr:uid="{00000000-0004-0000-0300-000067010000}"/>
    <hyperlink ref="P232" r:id="rId361" xr:uid="{00000000-0004-0000-0300-000068010000}"/>
    <hyperlink ref="Q232" r:id="rId362" xr:uid="{00000000-0004-0000-0300-000069010000}"/>
    <hyperlink ref="R232" r:id="rId363" xr:uid="{00000000-0004-0000-0300-00006A010000}"/>
    <hyperlink ref="P246" r:id="rId364" xr:uid="{00000000-0004-0000-0300-00006B010000}"/>
    <hyperlink ref="Q246" r:id="rId365" xr:uid="{00000000-0004-0000-0300-00006C010000}"/>
    <hyperlink ref="R246" r:id="rId366" xr:uid="{00000000-0004-0000-0300-00006D010000}"/>
    <hyperlink ref="P69" r:id="rId367" xr:uid="{00000000-0004-0000-0300-00006E010000}"/>
    <hyperlink ref="Q69" r:id="rId368" xr:uid="{00000000-0004-0000-0300-00006F010000}"/>
    <hyperlink ref="R69" r:id="rId369" xr:uid="{00000000-0004-0000-0300-000070010000}"/>
    <hyperlink ref="P88" r:id="rId370" xr:uid="{00000000-0004-0000-0300-000071010000}"/>
    <hyperlink ref="Q88" r:id="rId371" xr:uid="{00000000-0004-0000-0300-000072010000}"/>
    <hyperlink ref="R88" r:id="rId372" xr:uid="{00000000-0004-0000-0300-000073010000}"/>
    <hyperlink ref="P179" r:id="rId373" xr:uid="{00000000-0004-0000-0300-000074010000}"/>
    <hyperlink ref="Q179" r:id="rId374" xr:uid="{00000000-0004-0000-0300-000075010000}"/>
    <hyperlink ref="R179" r:id="rId375" xr:uid="{00000000-0004-0000-0300-000076010000}"/>
    <hyperlink ref="P132" r:id="rId376" xr:uid="{00000000-0004-0000-0300-000077010000}"/>
    <hyperlink ref="Q132" r:id="rId377" xr:uid="{00000000-0004-0000-0300-000078010000}"/>
    <hyperlink ref="R132" r:id="rId378" xr:uid="{00000000-0004-0000-0300-000079010000}"/>
    <hyperlink ref="P6" r:id="rId379" xr:uid="{00000000-0004-0000-0300-00007A010000}"/>
    <hyperlink ref="Q6" r:id="rId380" xr:uid="{00000000-0004-0000-0300-00007B010000}"/>
    <hyperlink ref="R6" r:id="rId381" xr:uid="{00000000-0004-0000-0300-00007C010000}"/>
    <hyperlink ref="P338" r:id="rId382" xr:uid="{00000000-0004-0000-0300-00007D010000}"/>
    <hyperlink ref="Q338" r:id="rId383" xr:uid="{00000000-0004-0000-0300-00007E010000}"/>
    <hyperlink ref="R338" r:id="rId384" xr:uid="{00000000-0004-0000-0300-00007F010000}"/>
    <hyperlink ref="P252" r:id="rId385" xr:uid="{00000000-0004-0000-0300-000080010000}"/>
    <hyperlink ref="Q252" r:id="rId386" xr:uid="{00000000-0004-0000-0300-000081010000}"/>
    <hyperlink ref="R252" r:id="rId387" xr:uid="{00000000-0004-0000-0300-000082010000}"/>
    <hyperlink ref="P81" r:id="rId388" xr:uid="{00000000-0004-0000-0300-000083010000}"/>
    <hyperlink ref="Q81" r:id="rId389" xr:uid="{00000000-0004-0000-0300-000084010000}"/>
    <hyperlink ref="R81" r:id="rId390" xr:uid="{00000000-0004-0000-0300-000085010000}"/>
    <hyperlink ref="P57" r:id="rId391" xr:uid="{00000000-0004-0000-0300-000086010000}"/>
    <hyperlink ref="Q57" r:id="rId392" xr:uid="{00000000-0004-0000-0300-000087010000}"/>
    <hyperlink ref="R57" r:id="rId393" xr:uid="{00000000-0004-0000-0300-000088010000}"/>
    <hyperlink ref="P306" r:id="rId394" xr:uid="{00000000-0004-0000-0300-000089010000}"/>
    <hyperlink ref="Q306" r:id="rId395" xr:uid="{00000000-0004-0000-0300-00008A010000}"/>
    <hyperlink ref="R306" r:id="rId396" xr:uid="{00000000-0004-0000-0300-00008B010000}"/>
    <hyperlink ref="P77" r:id="rId397" xr:uid="{00000000-0004-0000-0300-00008C010000}"/>
    <hyperlink ref="Q77" r:id="rId398" xr:uid="{00000000-0004-0000-0300-00008D010000}"/>
    <hyperlink ref="R77" r:id="rId399" xr:uid="{00000000-0004-0000-0300-00008E010000}"/>
    <hyperlink ref="P300" r:id="rId400" xr:uid="{00000000-0004-0000-0300-00008F010000}"/>
    <hyperlink ref="Q300" r:id="rId401" xr:uid="{00000000-0004-0000-0300-000090010000}"/>
    <hyperlink ref="R300" r:id="rId402" xr:uid="{00000000-0004-0000-0300-000091010000}"/>
    <hyperlink ref="P434" r:id="rId403" xr:uid="{00000000-0004-0000-0300-000092010000}"/>
    <hyperlink ref="Q434" r:id="rId404" xr:uid="{00000000-0004-0000-0300-000093010000}"/>
    <hyperlink ref="R434" r:id="rId405" xr:uid="{00000000-0004-0000-0300-000094010000}"/>
    <hyperlink ref="P242" r:id="rId406" xr:uid="{00000000-0004-0000-0300-000095010000}"/>
    <hyperlink ref="Q242" r:id="rId407" xr:uid="{00000000-0004-0000-0300-000096010000}"/>
    <hyperlink ref="R242" r:id="rId408" xr:uid="{00000000-0004-0000-0300-000097010000}"/>
    <hyperlink ref="P210" r:id="rId409" xr:uid="{00000000-0004-0000-0300-000098010000}"/>
    <hyperlink ref="Q210" r:id="rId410" xr:uid="{00000000-0004-0000-0300-000099010000}"/>
    <hyperlink ref="R210" r:id="rId411" xr:uid="{00000000-0004-0000-0300-00009A010000}"/>
    <hyperlink ref="P193" r:id="rId412" xr:uid="{00000000-0004-0000-0300-00009B010000}"/>
    <hyperlink ref="Q193" r:id="rId413" xr:uid="{00000000-0004-0000-0300-00009C010000}"/>
    <hyperlink ref="R193" r:id="rId414" xr:uid="{00000000-0004-0000-0300-00009D010000}"/>
    <hyperlink ref="P13" r:id="rId415" xr:uid="{00000000-0004-0000-0300-00009E010000}"/>
    <hyperlink ref="Q13" r:id="rId416" xr:uid="{00000000-0004-0000-0300-00009F010000}"/>
    <hyperlink ref="R13" r:id="rId417" xr:uid="{00000000-0004-0000-0300-0000A0010000}"/>
    <hyperlink ref="P317" r:id="rId418" xr:uid="{00000000-0004-0000-0300-0000A1010000}"/>
    <hyperlink ref="Q317" r:id="rId419" xr:uid="{00000000-0004-0000-0300-0000A2010000}"/>
    <hyperlink ref="R317" r:id="rId420" xr:uid="{00000000-0004-0000-0300-0000A3010000}"/>
    <hyperlink ref="P192" r:id="rId421" xr:uid="{00000000-0004-0000-0300-0000A4010000}"/>
    <hyperlink ref="Q192" r:id="rId422" xr:uid="{00000000-0004-0000-0300-0000A5010000}"/>
    <hyperlink ref="R192" r:id="rId423" xr:uid="{00000000-0004-0000-0300-0000A6010000}"/>
    <hyperlink ref="P454" r:id="rId424" xr:uid="{00000000-0004-0000-0300-0000A7010000}"/>
    <hyperlink ref="Q454" r:id="rId425" xr:uid="{00000000-0004-0000-0300-0000A8010000}"/>
    <hyperlink ref="R454" r:id="rId426" xr:uid="{00000000-0004-0000-0300-0000A9010000}"/>
    <hyperlink ref="P8" r:id="rId427" xr:uid="{00000000-0004-0000-0300-0000AA010000}"/>
    <hyperlink ref="Q8" r:id="rId428" xr:uid="{00000000-0004-0000-0300-0000AB010000}"/>
    <hyperlink ref="R8" r:id="rId429" xr:uid="{00000000-0004-0000-0300-0000AC010000}"/>
    <hyperlink ref="P105" r:id="rId430" xr:uid="{00000000-0004-0000-0300-0000AD010000}"/>
    <hyperlink ref="Q105" r:id="rId431" xr:uid="{00000000-0004-0000-0300-0000AE010000}"/>
    <hyperlink ref="R105" r:id="rId432" xr:uid="{00000000-0004-0000-0300-0000AF010000}"/>
    <hyperlink ref="P464" r:id="rId433" xr:uid="{00000000-0004-0000-0300-0000B0010000}"/>
    <hyperlink ref="Q464" r:id="rId434" xr:uid="{00000000-0004-0000-0300-0000B1010000}"/>
    <hyperlink ref="R464" r:id="rId435" xr:uid="{00000000-0004-0000-0300-0000B2010000}"/>
    <hyperlink ref="P26" r:id="rId436" xr:uid="{00000000-0004-0000-0300-0000B3010000}"/>
    <hyperlink ref="Q26" r:id="rId437" xr:uid="{00000000-0004-0000-0300-0000B4010000}"/>
    <hyperlink ref="R26" r:id="rId438" xr:uid="{00000000-0004-0000-0300-0000B5010000}"/>
    <hyperlink ref="P162" r:id="rId439" xr:uid="{00000000-0004-0000-0300-0000B6010000}"/>
    <hyperlink ref="Q162" r:id="rId440" xr:uid="{00000000-0004-0000-0300-0000B7010000}"/>
    <hyperlink ref="R162" r:id="rId441" xr:uid="{00000000-0004-0000-0300-0000B8010000}"/>
    <hyperlink ref="P236" r:id="rId442" xr:uid="{00000000-0004-0000-0300-0000B9010000}"/>
    <hyperlink ref="Q236" r:id="rId443" xr:uid="{00000000-0004-0000-0300-0000BA010000}"/>
    <hyperlink ref="P394" r:id="rId444" xr:uid="{00000000-0004-0000-0300-0000BB010000}"/>
    <hyperlink ref="Q394" r:id="rId445" xr:uid="{00000000-0004-0000-0300-0000BC010000}"/>
    <hyperlink ref="P383" r:id="rId446" xr:uid="{00000000-0004-0000-0300-0000BD010000}"/>
    <hyperlink ref="Q383" r:id="rId447" xr:uid="{00000000-0004-0000-0300-0000BE010000}"/>
    <hyperlink ref="R383" r:id="rId448" xr:uid="{00000000-0004-0000-0300-0000BF010000}"/>
    <hyperlink ref="P116" r:id="rId449" xr:uid="{00000000-0004-0000-0300-0000C0010000}"/>
    <hyperlink ref="Q116" r:id="rId450" xr:uid="{00000000-0004-0000-0300-0000C1010000}"/>
    <hyperlink ref="R116" r:id="rId451" xr:uid="{00000000-0004-0000-0300-0000C2010000}"/>
    <hyperlink ref="Q282" r:id="rId452" xr:uid="{00000000-0004-0000-0300-0000C3010000}"/>
    <hyperlink ref="P356" r:id="rId453" xr:uid="{00000000-0004-0000-0300-0000C4010000}"/>
    <hyperlink ref="Q356" r:id="rId454" xr:uid="{00000000-0004-0000-0300-0000C5010000}"/>
    <hyperlink ref="R356" r:id="rId455" xr:uid="{00000000-0004-0000-0300-0000C6010000}"/>
    <hyperlink ref="P431" r:id="rId456" xr:uid="{00000000-0004-0000-0300-0000C7010000}"/>
    <hyperlink ref="Q431" r:id="rId457" xr:uid="{00000000-0004-0000-0300-0000C8010000}"/>
    <hyperlink ref="R431" r:id="rId458" xr:uid="{00000000-0004-0000-0300-0000C9010000}"/>
    <hyperlink ref="P344" r:id="rId459" xr:uid="{00000000-0004-0000-0300-0000CA010000}"/>
    <hyperlink ref="Q344" r:id="rId460" xr:uid="{00000000-0004-0000-0300-0000CB010000}"/>
    <hyperlink ref="R344" r:id="rId461" xr:uid="{00000000-0004-0000-0300-0000CC010000}"/>
    <hyperlink ref="P14" r:id="rId462" xr:uid="{00000000-0004-0000-0300-0000CD010000}"/>
    <hyperlink ref="Q14" r:id="rId463" xr:uid="{00000000-0004-0000-0300-0000CE010000}"/>
    <hyperlink ref="R14" r:id="rId464" xr:uid="{00000000-0004-0000-0300-0000CF010000}"/>
    <hyperlink ref="P91" r:id="rId465" xr:uid="{00000000-0004-0000-0300-0000D0010000}"/>
    <hyperlink ref="Q91" r:id="rId466" xr:uid="{00000000-0004-0000-0300-0000D1010000}"/>
    <hyperlink ref="R91" r:id="rId467" xr:uid="{00000000-0004-0000-0300-0000D2010000}"/>
    <hyperlink ref="P225" r:id="rId468" xr:uid="{00000000-0004-0000-0300-0000D3010000}"/>
    <hyperlink ref="Q225" r:id="rId469" xr:uid="{00000000-0004-0000-0300-0000D4010000}"/>
    <hyperlink ref="R225" r:id="rId470" xr:uid="{00000000-0004-0000-0300-0000D5010000}"/>
    <hyperlink ref="P19" r:id="rId471" xr:uid="{00000000-0004-0000-0300-0000D6010000}"/>
    <hyperlink ref="Q19" r:id="rId472" xr:uid="{00000000-0004-0000-0300-0000D7010000}"/>
    <hyperlink ref="R19" r:id="rId473" xr:uid="{00000000-0004-0000-0300-0000D8010000}"/>
    <hyperlink ref="P121" r:id="rId474" xr:uid="{00000000-0004-0000-0300-0000D9010000}"/>
    <hyperlink ref="Q121" r:id="rId475" xr:uid="{00000000-0004-0000-0300-0000DA010000}"/>
    <hyperlink ref="R121" r:id="rId476" xr:uid="{00000000-0004-0000-0300-0000DB010000}"/>
    <hyperlink ref="P319" r:id="rId477" xr:uid="{00000000-0004-0000-0300-0000DC010000}"/>
    <hyperlink ref="Q319" r:id="rId478" xr:uid="{00000000-0004-0000-0300-0000DD010000}"/>
    <hyperlink ref="R319" r:id="rId479" xr:uid="{00000000-0004-0000-0300-0000DE010000}"/>
    <hyperlink ref="P52" r:id="rId480" xr:uid="{00000000-0004-0000-0300-0000DF010000}"/>
    <hyperlink ref="Q52" r:id="rId481" xr:uid="{00000000-0004-0000-0300-0000E0010000}"/>
    <hyperlink ref="R52" r:id="rId482" xr:uid="{00000000-0004-0000-0300-0000E1010000}"/>
    <hyperlink ref="P256" r:id="rId483" xr:uid="{00000000-0004-0000-0300-0000E2010000}"/>
    <hyperlink ref="Q256" r:id="rId484" xr:uid="{00000000-0004-0000-0300-0000E3010000}"/>
    <hyperlink ref="R256" r:id="rId485" xr:uid="{00000000-0004-0000-0300-0000E4010000}"/>
    <hyperlink ref="P375" r:id="rId486" xr:uid="{00000000-0004-0000-0300-0000E5010000}"/>
    <hyperlink ref="Q375" r:id="rId487" xr:uid="{00000000-0004-0000-0300-0000E6010000}"/>
    <hyperlink ref="R375" r:id="rId488" xr:uid="{00000000-0004-0000-0300-0000E7010000}"/>
    <hyperlink ref="P94" r:id="rId489" xr:uid="{00000000-0004-0000-0300-0000E8010000}"/>
    <hyperlink ref="Q94" r:id="rId490" xr:uid="{00000000-0004-0000-0300-0000E9010000}"/>
    <hyperlink ref="R94" r:id="rId491" xr:uid="{00000000-0004-0000-0300-0000EA010000}"/>
    <hyperlink ref="P142" r:id="rId492" xr:uid="{00000000-0004-0000-0300-0000EB010000}"/>
    <hyperlink ref="Q142" r:id="rId493" xr:uid="{00000000-0004-0000-0300-0000EC010000}"/>
    <hyperlink ref="R142" r:id="rId494" xr:uid="{00000000-0004-0000-0300-0000ED010000}"/>
    <hyperlink ref="P283" r:id="rId495" xr:uid="{00000000-0004-0000-0300-0000EE010000}"/>
    <hyperlink ref="Q283" r:id="rId496" xr:uid="{00000000-0004-0000-0300-0000EF010000}"/>
    <hyperlink ref="R283" r:id="rId497" xr:uid="{00000000-0004-0000-0300-0000F0010000}"/>
    <hyperlink ref="P211" r:id="rId498" xr:uid="{00000000-0004-0000-0300-0000F1010000}"/>
    <hyperlink ref="Q211" r:id="rId499" xr:uid="{00000000-0004-0000-0300-0000F2010000}"/>
    <hyperlink ref="R211" r:id="rId500" xr:uid="{00000000-0004-0000-0300-0000F3010000}"/>
    <hyperlink ref="P54" r:id="rId501" xr:uid="{00000000-0004-0000-0300-0000F4010000}"/>
    <hyperlink ref="Q54" r:id="rId502" xr:uid="{00000000-0004-0000-0300-0000F5010000}"/>
    <hyperlink ref="R54" r:id="rId503" xr:uid="{00000000-0004-0000-0300-0000F6010000}"/>
    <hyperlink ref="P325" r:id="rId504" xr:uid="{00000000-0004-0000-0300-0000F7010000}"/>
    <hyperlink ref="Q325" r:id="rId505" xr:uid="{00000000-0004-0000-0300-0000F8010000}"/>
    <hyperlink ref="R325" r:id="rId506" xr:uid="{00000000-0004-0000-0300-0000F9010000}"/>
    <hyperlink ref="P107" r:id="rId507" xr:uid="{00000000-0004-0000-0300-0000FA010000}"/>
    <hyperlink ref="Q107" r:id="rId508" xr:uid="{00000000-0004-0000-0300-0000FB010000}"/>
    <hyperlink ref="R107" r:id="rId509" xr:uid="{00000000-0004-0000-0300-0000FC010000}"/>
    <hyperlink ref="P153" r:id="rId510" xr:uid="{00000000-0004-0000-0300-0000FD010000}"/>
    <hyperlink ref="Q153" r:id="rId511" xr:uid="{00000000-0004-0000-0300-0000FE010000}"/>
    <hyperlink ref="R153" r:id="rId512" xr:uid="{00000000-0004-0000-0300-0000FF010000}"/>
    <hyperlink ref="P255" r:id="rId513" xr:uid="{00000000-0004-0000-0300-000000020000}"/>
    <hyperlink ref="Q255" r:id="rId514" xr:uid="{00000000-0004-0000-0300-000001020000}"/>
    <hyperlink ref="R255" r:id="rId515" xr:uid="{00000000-0004-0000-0300-000002020000}"/>
    <hyperlink ref="P395" r:id="rId516" xr:uid="{00000000-0004-0000-0300-000003020000}"/>
    <hyperlink ref="Q395" r:id="rId517" xr:uid="{00000000-0004-0000-0300-000004020000}"/>
    <hyperlink ref="R395" r:id="rId518" xr:uid="{00000000-0004-0000-0300-000005020000}"/>
    <hyperlink ref="P322" r:id="rId519" xr:uid="{00000000-0004-0000-0300-000006020000}"/>
    <hyperlink ref="Q322" r:id="rId520" xr:uid="{00000000-0004-0000-0300-000007020000}"/>
    <hyperlink ref="R322" r:id="rId521" xr:uid="{00000000-0004-0000-0300-000008020000}"/>
    <hyperlink ref="P257" r:id="rId522" xr:uid="{00000000-0004-0000-0300-000009020000}"/>
    <hyperlink ref="Q257" r:id="rId523" xr:uid="{00000000-0004-0000-0300-00000A020000}"/>
    <hyperlink ref="R257" r:id="rId524" xr:uid="{00000000-0004-0000-0300-00000B020000}"/>
    <hyperlink ref="P348" r:id="rId525" xr:uid="{00000000-0004-0000-0300-00000C020000}"/>
    <hyperlink ref="Q348" r:id="rId526" xr:uid="{00000000-0004-0000-0300-00000D020000}"/>
    <hyperlink ref="R348" r:id="rId527" xr:uid="{00000000-0004-0000-0300-00000E020000}"/>
    <hyperlink ref="P166" r:id="rId528" xr:uid="{00000000-0004-0000-0300-00000F020000}"/>
    <hyperlink ref="Q166" r:id="rId529" xr:uid="{00000000-0004-0000-0300-000010020000}"/>
    <hyperlink ref="R166" r:id="rId530" xr:uid="{00000000-0004-0000-0300-000011020000}"/>
    <hyperlink ref="P376" r:id="rId531" xr:uid="{00000000-0004-0000-0300-000012020000}"/>
    <hyperlink ref="Q376" r:id="rId532" xr:uid="{00000000-0004-0000-0300-000013020000}"/>
    <hyperlink ref="R376" r:id="rId533" xr:uid="{00000000-0004-0000-0300-000014020000}"/>
    <hyperlink ref="P286" r:id="rId534" xr:uid="{00000000-0004-0000-0300-000015020000}"/>
    <hyperlink ref="Q286" r:id="rId535" xr:uid="{00000000-0004-0000-0300-000016020000}"/>
    <hyperlink ref="R286" r:id="rId536" xr:uid="{00000000-0004-0000-0300-000017020000}"/>
    <hyperlink ref="P217" r:id="rId537" xr:uid="{00000000-0004-0000-0300-000018020000}"/>
    <hyperlink ref="Q217" r:id="rId538" xr:uid="{00000000-0004-0000-0300-000019020000}"/>
    <hyperlink ref="R217" r:id="rId539" xr:uid="{00000000-0004-0000-0300-00001A020000}"/>
    <hyperlink ref="P74" r:id="rId540" xr:uid="{00000000-0004-0000-0300-00001B020000}"/>
    <hyperlink ref="Q74" r:id="rId541" xr:uid="{00000000-0004-0000-0300-00001C020000}"/>
    <hyperlink ref="R74" r:id="rId542" xr:uid="{00000000-0004-0000-0300-00001D020000}"/>
    <hyperlink ref="P66" r:id="rId543" xr:uid="{00000000-0004-0000-0300-00001E020000}"/>
    <hyperlink ref="Q66" r:id="rId544" xr:uid="{00000000-0004-0000-0300-00001F020000}"/>
    <hyperlink ref="R66" r:id="rId545" xr:uid="{00000000-0004-0000-0300-000020020000}"/>
    <hyperlink ref="P393" r:id="rId546" xr:uid="{00000000-0004-0000-0300-000021020000}"/>
    <hyperlink ref="Q393" r:id="rId547" xr:uid="{00000000-0004-0000-0300-000022020000}"/>
    <hyperlink ref="R393" r:id="rId548" xr:uid="{00000000-0004-0000-0300-000023020000}"/>
    <hyperlink ref="P123" r:id="rId549" xr:uid="{00000000-0004-0000-0300-000024020000}"/>
    <hyperlink ref="Q123" r:id="rId550" xr:uid="{00000000-0004-0000-0300-000025020000}"/>
    <hyperlink ref="R123" r:id="rId551" xr:uid="{00000000-0004-0000-0300-000026020000}"/>
    <hyperlink ref="P423" r:id="rId552" xr:uid="{00000000-0004-0000-0300-000027020000}"/>
    <hyperlink ref="Q423" r:id="rId553" xr:uid="{00000000-0004-0000-0300-000028020000}"/>
    <hyperlink ref="R423" r:id="rId554" xr:uid="{00000000-0004-0000-0300-000029020000}"/>
    <hyperlink ref="P392" r:id="rId555" xr:uid="{00000000-0004-0000-0300-00002A020000}"/>
    <hyperlink ref="Q392" r:id="rId556" xr:uid="{00000000-0004-0000-0300-00002B020000}"/>
    <hyperlink ref="R392" r:id="rId557" xr:uid="{00000000-0004-0000-0300-00002C020000}"/>
    <hyperlink ref="P53" r:id="rId558" xr:uid="{00000000-0004-0000-0300-00002D020000}"/>
    <hyperlink ref="Q53" r:id="rId559" xr:uid="{00000000-0004-0000-0300-00002E020000}"/>
    <hyperlink ref="R53" r:id="rId560" xr:uid="{00000000-0004-0000-0300-00002F020000}"/>
    <hyperlink ref="P122" r:id="rId561" xr:uid="{00000000-0004-0000-0300-000030020000}"/>
    <hyperlink ref="Q122" r:id="rId562" xr:uid="{00000000-0004-0000-0300-000031020000}"/>
    <hyperlink ref="R122" r:id="rId563" xr:uid="{00000000-0004-0000-0300-000032020000}"/>
    <hyperlink ref="P309" r:id="rId564" xr:uid="{00000000-0004-0000-0300-000033020000}"/>
    <hyperlink ref="Q309" r:id="rId565" xr:uid="{00000000-0004-0000-0300-000034020000}"/>
    <hyperlink ref="R309" r:id="rId566" xr:uid="{00000000-0004-0000-0300-000035020000}"/>
    <hyperlink ref="P50" r:id="rId567" xr:uid="{00000000-0004-0000-0300-000036020000}"/>
    <hyperlink ref="Q50" r:id="rId568" xr:uid="{00000000-0004-0000-0300-000037020000}"/>
    <hyperlink ref="R50" r:id="rId569" xr:uid="{00000000-0004-0000-0300-000038020000}"/>
    <hyperlink ref="P295" r:id="rId570" xr:uid="{00000000-0004-0000-0300-000039020000}"/>
    <hyperlink ref="Q295" r:id="rId571" xr:uid="{00000000-0004-0000-0300-00003A020000}"/>
    <hyperlink ref="R295" r:id="rId572" xr:uid="{00000000-0004-0000-0300-00003B020000}"/>
    <hyperlink ref="P100" r:id="rId573" xr:uid="{00000000-0004-0000-0300-00003C020000}"/>
    <hyperlink ref="Q100" r:id="rId574" xr:uid="{00000000-0004-0000-0300-00003D020000}"/>
    <hyperlink ref="R100" r:id="rId575" xr:uid="{00000000-0004-0000-0300-00003E020000}"/>
    <hyperlink ref="P433" r:id="rId576" xr:uid="{00000000-0004-0000-0300-00003F020000}"/>
    <hyperlink ref="Q433" r:id="rId577" xr:uid="{00000000-0004-0000-0300-000040020000}"/>
    <hyperlink ref="R433" r:id="rId578" xr:uid="{00000000-0004-0000-0300-000041020000}"/>
    <hyperlink ref="P15" r:id="rId579" xr:uid="{00000000-0004-0000-0300-000042020000}"/>
    <hyperlink ref="Q15" r:id="rId580" xr:uid="{00000000-0004-0000-0300-000043020000}"/>
    <hyperlink ref="R15" r:id="rId581" xr:uid="{00000000-0004-0000-0300-000044020000}"/>
    <hyperlink ref="P75" r:id="rId582" xr:uid="{00000000-0004-0000-0300-000045020000}"/>
    <hyperlink ref="Q75" r:id="rId583" xr:uid="{00000000-0004-0000-0300-000046020000}"/>
    <hyperlink ref="R75" r:id="rId584" xr:uid="{00000000-0004-0000-0300-000047020000}"/>
    <hyperlink ref="P439" r:id="rId585" xr:uid="{00000000-0004-0000-0300-000048020000}"/>
    <hyperlink ref="Q439" r:id="rId586" xr:uid="{00000000-0004-0000-0300-000049020000}"/>
    <hyperlink ref="R439" r:id="rId587" xr:uid="{00000000-0004-0000-0300-00004A020000}"/>
    <hyperlink ref="P259" r:id="rId588" xr:uid="{00000000-0004-0000-0300-00004B020000}"/>
    <hyperlink ref="Q259" r:id="rId589" xr:uid="{00000000-0004-0000-0300-00004C020000}"/>
    <hyperlink ref="R259" r:id="rId590" xr:uid="{00000000-0004-0000-0300-00004D020000}"/>
    <hyperlink ref="P331" r:id="rId591" xr:uid="{00000000-0004-0000-0300-00004E020000}"/>
    <hyperlink ref="Q331" r:id="rId592" xr:uid="{00000000-0004-0000-0300-00004F020000}"/>
    <hyperlink ref="R331" r:id="rId593" xr:uid="{00000000-0004-0000-0300-000050020000}"/>
    <hyperlink ref="P186" r:id="rId594" xr:uid="{00000000-0004-0000-0300-000051020000}"/>
    <hyperlink ref="Q186" r:id="rId595" xr:uid="{00000000-0004-0000-0300-000052020000}"/>
    <hyperlink ref="R186" r:id="rId596" xr:uid="{00000000-0004-0000-0300-000053020000}"/>
    <hyperlink ref="Q265" r:id="rId597" xr:uid="{00000000-0004-0000-0300-000054020000}"/>
    <hyperlink ref="R265" r:id="rId598" xr:uid="{00000000-0004-0000-0300-000055020000}"/>
    <hyperlink ref="P113" r:id="rId599" xr:uid="{00000000-0004-0000-0300-000056020000}"/>
    <hyperlink ref="Q113" r:id="rId600" xr:uid="{00000000-0004-0000-0300-000057020000}"/>
    <hyperlink ref="R113" r:id="rId601" xr:uid="{00000000-0004-0000-0300-000058020000}"/>
    <hyperlink ref="P24" r:id="rId602" xr:uid="{00000000-0004-0000-0300-000059020000}"/>
    <hyperlink ref="Q24" r:id="rId603" xr:uid="{00000000-0004-0000-0300-00005A020000}"/>
    <hyperlink ref="R24" r:id="rId604" xr:uid="{00000000-0004-0000-0300-00005B020000}"/>
    <hyperlink ref="P336" r:id="rId605" xr:uid="{00000000-0004-0000-0300-00005C020000}"/>
    <hyperlink ref="Q336" r:id="rId606" xr:uid="{00000000-0004-0000-0300-00005D020000}"/>
    <hyperlink ref="R336" r:id="rId607" xr:uid="{00000000-0004-0000-0300-00005E020000}"/>
    <hyperlink ref="P442" r:id="rId608" xr:uid="{00000000-0004-0000-0300-00005F020000}"/>
    <hyperlink ref="Q442" r:id="rId609" xr:uid="{00000000-0004-0000-0300-000060020000}"/>
    <hyperlink ref="R442" r:id="rId610" xr:uid="{00000000-0004-0000-0300-000061020000}"/>
    <hyperlink ref="P234" r:id="rId611" xr:uid="{00000000-0004-0000-0300-000062020000}"/>
    <hyperlink ref="Q234" r:id="rId612" xr:uid="{00000000-0004-0000-0300-000063020000}"/>
    <hyperlink ref="R234" r:id="rId613" xr:uid="{00000000-0004-0000-0300-000064020000}"/>
    <hyperlink ref="P382" r:id="rId614" xr:uid="{00000000-0004-0000-0300-000065020000}"/>
    <hyperlink ref="Q382" r:id="rId615" xr:uid="{00000000-0004-0000-0300-000066020000}"/>
    <hyperlink ref="R382" r:id="rId616" xr:uid="{00000000-0004-0000-0300-000067020000}"/>
    <hyperlink ref="P220" r:id="rId617" xr:uid="{00000000-0004-0000-0300-000068020000}"/>
    <hyperlink ref="Q220" r:id="rId618" xr:uid="{00000000-0004-0000-0300-000069020000}"/>
    <hyperlink ref="R220" r:id="rId619" xr:uid="{00000000-0004-0000-0300-00006A020000}"/>
    <hyperlink ref="P388" r:id="rId620" xr:uid="{00000000-0004-0000-0300-00006B020000}"/>
    <hyperlink ref="Q388" r:id="rId621" xr:uid="{00000000-0004-0000-0300-00006C020000}"/>
    <hyperlink ref="R388" r:id="rId622" xr:uid="{00000000-0004-0000-0300-00006D020000}"/>
    <hyperlink ref="P284" r:id="rId623" xr:uid="{00000000-0004-0000-0300-00006E020000}"/>
    <hyperlink ref="Q284" r:id="rId624" xr:uid="{00000000-0004-0000-0300-00006F020000}"/>
    <hyperlink ref="R284" r:id="rId625" xr:uid="{00000000-0004-0000-0300-000070020000}"/>
    <hyperlink ref="P330" r:id="rId626" xr:uid="{00000000-0004-0000-0300-000071020000}"/>
    <hyperlink ref="Q330" r:id="rId627" xr:uid="{00000000-0004-0000-0300-000072020000}"/>
    <hyperlink ref="R330" r:id="rId628" xr:uid="{00000000-0004-0000-0300-000073020000}"/>
    <hyperlink ref="P326" r:id="rId629" xr:uid="{00000000-0004-0000-0300-000074020000}"/>
    <hyperlink ref="Q326" r:id="rId630" xr:uid="{00000000-0004-0000-0300-000075020000}"/>
    <hyperlink ref="R326" r:id="rId631" xr:uid="{00000000-0004-0000-0300-000076020000}"/>
    <hyperlink ref="P48" r:id="rId632" xr:uid="{00000000-0004-0000-0300-000077020000}"/>
    <hyperlink ref="Q48" r:id="rId633" xr:uid="{00000000-0004-0000-0300-000078020000}"/>
    <hyperlink ref="R48" r:id="rId634" xr:uid="{00000000-0004-0000-0300-000079020000}"/>
    <hyperlink ref="P355" r:id="rId635" xr:uid="{00000000-0004-0000-0300-00007A020000}"/>
    <hyperlink ref="Q355" r:id="rId636" xr:uid="{00000000-0004-0000-0300-00007B020000}"/>
    <hyperlink ref="R355" r:id="rId637" xr:uid="{00000000-0004-0000-0300-00007C020000}"/>
    <hyperlink ref="P194" r:id="rId638" xr:uid="{00000000-0004-0000-0300-00007D020000}"/>
    <hyperlink ref="Q194" r:id="rId639" xr:uid="{00000000-0004-0000-0300-00007E020000}"/>
    <hyperlink ref="R194" r:id="rId640" xr:uid="{00000000-0004-0000-0300-00007F020000}"/>
    <hyperlink ref="P424" r:id="rId641" xr:uid="{00000000-0004-0000-0300-000080020000}"/>
    <hyperlink ref="Q424" r:id="rId642" xr:uid="{00000000-0004-0000-0300-000081020000}"/>
    <hyperlink ref="R424" r:id="rId643" xr:uid="{00000000-0004-0000-0300-000082020000}"/>
    <hyperlink ref="P448" r:id="rId644" xr:uid="{00000000-0004-0000-0300-000083020000}"/>
    <hyperlink ref="Q448" r:id="rId645" xr:uid="{00000000-0004-0000-0300-000084020000}"/>
    <hyperlink ref="R448" r:id="rId646" xr:uid="{00000000-0004-0000-0300-000085020000}"/>
    <hyperlink ref="P445" r:id="rId647" xr:uid="{00000000-0004-0000-0300-000086020000}"/>
    <hyperlink ref="Q445" r:id="rId648" xr:uid="{00000000-0004-0000-0300-000087020000}"/>
    <hyperlink ref="R445" r:id="rId649" xr:uid="{00000000-0004-0000-0300-000088020000}"/>
    <hyperlink ref="P58" r:id="rId650" xr:uid="{00000000-0004-0000-0300-000089020000}"/>
    <hyperlink ref="Q58" r:id="rId651" xr:uid="{00000000-0004-0000-0300-00008A020000}"/>
    <hyperlink ref="R58" r:id="rId652" xr:uid="{00000000-0004-0000-0300-00008B020000}"/>
    <hyperlink ref="P301" r:id="rId653" xr:uid="{00000000-0004-0000-0300-00008C020000}"/>
    <hyperlink ref="Q301" r:id="rId654" xr:uid="{00000000-0004-0000-0300-00008D020000}"/>
    <hyperlink ref="R301" r:id="rId655" xr:uid="{00000000-0004-0000-0300-00008E020000}"/>
    <hyperlink ref="P329" r:id="rId656" xr:uid="{00000000-0004-0000-0300-00008F020000}"/>
    <hyperlink ref="Q329" r:id="rId657" xr:uid="{00000000-0004-0000-0300-000090020000}"/>
    <hyperlink ref="R329" r:id="rId658" xr:uid="{00000000-0004-0000-0300-000091020000}"/>
    <hyperlink ref="P114" r:id="rId659" xr:uid="{00000000-0004-0000-0300-000092020000}"/>
    <hyperlink ref="Q114" r:id="rId660" xr:uid="{00000000-0004-0000-0300-000093020000}"/>
    <hyperlink ref="R114" r:id="rId661" xr:uid="{00000000-0004-0000-0300-000094020000}"/>
    <hyperlink ref="P238" r:id="rId662" xr:uid="{00000000-0004-0000-0300-000095020000}"/>
    <hyperlink ref="Q238" r:id="rId663" xr:uid="{00000000-0004-0000-0300-000096020000}"/>
    <hyperlink ref="R238" r:id="rId664" xr:uid="{00000000-0004-0000-0300-000097020000}"/>
    <hyperlink ref="P42" r:id="rId665" xr:uid="{00000000-0004-0000-0300-000098020000}"/>
    <hyperlink ref="Q42" r:id="rId666" xr:uid="{00000000-0004-0000-0300-000099020000}"/>
    <hyperlink ref="R42" r:id="rId667" xr:uid="{00000000-0004-0000-0300-00009A020000}"/>
    <hyperlink ref="P201" r:id="rId668" xr:uid="{00000000-0004-0000-0300-00009B020000}"/>
    <hyperlink ref="Q201" r:id="rId669" xr:uid="{00000000-0004-0000-0300-00009C020000}"/>
    <hyperlink ref="R201" r:id="rId670" xr:uid="{00000000-0004-0000-0300-00009D020000}"/>
    <hyperlink ref="P119" r:id="rId671" xr:uid="{00000000-0004-0000-0300-00009E020000}"/>
    <hyperlink ref="Q119" r:id="rId672" xr:uid="{00000000-0004-0000-0300-00009F020000}"/>
    <hyperlink ref="R119" r:id="rId673" xr:uid="{00000000-0004-0000-0300-0000A0020000}"/>
    <hyperlink ref="P456" r:id="rId674" xr:uid="{00000000-0004-0000-0300-0000A1020000}"/>
    <hyperlink ref="Q456" r:id="rId675" xr:uid="{00000000-0004-0000-0300-0000A2020000}"/>
    <hyperlink ref="R456" r:id="rId676" xr:uid="{00000000-0004-0000-0300-0000A3020000}"/>
    <hyperlink ref="P237" r:id="rId677" xr:uid="{00000000-0004-0000-0300-0000A4020000}"/>
    <hyperlink ref="Q237" r:id="rId678" xr:uid="{00000000-0004-0000-0300-0000A5020000}"/>
    <hyperlink ref="R237" r:id="rId679" xr:uid="{00000000-0004-0000-0300-0000A6020000}"/>
    <hyperlink ref="P362" r:id="rId680" xr:uid="{00000000-0004-0000-0300-0000A7020000}"/>
    <hyperlink ref="Q362" r:id="rId681" xr:uid="{00000000-0004-0000-0300-0000A8020000}"/>
    <hyperlink ref="R362" r:id="rId682" xr:uid="{00000000-0004-0000-0300-0000A9020000}"/>
    <hyperlink ref="P187" r:id="rId683" xr:uid="{00000000-0004-0000-0300-0000AA020000}"/>
    <hyperlink ref="Q187" r:id="rId684" xr:uid="{00000000-0004-0000-0300-0000AB020000}"/>
    <hyperlink ref="R187" r:id="rId685" xr:uid="{00000000-0004-0000-0300-0000AC020000}"/>
    <hyperlink ref="P422" r:id="rId686" xr:uid="{00000000-0004-0000-0300-0000AD020000}"/>
    <hyperlink ref="Q422" r:id="rId687" xr:uid="{00000000-0004-0000-0300-0000AE020000}"/>
    <hyperlink ref="R422" r:id="rId688" xr:uid="{00000000-0004-0000-0300-0000AF020000}"/>
    <hyperlink ref="P5" r:id="rId689" xr:uid="{00000000-0004-0000-0300-0000B0020000}"/>
    <hyperlink ref="Q5" r:id="rId690" xr:uid="{00000000-0004-0000-0300-0000B1020000}"/>
    <hyperlink ref="R5" r:id="rId691" xr:uid="{00000000-0004-0000-0300-0000B2020000}"/>
    <hyperlink ref="P21" r:id="rId692" xr:uid="{00000000-0004-0000-0300-0000B3020000}"/>
    <hyperlink ref="Q21" r:id="rId693" xr:uid="{00000000-0004-0000-0300-0000B4020000}"/>
    <hyperlink ref="R21" r:id="rId694" xr:uid="{00000000-0004-0000-0300-0000B5020000}"/>
    <hyperlink ref="P381" r:id="rId695" xr:uid="{00000000-0004-0000-0300-0000B6020000}"/>
    <hyperlink ref="Q381" r:id="rId696" xr:uid="{00000000-0004-0000-0300-0000B7020000}"/>
    <hyperlink ref="R381" r:id="rId697" xr:uid="{00000000-0004-0000-0300-0000B8020000}"/>
    <hyperlink ref="P235" r:id="rId698" xr:uid="{00000000-0004-0000-0300-0000B9020000}"/>
    <hyperlink ref="Q235" r:id="rId699" xr:uid="{00000000-0004-0000-0300-0000BA020000}"/>
    <hyperlink ref="R235" r:id="rId700" xr:uid="{00000000-0004-0000-0300-0000BB020000}"/>
    <hyperlink ref="P86" r:id="rId701" xr:uid="{00000000-0004-0000-0300-0000BC020000}"/>
    <hyperlink ref="Q86" r:id="rId702" xr:uid="{00000000-0004-0000-0300-0000BD020000}"/>
    <hyperlink ref="R86" r:id="rId703" xr:uid="{00000000-0004-0000-0300-0000BE020000}"/>
    <hyperlink ref="P303" r:id="rId704" xr:uid="{00000000-0004-0000-0300-0000BF020000}"/>
    <hyperlink ref="Q303" r:id="rId705" xr:uid="{00000000-0004-0000-0300-0000C0020000}"/>
    <hyperlink ref="R303" r:id="rId706" xr:uid="{00000000-0004-0000-0300-0000C1020000}"/>
    <hyperlink ref="P302" r:id="rId707" xr:uid="{00000000-0004-0000-0300-0000C2020000}"/>
    <hyperlink ref="Q302" r:id="rId708" xr:uid="{00000000-0004-0000-0300-0000C3020000}"/>
    <hyperlink ref="R302" r:id="rId709" xr:uid="{00000000-0004-0000-0300-0000C4020000}"/>
    <hyperlink ref="P230" r:id="rId710" xr:uid="{00000000-0004-0000-0300-0000C5020000}"/>
    <hyperlink ref="Q230" r:id="rId711" xr:uid="{00000000-0004-0000-0300-0000C6020000}"/>
    <hyperlink ref="R230" r:id="rId712" xr:uid="{00000000-0004-0000-0300-0000C7020000}"/>
    <hyperlink ref="P307" r:id="rId713" xr:uid="{00000000-0004-0000-0300-0000C8020000}"/>
    <hyperlink ref="Q307" r:id="rId714" xr:uid="{00000000-0004-0000-0300-0000C9020000}"/>
    <hyperlink ref="R307" r:id="rId715" xr:uid="{00000000-0004-0000-0300-0000CA020000}"/>
    <hyperlink ref="Q204" r:id="rId716" xr:uid="{00000000-0004-0000-0300-0000CB020000}"/>
    <hyperlink ref="R204" r:id="rId717" xr:uid="{00000000-0004-0000-0300-0000CC020000}"/>
    <hyperlink ref="Q350" r:id="rId718" xr:uid="{00000000-0004-0000-0300-0000CD020000}"/>
    <hyperlink ref="R350" r:id="rId719" xr:uid="{00000000-0004-0000-0300-0000CE020000}"/>
    <hyperlink ref="Q59" r:id="rId720" xr:uid="{00000000-0004-0000-0300-0000CF020000}"/>
    <hyperlink ref="R59" r:id="rId721" xr:uid="{00000000-0004-0000-0300-0000D0020000}"/>
    <hyperlink ref="P38" r:id="rId722" xr:uid="{00000000-0004-0000-0300-0000D1020000}"/>
    <hyperlink ref="Q38" r:id="rId723" xr:uid="{00000000-0004-0000-0300-0000D2020000}"/>
    <hyperlink ref="S38" r:id="rId724" xr:uid="{00000000-0004-0000-0300-0000D3020000}"/>
    <hyperlink ref="Q39" r:id="rId725" xr:uid="{00000000-0004-0000-0300-0000D4020000}"/>
    <hyperlink ref="Q308" r:id="rId726" xr:uid="{00000000-0004-0000-0300-0000D5020000}"/>
    <hyperlink ref="R308" r:id="rId727" xr:uid="{00000000-0004-0000-0300-0000D6020000}"/>
    <hyperlink ref="Q293" r:id="rId728" xr:uid="{00000000-0004-0000-0300-0000D7020000}"/>
    <hyperlink ref="R293" r:id="rId729" xr:uid="{00000000-0004-0000-0300-0000D8020000}"/>
    <hyperlink ref="Q294" r:id="rId730" xr:uid="{00000000-0004-0000-0300-0000D9020000}"/>
    <hyperlink ref="Q73" r:id="rId731" xr:uid="{00000000-0004-0000-0300-0000DA020000}"/>
    <hyperlink ref="Q133" r:id="rId732" xr:uid="{00000000-0004-0000-0300-0000DB020000}"/>
    <hyperlink ref="R133" r:id="rId733" xr:uid="{00000000-0004-0000-0300-0000DC020000}"/>
    <hyperlink ref="Q134" r:id="rId734" xr:uid="{00000000-0004-0000-0300-0000DD020000}"/>
    <hyperlink ref="R134" r:id="rId735" xr:uid="{00000000-0004-0000-0300-0000DE020000}"/>
    <hyperlink ref="Q441" r:id="rId736" xr:uid="{00000000-0004-0000-0300-0000DF020000}"/>
    <hyperlink ref="R10" r:id="rId737" xr:uid="{00000000-0004-0000-0300-0000E0020000}"/>
    <hyperlink ref="S10" r:id="rId738" xr:uid="{00000000-0004-0000-0300-0000E1020000}"/>
    <hyperlink ref="Q268" r:id="rId739" xr:uid="{00000000-0004-0000-0300-0000E2020000}"/>
    <hyperlink ref="Q269" r:id="rId740" xr:uid="{00000000-0004-0000-0300-0000E3020000}"/>
    <hyperlink ref="Q270" r:id="rId741" xr:uid="{00000000-0004-0000-0300-0000E4020000}"/>
    <hyperlink ref="Q173" r:id="rId742" xr:uid="{00000000-0004-0000-0300-0000E5020000}"/>
    <hyperlink ref="Q342" r:id="rId743" xr:uid="{00000000-0004-0000-0300-0000E6020000}"/>
    <hyperlink ref="Q174" r:id="rId744" xr:uid="{00000000-0004-0000-0300-0000E7020000}"/>
    <hyperlink ref="Q175" r:id="rId745" xr:uid="{00000000-0004-0000-0300-0000E8020000}"/>
    <hyperlink ref="Q176" r:id="rId746" xr:uid="{00000000-0004-0000-0300-0000E9020000}"/>
    <hyperlink ref="Q177" r:id="rId747" xr:uid="{00000000-0004-0000-0300-0000EA020000}"/>
    <hyperlink ref="Q178" r:id="rId748" xr:uid="{00000000-0004-0000-0300-0000EB020000}"/>
    <hyperlink ref="Q47" r:id="rId749" xr:uid="{00000000-0004-0000-0300-0000EC020000}"/>
    <hyperlink ref="R47" r:id="rId750" xr:uid="{00000000-0004-0000-0300-0000ED020000}"/>
    <hyperlink ref="Q457" r:id="rId751" xr:uid="{00000000-0004-0000-0300-0000EE020000}"/>
    <hyperlink ref="R457" r:id="rId752" xr:uid="{00000000-0004-0000-0300-0000EF020000}"/>
    <hyperlink ref="Q264" r:id="rId753" xr:uid="{00000000-0004-0000-0300-0000F0020000}"/>
    <hyperlink ref="Q219" r:id="rId754" xr:uid="{00000000-0004-0000-0300-0000F1020000}"/>
    <hyperlink ref="Q240" r:id="rId755" xr:uid="{00000000-0004-0000-0300-0000F2020000}"/>
    <hyperlink ref="Q156" r:id="rId756" xr:uid="{00000000-0004-0000-0300-0000F3020000}"/>
    <hyperlink ref="R156" r:id="rId757" xr:uid="{00000000-0004-0000-0300-0000F4020000}"/>
    <hyperlink ref="Q157" r:id="rId758" xr:uid="{00000000-0004-0000-0300-0000F5020000}"/>
    <hyperlink ref="R157" r:id="rId759" xr:uid="{00000000-0004-0000-0300-0000F6020000}"/>
    <hyperlink ref="S358" r:id="rId760" xr:uid="{00000000-0004-0000-0300-0000F7020000}"/>
    <hyperlink ref="Q266" r:id="rId761" xr:uid="{00000000-0004-0000-0300-0000F8020000}"/>
    <hyperlink ref="R266" r:id="rId762" xr:uid="{00000000-0004-0000-0300-0000F9020000}"/>
    <hyperlink ref="Q233" r:id="rId763" xr:uid="{00000000-0004-0000-0300-0000FA020000}"/>
    <hyperlink ref="Q17" r:id="rId764" xr:uid="{00000000-0004-0000-0300-0000FB020000}"/>
    <hyperlink ref="Q205" r:id="rId765" xr:uid="{00000000-0004-0000-0300-0000FC020000}"/>
    <hyperlink ref="Q206" r:id="rId766" xr:uid="{00000000-0004-0000-0300-0000FD020000}"/>
    <hyperlink ref="Q207" r:id="rId767" xr:uid="{00000000-0004-0000-0300-0000FE020000}"/>
    <hyperlink ref="Q208" r:id="rId768" xr:uid="{00000000-0004-0000-0300-0000FF020000}"/>
    <hyperlink ref="Q209" r:id="rId769" xr:uid="{00000000-0004-0000-0300-000000030000}"/>
    <hyperlink ref="Q127" r:id="rId770" xr:uid="{00000000-0004-0000-0300-000001030000}"/>
    <hyperlink ref="Q128" r:id="rId771" xr:uid="{00000000-0004-0000-0300-000002030000}"/>
    <hyperlink ref="P397" r:id="rId772" xr:uid="{00000000-0004-0000-0300-000003030000}"/>
    <hyperlink ref="Q397" r:id="rId773" xr:uid="{00000000-0004-0000-0300-000004030000}"/>
    <hyperlink ref="R397" r:id="rId774" xr:uid="{00000000-0004-0000-0300-000005030000}"/>
    <hyperlink ref="P398" r:id="rId775" xr:uid="{00000000-0004-0000-0300-000006030000}"/>
    <hyperlink ref="Q398" r:id="rId776" xr:uid="{00000000-0004-0000-0300-000007030000}"/>
    <hyperlink ref="P399" r:id="rId777" xr:uid="{00000000-0004-0000-0300-000008030000}"/>
    <hyperlink ref="Q399" r:id="rId778" xr:uid="{00000000-0004-0000-0300-000009030000}"/>
    <hyperlink ref="P400" r:id="rId779" xr:uid="{00000000-0004-0000-0300-00000A030000}"/>
    <hyperlink ref="Q400" r:id="rId780" xr:uid="{00000000-0004-0000-0300-00000B030000}"/>
    <hyperlink ref="R400" r:id="rId781" xr:uid="{00000000-0004-0000-0300-00000C030000}"/>
    <hyperlink ref="P137" r:id="rId782" xr:uid="{00000000-0004-0000-0300-00000D030000}"/>
    <hyperlink ref="Q137" r:id="rId783" xr:uid="{00000000-0004-0000-0300-00000E030000}"/>
    <hyperlink ref="R137" r:id="rId784" xr:uid="{00000000-0004-0000-0300-00000F030000}"/>
    <hyperlink ref="P221" r:id="rId785" xr:uid="{00000000-0004-0000-0300-000010030000}"/>
    <hyperlink ref="Q221" r:id="rId786" xr:uid="{00000000-0004-0000-0300-000011030000}"/>
    <hyperlink ref="R221" r:id="rId787" xr:uid="{00000000-0004-0000-0300-000012030000}"/>
    <hyperlink ref="P239" r:id="rId788" xr:uid="{00000000-0004-0000-0300-000013030000}"/>
    <hyperlink ref="Q239" r:id="rId789" xr:uid="{00000000-0004-0000-0300-000014030000}"/>
    <hyperlink ref="R239" r:id="rId790" xr:uid="{00000000-0004-0000-0300-000015030000}"/>
    <hyperlink ref="P298" r:id="rId791" xr:uid="{00000000-0004-0000-0300-000016030000}"/>
    <hyperlink ref="Q298" r:id="rId792" xr:uid="{00000000-0004-0000-0300-000017030000}"/>
    <hyperlink ref="R298" r:id="rId793" xr:uid="{00000000-0004-0000-0300-000018030000}"/>
    <hyperlink ref="P387" r:id="rId794" xr:uid="{00000000-0004-0000-0300-000019030000}"/>
    <hyperlink ref="Q387" r:id="rId795" xr:uid="{00000000-0004-0000-0300-00001A030000}"/>
    <hyperlink ref="R387" r:id="rId796" xr:uid="{00000000-0004-0000-0300-00001B030000}"/>
    <hyperlink ref="P341" r:id="rId797" xr:uid="{00000000-0004-0000-0300-00001C030000}"/>
    <hyperlink ref="Q341" r:id="rId798" xr:uid="{00000000-0004-0000-0300-00001D030000}"/>
    <hyperlink ref="R341" r:id="rId799" xr:uid="{00000000-0004-0000-0300-00001E030000}"/>
    <hyperlink ref="S32" r:id="rId800" xr:uid="{00000000-0004-0000-0300-00001F030000}"/>
    <hyperlink ref="S33" r:id="rId801" xr:uid="{00000000-0004-0000-0300-000020030000}"/>
    <hyperlink ref="P34" r:id="rId802" xr:uid="{00000000-0004-0000-0300-000021030000}"/>
    <hyperlink ref="Q34" r:id="rId803" xr:uid="{00000000-0004-0000-0300-000022030000}"/>
    <hyperlink ref="R34" r:id="rId804" xr:uid="{00000000-0004-0000-0300-000023030000}"/>
    <hyperlink ref="P84" r:id="rId805" xr:uid="{00000000-0004-0000-0300-000024030000}"/>
    <hyperlink ref="Q84" r:id="rId806" xr:uid="{00000000-0004-0000-0300-000025030000}"/>
    <hyperlink ref="R84" r:id="rId807" xr:uid="{00000000-0004-0000-0300-000026030000}"/>
    <hyperlink ref="P79" r:id="rId808" xr:uid="{00000000-0004-0000-0300-000027030000}"/>
    <hyperlink ref="Q79" r:id="rId809" xr:uid="{00000000-0004-0000-0300-000028030000}"/>
    <hyperlink ref="R79" r:id="rId810" xr:uid="{00000000-0004-0000-0300-000029030000}"/>
    <hyperlink ref="P241" r:id="rId811" xr:uid="{00000000-0004-0000-0300-00002A030000}"/>
    <hyperlink ref="Q241" r:id="rId812" xr:uid="{00000000-0004-0000-0300-00002B030000}"/>
    <hyperlink ref="R241" r:id="rId813" xr:uid="{00000000-0004-0000-0300-00002C030000}"/>
    <hyperlink ref="P278" r:id="rId814" xr:uid="{00000000-0004-0000-0300-00002D030000}"/>
    <hyperlink ref="Q278" r:id="rId815" xr:uid="{00000000-0004-0000-0300-00002E030000}"/>
    <hyperlink ref="R278" r:id="rId816" xr:uid="{00000000-0004-0000-0300-00002F030000}"/>
    <hyperlink ref="Q279" r:id="rId817" xr:uid="{00000000-0004-0000-0300-000030030000}"/>
    <hyperlink ref="R279" r:id="rId818" xr:uid="{00000000-0004-0000-0300-000031030000}"/>
    <hyperlink ref="P432" r:id="rId819" xr:uid="{00000000-0004-0000-0300-000032030000}"/>
    <hyperlink ref="Q432" r:id="rId820" xr:uid="{00000000-0004-0000-0300-000033030000}"/>
    <hyperlink ref="R432" r:id="rId821" xr:uid="{00000000-0004-0000-0300-000034030000}"/>
    <hyperlink ref="P110" r:id="rId822" xr:uid="{00000000-0004-0000-0300-000035030000}"/>
    <hyperlink ref="Q110" r:id="rId823" xr:uid="{00000000-0004-0000-0300-000036030000}"/>
    <hyperlink ref="R110" r:id="rId824" xr:uid="{00000000-0004-0000-0300-000037030000}"/>
    <hyperlink ref="P288" r:id="rId825" xr:uid="{00000000-0004-0000-0300-000038030000}"/>
    <hyperlink ref="Q288" r:id="rId826" xr:uid="{00000000-0004-0000-0300-000039030000}"/>
    <hyperlink ref="R288" r:id="rId827" xr:uid="{00000000-0004-0000-0300-00003A030000}"/>
    <hyperlink ref="P41" r:id="rId828" xr:uid="{00000000-0004-0000-0300-00003B030000}"/>
    <hyperlink ref="Q41" r:id="rId829" xr:uid="{00000000-0004-0000-0300-00003C030000}"/>
    <hyperlink ref="R41" r:id="rId830" xr:uid="{00000000-0004-0000-0300-00003D030000}"/>
    <hyperlink ref="P202" r:id="rId831" xr:uid="{00000000-0004-0000-0300-00003E030000}"/>
    <hyperlink ref="Q202" r:id="rId832" xr:uid="{00000000-0004-0000-0300-00003F030000}"/>
    <hyperlink ref="R202" r:id="rId833" xr:uid="{00000000-0004-0000-0300-000040030000}"/>
    <hyperlink ref="P462" r:id="rId834" xr:uid="{00000000-0004-0000-0300-000041030000}"/>
    <hyperlink ref="Q462" r:id="rId835" xr:uid="{00000000-0004-0000-0300-000042030000}"/>
    <hyperlink ref="R462" r:id="rId836" xr:uid="{00000000-0004-0000-0300-000043030000}"/>
    <hyperlink ref="P466" r:id="rId837" xr:uid="{00000000-0004-0000-0300-000044030000}"/>
    <hyperlink ref="Q466" r:id="rId838" xr:uid="{00000000-0004-0000-0300-000045030000}"/>
    <hyperlink ref="R466" r:id="rId839" xr:uid="{00000000-0004-0000-0300-000046030000}"/>
    <hyperlink ref="P49" r:id="rId840" xr:uid="{00000000-0004-0000-0300-000047030000}"/>
    <hyperlink ref="Q49" r:id="rId841" xr:uid="{00000000-0004-0000-0300-000048030000}"/>
    <hyperlink ref="R49" r:id="rId842" xr:uid="{00000000-0004-0000-0300-000049030000}"/>
    <hyperlink ref="P357" r:id="rId843" xr:uid="{00000000-0004-0000-0300-00004A030000}"/>
    <hyperlink ref="Q357" r:id="rId844" xr:uid="{00000000-0004-0000-0300-00004B030000}"/>
    <hyperlink ref="R357" r:id="rId845" xr:uid="{00000000-0004-0000-0300-00004C030000}"/>
    <hyperlink ref="Q188" r:id="rId846" xr:uid="{00000000-0004-0000-0300-00004D030000}"/>
    <hyperlink ref="R188" r:id="rId847" xr:uid="{00000000-0004-0000-0300-00004E030000}"/>
    <hyperlink ref="Q189" r:id="rId848" xr:uid="{00000000-0004-0000-0300-00004F030000}"/>
    <hyperlink ref="R189" r:id="rId849" xr:uid="{00000000-0004-0000-0300-000050030000}"/>
    <hyperlink ref="Q167" r:id="rId850" xr:uid="{00000000-0004-0000-0300-000051030000}"/>
    <hyperlink ref="P411" r:id="rId851" xr:uid="{00000000-0004-0000-0300-000052030000}"/>
    <hyperlink ref="Q411" r:id="rId852" xr:uid="{00000000-0004-0000-0300-000053030000}"/>
    <hyperlink ref="S407" r:id="rId853" xr:uid="{00000000-0004-0000-0300-000054030000}"/>
    <hyperlink ref="P408" r:id="rId854" xr:uid="{00000000-0004-0000-0300-000055030000}"/>
    <hyperlink ref="S408" r:id="rId855" xr:uid="{00000000-0004-0000-0300-000056030000}"/>
    <hyperlink ref="P409" r:id="rId856" xr:uid="{00000000-0004-0000-0300-000057030000}"/>
    <hyperlink ref="S409" r:id="rId857" xr:uid="{00000000-0004-0000-0300-000058030000}"/>
    <hyperlink ref="Q410" r:id="rId858" xr:uid="{00000000-0004-0000-0300-000059030000}"/>
    <hyperlink ref="Q101" r:id="rId859" xr:uid="{00000000-0004-0000-0300-00005A030000}"/>
    <hyperlink ref="P250" r:id="rId860" xr:uid="{00000000-0004-0000-0300-00005B030000}"/>
    <hyperlink ref="Q250" r:id="rId861" xr:uid="{00000000-0004-0000-0300-00005C030000}"/>
    <hyperlink ref="R250" r:id="rId862" xr:uid="{00000000-0004-0000-0300-00005D030000}"/>
    <hyperlink ref="Q68" r:id="rId863" xr:uid="{00000000-0004-0000-0300-00005E030000}"/>
    <hyperlink ref="R68" r:id="rId864" xr:uid="{00000000-0004-0000-0300-00005F030000}"/>
    <hyperlink ref="Q371" r:id="rId865" xr:uid="{00000000-0004-0000-0300-000060030000}"/>
    <hyperlink ref="R371" r:id="rId866" xr:uid="{00000000-0004-0000-0300-000061030000}"/>
    <hyperlink ref="Q450" r:id="rId867" xr:uid="{00000000-0004-0000-0300-000062030000}"/>
    <hyperlink ref="R450" r:id="rId868" xr:uid="{00000000-0004-0000-0300-000063030000}"/>
    <hyperlink ref="Q89" r:id="rId869" xr:uid="{00000000-0004-0000-0300-000064030000}"/>
    <hyperlink ref="R89" r:id="rId870" xr:uid="{00000000-0004-0000-0300-000065030000}"/>
    <hyperlink ref="Q215" r:id="rId871" xr:uid="{00000000-0004-0000-0300-000066030000}"/>
    <hyperlink ref="R215" r:id="rId872" xr:uid="{00000000-0004-0000-0300-000067030000}"/>
    <hyperlink ref="Q386" r:id="rId873" xr:uid="{00000000-0004-0000-0300-000068030000}"/>
    <hyperlink ref="R386" r:id="rId874" xr:uid="{00000000-0004-0000-0300-000069030000}"/>
    <hyperlink ref="Q115" r:id="rId875" xr:uid="{00000000-0004-0000-0300-00006A030000}"/>
    <hyperlink ref="R115" r:id="rId876" xr:uid="{00000000-0004-0000-0300-00006B030000}"/>
    <hyperlink ref="Q182" r:id="rId877" xr:uid="{00000000-0004-0000-0300-00006C030000}"/>
    <hyperlink ref="P62" r:id="rId878" xr:uid="{00000000-0004-0000-0300-00006D030000}"/>
    <hyperlink ref="Q62" r:id="rId879" xr:uid="{00000000-0004-0000-0300-00006E030000}"/>
    <hyperlink ref="R62" r:id="rId880" xr:uid="{00000000-0004-0000-0300-00006F030000}"/>
    <hyperlink ref="P170" r:id="rId881" xr:uid="{00000000-0004-0000-0300-000070030000}"/>
    <hyperlink ref="Q170" r:id="rId882" xr:uid="{00000000-0004-0000-0300-000071030000}"/>
    <hyperlink ref="R170" r:id="rId883" xr:uid="{00000000-0004-0000-0300-000072030000}"/>
    <hyperlink ref="P413" r:id="rId884" xr:uid="{00000000-0004-0000-0300-000073030000}"/>
    <hyperlink ref="Q413" r:id="rId885" xr:uid="{00000000-0004-0000-0300-000074030000}"/>
    <hyperlink ref="R413" r:id="rId886" xr:uid="{00000000-0004-0000-0300-000075030000}"/>
    <hyperlink ref="Q414" r:id="rId887" xr:uid="{00000000-0004-0000-0300-000076030000}"/>
    <hyperlink ref="R414" r:id="rId888" xr:uid="{00000000-0004-0000-0300-000077030000}"/>
    <hyperlink ref="P181" r:id="rId889" xr:uid="{00000000-0004-0000-0300-000078030000}"/>
    <hyperlink ref="Q181" r:id="rId890" xr:uid="{00000000-0004-0000-0300-000079030000}"/>
    <hyperlink ref="R181" r:id="rId891" xr:uid="{00000000-0004-0000-0300-00007A030000}"/>
    <hyperlink ref="P276" r:id="rId892" xr:uid="{00000000-0004-0000-0300-00007B030000}"/>
    <hyperlink ref="Q276" r:id="rId893" xr:uid="{00000000-0004-0000-0300-00007C030000}"/>
    <hyperlink ref="R276" r:id="rId894" xr:uid="{00000000-0004-0000-0300-00007D030000}"/>
    <hyperlink ref="P467" r:id="rId895" xr:uid="{00000000-0004-0000-0300-00007E030000}"/>
    <hyperlink ref="Q467" r:id="rId896" xr:uid="{00000000-0004-0000-0300-00007F030000}"/>
    <hyperlink ref="R467" r:id="rId897" xr:uid="{00000000-0004-0000-0300-000080030000}"/>
    <hyperlink ref="P379" r:id="rId898" xr:uid="{00000000-0004-0000-0300-000081030000}"/>
    <hyperlink ref="Q379" r:id="rId899" xr:uid="{00000000-0004-0000-0300-000082030000}"/>
    <hyperlink ref="R379" r:id="rId900" xr:uid="{00000000-0004-0000-0300-000083030000}"/>
    <hyperlink ref="P352" r:id="rId901" xr:uid="{00000000-0004-0000-0300-000084030000}"/>
    <hyperlink ref="Q352" r:id="rId902" xr:uid="{00000000-0004-0000-0300-000085030000}"/>
    <hyperlink ref="R352" r:id="rId903" xr:uid="{00000000-0004-0000-0300-000086030000}"/>
    <hyperlink ref="P70" r:id="rId904" xr:uid="{00000000-0004-0000-0300-000087030000}"/>
    <hyperlink ref="Q70" r:id="rId905" xr:uid="{00000000-0004-0000-0300-000088030000}"/>
    <hyperlink ref="R70" r:id="rId906" xr:uid="{00000000-0004-0000-0300-000089030000}"/>
    <hyperlink ref="P104" r:id="rId907" xr:uid="{00000000-0004-0000-0300-00008A030000}"/>
    <hyperlink ref="Q104" r:id="rId908" xr:uid="{00000000-0004-0000-0300-00008B030000}"/>
    <hyperlink ref="R104" r:id="rId909" xr:uid="{00000000-0004-0000-0300-00008C030000}"/>
    <hyperlink ref="P384" r:id="rId910" xr:uid="{00000000-0004-0000-0300-00008D030000}"/>
    <hyperlink ref="Q384" r:id="rId911" xr:uid="{00000000-0004-0000-0300-00008E030000}"/>
    <hyperlink ref="R384" r:id="rId912" xr:uid="{00000000-0004-0000-0300-00008F030000}"/>
    <hyperlink ref="P327" r:id="rId913" xr:uid="{00000000-0004-0000-0300-000090030000}"/>
    <hyperlink ref="Q327" r:id="rId914" xr:uid="{00000000-0004-0000-0300-000091030000}"/>
    <hyperlink ref="R327" r:id="rId915" xr:uid="{00000000-0004-0000-0300-000092030000}"/>
    <hyperlink ref="Q144" r:id="rId916" xr:uid="{00000000-0004-0000-0300-000093030000}"/>
    <hyperlink ref="Q366" r:id="rId917" xr:uid="{00000000-0004-0000-0300-000094030000}"/>
    <hyperlink ref="R366" r:id="rId918" xr:uid="{00000000-0004-0000-0300-000095030000}"/>
    <hyperlink ref="P169" r:id="rId919" xr:uid="{00000000-0004-0000-0300-000096030000}"/>
    <hyperlink ref="Q169" r:id="rId920" xr:uid="{00000000-0004-0000-0300-000097030000}"/>
    <hyperlink ref="R169" r:id="rId921" xr:uid="{00000000-0004-0000-0300-000098030000}"/>
    <hyperlink ref="P203" r:id="rId922" xr:uid="{00000000-0004-0000-0300-000099030000}"/>
    <hyperlink ref="Q203" r:id="rId923" xr:uid="{00000000-0004-0000-0300-00009A030000}"/>
    <hyperlink ref="R203" r:id="rId924" xr:uid="{00000000-0004-0000-0300-00009B030000}"/>
    <hyperlink ref="P380" r:id="rId925" xr:uid="{00000000-0004-0000-0300-00009C030000}"/>
    <hyperlink ref="Q380" r:id="rId926" xr:uid="{00000000-0004-0000-0300-00009D030000}"/>
    <hyperlink ref="R380" r:id="rId927" xr:uid="{00000000-0004-0000-0300-00009E030000}"/>
    <hyperlink ref="S112" r:id="rId928" xr:uid="{00000000-0004-0000-0300-00009F030000}"/>
    <hyperlink ref="P56" r:id="rId929" xr:uid="{00000000-0004-0000-0300-0000A0030000}"/>
    <hyperlink ref="Q56" r:id="rId930" xr:uid="{00000000-0004-0000-0300-0000A1030000}"/>
    <hyperlink ref="R56" r:id="rId931" xr:uid="{00000000-0004-0000-0300-0000A2030000}"/>
    <hyperlink ref="Q71" r:id="rId932" xr:uid="{00000000-0004-0000-0300-0000A3030000}"/>
    <hyperlink ref="R71" r:id="rId933" xr:uid="{00000000-0004-0000-0300-0000A4030000}"/>
    <hyperlink ref="Q72" r:id="rId934" xr:uid="{00000000-0004-0000-0300-0000A5030000}"/>
    <hyperlink ref="R72" r:id="rId935" xr:uid="{00000000-0004-0000-0300-0000A6030000}"/>
    <hyperlink ref="Q435" r:id="rId936" xr:uid="{00000000-0004-0000-0300-0000A7030000}"/>
    <hyperlink ref="R435" r:id="rId937" xr:uid="{00000000-0004-0000-0300-0000A8030000}"/>
    <hyperlink ref="Q254" r:id="rId938" xr:uid="{00000000-0004-0000-0300-0000A9030000}"/>
    <hyperlink ref="R254" r:id="rId939" xr:uid="{00000000-0004-0000-0300-0000AA030000}"/>
    <hyperlink ref="P9" r:id="rId940" xr:uid="{00000000-0004-0000-0300-0000AB030000}"/>
    <hyperlink ref="Q9" r:id="rId941" xr:uid="{00000000-0004-0000-0300-0000AC030000}"/>
    <hyperlink ref="R9" r:id="rId942" xr:uid="{00000000-0004-0000-0300-0000AD030000}"/>
    <hyperlink ref="P440" r:id="rId943" xr:uid="{00000000-0004-0000-0300-0000AE030000}"/>
    <hyperlink ref="Q440" r:id="rId944" xr:uid="{00000000-0004-0000-0300-0000AF030000}"/>
    <hyperlink ref="R440" r:id="rId945" xr:uid="{00000000-0004-0000-0300-0000B0030000}"/>
    <hyperlink ref="P159" r:id="rId946" xr:uid="{00000000-0004-0000-0300-0000B1030000}"/>
    <hyperlink ref="Q159" r:id="rId947" xr:uid="{00000000-0004-0000-0300-0000B2030000}"/>
    <hyperlink ref="R159" r:id="rId948" xr:uid="{00000000-0004-0000-0300-0000B3030000}"/>
    <hyperlink ref="P103" r:id="rId949" xr:uid="{00000000-0004-0000-0300-0000B4030000}"/>
    <hyperlink ref="Q103" r:id="rId950" xr:uid="{00000000-0004-0000-0300-0000B5030000}"/>
    <hyperlink ref="R103" r:id="rId951" xr:uid="{00000000-0004-0000-0300-0000B6030000}"/>
    <hyperlink ref="P452" r:id="rId952" xr:uid="{00000000-0004-0000-0300-0000B7030000}"/>
    <hyperlink ref="Q452" r:id="rId953" xr:uid="{00000000-0004-0000-0300-0000B8030000}"/>
    <hyperlink ref="R452" r:id="rId954" xr:uid="{00000000-0004-0000-0300-0000B9030000}"/>
    <hyperlink ref="Q353" r:id="rId955" xr:uid="{00000000-0004-0000-0300-0000BA030000}"/>
    <hyperlink ref="Q354" r:id="rId956" xr:uid="{00000000-0004-0000-0300-0000BB030000}"/>
    <hyperlink ref="Q310" r:id="rId957" xr:uid="{00000000-0004-0000-0300-0000BC030000}"/>
    <hyperlink ref="Q214" r:id="rId958" xr:uid="{00000000-0004-0000-0300-0000BD030000}"/>
    <hyperlink ref="R214" r:id="rId959" xr:uid="{00000000-0004-0000-0300-0000BE030000}"/>
    <hyperlink ref="P249" r:id="rId960" xr:uid="{00000000-0004-0000-0300-0000BF030000}"/>
    <hyperlink ref="Q249" r:id="rId961" xr:uid="{00000000-0004-0000-0300-0000C0030000}"/>
    <hyperlink ref="R249" r:id="rId962" xr:uid="{00000000-0004-0000-0300-0000C1030000}"/>
    <hyperlink ref="P418" r:id="rId963" xr:uid="{00000000-0004-0000-0300-0000C2030000}"/>
    <hyperlink ref="Q418" r:id="rId964" xr:uid="{00000000-0004-0000-0300-0000C3030000}"/>
    <hyperlink ref="R418" r:id="rId965" xr:uid="{00000000-0004-0000-0300-0000C4030000}"/>
    <hyperlink ref="P332" r:id="rId966" xr:uid="{00000000-0004-0000-0300-0000C5030000}"/>
    <hyperlink ref="Q332" r:id="rId967" xr:uid="{00000000-0004-0000-0300-0000C6030000}"/>
    <hyperlink ref="R332" r:id="rId968" xr:uid="{00000000-0004-0000-0300-0000C7030000}"/>
    <hyperlink ref="P28" r:id="rId969" xr:uid="{00000000-0004-0000-0300-0000C8030000}"/>
    <hyperlink ref="Q28" r:id="rId970" xr:uid="{00000000-0004-0000-0300-0000C9030000}"/>
    <hyperlink ref="R28" r:id="rId971" xr:uid="{00000000-0004-0000-0300-0000CA030000}"/>
    <hyperlink ref="P351" r:id="rId972" xr:uid="{00000000-0004-0000-0300-0000CB030000}"/>
    <hyperlink ref="Q351" r:id="rId973" xr:uid="{00000000-0004-0000-0300-0000CC030000}"/>
    <hyperlink ref="R351" r:id="rId974" xr:uid="{00000000-0004-0000-0300-0000CD030000}"/>
    <hyperlink ref="Q140" r:id="rId975" xr:uid="{00000000-0004-0000-0300-0000CE030000}"/>
    <hyperlink ref="S140" r:id="rId976" xr:uid="{00000000-0004-0000-0300-0000CF030000}"/>
    <hyperlink ref="P155" r:id="rId977" xr:uid="{00000000-0004-0000-0300-0000D0030000}"/>
    <hyperlink ref="Q155" r:id="rId978" xr:uid="{00000000-0004-0000-0300-0000D1030000}"/>
    <hyperlink ref="R155" r:id="rId979" xr:uid="{00000000-0004-0000-0300-0000D2030000}"/>
    <hyperlink ref="P151" r:id="rId980" xr:uid="{00000000-0004-0000-0300-0000D3030000}"/>
    <hyperlink ref="Q151" r:id="rId981" xr:uid="{00000000-0004-0000-0300-0000D4030000}"/>
    <hyperlink ref="P436" r:id="rId982" xr:uid="{00000000-0004-0000-0300-0000D5030000}"/>
    <hyperlink ref="Q436" r:id="rId983" xr:uid="{00000000-0004-0000-0300-0000D6030000}"/>
    <hyperlink ref="S117" r:id="rId984" xr:uid="{00000000-0004-0000-0300-0000D7030000}"/>
    <hyperlink ref="Q161" r:id="rId985" xr:uid="{00000000-0004-0000-0300-0000D8030000}"/>
    <hyperlink ref="Q318" r:id="rId986" xr:uid="{00000000-0004-0000-0300-0000D9030000}"/>
    <hyperlink ref="R318" r:id="rId987" xr:uid="{00000000-0004-0000-0300-0000DA030000}"/>
    <hyperlink ref="Q61" r:id="rId988" xr:uid="{00000000-0004-0000-0300-0000DB030000}"/>
    <hyperlink ref="P96" r:id="rId989" xr:uid="{00000000-0004-0000-0300-0000DC030000}"/>
    <hyperlink ref="Q96" r:id="rId990" xr:uid="{00000000-0004-0000-0300-0000DD030000}"/>
    <hyperlink ref="R96" r:id="rId991" xr:uid="{00000000-0004-0000-0300-0000DE030000}"/>
    <hyperlink ref="Q82" r:id="rId992" xr:uid="{00000000-0004-0000-0300-0000DF030000}"/>
    <hyperlink ref="Q83" r:id="rId993" xr:uid="{00000000-0004-0000-0300-0000E0030000}"/>
    <hyperlink ref="R83" r:id="rId994" xr:uid="{00000000-0004-0000-0300-0000E1030000}"/>
    <hyperlink ref="P185" r:id="rId995" xr:uid="{00000000-0004-0000-0300-0000E2030000}"/>
    <hyperlink ref="Q185" r:id="rId996" xr:uid="{00000000-0004-0000-0300-0000E3030000}"/>
    <hyperlink ref="R185" r:id="rId997" xr:uid="{00000000-0004-0000-0300-0000E4030000}"/>
    <hyperlink ref="Q64" r:id="rId998" xr:uid="{00000000-0004-0000-0300-0000E5030000}"/>
    <hyperlink ref="R64" r:id="rId999" xr:uid="{00000000-0004-0000-0300-0000E6030000}"/>
    <hyperlink ref="Q44" r:id="rId1000" xr:uid="{00000000-0004-0000-0300-0000E7030000}"/>
    <hyperlink ref="Q45" r:id="rId1001" xr:uid="{00000000-0004-0000-0300-0000E8030000}"/>
    <hyperlink ref="P248" r:id="rId1002" xr:uid="{00000000-0004-0000-0300-0000E9030000}"/>
    <hyperlink ref="Q248" r:id="rId1003" xr:uid="{00000000-0004-0000-0300-0000EA030000}"/>
    <hyperlink ref="R248" r:id="rId1004" xr:uid="{00000000-0004-0000-0300-0000EB030000}"/>
    <hyperlink ref="P334" r:id="rId1005" xr:uid="{00000000-0004-0000-0300-0000EC030000}"/>
    <hyperlink ref="Q334" r:id="rId1006" xr:uid="{00000000-0004-0000-0300-0000ED030000}"/>
    <hyperlink ref="R334" r:id="rId1007" xr:uid="{00000000-0004-0000-0300-0000EE030000}"/>
    <hyperlink ref="P251" r:id="rId1008" xr:uid="{00000000-0004-0000-0300-0000EF030000}"/>
    <hyperlink ref="Q251" r:id="rId1009" xr:uid="{00000000-0004-0000-0300-0000F0030000}"/>
    <hyperlink ref="Q67" r:id="rId1010" xr:uid="{00000000-0004-0000-0300-0000F1030000}"/>
    <hyperlink ref="P401" r:id="rId1011" xr:uid="{00000000-0004-0000-0300-0000F2030000}"/>
    <hyperlink ref="S401" r:id="rId1012" xr:uid="{00000000-0004-0000-0300-0000F3030000}"/>
    <hyperlink ref="Q402" r:id="rId1013" xr:uid="{00000000-0004-0000-0300-0000F4030000}"/>
    <hyperlink ref="R402" r:id="rId1014" xr:uid="{00000000-0004-0000-0300-0000F5030000}"/>
    <hyperlink ref="Q152" r:id="rId1015" xr:uid="{00000000-0004-0000-0300-0000F6030000}"/>
    <hyperlink ref="Q389" r:id="rId1016" xr:uid="{00000000-0004-0000-0300-0000F7030000}"/>
    <hyperlink ref="R389" r:id="rId1017" xr:uid="{00000000-0004-0000-0300-0000F8030000}"/>
    <hyperlink ref="Q11" r:id="rId1018" xr:uid="{00000000-0004-0000-0300-0000F9030000}"/>
    <hyperlink ref="R11" r:id="rId1019" xr:uid="{00000000-0004-0000-0300-0000FA030000}"/>
    <hyperlink ref="P416" r:id="rId1020" xr:uid="{00000000-0004-0000-0300-0000FB030000}"/>
    <hyperlink ref="Q416" r:id="rId1021" xr:uid="{00000000-0004-0000-0300-0000FC030000}"/>
    <hyperlink ref="R416" r:id="rId1022" xr:uid="{00000000-0004-0000-0300-0000FD030000}"/>
    <hyperlink ref="Q212" r:id="rId1023" xr:uid="{00000000-0004-0000-0300-0000FE030000}"/>
    <hyperlink ref="R212" r:id="rId1024" xr:uid="{00000000-0004-0000-0300-0000FF030000}"/>
    <hyperlink ref="Q213" r:id="rId1025" xr:uid="{00000000-0004-0000-0300-000000040000}"/>
    <hyperlink ref="P453" r:id="rId1026" xr:uid="{00000000-0004-0000-0300-000001040000}"/>
    <hyperlink ref="Q453" r:id="rId1027" xr:uid="{00000000-0004-0000-0300-000002040000}"/>
    <hyperlink ref="R453" r:id="rId1028" xr:uid="{00000000-0004-0000-0300-000003040000}"/>
    <hyperlink ref="P2" r:id="rId1029" xr:uid="{00000000-0004-0000-0300-000004040000}"/>
    <hyperlink ref="Q2" r:id="rId1030" xr:uid="{00000000-0004-0000-0300-000005040000}"/>
    <hyperlink ref="P3" r:id="rId1031" xr:uid="{00000000-0004-0000-0300-000006040000}"/>
    <hyperlink ref="Q3" r:id="rId1032" xr:uid="{00000000-0004-0000-0300-000007040000}"/>
    <hyperlink ref="R3" r:id="rId1033" xr:uid="{00000000-0004-0000-0300-000008040000}"/>
    <hyperlink ref="Q460" r:id="rId1034" xr:uid="{00000000-0004-0000-0300-000009040000}"/>
    <hyperlink ref="R460" r:id="rId1035" xr:uid="{00000000-0004-0000-0300-00000A040000}"/>
    <hyperlink ref="Q124" r:id="rId1036" xr:uid="{00000000-0004-0000-0300-00000B040000}"/>
    <hyperlink ref="R124" r:id="rId1037" xr:uid="{00000000-0004-0000-0300-00000C040000}"/>
    <hyperlink ref="Q111" r:id="rId1038" xr:uid="{00000000-0004-0000-0300-00000D040000}"/>
    <hyperlink ref="Q405" r:id="rId1039" xr:uid="{00000000-0004-0000-0300-00000E040000}"/>
    <hyperlink ref="P420" r:id="rId1040" xr:uid="{00000000-0004-0000-0300-00000F040000}"/>
    <hyperlink ref="Q420" r:id="rId1041" xr:uid="{00000000-0004-0000-0300-000010040000}"/>
    <hyperlink ref="Q51" r:id="rId1042" xr:uid="{00000000-0004-0000-0300-000011040000}"/>
    <hyperlink ref="Q126" r:id="rId1043" xr:uid="{00000000-0004-0000-0300-000012040000}"/>
    <hyperlink ref="Q260" r:id="rId1044" xr:uid="{00000000-0004-0000-0300-000013040000}"/>
    <hyperlink ref="Q468" r:id="rId1045" xr:uid="{00000000-0004-0000-0300-000014040000}"/>
    <hyperlink ref="Q328" r:id="rId1046" xr:uid="{00000000-0004-0000-0300-000015040000}"/>
    <hyperlink ref="R328" r:id="rId1047" xr:uid="{00000000-0004-0000-0300-000016040000}"/>
    <hyperlink ref="P253" r:id="rId1048" xr:uid="{00000000-0004-0000-0300-000017040000}"/>
    <hyperlink ref="Q253" r:id="rId1049" xr:uid="{00000000-0004-0000-0300-000018040000}"/>
    <hyperlink ref="R253" r:id="rId1050" xr:uid="{00000000-0004-0000-0300-000019040000}"/>
    <hyperlink ref="P369" r:id="rId1051" xr:uid="{00000000-0004-0000-0300-00001A040000}"/>
    <hyperlink ref="Q369" r:id="rId1052" xr:uid="{00000000-0004-0000-0300-00001B040000}"/>
    <hyperlink ref="R369" r:id="rId1053" xr:uid="{00000000-0004-0000-0300-00001C040000}"/>
    <hyperlink ref="P258" r:id="rId1054" xr:uid="{00000000-0004-0000-0300-00001D040000}"/>
    <hyperlink ref="Q258" r:id="rId1055" xr:uid="{00000000-0004-0000-0300-00001E040000}"/>
    <hyperlink ref="R258" r:id="rId1056" xr:uid="{00000000-0004-0000-0300-00001F040000}"/>
    <hyperlink ref="Q335" r:id="rId1057" xr:uid="{00000000-0004-0000-0300-000020040000}"/>
    <hyperlink ref="R335" r:id="rId1058" xr:uid="{00000000-0004-0000-0300-000021040000}"/>
    <hyperlink ref="P446" r:id="rId1059" xr:uid="{00000000-0004-0000-0300-000022040000}"/>
    <hyperlink ref="Q446" r:id="rId1060" xr:uid="{00000000-0004-0000-0300-000023040000}"/>
    <hyperlink ref="R446" r:id="rId1061" xr:uid="{00000000-0004-0000-0300-000024040000}"/>
    <hyperlink ref="Q29" r:id="rId1062" xr:uid="{00000000-0004-0000-0300-000025040000}"/>
    <hyperlink ref="Q30" r:id="rId1063" xr:uid="{00000000-0004-0000-0300-000026040000}"/>
    <hyperlink ref="P31" r:id="rId1064" xr:uid="{00000000-0004-0000-0300-000027040000}"/>
    <hyperlink ref="Q31" r:id="rId1065" xr:uid="{00000000-0004-0000-0300-000028040000}"/>
    <hyperlink ref="R31" r:id="rId1066" xr:uid="{00000000-0004-0000-0300-000029040000}"/>
    <hyperlink ref="P415" r:id="rId1067" xr:uid="{00000000-0004-0000-0300-00002A040000}"/>
    <hyperlink ref="Q415" r:id="rId1068" xr:uid="{00000000-0004-0000-0300-00002B040000}"/>
    <hyperlink ref="R415" r:id="rId1069" xr:uid="{00000000-0004-0000-0300-00002C040000}"/>
    <hyperlink ref="P461" r:id="rId1070" xr:uid="{00000000-0004-0000-0300-00002D040000}"/>
    <hyperlink ref="Q461" r:id="rId1071" xr:uid="{00000000-0004-0000-0300-00002E040000}"/>
    <hyperlink ref="R461" r:id="rId1072" xr:uid="{00000000-0004-0000-0300-00002F040000}"/>
    <hyperlink ref="Q60" r:id="rId1073" xr:uid="{00000000-0004-0000-0300-000030040000}"/>
    <hyperlink ref="P449" r:id="rId1074" xr:uid="{00000000-0004-0000-0300-000031040000}"/>
    <hyperlink ref="Q449" r:id="rId1075" xr:uid="{00000000-0004-0000-0300-000032040000}"/>
    <hyperlink ref="R449" r:id="rId1076" xr:uid="{00000000-0004-0000-0300-000033040000}"/>
    <hyperlink ref="P245" r:id="rId1077" xr:uid="{00000000-0004-0000-0300-000034040000}"/>
    <hyperlink ref="Q245" r:id="rId1078" xr:uid="{00000000-0004-0000-0300-000035040000}"/>
    <hyperlink ref="R245" r:id="rId1079" xr:uid="{00000000-0004-0000-0300-000036040000}"/>
    <hyperlink ref="P231" r:id="rId1080" xr:uid="{00000000-0004-0000-0300-000037040000}"/>
    <hyperlink ref="Q231" r:id="rId1081" xr:uid="{00000000-0004-0000-0300-000038040000}"/>
    <hyperlink ref="R231" r:id="rId1082" xr:uid="{00000000-0004-0000-0300-000039040000}"/>
    <hyperlink ref="P320" r:id="rId1083" xr:uid="{00000000-0004-0000-0300-00003A040000}"/>
    <hyperlink ref="Q320" r:id="rId1084" xr:uid="{00000000-0004-0000-0300-00003B040000}"/>
    <hyperlink ref="R320" r:id="rId1085" xr:uid="{00000000-0004-0000-0300-00003C040000}"/>
    <hyperlink ref="P459" r:id="rId1086" xr:uid="{00000000-0004-0000-0300-00003D040000}"/>
    <hyperlink ref="Q459" r:id="rId1087" xr:uid="{00000000-0004-0000-0300-00003E040000}"/>
    <hyperlink ref="R459" r:id="rId1088" xr:uid="{00000000-0004-0000-0300-00003F040000}"/>
    <hyperlink ref="P361" r:id="rId1089" xr:uid="{00000000-0004-0000-0300-000040040000}"/>
    <hyperlink ref="Q361" r:id="rId1090" xr:uid="{00000000-0004-0000-0300-000041040000}"/>
    <hyperlink ref="R361" r:id="rId1091" xr:uid="{00000000-0004-0000-0300-000042040000}"/>
    <hyperlink ref="P324" r:id="rId1092" xr:uid="{00000000-0004-0000-0300-000043040000}"/>
    <hyperlink ref="Q324" r:id="rId1093" xr:uid="{00000000-0004-0000-0300-000044040000}"/>
    <hyperlink ref="R324" r:id="rId1094" xr:uid="{00000000-0004-0000-0300-000045040000}"/>
    <hyperlink ref="P427" r:id="rId1095" xr:uid="{00000000-0004-0000-0300-000046040000}"/>
    <hyperlink ref="Q427" r:id="rId1096" xr:uid="{00000000-0004-0000-0300-000047040000}"/>
    <hyperlink ref="R427" r:id="rId1097" xr:uid="{00000000-0004-0000-0300-000048040000}"/>
    <hyperlink ref="P428" r:id="rId1098" xr:uid="{00000000-0004-0000-0300-000049040000}"/>
    <hyperlink ref="Q428" r:id="rId1099" xr:uid="{00000000-0004-0000-0300-00004A040000}"/>
    <hyperlink ref="R428" r:id="rId1100" xr:uid="{00000000-0004-0000-0300-00004B040000}"/>
    <hyperlink ref="Q190" r:id="rId1101" xr:uid="{00000000-0004-0000-0300-00004C040000}"/>
    <hyperlink ref="P191" r:id="rId1102" xr:uid="{00000000-0004-0000-0300-00004D040000}"/>
    <hyperlink ref="Q191" r:id="rId1103" xr:uid="{00000000-0004-0000-0300-00004E040000}"/>
    <hyperlink ref="R191" r:id="rId1104" xr:uid="{00000000-0004-0000-0300-00004F040000}"/>
    <hyperlink ref="P426" r:id="rId1105" xr:uid="{00000000-0004-0000-0300-000050040000}"/>
    <hyperlink ref="Q426" r:id="rId1106" xr:uid="{00000000-0004-0000-0300-000051040000}"/>
    <hyperlink ref="R426" r:id="rId1107" xr:uid="{00000000-0004-0000-0300-000052040000}"/>
    <hyperlink ref="P130" r:id="rId1108" xr:uid="{00000000-0004-0000-0300-000053040000}"/>
    <hyperlink ref="Q130" r:id="rId1109" xr:uid="{00000000-0004-0000-0300-000054040000}"/>
    <hyperlink ref="R130" r:id="rId1110" xr:uid="{00000000-0004-0000-0300-000055040000}"/>
    <hyperlink ref="P368" r:id="rId1111" xr:uid="{00000000-0004-0000-0300-000056040000}"/>
    <hyperlink ref="Q368" r:id="rId1112" xr:uid="{00000000-0004-0000-0300-000057040000}"/>
    <hyperlink ref="R368" r:id="rId1113" xr:uid="{00000000-0004-0000-0300-000058040000}"/>
    <hyperlink ref="P118" r:id="rId1114" xr:uid="{00000000-0004-0000-0300-000059040000}"/>
    <hyperlink ref="Q118" r:id="rId1115" xr:uid="{00000000-0004-0000-0300-00005A040000}"/>
    <hyperlink ref="R118" r:id="rId1116" xr:uid="{00000000-0004-0000-0300-00005B040000}"/>
    <hyperlink ref="Q243" r:id="rId1117" xr:uid="{00000000-0004-0000-0300-00005C040000}"/>
    <hyperlink ref="R243" r:id="rId1118" xr:uid="{00000000-0004-0000-0300-00005D040000}"/>
    <hyperlink ref="Q244" r:id="rId1119" xr:uid="{00000000-0004-0000-0300-00005E040000}"/>
    <hyperlink ref="R244" r:id="rId1120" xr:uid="{00000000-0004-0000-0300-00005F040000}"/>
    <hyperlink ref="Q183" r:id="rId1121" xr:uid="{00000000-0004-0000-0300-000060040000}"/>
    <hyperlink ref="R183" r:id="rId1122" xr:uid="{00000000-0004-0000-0300-000061040000}"/>
    <hyperlink ref="P247" r:id="rId1123" xr:uid="{00000000-0004-0000-0300-000062040000}"/>
    <hyperlink ref="Q247" r:id="rId1124" xr:uid="{00000000-0004-0000-0300-000063040000}"/>
    <hyperlink ref="P438" r:id="rId1125" xr:uid="{00000000-0004-0000-0300-000064040000}"/>
    <hyperlink ref="Q438" r:id="rId1126" xr:uid="{00000000-0004-0000-0300-000065040000}"/>
    <hyperlink ref="R438" r:id="rId1127" xr:uid="{00000000-0004-0000-0300-000066040000}"/>
    <hyperlink ref="P199" r:id="rId1128" xr:uid="{00000000-0004-0000-0300-000067040000}"/>
    <hyperlink ref="Q199" r:id="rId1129" xr:uid="{00000000-0004-0000-0300-000068040000}"/>
    <hyperlink ref="R199" r:id="rId1130" xr:uid="{00000000-0004-0000-0300-000069040000}"/>
    <hyperlink ref="Q200" r:id="rId1131" xr:uid="{00000000-0004-0000-0300-00006A040000}"/>
    <hyperlink ref="R200" r:id="rId1132" xr:uid="{00000000-0004-0000-0300-00006B040000}"/>
    <hyperlink ref="Q315" r:id="rId1133" xr:uid="{00000000-0004-0000-0300-00006C040000}"/>
    <hyperlink ref="R315" r:id="rId1134" xr:uid="{00000000-0004-0000-0300-00006D040000}"/>
    <hyperlink ref="P333" r:id="rId1135" xr:uid="{00000000-0004-0000-0300-00006E040000}"/>
    <hyperlink ref="Q333" r:id="rId1136" xr:uid="{00000000-0004-0000-0300-00006F040000}"/>
    <hyperlink ref="R333" r:id="rId1137" xr:uid="{00000000-0004-0000-0300-000070040000}"/>
    <hyperlink ref="P385" r:id="rId1138" xr:uid="{00000000-0004-0000-0300-000071040000}"/>
    <hyperlink ref="Q385" r:id="rId1139" xr:uid="{00000000-0004-0000-0300-000072040000}"/>
    <hyperlink ref="R385" r:id="rId1140" xr:uid="{00000000-0004-0000-0300-000073040000}"/>
    <hyperlink ref="P27" r:id="rId1141" xr:uid="{00000000-0004-0000-0300-000074040000}"/>
    <hyperlink ref="Q27" r:id="rId1142" xr:uid="{00000000-0004-0000-0300-000075040000}"/>
    <hyperlink ref="R27" r:id="rId1143" xr:uid="{00000000-0004-0000-0300-000076040000}"/>
    <hyperlink ref="Q135" r:id="rId1144" xr:uid="{00000000-0004-0000-0300-000077040000}"/>
    <hyperlink ref="P367" r:id="rId1145" xr:uid="{00000000-0004-0000-0300-000078040000}"/>
    <hyperlink ref="Q367" r:id="rId1146" xr:uid="{00000000-0004-0000-0300-000079040000}"/>
    <hyperlink ref="R367" r:id="rId1147" xr:uid="{00000000-0004-0000-0300-00007A040000}"/>
    <hyperlink ref="P78" r:id="rId1148" xr:uid="{00000000-0004-0000-0300-00007B040000}"/>
    <hyperlink ref="Q78" r:id="rId1149" xr:uid="{00000000-0004-0000-0300-00007C040000}"/>
    <hyperlink ref="R78" r:id="rId1150" xr:uid="{00000000-0004-0000-0300-00007D040000}"/>
    <hyperlink ref="P150" r:id="rId1151" xr:uid="{00000000-0004-0000-0300-00007E040000}"/>
    <hyperlink ref="Q150" r:id="rId1152" xr:uid="{00000000-0004-0000-0300-00007F040000}"/>
    <hyperlink ref="Q373" r:id="rId1153" xr:uid="{00000000-0004-0000-0300-000080040000}"/>
    <hyperlink ref="P374" r:id="rId1154" xr:uid="{00000000-0004-0000-0300-000081040000}"/>
    <hyperlink ref="Q374" r:id="rId1155" xr:uid="{00000000-0004-0000-0300-000082040000}"/>
    <hyperlink ref="P18" r:id="rId1156" xr:uid="{00000000-0004-0000-0300-000083040000}"/>
    <hyperlink ref="Q18" r:id="rId1157" xr:uid="{00000000-0004-0000-0300-000084040000}"/>
    <hyperlink ref="R18" r:id="rId1158" xr:uid="{00000000-0004-0000-0300-000085040000}"/>
    <hyperlink ref="P437" r:id="rId1159" xr:uid="{00000000-0004-0000-0300-000086040000}"/>
    <hyperlink ref="Q437" r:id="rId1160" xr:uid="{00000000-0004-0000-0300-000087040000}"/>
    <hyperlink ref="R437" r:id="rId1161" xr:uid="{00000000-0004-0000-0300-000088040000}"/>
    <hyperlink ref="P314" r:id="rId1162" xr:uid="{00000000-0004-0000-0300-000089040000}"/>
    <hyperlink ref="Q314" r:id="rId1163" xr:uid="{00000000-0004-0000-0300-00008A040000}"/>
    <hyperlink ref="P337" r:id="rId1164" xr:uid="{00000000-0004-0000-0300-00008B040000}"/>
    <hyperlink ref="Q337" r:id="rId1165" xr:uid="{00000000-0004-0000-0300-00008C040000}"/>
    <hyperlink ref="R337" r:id="rId1166" xr:uid="{00000000-0004-0000-0300-00008D040000}"/>
    <hyperlink ref="Q80" r:id="rId1167" xr:uid="{00000000-0004-0000-0300-00008E040000}"/>
  </hyperlinks>
  <pageMargins left="0.7" right="0.7" top="0.75" bottom="0.75" header="0.3" footer="0.3"/>
  <pageSetup orientation="portrait"/>
  <headerFooter>
    <oddFooter>&amp;C&amp;"Helvetica Neue,Regular"&amp;12&amp;K000000&amp;P</oddFooter>
  </headerFooter>
  <tableParts count="1">
    <tablePart r:id="rId1168"/>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B4596-C6FA-4E92-8DCE-05029B9BB59B}">
  <dimension ref="A3:F21"/>
  <sheetViews>
    <sheetView topLeftCell="A2" workbookViewId="0">
      <selection activeCell="D16" sqref="D16"/>
    </sheetView>
  </sheetViews>
  <sheetFormatPr defaultRowHeight="13"/>
  <cols>
    <col min="1" max="1" width="33" bestFit="1" customWidth="1"/>
    <col min="2" max="2" width="19.5" bestFit="1" customWidth="1"/>
    <col min="3" max="4" width="15.59765625" bestFit="1" customWidth="1"/>
    <col min="5" max="5" width="26" bestFit="1" customWidth="1"/>
    <col min="6" max="6" width="10.8984375" bestFit="1" customWidth="1"/>
  </cols>
  <sheetData>
    <row r="3" spans="1:6">
      <c r="A3" s="500" t="s">
        <v>2282</v>
      </c>
      <c r="B3" s="500" t="s">
        <v>2283</v>
      </c>
    </row>
    <row r="4" spans="1:6">
      <c r="A4" s="500" t="s">
        <v>2280</v>
      </c>
      <c r="B4" t="s">
        <v>307</v>
      </c>
      <c r="C4" t="s">
        <v>280</v>
      </c>
      <c r="D4" t="s">
        <v>438</v>
      </c>
      <c r="E4" t="s">
        <v>291</v>
      </c>
      <c r="F4" t="s">
        <v>2281</v>
      </c>
    </row>
    <row r="5" spans="1:6">
      <c r="A5" s="501" t="s">
        <v>966</v>
      </c>
      <c r="B5" s="1"/>
      <c r="C5" s="1">
        <v>11</v>
      </c>
      <c r="D5" s="1"/>
      <c r="E5" s="1">
        <v>0</v>
      </c>
      <c r="F5" s="1">
        <v>11</v>
      </c>
    </row>
    <row r="6" spans="1:6">
      <c r="A6" s="501" t="s">
        <v>1227</v>
      </c>
      <c r="B6" s="1">
        <v>12</v>
      </c>
      <c r="C6" s="1">
        <v>10</v>
      </c>
      <c r="D6" s="1">
        <v>0</v>
      </c>
      <c r="E6" s="1"/>
      <c r="F6" s="1">
        <v>22</v>
      </c>
    </row>
    <row r="7" spans="1:6">
      <c r="A7" s="501" t="s">
        <v>1559</v>
      </c>
      <c r="B7" s="1">
        <v>15</v>
      </c>
      <c r="C7" s="1">
        <v>6</v>
      </c>
      <c r="D7" s="1">
        <v>0</v>
      </c>
      <c r="E7" s="1">
        <v>0</v>
      </c>
      <c r="F7" s="1">
        <v>21</v>
      </c>
    </row>
    <row r="8" spans="1:6">
      <c r="A8" s="501" t="s">
        <v>1356</v>
      </c>
      <c r="B8" s="1">
        <v>0</v>
      </c>
      <c r="C8" s="1"/>
      <c r="D8" s="1">
        <v>0</v>
      </c>
      <c r="E8" s="1">
        <v>0</v>
      </c>
      <c r="F8" s="1">
        <v>0</v>
      </c>
    </row>
    <row r="9" spans="1:6">
      <c r="A9" s="501" t="s">
        <v>1540</v>
      </c>
      <c r="B9" s="1">
        <v>4</v>
      </c>
      <c r="C9" s="1"/>
      <c r="D9" s="1">
        <v>0</v>
      </c>
      <c r="E9" s="1">
        <v>0</v>
      </c>
      <c r="F9" s="1">
        <v>4</v>
      </c>
    </row>
    <row r="10" spans="1:6">
      <c r="A10" s="501" t="s">
        <v>1794</v>
      </c>
      <c r="B10" s="1">
        <v>5</v>
      </c>
      <c r="C10" s="1">
        <v>12</v>
      </c>
      <c r="D10" s="1"/>
      <c r="E10" s="1">
        <v>0</v>
      </c>
      <c r="F10" s="1">
        <v>17</v>
      </c>
    </row>
    <row r="11" spans="1:6">
      <c r="A11" s="501" t="s">
        <v>1857</v>
      </c>
      <c r="B11" s="1">
        <v>15</v>
      </c>
      <c r="C11" s="1">
        <v>4</v>
      </c>
      <c r="D11" s="1"/>
      <c r="E11" s="1">
        <v>0</v>
      </c>
      <c r="F11" s="1">
        <v>19</v>
      </c>
    </row>
    <row r="12" spans="1:6">
      <c r="A12" s="501" t="s">
        <v>986</v>
      </c>
      <c r="B12" s="1"/>
      <c r="C12" s="1">
        <v>47</v>
      </c>
      <c r="D12" s="1">
        <v>0</v>
      </c>
      <c r="E12" s="1">
        <v>0</v>
      </c>
      <c r="F12" s="1">
        <v>47</v>
      </c>
    </row>
    <row r="13" spans="1:6">
      <c r="A13" s="501" t="s">
        <v>1224</v>
      </c>
      <c r="B13" s="1">
        <v>0</v>
      </c>
      <c r="C13" s="1"/>
      <c r="D13" s="1"/>
      <c r="E13" s="1"/>
      <c r="F13" s="1">
        <v>0</v>
      </c>
    </row>
    <row r="14" spans="1:6">
      <c r="A14" s="501" t="s">
        <v>957</v>
      </c>
      <c r="B14" s="1"/>
      <c r="C14" s="1"/>
      <c r="D14" s="1"/>
      <c r="E14" s="1">
        <v>0</v>
      </c>
      <c r="F14" s="1">
        <v>0</v>
      </c>
    </row>
    <row r="15" spans="1:6">
      <c r="A15" s="501" t="s">
        <v>274</v>
      </c>
      <c r="B15" s="1">
        <v>13</v>
      </c>
      <c r="C15" s="1">
        <v>41</v>
      </c>
      <c r="D15" s="1">
        <v>0</v>
      </c>
      <c r="E15" s="1">
        <v>0</v>
      </c>
      <c r="F15" s="1">
        <v>54</v>
      </c>
    </row>
    <row r="16" spans="1:6">
      <c r="A16" s="501" t="s">
        <v>1684</v>
      </c>
      <c r="B16" s="1">
        <v>15</v>
      </c>
      <c r="C16" s="1">
        <v>20</v>
      </c>
      <c r="D16" s="1">
        <v>0</v>
      </c>
      <c r="E16" s="1">
        <v>0</v>
      </c>
      <c r="F16" s="1">
        <v>35</v>
      </c>
    </row>
    <row r="17" spans="1:6">
      <c r="A17" s="501" t="s">
        <v>1407</v>
      </c>
      <c r="B17" s="1">
        <v>0</v>
      </c>
      <c r="C17" s="1">
        <v>6</v>
      </c>
      <c r="D17" s="1"/>
      <c r="E17" s="1">
        <v>0</v>
      </c>
      <c r="F17" s="1">
        <v>6</v>
      </c>
    </row>
    <row r="18" spans="1:6">
      <c r="A18" s="501" t="s">
        <v>1499</v>
      </c>
      <c r="B18" s="1">
        <v>0</v>
      </c>
      <c r="C18" s="1">
        <v>16</v>
      </c>
      <c r="D18" s="1">
        <v>0</v>
      </c>
      <c r="E18" s="1"/>
      <c r="F18" s="1">
        <v>16</v>
      </c>
    </row>
    <row r="19" spans="1:6">
      <c r="A19" s="501" t="s">
        <v>1444</v>
      </c>
      <c r="B19" s="1">
        <v>0</v>
      </c>
      <c r="C19" s="1">
        <v>6</v>
      </c>
      <c r="D19" s="1">
        <v>0</v>
      </c>
      <c r="E19" s="1">
        <v>0</v>
      </c>
      <c r="F19" s="1">
        <v>6</v>
      </c>
    </row>
    <row r="20" spans="1:6">
      <c r="A20" s="501" t="s">
        <v>1304</v>
      </c>
      <c r="B20" s="1">
        <v>0</v>
      </c>
      <c r="C20" s="1">
        <v>22</v>
      </c>
      <c r="D20" s="1">
        <v>0</v>
      </c>
      <c r="E20" s="1">
        <v>0</v>
      </c>
      <c r="F20" s="1">
        <v>22</v>
      </c>
    </row>
    <row r="21" spans="1:6">
      <c r="A21" s="501" t="s">
        <v>2281</v>
      </c>
      <c r="B21" s="1">
        <v>79</v>
      </c>
      <c r="C21" s="1">
        <v>201</v>
      </c>
      <c r="D21" s="1">
        <v>0</v>
      </c>
      <c r="E21" s="1">
        <v>0</v>
      </c>
      <c r="F21" s="1">
        <v>280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E3026-D1FD-40A8-AF60-6A1D70BBF60C}">
  <dimension ref="A1:E50"/>
  <sheetViews>
    <sheetView topLeftCell="A18" workbookViewId="0">
      <selection activeCell="A34" sqref="A34"/>
    </sheetView>
  </sheetViews>
  <sheetFormatPr defaultRowHeight="13"/>
  <cols>
    <col min="1" max="1" width="94.796875" style="465" customWidth="1"/>
    <col min="2" max="2" width="21" style="465" bestFit="1" customWidth="1"/>
    <col min="3" max="3" width="15.8984375" style="465" bestFit="1" customWidth="1"/>
    <col min="4" max="4" width="7.8984375" style="466" bestFit="1" customWidth="1"/>
    <col min="5" max="5" width="116.59765625" style="466" bestFit="1" customWidth="1"/>
    <col min="6" max="16384" width="8.796875" style="466"/>
  </cols>
  <sheetData>
    <row r="1" spans="1:5">
      <c r="A1" s="465" t="s">
        <v>2147</v>
      </c>
      <c r="B1" s="465" t="s">
        <v>262</v>
      </c>
      <c r="C1" s="465" t="s">
        <v>2148</v>
      </c>
      <c r="D1" s="466" t="s">
        <v>2149</v>
      </c>
      <c r="E1" s="466" t="s">
        <v>2150</v>
      </c>
    </row>
    <row r="2" spans="1:5">
      <c r="A2" s="465" t="s">
        <v>2151</v>
      </c>
      <c r="B2" s="465" t="s">
        <v>438</v>
      </c>
      <c r="C2" s="465" t="s">
        <v>292</v>
      </c>
      <c r="D2" s="466">
        <v>8</v>
      </c>
      <c r="E2" s="466" t="str">
        <f>CLEAN(TRIM(GradingSimkat[[#This Row],[Placement]] &amp;  "|" &amp; GradingSimkat[[#This Row],[Level]] &amp; "|" &amp; GradingSimkat[[#This Row],[Team Category]]))</f>
        <v>Juara 1|External Regional|Individual</v>
      </c>
    </row>
    <row r="3" spans="1:5">
      <c r="A3" s="465" t="s">
        <v>2152</v>
      </c>
      <c r="B3" s="465" t="s">
        <v>438</v>
      </c>
      <c r="C3" s="465" t="s">
        <v>292</v>
      </c>
      <c r="D3" s="466">
        <v>7</v>
      </c>
      <c r="E3" s="466" t="str">
        <f>CLEAN(TRIM(GradingSimkat[[#This Row],[Placement]] &amp;  "|" &amp; GradingSimkat[[#This Row],[Level]] &amp; "|" &amp; GradingSimkat[[#This Row],[Team Category]]))</f>
        <v>Juara 2|External Regional|Individual</v>
      </c>
    </row>
    <row r="4" spans="1:5">
      <c r="A4" s="465" t="s">
        <v>2153</v>
      </c>
      <c r="B4" s="465" t="s">
        <v>438</v>
      </c>
      <c r="C4" s="465" t="s">
        <v>292</v>
      </c>
      <c r="D4" s="466">
        <v>6</v>
      </c>
      <c r="E4" s="466" t="str">
        <f>CLEAN(TRIM(GradingSimkat[[#This Row],[Placement]] &amp;  "|" &amp; GradingSimkat[[#This Row],[Level]] &amp; "|" &amp; GradingSimkat[[#This Row],[Team Category]]))</f>
        <v>Juara 3|External Regional|Individual</v>
      </c>
    </row>
    <row r="5" spans="1:5">
      <c r="A5" s="465" t="s">
        <v>2151</v>
      </c>
      <c r="B5" s="465" t="s">
        <v>280</v>
      </c>
      <c r="C5" s="465" t="s">
        <v>292</v>
      </c>
      <c r="D5" s="466">
        <v>14</v>
      </c>
      <c r="E5" s="466" t="str">
        <f>CLEAN(TRIM(GradingSimkat[[#This Row],[Placement]] &amp;  "|" &amp; GradingSimkat[[#This Row],[Level]] &amp; "|" &amp; GradingSimkat[[#This Row],[Team Category]]))</f>
        <v>Juara 1|External National|Individual</v>
      </c>
    </row>
    <row r="6" spans="1:5">
      <c r="A6" s="465" t="s">
        <v>2152</v>
      </c>
      <c r="B6" s="465" t="s">
        <v>280</v>
      </c>
      <c r="C6" s="465" t="s">
        <v>292</v>
      </c>
      <c r="D6" s="466">
        <v>12.5</v>
      </c>
      <c r="E6" s="466" t="str">
        <f>CLEAN(TRIM(GradingSimkat[[#This Row],[Placement]] &amp;  "|" &amp; GradingSimkat[[#This Row],[Level]] &amp; "|" &amp; GradingSimkat[[#This Row],[Team Category]]))</f>
        <v>Juara 2|External National|Individual</v>
      </c>
    </row>
    <row r="7" spans="1:5">
      <c r="A7" s="465" t="s">
        <v>2153</v>
      </c>
      <c r="B7" s="465" t="s">
        <v>280</v>
      </c>
      <c r="C7" s="465" t="s">
        <v>292</v>
      </c>
      <c r="D7" s="466">
        <v>11</v>
      </c>
      <c r="E7" s="466" t="str">
        <f>CLEAN(TRIM(GradingSimkat[[#This Row],[Placement]] &amp;  "|" &amp; GradingSimkat[[#This Row],[Level]] &amp; "|" &amp; GradingSimkat[[#This Row],[Team Category]]))</f>
        <v>Juara 3|External National|Individual</v>
      </c>
    </row>
    <row r="8" spans="1:5">
      <c r="A8" s="465" t="s">
        <v>2151</v>
      </c>
      <c r="B8" s="465" t="s">
        <v>307</v>
      </c>
      <c r="C8" s="465" t="s">
        <v>292</v>
      </c>
      <c r="D8" s="466">
        <v>21</v>
      </c>
      <c r="E8" s="466" t="str">
        <f>CLEAN(TRIM(GradingSimkat[[#This Row],[Placement]] &amp;  "|" &amp; GradingSimkat[[#This Row],[Level]] &amp; "|" &amp; GradingSimkat[[#This Row],[Team Category]]))</f>
        <v>Juara 1|External International|Individual</v>
      </c>
    </row>
    <row r="9" spans="1:5">
      <c r="A9" s="465" t="s">
        <v>2152</v>
      </c>
      <c r="B9" s="465" t="s">
        <v>307</v>
      </c>
      <c r="C9" s="465" t="s">
        <v>292</v>
      </c>
      <c r="D9" s="466">
        <v>19</v>
      </c>
      <c r="E9" s="466" t="str">
        <f>CLEAN(TRIM(GradingSimkat[[#This Row],[Placement]] &amp;  "|" &amp; GradingSimkat[[#This Row],[Level]] &amp; "|" &amp; GradingSimkat[[#This Row],[Team Category]]))</f>
        <v>Juara 2|External International|Individual</v>
      </c>
    </row>
    <row r="10" spans="1:5">
      <c r="A10" s="465" t="s">
        <v>2153</v>
      </c>
      <c r="B10" s="465" t="s">
        <v>307</v>
      </c>
      <c r="C10" s="465" t="s">
        <v>292</v>
      </c>
      <c r="D10" s="466">
        <v>17</v>
      </c>
      <c r="E10" s="466" t="str">
        <f>CLEAN(TRIM(GradingSimkat[[#This Row],[Placement]] &amp;  "|" &amp; GradingSimkat[[#This Row],[Level]] &amp; "|" &amp; GradingSimkat[[#This Row],[Team Category]]))</f>
        <v>Juara 3|External International|Individual</v>
      </c>
    </row>
    <row r="11" spans="1:5">
      <c r="A11" s="465" t="s">
        <v>2151</v>
      </c>
      <c r="B11" s="465" t="s">
        <v>438</v>
      </c>
      <c r="C11" s="465" t="s">
        <v>281</v>
      </c>
      <c r="D11" s="466">
        <v>12</v>
      </c>
      <c r="E11" s="466" t="str">
        <f>CLEAN(TRIM(GradingSimkat[[#This Row],[Placement]] &amp;  "|" &amp; GradingSimkat[[#This Row],[Level]] &amp; "|" &amp; GradingSimkat[[#This Row],[Team Category]]))</f>
        <v>Juara 1|External Regional|Team</v>
      </c>
    </row>
    <row r="12" spans="1:5">
      <c r="A12" s="465" t="s">
        <v>2152</v>
      </c>
      <c r="B12" s="465" t="s">
        <v>438</v>
      </c>
      <c r="C12" s="465" t="s">
        <v>281</v>
      </c>
      <c r="D12" s="466">
        <v>10.5</v>
      </c>
      <c r="E12" s="466" t="str">
        <f>CLEAN(TRIM(GradingSimkat[[#This Row],[Placement]] &amp;  "|" &amp; GradingSimkat[[#This Row],[Level]] &amp; "|" &amp; GradingSimkat[[#This Row],[Team Category]]))</f>
        <v>Juara 2|External Regional|Team</v>
      </c>
    </row>
    <row r="13" spans="1:5">
      <c r="A13" s="465" t="s">
        <v>2153</v>
      </c>
      <c r="B13" s="465" t="s">
        <v>438</v>
      </c>
      <c r="C13" s="465" t="s">
        <v>281</v>
      </c>
      <c r="D13" s="466">
        <v>9</v>
      </c>
      <c r="E13" s="466" t="str">
        <f>CLEAN(TRIM(GradingSimkat[[#This Row],[Placement]] &amp;  "|" &amp; GradingSimkat[[#This Row],[Level]] &amp; "|" &amp; GradingSimkat[[#This Row],[Team Category]]))</f>
        <v>Juara 3|External Regional|Team</v>
      </c>
    </row>
    <row r="14" spans="1:5">
      <c r="A14" s="465" t="s">
        <v>2151</v>
      </c>
      <c r="B14" s="465" t="s">
        <v>280</v>
      </c>
      <c r="C14" s="465" t="s">
        <v>281</v>
      </c>
      <c r="D14" s="466">
        <v>18</v>
      </c>
      <c r="E14" s="466" t="str">
        <f>CLEAN(TRIM(GradingSimkat[[#This Row],[Placement]] &amp;  "|" &amp; GradingSimkat[[#This Row],[Level]] &amp; "|" &amp; GradingSimkat[[#This Row],[Team Category]]))</f>
        <v>Juara 1|External National|Team</v>
      </c>
    </row>
    <row r="15" spans="1:5">
      <c r="A15" s="465" t="s">
        <v>2152</v>
      </c>
      <c r="B15" s="465" t="s">
        <v>280</v>
      </c>
      <c r="C15" s="465" t="s">
        <v>281</v>
      </c>
      <c r="D15" s="466">
        <v>16.5</v>
      </c>
      <c r="E15" s="466" t="str">
        <f>CLEAN(TRIM(GradingSimkat[[#This Row],[Placement]] &amp;  "|" &amp; GradingSimkat[[#This Row],[Level]] &amp; "|" &amp; GradingSimkat[[#This Row],[Team Category]]))</f>
        <v>Juara 2|External National|Team</v>
      </c>
    </row>
    <row r="16" spans="1:5">
      <c r="A16" s="465" t="s">
        <v>2153</v>
      </c>
      <c r="B16" s="465" t="s">
        <v>280</v>
      </c>
      <c r="C16" s="465" t="s">
        <v>281</v>
      </c>
      <c r="D16" s="466">
        <v>15</v>
      </c>
      <c r="E16" s="466" t="str">
        <f>CLEAN(TRIM(GradingSimkat[[#This Row],[Placement]] &amp;  "|" &amp; GradingSimkat[[#This Row],[Level]] &amp; "|" &amp; GradingSimkat[[#This Row],[Team Category]]))</f>
        <v>Juara 3|External National|Team</v>
      </c>
    </row>
    <row r="17" spans="1:5">
      <c r="A17" s="465" t="s">
        <v>2151</v>
      </c>
      <c r="B17" s="465" t="s">
        <v>307</v>
      </c>
      <c r="C17" s="465" t="s">
        <v>281</v>
      </c>
      <c r="D17" s="466">
        <v>25</v>
      </c>
      <c r="E17" s="466" t="str">
        <f>CLEAN(TRIM(GradingSimkat[[#This Row],[Placement]] &amp;  "|" &amp; GradingSimkat[[#This Row],[Level]] &amp; "|" &amp; GradingSimkat[[#This Row],[Team Category]]))</f>
        <v>Juara 1|External International|Team</v>
      </c>
    </row>
    <row r="18" spans="1:5">
      <c r="A18" s="465" t="s">
        <v>2152</v>
      </c>
      <c r="B18" s="465" t="s">
        <v>307</v>
      </c>
      <c r="C18" s="465" t="s">
        <v>281</v>
      </c>
      <c r="D18" s="466">
        <v>23</v>
      </c>
      <c r="E18" s="466" t="str">
        <f>CLEAN(TRIM(GradingSimkat[[#This Row],[Placement]] &amp;  "|" &amp; GradingSimkat[[#This Row],[Level]] &amp; "|" &amp; GradingSimkat[[#This Row],[Team Category]]))</f>
        <v>Juara 2|External International|Team</v>
      </c>
    </row>
    <row r="19" spans="1:5">
      <c r="A19" s="465" t="s">
        <v>2153</v>
      </c>
      <c r="B19" s="465" t="s">
        <v>307</v>
      </c>
      <c r="C19" s="465" t="s">
        <v>281</v>
      </c>
      <c r="D19" s="466">
        <v>21</v>
      </c>
      <c r="E19" s="466" t="str">
        <f>CLEAN(TRIM(GradingSimkat[[#This Row],[Placement]] &amp;  "|" &amp; GradingSimkat[[#This Row],[Level]] &amp; "|" &amp; GradingSimkat[[#This Row],[Team Category]]))</f>
        <v>Juara 3|External International|Team</v>
      </c>
    </row>
    <row r="20" spans="1:5">
      <c r="A20" s="465" t="s">
        <v>2154</v>
      </c>
      <c r="B20" s="465" t="s">
        <v>307</v>
      </c>
      <c r="C20" s="465" t="s">
        <v>281</v>
      </c>
      <c r="D20" s="466">
        <v>15</v>
      </c>
      <c r="E20" s="466" t="str">
        <f>CLEAN(TRIM(GradingSimkat[[#This Row],[Placement]] &amp;  "|" &amp; GradingSimkat[[#This Row],[Level]] &amp; "|" &amp; GradingSimkat[[#This Row],[Team Category]]))</f>
        <v>Karya mahasiswa berupa teknologi tepat guna/seni budaya/produk kreatif untuk UMKM dan Industri|External International|Team</v>
      </c>
    </row>
    <row r="21" spans="1:5">
      <c r="A21" s="465" t="s">
        <v>2154</v>
      </c>
      <c r="B21" s="465" t="s">
        <v>438</v>
      </c>
      <c r="C21" s="465" t="s">
        <v>292</v>
      </c>
      <c r="D21" s="466">
        <v>15</v>
      </c>
      <c r="E21" s="466" t="str">
        <f>CLEAN(TRIM(GradingSimkat[[#This Row],[Placement]] &amp;  "|" &amp; GradingSimkat[[#This Row],[Level]] &amp; "|" &amp; GradingSimkat[[#This Row],[Team Category]]))</f>
        <v>Karya mahasiswa berupa teknologi tepat guna/seni budaya/produk kreatif untuk UMKM dan Industri|External Regional|Individual</v>
      </c>
    </row>
    <row r="22" spans="1:5">
      <c r="A22" s="465" t="s">
        <v>2154</v>
      </c>
      <c r="B22" s="465" t="s">
        <v>438</v>
      </c>
      <c r="C22" s="465" t="s">
        <v>281</v>
      </c>
      <c r="D22" s="466">
        <v>15</v>
      </c>
      <c r="E22" s="466" t="str">
        <f>CLEAN(TRIM(GradingSimkat[[#This Row],[Placement]] &amp;  "|" &amp; GradingSimkat[[#This Row],[Level]] &amp; "|" &amp; GradingSimkat[[#This Row],[Team Category]]))</f>
        <v>Karya mahasiswa berupa teknologi tepat guna/seni budaya/produk kreatif untuk UMKM dan Industri|External Regional|Team</v>
      </c>
    </row>
    <row r="23" spans="1:5">
      <c r="A23" s="465" t="s">
        <v>2154</v>
      </c>
      <c r="B23" s="465" t="s">
        <v>307</v>
      </c>
      <c r="C23" s="465" t="s">
        <v>292</v>
      </c>
      <c r="D23" s="466">
        <v>15</v>
      </c>
      <c r="E23" s="466" t="str">
        <f>CLEAN(TRIM(GradingSimkat[[#This Row],[Placement]] &amp;  "|" &amp; GradingSimkat[[#This Row],[Level]] &amp; "|" &amp; GradingSimkat[[#This Row],[Team Category]]))</f>
        <v>Karya mahasiswa berupa teknologi tepat guna/seni budaya/produk kreatif untuk UMKM dan Industri|External International|Individual</v>
      </c>
    </row>
    <row r="24" spans="1:5">
      <c r="A24" s="465" t="s">
        <v>2155</v>
      </c>
      <c r="B24" s="465" t="s">
        <v>280</v>
      </c>
      <c r="C24" s="465" t="s">
        <v>281</v>
      </c>
      <c r="D24" s="466">
        <v>8</v>
      </c>
      <c r="E24" s="466" t="str">
        <f>CLEAN(TRIM(GradingSimkat[[#This Row],[Placement]] &amp;  "|" &amp; GradingSimkat[[#This Row],[Level]] &amp; "|" &amp; GradingSimkat[[#This Row],[Team Category]]))</f>
        <v>Juri/Pelatih/Wasit|External National|Team</v>
      </c>
    </row>
    <row r="25" spans="1:5">
      <c r="A25" s="465" t="s">
        <v>2155</v>
      </c>
      <c r="B25" s="465" t="s">
        <v>307</v>
      </c>
      <c r="C25" s="465" t="s">
        <v>281</v>
      </c>
      <c r="D25" s="466">
        <v>10</v>
      </c>
      <c r="E25" s="466" t="str">
        <f>CLEAN(TRIM(GradingSimkat[[#This Row],[Placement]] &amp;  "|" &amp; GradingSimkat[[#This Row],[Level]] &amp; "|" &amp; GradingSimkat[[#This Row],[Team Category]]))</f>
        <v>Juri/Pelatih/Wasit|External International|Team</v>
      </c>
    </row>
    <row r="26" spans="1:5">
      <c r="A26" s="465" t="s">
        <v>2155</v>
      </c>
      <c r="B26" s="465" t="s">
        <v>280</v>
      </c>
      <c r="C26" s="465" t="s">
        <v>292</v>
      </c>
      <c r="D26" s="466">
        <v>8</v>
      </c>
      <c r="E26" s="466" t="str">
        <f>CLEAN(TRIM(GradingSimkat[[#This Row],[Placement]] &amp;  "|" &amp; GradingSimkat[[#This Row],[Level]] &amp; "|" &amp; GradingSimkat[[#This Row],[Team Category]]))</f>
        <v>Juri/Pelatih/Wasit|External National|Individual</v>
      </c>
    </row>
    <row r="27" spans="1:5">
      <c r="A27" s="465" t="s">
        <v>2155</v>
      </c>
      <c r="B27" s="465" t="s">
        <v>307</v>
      </c>
      <c r="C27" s="465" t="s">
        <v>292</v>
      </c>
      <c r="D27" s="466">
        <v>10</v>
      </c>
      <c r="E27" s="466" t="str">
        <f>CLEAN(TRIM(GradingSimkat[[#This Row],[Placement]] &amp;  "|" &amp; GradingSimkat[[#This Row],[Level]] &amp; "|" &amp; GradingSimkat[[#This Row],[Team Category]]))</f>
        <v>Juri/Pelatih/Wasit|External International|Individual</v>
      </c>
    </row>
    <row r="28" spans="1:5">
      <c r="A28" s="465" t="s">
        <v>2156</v>
      </c>
      <c r="B28" s="465" t="s">
        <v>280</v>
      </c>
      <c r="C28" s="465" t="s">
        <v>281</v>
      </c>
      <c r="D28" s="466">
        <v>4</v>
      </c>
      <c r="E28" s="466" t="str">
        <f>CLEAN(TRIM(GradingSimkat[[#This Row],[Placement]] &amp;  "|" &amp; GradingSimkat[[#This Row],[Level]] &amp; "|" &amp; GradingSimkat[[#This Row],[Team Category]]))</f>
        <v>Pemakalah dalam Conference/Seminar Ilmiah|External National|Team</v>
      </c>
    </row>
    <row r="29" spans="1:5">
      <c r="A29" s="465" t="s">
        <v>2156</v>
      </c>
      <c r="B29" s="465" t="s">
        <v>307</v>
      </c>
      <c r="C29" s="465" t="s">
        <v>281</v>
      </c>
      <c r="D29" s="466">
        <v>6</v>
      </c>
      <c r="E29" s="466" t="str">
        <f>CLEAN(TRIM(GradingSimkat[[#This Row],[Placement]] &amp;  "|" &amp; GradingSimkat[[#This Row],[Level]] &amp; "|" &amp; GradingSimkat[[#This Row],[Team Category]]))</f>
        <v>Pemakalah dalam Conference/Seminar Ilmiah|External International|Team</v>
      </c>
    </row>
    <row r="30" spans="1:5">
      <c r="A30" s="465" t="s">
        <v>2156</v>
      </c>
      <c r="B30" s="465" t="s">
        <v>280</v>
      </c>
      <c r="C30" s="465" t="s">
        <v>292</v>
      </c>
      <c r="D30" s="466">
        <v>4</v>
      </c>
      <c r="E30" s="466" t="str">
        <f>CLEAN(TRIM(GradingSimkat[[#This Row],[Placement]] &amp;  "|" &amp; GradingSimkat[[#This Row],[Level]] &amp; "|" &amp; GradingSimkat[[#This Row],[Team Category]]))</f>
        <v>Pemakalah dalam Conference/Seminar Ilmiah|External National|Individual</v>
      </c>
    </row>
    <row r="31" spans="1:5">
      <c r="A31" s="465" t="s">
        <v>2156</v>
      </c>
      <c r="B31" s="465" t="s">
        <v>307</v>
      </c>
      <c r="C31" s="465" t="s">
        <v>292</v>
      </c>
      <c r="D31" s="466">
        <v>6</v>
      </c>
      <c r="E31" s="466" t="str">
        <f>CLEAN(TRIM(GradingSimkat[[#This Row],[Placement]] &amp;  "|" &amp; GradingSimkat[[#This Row],[Level]] &amp; "|" &amp; GradingSimkat[[#This Row],[Team Category]]))</f>
        <v>Pemakalah dalam Conference/Seminar Ilmiah|External International|Individual</v>
      </c>
    </row>
    <row r="32" spans="1:5">
      <c r="A32" s="465" t="s">
        <v>2157</v>
      </c>
      <c r="B32" s="465" t="s">
        <v>280</v>
      </c>
      <c r="C32" s="465" t="s">
        <v>281</v>
      </c>
      <c r="D32" s="466">
        <v>4</v>
      </c>
      <c r="E32" s="466" t="str">
        <f>CLEAN(TRIM(GradingSimkat[[#This Row],[Placement]] &amp;  "|" &amp; GradingSimkat[[#This Row],[Level]] &amp; "|" &amp; GradingSimkat[[#This Row],[Team Category]]))</f>
        <v>Pembicara pada pelatihan/seminar/event berskala|External National|Team</v>
      </c>
    </row>
    <row r="33" spans="1:5">
      <c r="A33" s="465" t="s">
        <v>2157</v>
      </c>
      <c r="B33" s="465" t="s">
        <v>307</v>
      </c>
      <c r="C33" s="465" t="s">
        <v>281</v>
      </c>
      <c r="D33" s="466">
        <v>4</v>
      </c>
      <c r="E33" s="466" t="str">
        <f>CLEAN(TRIM(GradingSimkat[[#This Row],[Placement]] &amp;  "|" &amp; GradingSimkat[[#This Row],[Level]] &amp; "|" &amp; GradingSimkat[[#This Row],[Team Category]]))</f>
        <v>Pembicara pada pelatihan/seminar/event berskala|External International|Team</v>
      </c>
    </row>
    <row r="34" spans="1:5">
      <c r="A34" s="465" t="s">
        <v>2157</v>
      </c>
      <c r="B34" s="465" t="s">
        <v>280</v>
      </c>
      <c r="C34" s="465" t="s">
        <v>292</v>
      </c>
      <c r="D34" s="466">
        <v>4</v>
      </c>
      <c r="E34" s="466" t="str">
        <f>CLEAN(TRIM(GradingSimkat[[#This Row],[Placement]] &amp;  "|" &amp; GradingSimkat[[#This Row],[Level]] &amp; "|" &amp; GradingSimkat[[#This Row],[Team Category]]))</f>
        <v>Pembicara pada pelatihan/seminar/event berskala|External National|Individual</v>
      </c>
    </row>
    <row r="35" spans="1:5">
      <c r="A35" s="465" t="s">
        <v>2157</v>
      </c>
      <c r="B35" s="465" t="s">
        <v>307</v>
      </c>
      <c r="C35" s="465" t="s">
        <v>292</v>
      </c>
      <c r="D35" s="466">
        <v>4</v>
      </c>
      <c r="E35" s="466" t="str">
        <f>CLEAN(TRIM(GradingSimkat[[#This Row],[Placement]] &amp;  "|" &amp; GradingSimkat[[#This Row],[Level]] &amp; "|" &amp; GradingSimkat[[#This Row],[Team Category]]))</f>
        <v>Pembicara pada pelatihan/seminar/event berskala|External International|Individual</v>
      </c>
    </row>
    <row r="36" spans="1:5">
      <c r="A36" s="465" t="s">
        <v>2158</v>
      </c>
      <c r="B36" s="465" t="s">
        <v>19</v>
      </c>
      <c r="C36" s="465" t="s">
        <v>19</v>
      </c>
      <c r="D36" s="466">
        <v>8</v>
      </c>
      <c r="E36" s="466" t="str">
        <f>CLEAN(TRIM(GradingSimkat[[#This Row],[Placement]] &amp;  "|" &amp; GradingSimkat[[#This Row],[Level]] &amp; "|" &amp; GradingSimkat[[#This Row],[Team Category]]))</f>
        <v>Pendaftaran paten/paten sederhana|-|-</v>
      </c>
    </row>
    <row r="37" spans="1:5">
      <c r="A37" s="465" t="s">
        <v>2159</v>
      </c>
      <c r="B37" s="465" t="s">
        <v>280</v>
      </c>
      <c r="C37" s="465" t="s">
        <v>281</v>
      </c>
      <c r="D37" s="466">
        <v>6</v>
      </c>
      <c r="E37" s="466" t="str">
        <f>CLEAN(TRIM(GradingSimkat[[#This Row],[Placement]] &amp;  "|" &amp; GradingSimkat[[#This Row],[Level]] &amp; "|" &amp; GradingSimkat[[#This Row],[Team Category]]))</f>
        <v>Penulis pertama buku ber-ISBN|External National|Team</v>
      </c>
    </row>
    <row r="38" spans="1:5">
      <c r="A38" s="465" t="s">
        <v>2159</v>
      </c>
      <c r="B38" s="465" t="s">
        <v>307</v>
      </c>
      <c r="C38" s="465" t="s">
        <v>281</v>
      </c>
      <c r="D38" s="466">
        <v>6</v>
      </c>
      <c r="E38" s="466" t="str">
        <f>CLEAN(TRIM(GradingSimkat[[#This Row],[Placement]] &amp;  "|" &amp; GradingSimkat[[#This Row],[Level]] &amp; "|" &amp; GradingSimkat[[#This Row],[Team Category]]))</f>
        <v>Penulis pertama buku ber-ISBN|External International|Team</v>
      </c>
    </row>
    <row r="39" spans="1:5">
      <c r="A39" s="465" t="s">
        <v>2159</v>
      </c>
      <c r="B39" s="465" t="s">
        <v>280</v>
      </c>
      <c r="C39" s="465" t="s">
        <v>292</v>
      </c>
      <c r="D39" s="466">
        <v>6</v>
      </c>
      <c r="E39" s="466" t="str">
        <f>CLEAN(TRIM(GradingSimkat[[#This Row],[Placement]] &amp;  "|" &amp; GradingSimkat[[#This Row],[Level]] &amp; "|" &amp; GradingSimkat[[#This Row],[Team Category]]))</f>
        <v>Penulis pertama buku ber-ISBN|External National|Individual</v>
      </c>
    </row>
    <row r="40" spans="1:5">
      <c r="A40" s="465" t="s">
        <v>2159</v>
      </c>
      <c r="B40" s="465" t="s">
        <v>307</v>
      </c>
      <c r="C40" s="465" t="s">
        <v>292</v>
      </c>
      <c r="D40" s="466">
        <v>6</v>
      </c>
      <c r="E40" s="466" t="str">
        <f>CLEAN(TRIM(GradingSimkat[[#This Row],[Placement]] &amp;  "|" &amp; GradingSimkat[[#This Row],[Level]] &amp; "|" &amp; GradingSimkat[[#This Row],[Team Category]]))</f>
        <v>Penulis pertama buku ber-ISBN|External International|Individual</v>
      </c>
    </row>
    <row r="41" spans="1:5">
      <c r="A41" s="465" t="s">
        <v>2160</v>
      </c>
      <c r="B41" s="465" t="s">
        <v>280</v>
      </c>
      <c r="C41" s="465" t="s">
        <v>281</v>
      </c>
      <c r="D41" s="466">
        <v>5</v>
      </c>
      <c r="E41" s="466" t="str">
        <f>CLEAN(TRIM(GradingSimkat[[#This Row],[Placement]] &amp;  "|" &amp; GradingSimkat[[#This Row],[Level]] &amp; "|" &amp; GradingSimkat[[#This Row],[Team Category]]))</f>
        <v>Penulis pertama pada jurnal internasional bereputasi atau jurnal nasional terindeks SINTA 1 dan 2|External National|Team</v>
      </c>
    </row>
    <row r="42" spans="1:5">
      <c r="A42" s="465" t="s">
        <v>2160</v>
      </c>
      <c r="B42" s="465" t="s">
        <v>307</v>
      </c>
      <c r="C42" s="465" t="s">
        <v>281</v>
      </c>
      <c r="D42" s="466">
        <v>5</v>
      </c>
      <c r="E42" s="466" t="str">
        <f>CLEAN(TRIM(GradingSimkat[[#This Row],[Placement]] &amp;  "|" &amp; GradingSimkat[[#This Row],[Level]] &amp; "|" &amp; GradingSimkat[[#This Row],[Team Category]]))</f>
        <v>Penulis pertama pada jurnal internasional bereputasi atau jurnal nasional terindeks SINTA 1 dan 2|External International|Team</v>
      </c>
    </row>
    <row r="43" spans="1:5">
      <c r="A43" s="465" t="s">
        <v>2160</v>
      </c>
      <c r="B43" s="465" t="s">
        <v>280</v>
      </c>
      <c r="C43" s="465" t="s">
        <v>292</v>
      </c>
      <c r="D43" s="466">
        <v>5</v>
      </c>
      <c r="E43" s="466" t="str">
        <f>CLEAN(TRIM(GradingSimkat[[#This Row],[Placement]] &amp;  "|" &amp; GradingSimkat[[#This Row],[Level]] &amp; "|" &amp; GradingSimkat[[#This Row],[Team Category]]))</f>
        <v>Penulis pertama pada jurnal internasional bereputasi atau jurnal nasional terindeks SINTA 1 dan 2|External National|Individual</v>
      </c>
    </row>
    <row r="44" spans="1:5">
      <c r="A44" s="465" t="s">
        <v>2160</v>
      </c>
      <c r="B44" s="465" t="s">
        <v>307</v>
      </c>
      <c r="C44" s="465" t="s">
        <v>292</v>
      </c>
      <c r="D44" s="466">
        <v>5</v>
      </c>
      <c r="E44" s="466" t="str">
        <f>CLEAN(TRIM(GradingSimkat[[#This Row],[Placement]] &amp;  "|" &amp; GradingSimkat[[#This Row],[Level]] &amp; "|" &amp; GradingSimkat[[#This Row],[Team Category]]))</f>
        <v>Penulis pertama pada jurnal internasional bereputasi atau jurnal nasional terindeks SINTA 1 dan 2|External International|Individual</v>
      </c>
    </row>
    <row r="45" spans="1:5">
      <c r="A45" s="465" t="s">
        <v>1916</v>
      </c>
      <c r="B45" s="465" t="s">
        <v>280</v>
      </c>
      <c r="C45" s="465" t="s">
        <v>19</v>
      </c>
      <c r="D45" s="466">
        <v>4</v>
      </c>
      <c r="E45" s="466" t="str">
        <f>CLEAN(TRIM(GradingSimkat[[#This Row],[Placement]] &amp;  "|" &amp; GradingSimkat[[#This Row],[Level]] &amp; "|" &amp; GradingSimkat[[#This Row],[Team Category]]))</f>
        <v>Peserta Pameran Karya Seni|External National|-</v>
      </c>
    </row>
    <row r="46" spans="1:5">
      <c r="A46" s="465" t="s">
        <v>1916</v>
      </c>
      <c r="B46" s="465" t="s">
        <v>307</v>
      </c>
      <c r="C46" s="465" t="s">
        <v>19</v>
      </c>
      <c r="D46" s="466">
        <v>6</v>
      </c>
      <c r="E46" s="466" t="str">
        <f>CLEAN(TRIM(GradingSimkat[[#This Row],[Placement]] &amp;  "|" &amp; GradingSimkat[[#This Row],[Level]] &amp; "|" &amp; GradingSimkat[[#This Row],[Team Category]]))</f>
        <v>Peserta Pameran Karya Seni|External International|-</v>
      </c>
    </row>
    <row r="47" spans="1:5">
      <c r="A47" s="465" t="s">
        <v>2161</v>
      </c>
      <c r="B47" s="465" t="s">
        <v>19</v>
      </c>
      <c r="C47" s="465" t="s">
        <v>19</v>
      </c>
      <c r="D47" s="466">
        <v>4</v>
      </c>
      <c r="E47" s="466" t="str">
        <f>CLEAN(TRIM(GradingSimkat[[#This Row],[Placement]] &amp;  "|" &amp; GradingSimkat[[#This Row],[Level]] &amp; "|" &amp; GradingSimkat[[#This Row],[Team Category]]))</f>
        <v>Karya cipta lagu yang telah dipublikasikan dan mendapatkan sertifikat hak kekayaan intelektual|-|-</v>
      </c>
    </row>
    <row r="48" spans="1:5">
      <c r="A48" s="465" t="s">
        <v>2162</v>
      </c>
      <c r="B48" s="465" t="s">
        <v>19</v>
      </c>
      <c r="C48" s="465" t="s">
        <v>19</v>
      </c>
      <c r="D48" s="466">
        <v>4</v>
      </c>
      <c r="E48" s="466" t="str">
        <f>CLEAN(TRIM(GradingSimkat[[#This Row],[Placement]] &amp;  "|" &amp; GradingSimkat[[#This Row],[Level]] &amp; "|" &amp; GradingSimkat[[#This Row],[Team Category]]))</f>
        <v>Karya cipta seni tari yang telah dipentaskan dan mendapatkan sertifikat hak kekayaan intelektual.|-|-</v>
      </c>
    </row>
    <row r="49" spans="1:5">
      <c r="A49" s="465" t="s">
        <v>2163</v>
      </c>
      <c r="B49" s="465" t="s">
        <v>280</v>
      </c>
      <c r="C49" s="465" t="s">
        <v>19</v>
      </c>
      <c r="D49" s="466">
        <v>5</v>
      </c>
      <c r="E49" s="466" t="str">
        <f>CLEAN(TRIM(GradingSimkat[[#This Row],[Placement]] &amp;  "|" &amp; GradingSimkat[[#This Row],[Level]] &amp; "|" &amp; GradingSimkat[[#This Row],[Team Category]]))</f>
        <v>Tuan rumah kejuaraan Kompetisi|External National|-</v>
      </c>
    </row>
    <row r="50" spans="1:5">
      <c r="A50" s="465" t="s">
        <v>2163</v>
      </c>
      <c r="B50" s="465" t="s">
        <v>307</v>
      </c>
      <c r="C50" s="465" t="s">
        <v>19</v>
      </c>
      <c r="D50" s="466">
        <v>8</v>
      </c>
      <c r="E50" s="466" t="str">
        <f>CLEAN(TRIM(GradingSimkat[[#This Row],[Placement]] &amp;  "|" &amp; GradingSimkat[[#This Row],[Level]] &amp; "|" &amp; GradingSimkat[[#This Row],[Team Category]]))</f>
        <v>Tuan rumah kejuaraan Kompetisi|External International|-</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D506"/>
  <sheetViews>
    <sheetView showGridLines="0" topLeftCell="E2" zoomScale="115" workbookViewId="0">
      <selection activeCell="I29" sqref="I29"/>
    </sheetView>
  </sheetViews>
  <sheetFormatPr defaultColWidth="14.3984375" defaultRowHeight="15" customHeight="1"/>
  <cols>
    <col min="1" max="1" width="23.796875" style="1" customWidth="1"/>
    <col min="2" max="2" width="12.59765625" style="1" customWidth="1"/>
    <col min="3" max="3" width="37" style="1" customWidth="1"/>
    <col min="4" max="4" width="27.19921875" style="1" customWidth="1"/>
    <col min="5" max="5" width="27.59765625" style="1" customWidth="1"/>
    <col min="6" max="6" width="20.19921875" style="1" customWidth="1"/>
    <col min="7" max="7" width="16.59765625" style="1" customWidth="1"/>
    <col min="8" max="8" width="15.59765625" style="1" customWidth="1"/>
    <col min="9" max="9" width="16.19921875" style="1" customWidth="1"/>
    <col min="10" max="10" width="15.59765625" style="1" customWidth="1"/>
    <col min="11" max="11" width="15.3984375" style="1" customWidth="1"/>
    <col min="12" max="12" width="13.796875" style="1" customWidth="1"/>
    <col min="13" max="13" width="14.59765625" style="1" customWidth="1"/>
    <col min="14" max="14" width="23.19921875" style="1" customWidth="1"/>
    <col min="15" max="15" width="14.59765625" style="1" customWidth="1"/>
    <col min="16" max="16" width="11.19921875" style="1" customWidth="1"/>
    <col min="17" max="17" width="17" style="1" customWidth="1"/>
    <col min="18" max="18" width="11" style="1" customWidth="1"/>
    <col min="19" max="19" width="11.59765625" style="1" customWidth="1"/>
    <col min="20" max="20" width="10.3984375" style="1" customWidth="1"/>
    <col min="21" max="21" width="15.796875" style="1" customWidth="1"/>
    <col min="22" max="22" width="10.59765625" style="1" customWidth="1"/>
    <col min="23" max="23" width="10.3984375" style="1" customWidth="1"/>
    <col min="24" max="27" width="15.796875" style="1" customWidth="1"/>
    <col min="28" max="29" width="11.59765625" style="1" customWidth="1"/>
    <col min="30" max="32" width="12.796875" style="1" customWidth="1"/>
    <col min="33" max="37" width="15.19921875" style="1" customWidth="1"/>
    <col min="38" max="38" width="16" style="1" customWidth="1"/>
    <col min="39" max="39" width="17" style="1" customWidth="1"/>
    <col min="40" max="40" width="15.19921875" style="1" customWidth="1"/>
    <col min="41" max="42" width="14.19921875" style="1" customWidth="1"/>
    <col min="43" max="43" width="9.19921875" style="1" customWidth="1"/>
    <col min="44" max="44" width="12.796875" style="1" customWidth="1"/>
    <col min="45" max="45" width="16.3984375" style="1" customWidth="1"/>
    <col min="46" max="46" width="14.3984375" style="1" customWidth="1"/>
    <col min="47" max="47" width="16.3984375" style="1" customWidth="1"/>
    <col min="48" max="48" width="16.19921875" style="1" customWidth="1"/>
    <col min="49" max="49" width="17.3984375" style="1" customWidth="1"/>
    <col min="50" max="51" width="12.796875" style="1" customWidth="1"/>
    <col min="52" max="52" width="11.19921875" style="1" customWidth="1"/>
    <col min="53" max="53" width="8.796875" style="1" customWidth="1"/>
    <col min="54" max="82" width="12.796875" style="1" customWidth="1"/>
    <col min="83" max="83" width="14.3984375" style="1" customWidth="1"/>
    <col min="84" max="16384" width="14.3984375" style="1"/>
  </cols>
  <sheetData>
    <row r="1" spans="1:82" ht="15.75" customHeight="1">
      <c r="A1" s="228"/>
      <c r="B1" s="229"/>
      <c r="C1" s="230" t="s">
        <v>1910</v>
      </c>
      <c r="D1" s="231"/>
      <c r="E1" s="232"/>
      <c r="F1" s="233"/>
      <c r="G1" s="233"/>
      <c r="H1" s="234"/>
      <c r="I1" s="234"/>
      <c r="J1" s="233"/>
      <c r="K1" s="233"/>
      <c r="L1" s="233"/>
      <c r="M1" s="233"/>
      <c r="N1" s="233"/>
      <c r="O1" s="233"/>
      <c r="P1" s="233"/>
      <c r="Q1" s="233"/>
      <c r="R1" s="229"/>
      <c r="S1" s="229"/>
      <c r="T1" s="229"/>
      <c r="U1" s="229"/>
      <c r="V1" s="229"/>
      <c r="W1" s="229"/>
      <c r="X1" s="229"/>
      <c r="Y1" s="229"/>
      <c r="Z1" s="229"/>
      <c r="AA1" s="229"/>
      <c r="AB1" s="228"/>
      <c r="AC1" s="228"/>
      <c r="AD1" s="228"/>
      <c r="AE1" s="228"/>
      <c r="AF1" s="228"/>
      <c r="AG1" s="228"/>
      <c r="AH1" s="228"/>
      <c r="AI1" s="228"/>
      <c r="AJ1" s="228"/>
      <c r="AK1" s="228"/>
      <c r="AL1" s="228"/>
      <c r="AM1" s="228"/>
      <c r="AN1" s="228"/>
      <c r="AO1" s="228"/>
      <c r="AP1" s="228"/>
      <c r="AQ1" s="228"/>
      <c r="AR1" s="228"/>
      <c r="AS1" s="228"/>
      <c r="AT1" s="228"/>
      <c r="AU1" s="228"/>
      <c r="AV1" s="228"/>
      <c r="AW1" s="228"/>
      <c r="AX1" s="228"/>
      <c r="AY1" s="228"/>
      <c r="AZ1" s="228"/>
      <c r="BA1" s="228"/>
      <c r="BB1" s="228"/>
      <c r="BC1" s="228"/>
      <c r="BD1" s="228"/>
      <c r="BE1" s="228"/>
      <c r="BF1" s="228"/>
      <c r="BG1" s="228"/>
      <c r="BH1" s="228"/>
      <c r="BI1" s="228"/>
      <c r="BJ1" s="228"/>
      <c r="BK1" s="228"/>
      <c r="BL1" s="228"/>
      <c r="BM1" s="228"/>
      <c r="BN1" s="228"/>
      <c r="BO1" s="228"/>
      <c r="BP1" s="228"/>
      <c r="BQ1" s="228"/>
      <c r="BR1" s="228"/>
      <c r="BS1" s="228"/>
      <c r="BT1" s="228"/>
      <c r="BU1" s="228"/>
      <c r="BV1" s="228"/>
      <c r="BW1" s="228"/>
      <c r="BX1" s="228"/>
      <c r="BY1" s="228"/>
      <c r="BZ1" s="228"/>
      <c r="CA1" s="228"/>
      <c r="CB1" s="228"/>
      <c r="CC1" s="228"/>
      <c r="CD1" s="228"/>
    </row>
    <row r="2" spans="1:82" ht="74.25" customHeight="1">
      <c r="A2" s="235"/>
      <c r="B2" s="543" t="s">
        <v>1911</v>
      </c>
      <c r="C2" s="543" t="s">
        <v>1912</v>
      </c>
      <c r="D2" s="557" t="s">
        <v>1913</v>
      </c>
      <c r="E2" s="503"/>
      <c r="F2" s="505"/>
      <c r="G2" s="559" t="s">
        <v>1914</v>
      </c>
      <c r="H2" s="503"/>
      <c r="I2" s="505"/>
      <c r="J2" s="544" t="s">
        <v>1915</v>
      </c>
      <c r="K2" s="503"/>
      <c r="L2" s="505"/>
      <c r="M2" s="544" t="s">
        <v>1916</v>
      </c>
      <c r="N2" s="503"/>
      <c r="O2" s="505"/>
      <c r="P2" s="544" t="s">
        <v>1917</v>
      </c>
      <c r="Q2" s="560"/>
      <c r="R2" s="544" t="s">
        <v>1918</v>
      </c>
      <c r="S2" s="560"/>
      <c r="T2" s="544" t="s">
        <v>1919</v>
      </c>
      <c r="U2" s="560"/>
      <c r="V2" s="544" t="s">
        <v>1920</v>
      </c>
      <c r="W2" s="503"/>
      <c r="X2" s="505"/>
      <c r="Y2" s="558" t="s">
        <v>1921</v>
      </c>
      <c r="Z2" s="558" t="s">
        <v>1922</v>
      </c>
      <c r="AA2" s="543" t="s">
        <v>1923</v>
      </c>
      <c r="AB2" s="236"/>
      <c r="AC2" s="237"/>
      <c r="AD2" s="237"/>
      <c r="AE2" s="237"/>
      <c r="AF2" s="237"/>
      <c r="AG2" s="237"/>
      <c r="AH2" s="237"/>
      <c r="AI2" s="237"/>
      <c r="AJ2" s="237"/>
      <c r="AK2" s="237"/>
      <c r="AL2" s="237"/>
      <c r="AM2" s="237"/>
      <c r="AN2" s="237"/>
      <c r="AO2" s="237"/>
      <c r="AP2" s="237"/>
      <c r="AQ2" s="237"/>
      <c r="AR2" s="237"/>
      <c r="AS2" s="237"/>
      <c r="AT2" s="237"/>
      <c r="AU2" s="237"/>
      <c r="AV2" s="237"/>
      <c r="AW2" s="237"/>
      <c r="AX2" s="237"/>
      <c r="AY2" s="237"/>
      <c r="AZ2" s="237"/>
      <c r="BA2" s="237"/>
      <c r="BB2" s="237"/>
      <c r="BC2" s="237"/>
      <c r="BD2" s="237"/>
      <c r="BE2" s="237"/>
      <c r="BF2" s="237"/>
      <c r="BG2" s="237"/>
      <c r="BH2" s="237"/>
      <c r="BI2" s="237"/>
      <c r="BJ2" s="237"/>
      <c r="BK2" s="237"/>
      <c r="BL2" s="237"/>
      <c r="BM2" s="237"/>
      <c r="BN2" s="237"/>
      <c r="BO2" s="237"/>
      <c r="BP2" s="237"/>
      <c r="BQ2" s="237"/>
      <c r="BR2" s="237"/>
      <c r="BS2" s="237"/>
      <c r="BT2" s="237"/>
      <c r="BU2" s="237"/>
      <c r="BV2" s="237"/>
      <c r="BW2" s="237"/>
      <c r="BX2" s="237"/>
      <c r="BY2" s="237"/>
      <c r="BZ2" s="237"/>
      <c r="CA2" s="237"/>
      <c r="CB2" s="237"/>
      <c r="CC2" s="237"/>
      <c r="CD2" s="2"/>
    </row>
    <row r="3" spans="1:82" ht="12.75" customHeight="1">
      <c r="A3" s="238"/>
      <c r="B3" s="510"/>
      <c r="C3" s="510"/>
      <c r="D3" s="239" t="s">
        <v>1924</v>
      </c>
      <c r="E3" s="239" t="s">
        <v>0</v>
      </c>
      <c r="F3" s="239" t="s">
        <v>1925</v>
      </c>
      <c r="G3" s="240" t="s">
        <v>1924</v>
      </c>
      <c r="H3" s="240" t="s">
        <v>0</v>
      </c>
      <c r="I3" s="240" t="s">
        <v>1925</v>
      </c>
      <c r="J3" s="240" t="s">
        <v>1924</v>
      </c>
      <c r="K3" s="240" t="s">
        <v>0</v>
      </c>
      <c r="L3" s="240" t="s">
        <v>1925</v>
      </c>
      <c r="M3" s="240" t="s">
        <v>1924</v>
      </c>
      <c r="N3" s="240" t="s">
        <v>0</v>
      </c>
      <c r="O3" s="240" t="s">
        <v>1925</v>
      </c>
      <c r="P3" s="240" t="s">
        <v>0</v>
      </c>
      <c r="Q3" s="240" t="s">
        <v>1925</v>
      </c>
      <c r="R3" s="240" t="s">
        <v>0</v>
      </c>
      <c r="S3" s="240" t="s">
        <v>1925</v>
      </c>
      <c r="T3" s="240" t="s">
        <v>0</v>
      </c>
      <c r="U3" s="240" t="s">
        <v>1925</v>
      </c>
      <c r="V3" s="240" t="s">
        <v>1924</v>
      </c>
      <c r="W3" s="240" t="s">
        <v>0</v>
      </c>
      <c r="X3" s="240" t="s">
        <v>1925</v>
      </c>
      <c r="Y3" s="510"/>
      <c r="Z3" s="510"/>
      <c r="AA3" s="510"/>
      <c r="AB3" s="241"/>
      <c r="AC3" s="242"/>
      <c r="AD3" s="242"/>
      <c r="AE3" s="242"/>
      <c r="AF3" s="242"/>
      <c r="AG3" s="242"/>
      <c r="AH3" s="242"/>
      <c r="AI3" s="242"/>
      <c r="AJ3" s="242"/>
      <c r="AK3" s="242"/>
      <c r="AL3" s="242"/>
      <c r="AM3" s="242"/>
      <c r="AN3" s="242"/>
      <c r="AO3" s="242"/>
      <c r="AP3" s="242"/>
      <c r="AQ3" s="242"/>
      <c r="AR3" s="242"/>
      <c r="AS3" s="242"/>
      <c r="AT3" s="242"/>
      <c r="AU3" s="242"/>
      <c r="AV3" s="242"/>
      <c r="AW3" s="242"/>
      <c r="AX3" s="242"/>
      <c r="AY3" s="242"/>
      <c r="AZ3" s="242"/>
      <c r="BA3" s="242"/>
      <c r="BB3" s="242"/>
      <c r="BC3" s="242"/>
      <c r="BD3" s="242"/>
      <c r="BE3" s="242"/>
      <c r="BF3" s="242"/>
      <c r="BG3" s="242"/>
      <c r="BH3" s="242"/>
      <c r="BI3" s="242"/>
      <c r="BJ3" s="242"/>
      <c r="BK3" s="242"/>
      <c r="BL3" s="242"/>
      <c r="BM3" s="242"/>
      <c r="BN3" s="242"/>
      <c r="BO3" s="242"/>
      <c r="BP3" s="242"/>
      <c r="BQ3" s="242"/>
      <c r="BR3" s="242"/>
      <c r="BS3" s="242"/>
      <c r="BT3" s="242"/>
      <c r="BU3" s="242"/>
      <c r="BV3" s="242"/>
      <c r="BW3" s="242"/>
      <c r="BX3" s="242"/>
      <c r="BY3" s="242"/>
      <c r="BZ3" s="242"/>
      <c r="CA3" s="242"/>
      <c r="CB3" s="242"/>
      <c r="CC3" s="242"/>
      <c r="CD3" s="2"/>
    </row>
    <row r="4" spans="1:82" ht="12.75" customHeight="1">
      <c r="A4" s="238"/>
      <c r="B4" s="508"/>
      <c r="C4" s="508"/>
      <c r="D4" s="243">
        <v>1.5</v>
      </c>
      <c r="E4" s="243">
        <v>3</v>
      </c>
      <c r="F4" s="244">
        <v>5</v>
      </c>
      <c r="G4" s="244">
        <v>1.5</v>
      </c>
      <c r="H4" s="244">
        <v>3</v>
      </c>
      <c r="I4" s="244">
        <v>5</v>
      </c>
      <c r="J4" s="244">
        <v>1.5</v>
      </c>
      <c r="K4" s="244">
        <v>3</v>
      </c>
      <c r="L4" s="244">
        <v>5</v>
      </c>
      <c r="M4" s="244">
        <v>1.5</v>
      </c>
      <c r="N4" s="244">
        <v>3</v>
      </c>
      <c r="O4" s="244">
        <v>5</v>
      </c>
      <c r="P4" s="244">
        <v>3</v>
      </c>
      <c r="Q4" s="244">
        <v>5</v>
      </c>
      <c r="R4" s="244">
        <v>3</v>
      </c>
      <c r="S4" s="244">
        <v>5</v>
      </c>
      <c r="T4" s="244">
        <v>3</v>
      </c>
      <c r="U4" s="244">
        <v>5</v>
      </c>
      <c r="V4" s="244">
        <v>4</v>
      </c>
      <c r="W4" s="244">
        <v>8</v>
      </c>
      <c r="X4" s="244">
        <v>12</v>
      </c>
      <c r="Y4" s="508"/>
      <c r="Z4" s="508"/>
      <c r="AA4" s="508"/>
      <c r="AB4" s="245"/>
      <c r="AC4" s="242"/>
      <c r="AD4" s="242"/>
      <c r="AE4" s="242"/>
      <c r="AF4" s="242"/>
      <c r="AG4" s="242"/>
      <c r="AH4" s="242"/>
      <c r="AI4" s="242"/>
      <c r="AJ4" s="242"/>
      <c r="AK4" s="242"/>
      <c r="AL4" s="242"/>
      <c r="AM4" s="242"/>
      <c r="AN4" s="242"/>
      <c r="AO4" s="242"/>
      <c r="AP4" s="242"/>
      <c r="AQ4" s="242"/>
      <c r="AR4" s="242"/>
      <c r="AS4" s="242"/>
      <c r="AT4" s="242"/>
      <c r="AU4" s="242"/>
      <c r="AV4" s="242"/>
      <c r="AW4" s="242"/>
      <c r="AX4" s="242"/>
      <c r="AY4" s="242"/>
      <c r="AZ4" s="242"/>
      <c r="BA4" s="242"/>
      <c r="BB4" s="242"/>
      <c r="BC4" s="242"/>
      <c r="BD4" s="242"/>
      <c r="BE4" s="242"/>
      <c r="BF4" s="242"/>
      <c r="BG4" s="242"/>
      <c r="BH4" s="242"/>
      <c r="BI4" s="242"/>
      <c r="BJ4" s="242"/>
      <c r="BK4" s="242"/>
      <c r="BL4" s="242"/>
      <c r="BM4" s="242"/>
      <c r="BN4" s="242"/>
      <c r="BO4" s="242"/>
      <c r="BP4" s="242"/>
      <c r="BQ4" s="242"/>
      <c r="BR4" s="242"/>
      <c r="BS4" s="242"/>
      <c r="BT4" s="242"/>
      <c r="BU4" s="242"/>
      <c r="BV4" s="242"/>
      <c r="BW4" s="242"/>
      <c r="BX4" s="242"/>
      <c r="BY4" s="242"/>
      <c r="BZ4" s="242"/>
      <c r="CA4" s="242"/>
      <c r="CB4" s="242"/>
      <c r="CC4" s="242"/>
      <c r="CD4" s="2"/>
    </row>
    <row r="5" spans="1:82" ht="12.75" hidden="1" customHeight="1">
      <c r="A5" s="246"/>
      <c r="B5" s="554" t="s">
        <v>44</v>
      </c>
      <c r="C5" s="247" t="s">
        <v>1926</v>
      </c>
      <c r="D5" s="248">
        <f t="shared" ref="D5:X5" si="0">D6</f>
        <v>601</v>
      </c>
      <c r="E5" s="248">
        <f t="shared" si="0"/>
        <v>0</v>
      </c>
      <c r="F5" s="248">
        <f t="shared" si="0"/>
        <v>0</v>
      </c>
      <c r="G5" s="248">
        <f t="shared" si="0"/>
        <v>0</v>
      </c>
      <c r="H5" s="248">
        <f t="shared" si="0"/>
        <v>1785</v>
      </c>
      <c r="I5" s="248">
        <f t="shared" si="0"/>
        <v>822</v>
      </c>
      <c r="J5" s="248">
        <f t="shared" si="0"/>
        <v>1487</v>
      </c>
      <c r="K5" s="248">
        <f t="shared" si="0"/>
        <v>298</v>
      </c>
      <c r="L5" s="248">
        <f t="shared" si="0"/>
        <v>0</v>
      </c>
      <c r="M5" s="248">
        <f t="shared" si="0"/>
        <v>0</v>
      </c>
      <c r="N5" s="248">
        <f t="shared" si="0"/>
        <v>0</v>
      </c>
      <c r="O5" s="248">
        <f t="shared" si="0"/>
        <v>0</v>
      </c>
      <c r="P5" s="248">
        <f t="shared" si="0"/>
        <v>0</v>
      </c>
      <c r="Q5" s="248">
        <f t="shared" si="0"/>
        <v>0</v>
      </c>
      <c r="R5" s="248">
        <f t="shared" si="0"/>
        <v>0</v>
      </c>
      <c r="S5" s="248">
        <f t="shared" si="0"/>
        <v>0</v>
      </c>
      <c r="T5" s="248">
        <f t="shared" si="0"/>
        <v>0</v>
      </c>
      <c r="U5" s="248">
        <f t="shared" si="0"/>
        <v>0</v>
      </c>
      <c r="V5" s="248">
        <f t="shared" si="0"/>
        <v>0</v>
      </c>
      <c r="W5" s="248">
        <f t="shared" si="0"/>
        <v>0</v>
      </c>
      <c r="X5" s="248">
        <f t="shared" si="0"/>
        <v>0</v>
      </c>
      <c r="Y5" s="248">
        <f t="shared" ref="Y5:Y11" si="1">(D5*$D$4)+(E5*$E$4)+(F5*$F$4)+(G5*$G$4)+(H5*$H$4)+(I5*$I$4)+(J5*$J$4)+(K5*$K$4)+(L5*$L$4)+(M5*$M$4)+(N5*$N$4)+(O5*$O$4)+(P5*$P$4)+(Q5*$Q$4)+(R5*$R$4)+(S5*$S$4)+(T5*$T$4)+(U5*$U$4)+(V5*$V$4)+(W5*$W$4)+(X5*$X$4)</f>
        <v>13491</v>
      </c>
      <c r="Z5" s="248">
        <f>Z6</f>
        <v>215</v>
      </c>
      <c r="AA5" s="249">
        <f>AA6</f>
        <v>1.25</v>
      </c>
      <c r="AB5" s="247" t="s">
        <v>1926</v>
      </c>
      <c r="AC5" s="250"/>
      <c r="AD5" s="228"/>
      <c r="AE5" s="251"/>
      <c r="AF5" s="252"/>
      <c r="AG5" s="228"/>
      <c r="AH5" s="228"/>
      <c r="AI5" s="228"/>
      <c r="AJ5" s="228"/>
      <c r="AK5" s="228"/>
      <c r="AL5" s="228"/>
      <c r="AM5" s="228"/>
      <c r="AN5" s="228"/>
      <c r="AO5" s="228"/>
      <c r="AP5" s="228"/>
      <c r="AQ5" s="228"/>
      <c r="AR5" s="228"/>
      <c r="AS5" s="228"/>
      <c r="AT5" s="228"/>
      <c r="AU5" s="228"/>
      <c r="AV5" s="228"/>
      <c r="AW5" s="228"/>
      <c r="AX5" s="228"/>
      <c r="AY5" s="228"/>
      <c r="AZ5" s="228"/>
      <c r="BA5" s="228"/>
      <c r="BB5" s="228"/>
      <c r="BC5" s="228"/>
      <c r="BD5" s="228"/>
      <c r="BE5" s="228"/>
      <c r="BF5" s="228"/>
      <c r="BG5" s="228"/>
      <c r="BH5" s="228"/>
      <c r="BI5" s="228"/>
      <c r="BJ5" s="228"/>
      <c r="BK5" s="228"/>
      <c r="BL5" s="228"/>
      <c r="BM5" s="228"/>
      <c r="BN5" s="228"/>
      <c r="BO5" s="228"/>
      <c r="BP5" s="228"/>
      <c r="BQ5" s="228"/>
      <c r="BR5" s="228"/>
      <c r="BS5" s="228"/>
      <c r="BT5" s="228"/>
      <c r="BU5" s="228"/>
      <c r="BV5" s="228"/>
      <c r="BW5" s="228"/>
      <c r="BX5" s="228"/>
      <c r="BY5" s="228"/>
      <c r="BZ5" s="228"/>
      <c r="CA5" s="228"/>
      <c r="CB5" s="228"/>
      <c r="CC5" s="228"/>
      <c r="CD5" s="2"/>
    </row>
    <row r="6" spans="1:82" ht="12.75" hidden="1" customHeight="1">
      <c r="A6" s="246"/>
      <c r="B6" s="508"/>
      <c r="C6" s="253" t="s">
        <v>44</v>
      </c>
      <c r="D6" s="248">
        <f t="shared" ref="D6:X6" si="2">D10+D11+D13+D15+D16+D17+D18</f>
        <v>601</v>
      </c>
      <c r="E6" s="248">
        <f t="shared" si="2"/>
        <v>0</v>
      </c>
      <c r="F6" s="248">
        <f t="shared" si="2"/>
        <v>0</v>
      </c>
      <c r="G6" s="248">
        <f t="shared" si="2"/>
        <v>0</v>
      </c>
      <c r="H6" s="248">
        <f t="shared" si="2"/>
        <v>1785</v>
      </c>
      <c r="I6" s="248">
        <f t="shared" si="2"/>
        <v>822</v>
      </c>
      <c r="J6" s="248">
        <f t="shared" si="2"/>
        <v>1487</v>
      </c>
      <c r="K6" s="248">
        <f t="shared" si="2"/>
        <v>298</v>
      </c>
      <c r="L6" s="248">
        <f t="shared" si="2"/>
        <v>0</v>
      </c>
      <c r="M6" s="248">
        <f t="shared" si="2"/>
        <v>0</v>
      </c>
      <c r="N6" s="248">
        <f t="shared" si="2"/>
        <v>0</v>
      </c>
      <c r="O6" s="248">
        <f t="shared" si="2"/>
        <v>0</v>
      </c>
      <c r="P6" s="248">
        <f t="shared" si="2"/>
        <v>0</v>
      </c>
      <c r="Q6" s="248">
        <f t="shared" si="2"/>
        <v>0</v>
      </c>
      <c r="R6" s="248">
        <f t="shared" si="2"/>
        <v>0</v>
      </c>
      <c r="S6" s="248">
        <f t="shared" si="2"/>
        <v>0</v>
      </c>
      <c r="T6" s="248">
        <f t="shared" si="2"/>
        <v>0</v>
      </c>
      <c r="U6" s="248">
        <f t="shared" si="2"/>
        <v>0</v>
      </c>
      <c r="V6" s="248">
        <f t="shared" si="2"/>
        <v>0</v>
      </c>
      <c r="W6" s="248">
        <f t="shared" si="2"/>
        <v>0</v>
      </c>
      <c r="X6" s="248">
        <f t="shared" si="2"/>
        <v>0</v>
      </c>
      <c r="Y6" s="248">
        <f t="shared" si="1"/>
        <v>13491</v>
      </c>
      <c r="Z6" s="248">
        <v>215</v>
      </c>
      <c r="AA6" s="249">
        <f t="shared" ref="AA6:AA51" si="3">IFERROR(IF(Y6/Z6&lt;0%,0%,IF(Y6/Z6&gt;125%,125%,Y6/Z6)),"-")</f>
        <v>1.25</v>
      </c>
      <c r="AB6" s="253" t="s">
        <v>44</v>
      </c>
      <c r="AC6" s="250"/>
      <c r="AD6" s="228"/>
      <c r="AE6" s="251"/>
      <c r="AF6" s="252"/>
      <c r="AG6" s="228"/>
      <c r="AH6" s="228"/>
      <c r="AI6" s="228"/>
      <c r="AJ6" s="228"/>
      <c r="AK6" s="228"/>
      <c r="AL6" s="228"/>
      <c r="AM6" s="228"/>
      <c r="AN6" s="228"/>
      <c r="AO6" s="228"/>
      <c r="AP6" s="228"/>
      <c r="AQ6" s="228"/>
      <c r="AR6" s="228"/>
      <c r="AS6" s="228"/>
      <c r="AT6" s="228"/>
      <c r="AU6" s="228"/>
      <c r="AV6" s="228"/>
      <c r="AW6" s="228"/>
      <c r="AX6" s="228"/>
      <c r="AY6" s="228"/>
      <c r="AZ6" s="228"/>
      <c r="BA6" s="228"/>
      <c r="BB6" s="228"/>
      <c r="BC6" s="228"/>
      <c r="BD6" s="228"/>
      <c r="BE6" s="228"/>
      <c r="BF6" s="228"/>
      <c r="BG6" s="228"/>
      <c r="BH6" s="228"/>
      <c r="BI6" s="228"/>
      <c r="BJ6" s="228"/>
      <c r="BK6" s="228"/>
      <c r="BL6" s="228"/>
      <c r="BM6" s="228"/>
      <c r="BN6" s="228"/>
      <c r="BO6" s="228"/>
      <c r="BP6" s="228"/>
      <c r="BQ6" s="228"/>
      <c r="BR6" s="228"/>
      <c r="BS6" s="228"/>
      <c r="BT6" s="228"/>
      <c r="BU6" s="228"/>
      <c r="BV6" s="228"/>
      <c r="BW6" s="228"/>
      <c r="BX6" s="228"/>
      <c r="BY6" s="228"/>
      <c r="BZ6" s="228"/>
      <c r="CA6" s="228"/>
      <c r="CB6" s="228"/>
      <c r="CC6" s="228"/>
      <c r="CD6" s="2"/>
    </row>
    <row r="7" spans="1:82" ht="12.75" hidden="1" customHeight="1">
      <c r="A7" s="246"/>
      <c r="B7" s="540" t="s">
        <v>48</v>
      </c>
      <c r="C7" s="253" t="s">
        <v>49</v>
      </c>
      <c r="D7" s="248">
        <f t="shared" ref="D7:X7" si="4">D6</f>
        <v>601</v>
      </c>
      <c r="E7" s="248">
        <f t="shared" si="4"/>
        <v>0</v>
      </c>
      <c r="F7" s="248">
        <f t="shared" si="4"/>
        <v>0</v>
      </c>
      <c r="G7" s="248">
        <f t="shared" si="4"/>
        <v>0</v>
      </c>
      <c r="H7" s="248">
        <f t="shared" si="4"/>
        <v>1785</v>
      </c>
      <c r="I7" s="248">
        <f t="shared" si="4"/>
        <v>822</v>
      </c>
      <c r="J7" s="248">
        <f t="shared" si="4"/>
        <v>1487</v>
      </c>
      <c r="K7" s="248">
        <f t="shared" si="4"/>
        <v>298</v>
      </c>
      <c r="L7" s="248">
        <f t="shared" si="4"/>
        <v>0</v>
      </c>
      <c r="M7" s="248">
        <f t="shared" si="4"/>
        <v>0</v>
      </c>
      <c r="N7" s="248">
        <f t="shared" si="4"/>
        <v>0</v>
      </c>
      <c r="O7" s="248">
        <f t="shared" si="4"/>
        <v>0</v>
      </c>
      <c r="P7" s="248">
        <f t="shared" si="4"/>
        <v>0</v>
      </c>
      <c r="Q7" s="248">
        <f t="shared" si="4"/>
        <v>0</v>
      </c>
      <c r="R7" s="248">
        <f t="shared" si="4"/>
        <v>0</v>
      </c>
      <c r="S7" s="248">
        <f t="shared" si="4"/>
        <v>0</v>
      </c>
      <c r="T7" s="248">
        <f t="shared" si="4"/>
        <v>0</v>
      </c>
      <c r="U7" s="248">
        <f t="shared" si="4"/>
        <v>0</v>
      </c>
      <c r="V7" s="248">
        <f t="shared" si="4"/>
        <v>0</v>
      </c>
      <c r="W7" s="248">
        <f t="shared" si="4"/>
        <v>0</v>
      </c>
      <c r="X7" s="248">
        <f t="shared" si="4"/>
        <v>0</v>
      </c>
      <c r="Y7" s="248">
        <f t="shared" si="1"/>
        <v>13491</v>
      </c>
      <c r="Z7" s="248">
        <f>Z6</f>
        <v>215</v>
      </c>
      <c r="AA7" s="249">
        <f t="shared" si="3"/>
        <v>1.25</v>
      </c>
      <c r="AB7" s="253" t="s">
        <v>49</v>
      </c>
      <c r="AC7" s="250"/>
      <c r="AD7" s="228"/>
      <c r="AE7" s="251"/>
      <c r="AF7" s="252"/>
      <c r="AG7" s="228"/>
      <c r="AH7" s="228"/>
      <c r="AI7" s="228"/>
      <c r="AJ7" s="228"/>
      <c r="AK7" s="228"/>
      <c r="AL7" s="228"/>
      <c r="AM7" s="228"/>
      <c r="AN7" s="228"/>
      <c r="AO7" s="228"/>
      <c r="AP7" s="228"/>
      <c r="AQ7" s="228"/>
      <c r="AR7" s="228"/>
      <c r="AS7" s="228"/>
      <c r="AT7" s="228"/>
      <c r="AU7" s="228"/>
      <c r="AV7" s="228"/>
      <c r="AW7" s="228"/>
      <c r="AX7" s="228"/>
      <c r="AY7" s="228"/>
      <c r="AZ7" s="228"/>
      <c r="BA7" s="228"/>
      <c r="BB7" s="228"/>
      <c r="BC7" s="228"/>
      <c r="BD7" s="228"/>
      <c r="BE7" s="228"/>
      <c r="BF7" s="228"/>
      <c r="BG7" s="228"/>
      <c r="BH7" s="228"/>
      <c r="BI7" s="228"/>
      <c r="BJ7" s="228"/>
      <c r="BK7" s="228"/>
      <c r="BL7" s="228"/>
      <c r="BM7" s="228"/>
      <c r="BN7" s="228"/>
      <c r="BO7" s="228"/>
      <c r="BP7" s="228"/>
      <c r="BQ7" s="228"/>
      <c r="BR7" s="228"/>
      <c r="BS7" s="228"/>
      <c r="BT7" s="228"/>
      <c r="BU7" s="228"/>
      <c r="BV7" s="228"/>
      <c r="BW7" s="228"/>
      <c r="BX7" s="228"/>
      <c r="BY7" s="228"/>
      <c r="BZ7" s="228"/>
      <c r="CA7" s="228"/>
      <c r="CB7" s="228"/>
      <c r="CC7" s="228"/>
      <c r="CD7" s="2"/>
    </row>
    <row r="8" spans="1:82" ht="12.75" hidden="1" customHeight="1">
      <c r="A8" s="246"/>
      <c r="B8" s="507"/>
      <c r="C8" s="253" t="s">
        <v>50</v>
      </c>
      <c r="D8" s="248">
        <f t="shared" ref="D8:X8" si="5">D6</f>
        <v>601</v>
      </c>
      <c r="E8" s="248">
        <f t="shared" si="5"/>
        <v>0</v>
      </c>
      <c r="F8" s="248">
        <f t="shared" si="5"/>
        <v>0</v>
      </c>
      <c r="G8" s="248">
        <f t="shared" si="5"/>
        <v>0</v>
      </c>
      <c r="H8" s="248">
        <f t="shared" si="5"/>
        <v>1785</v>
      </c>
      <c r="I8" s="248">
        <f t="shared" si="5"/>
        <v>822</v>
      </c>
      <c r="J8" s="248">
        <f t="shared" si="5"/>
        <v>1487</v>
      </c>
      <c r="K8" s="248">
        <f t="shared" si="5"/>
        <v>298</v>
      </c>
      <c r="L8" s="248">
        <f t="shared" si="5"/>
        <v>0</v>
      </c>
      <c r="M8" s="248">
        <f t="shared" si="5"/>
        <v>0</v>
      </c>
      <c r="N8" s="248">
        <f t="shared" si="5"/>
        <v>0</v>
      </c>
      <c r="O8" s="248">
        <f t="shared" si="5"/>
        <v>0</v>
      </c>
      <c r="P8" s="248">
        <f t="shared" si="5"/>
        <v>0</v>
      </c>
      <c r="Q8" s="248">
        <f t="shared" si="5"/>
        <v>0</v>
      </c>
      <c r="R8" s="248">
        <f t="shared" si="5"/>
        <v>0</v>
      </c>
      <c r="S8" s="248">
        <f t="shared" si="5"/>
        <v>0</v>
      </c>
      <c r="T8" s="248">
        <f t="shared" si="5"/>
        <v>0</v>
      </c>
      <c r="U8" s="248">
        <f t="shared" si="5"/>
        <v>0</v>
      </c>
      <c r="V8" s="248">
        <f t="shared" si="5"/>
        <v>0</v>
      </c>
      <c r="W8" s="248">
        <f t="shared" si="5"/>
        <v>0</v>
      </c>
      <c r="X8" s="248">
        <f t="shared" si="5"/>
        <v>0</v>
      </c>
      <c r="Y8" s="248">
        <f t="shared" si="1"/>
        <v>13491</v>
      </c>
      <c r="Z8" s="248">
        <f>Z6</f>
        <v>215</v>
      </c>
      <c r="AA8" s="249">
        <f t="shared" si="3"/>
        <v>1.25</v>
      </c>
      <c r="AB8" s="253" t="s">
        <v>50</v>
      </c>
      <c r="AC8" s="250"/>
      <c r="AD8" s="228"/>
      <c r="AE8" s="251"/>
      <c r="AF8" s="252"/>
      <c r="AG8" s="228"/>
      <c r="AH8" s="228"/>
      <c r="AI8" s="228"/>
      <c r="AJ8" s="228"/>
      <c r="AK8" s="228"/>
      <c r="AL8" s="228"/>
      <c r="AM8" s="228"/>
      <c r="AN8" s="228"/>
      <c r="AO8" s="228"/>
      <c r="AP8" s="228"/>
      <c r="AQ8" s="228"/>
      <c r="AR8" s="228"/>
      <c r="AS8" s="228"/>
      <c r="AT8" s="228"/>
      <c r="AU8" s="228"/>
      <c r="AV8" s="228"/>
      <c r="AW8" s="228"/>
      <c r="AX8" s="228"/>
      <c r="AY8" s="228"/>
      <c r="AZ8" s="228"/>
      <c r="BA8" s="228"/>
      <c r="BB8" s="228"/>
      <c r="BC8" s="228"/>
      <c r="BD8" s="228"/>
      <c r="BE8" s="228"/>
      <c r="BF8" s="228"/>
      <c r="BG8" s="228"/>
      <c r="BH8" s="228"/>
      <c r="BI8" s="228"/>
      <c r="BJ8" s="228"/>
      <c r="BK8" s="228"/>
      <c r="BL8" s="228"/>
      <c r="BM8" s="228"/>
      <c r="BN8" s="228"/>
      <c r="BO8" s="228"/>
      <c r="BP8" s="228"/>
      <c r="BQ8" s="228"/>
      <c r="BR8" s="228"/>
      <c r="BS8" s="228"/>
      <c r="BT8" s="228"/>
      <c r="BU8" s="228"/>
      <c r="BV8" s="228"/>
      <c r="BW8" s="228"/>
      <c r="BX8" s="228"/>
      <c r="BY8" s="228"/>
      <c r="BZ8" s="228"/>
      <c r="CA8" s="228"/>
      <c r="CB8" s="228"/>
      <c r="CC8" s="228"/>
      <c r="CD8" s="2"/>
    </row>
    <row r="9" spans="1:82" ht="12.75" hidden="1" customHeight="1">
      <c r="A9" s="246"/>
      <c r="B9" s="508"/>
      <c r="C9" s="253" t="s">
        <v>51</v>
      </c>
      <c r="D9" s="248">
        <f t="shared" ref="D9:X9" si="6">D6</f>
        <v>601</v>
      </c>
      <c r="E9" s="248">
        <f t="shared" si="6"/>
        <v>0</v>
      </c>
      <c r="F9" s="248">
        <f t="shared" si="6"/>
        <v>0</v>
      </c>
      <c r="G9" s="248">
        <f t="shared" si="6"/>
        <v>0</v>
      </c>
      <c r="H9" s="248">
        <f t="shared" si="6"/>
        <v>1785</v>
      </c>
      <c r="I9" s="248">
        <f t="shared" si="6"/>
        <v>822</v>
      </c>
      <c r="J9" s="248">
        <f t="shared" si="6"/>
        <v>1487</v>
      </c>
      <c r="K9" s="248">
        <f t="shared" si="6"/>
        <v>298</v>
      </c>
      <c r="L9" s="248">
        <f t="shared" si="6"/>
        <v>0</v>
      </c>
      <c r="M9" s="248">
        <f t="shared" si="6"/>
        <v>0</v>
      </c>
      <c r="N9" s="248">
        <f t="shared" si="6"/>
        <v>0</v>
      </c>
      <c r="O9" s="248">
        <f t="shared" si="6"/>
        <v>0</v>
      </c>
      <c r="P9" s="248">
        <f t="shared" si="6"/>
        <v>0</v>
      </c>
      <c r="Q9" s="248">
        <f t="shared" si="6"/>
        <v>0</v>
      </c>
      <c r="R9" s="248">
        <f t="shared" si="6"/>
        <v>0</v>
      </c>
      <c r="S9" s="248">
        <f t="shared" si="6"/>
        <v>0</v>
      </c>
      <c r="T9" s="248">
        <f t="shared" si="6"/>
        <v>0</v>
      </c>
      <c r="U9" s="248">
        <f t="shared" si="6"/>
        <v>0</v>
      </c>
      <c r="V9" s="248">
        <f t="shared" si="6"/>
        <v>0</v>
      </c>
      <c r="W9" s="248">
        <f t="shared" si="6"/>
        <v>0</v>
      </c>
      <c r="X9" s="248">
        <f t="shared" si="6"/>
        <v>0</v>
      </c>
      <c r="Y9" s="248">
        <f t="shared" si="1"/>
        <v>13491</v>
      </c>
      <c r="Z9" s="248">
        <f>Z6</f>
        <v>215</v>
      </c>
      <c r="AA9" s="249">
        <f t="shared" si="3"/>
        <v>1.25</v>
      </c>
      <c r="AB9" s="253" t="s">
        <v>51</v>
      </c>
      <c r="AC9" s="250"/>
      <c r="AD9" s="228"/>
      <c r="AE9" s="251"/>
      <c r="AF9" s="252"/>
      <c r="AG9" s="228"/>
      <c r="AH9" s="228"/>
      <c r="AI9" s="228"/>
      <c r="AJ9" s="228"/>
      <c r="AK9" s="228"/>
      <c r="AL9" s="228"/>
      <c r="AM9" s="228"/>
      <c r="AN9" s="228"/>
      <c r="AO9" s="228"/>
      <c r="AP9" s="228"/>
      <c r="AQ9" s="228"/>
      <c r="AR9" s="228"/>
      <c r="AS9" s="228"/>
      <c r="AT9" s="228"/>
      <c r="AU9" s="228"/>
      <c r="AV9" s="228"/>
      <c r="AW9" s="228"/>
      <c r="AX9" s="228"/>
      <c r="AY9" s="228"/>
      <c r="AZ9" s="228"/>
      <c r="BA9" s="228"/>
      <c r="BB9" s="228"/>
      <c r="BC9" s="228"/>
      <c r="BD9" s="228"/>
      <c r="BE9" s="228"/>
      <c r="BF9" s="228"/>
      <c r="BG9" s="228"/>
      <c r="BH9" s="228"/>
      <c r="BI9" s="228"/>
      <c r="BJ9" s="228"/>
      <c r="BK9" s="228"/>
      <c r="BL9" s="228"/>
      <c r="BM9" s="228"/>
      <c r="BN9" s="228"/>
      <c r="BO9" s="228"/>
      <c r="BP9" s="228"/>
      <c r="BQ9" s="228"/>
      <c r="BR9" s="228"/>
      <c r="BS9" s="228"/>
      <c r="BT9" s="228"/>
      <c r="BU9" s="228"/>
      <c r="BV9" s="228"/>
      <c r="BW9" s="228"/>
      <c r="BX9" s="228"/>
      <c r="BY9" s="228"/>
      <c r="BZ9" s="228"/>
      <c r="CA9" s="228"/>
      <c r="CB9" s="228"/>
      <c r="CC9" s="228"/>
      <c r="CD9" s="2"/>
    </row>
    <row r="10" spans="1:82" ht="12.75" hidden="1" customHeight="1">
      <c r="A10" s="246"/>
      <c r="B10" s="540" t="s">
        <v>112</v>
      </c>
      <c r="C10" s="253" t="s">
        <v>119</v>
      </c>
      <c r="D10" s="248">
        <f t="shared" ref="D10:X10" si="7">D19+D28+D29+D35+D38</f>
        <v>601</v>
      </c>
      <c r="E10" s="248">
        <f t="shared" si="7"/>
        <v>0</v>
      </c>
      <c r="F10" s="248">
        <f t="shared" si="7"/>
        <v>0</v>
      </c>
      <c r="G10" s="248">
        <f t="shared" si="7"/>
        <v>0</v>
      </c>
      <c r="H10" s="248">
        <f t="shared" si="7"/>
        <v>1785</v>
      </c>
      <c r="I10" s="248">
        <f t="shared" si="7"/>
        <v>822</v>
      </c>
      <c r="J10" s="248">
        <f t="shared" si="7"/>
        <v>1487</v>
      </c>
      <c r="K10" s="248">
        <f t="shared" si="7"/>
        <v>298</v>
      </c>
      <c r="L10" s="248">
        <f t="shared" si="7"/>
        <v>0</v>
      </c>
      <c r="M10" s="248">
        <f t="shared" si="7"/>
        <v>0</v>
      </c>
      <c r="N10" s="248">
        <f t="shared" si="7"/>
        <v>0</v>
      </c>
      <c r="O10" s="248">
        <f t="shared" si="7"/>
        <v>0</v>
      </c>
      <c r="P10" s="248">
        <f t="shared" si="7"/>
        <v>0</v>
      </c>
      <c r="Q10" s="248">
        <f t="shared" si="7"/>
        <v>0</v>
      </c>
      <c r="R10" s="248">
        <f t="shared" si="7"/>
        <v>0</v>
      </c>
      <c r="S10" s="248">
        <f t="shared" si="7"/>
        <v>0</v>
      </c>
      <c r="T10" s="248">
        <f t="shared" si="7"/>
        <v>0</v>
      </c>
      <c r="U10" s="248">
        <f t="shared" si="7"/>
        <v>0</v>
      </c>
      <c r="V10" s="248">
        <f t="shared" si="7"/>
        <v>0</v>
      </c>
      <c r="W10" s="248">
        <f t="shared" si="7"/>
        <v>0</v>
      </c>
      <c r="X10" s="248">
        <f t="shared" si="7"/>
        <v>0</v>
      </c>
      <c r="Y10" s="248">
        <f t="shared" si="1"/>
        <v>13491</v>
      </c>
      <c r="Z10" s="248">
        <v>99</v>
      </c>
      <c r="AA10" s="249">
        <f t="shared" si="3"/>
        <v>1.25</v>
      </c>
      <c r="AB10" s="253" t="s">
        <v>119</v>
      </c>
      <c r="AC10" s="250"/>
      <c r="AD10" s="228"/>
      <c r="AE10" s="251"/>
      <c r="AF10" s="252"/>
      <c r="AG10" s="228"/>
      <c r="AH10" s="228"/>
      <c r="AI10" s="228"/>
      <c r="AJ10" s="228"/>
      <c r="AK10" s="228"/>
      <c r="AL10" s="228"/>
      <c r="AM10" s="228"/>
      <c r="AN10" s="228"/>
      <c r="AO10" s="228"/>
      <c r="AP10" s="228"/>
      <c r="AQ10" s="228"/>
      <c r="AR10" s="228"/>
      <c r="AS10" s="228"/>
      <c r="AT10" s="228"/>
      <c r="AU10" s="228"/>
      <c r="AV10" s="228"/>
      <c r="AW10" s="228"/>
      <c r="AX10" s="228"/>
      <c r="AY10" s="228"/>
      <c r="AZ10" s="228"/>
      <c r="BA10" s="228"/>
      <c r="BB10" s="228"/>
      <c r="BC10" s="228"/>
      <c r="BD10" s="228"/>
      <c r="BE10" s="228"/>
      <c r="BF10" s="228"/>
      <c r="BG10" s="228"/>
      <c r="BH10" s="228"/>
      <c r="BI10" s="228"/>
      <c r="BJ10" s="228"/>
      <c r="BK10" s="228"/>
      <c r="BL10" s="228"/>
      <c r="BM10" s="228"/>
      <c r="BN10" s="228"/>
      <c r="BO10" s="228"/>
      <c r="BP10" s="228"/>
      <c r="BQ10" s="228"/>
      <c r="BR10" s="228"/>
      <c r="BS10" s="228"/>
      <c r="BT10" s="228"/>
      <c r="BU10" s="228"/>
      <c r="BV10" s="228"/>
      <c r="BW10" s="228"/>
      <c r="BX10" s="228"/>
      <c r="BY10" s="228"/>
      <c r="BZ10" s="228"/>
      <c r="CA10" s="228"/>
      <c r="CB10" s="228"/>
      <c r="CC10" s="228"/>
      <c r="CD10" s="2"/>
    </row>
    <row r="11" spans="1:82" ht="12.75" hidden="1" customHeight="1">
      <c r="A11" s="246"/>
      <c r="B11" s="507"/>
      <c r="C11" s="253" t="s">
        <v>120</v>
      </c>
      <c r="D11" s="248">
        <f t="shared" ref="D11:X11" si="8">D20+D24+D25+D42+D43</f>
        <v>0</v>
      </c>
      <c r="E11" s="248">
        <f t="shared" si="8"/>
        <v>0</v>
      </c>
      <c r="F11" s="248">
        <f t="shared" si="8"/>
        <v>0</v>
      </c>
      <c r="G11" s="248">
        <f t="shared" si="8"/>
        <v>0</v>
      </c>
      <c r="H11" s="248">
        <f t="shared" si="8"/>
        <v>0</v>
      </c>
      <c r="I11" s="248">
        <f t="shared" si="8"/>
        <v>0</v>
      </c>
      <c r="J11" s="248">
        <f t="shared" si="8"/>
        <v>0</v>
      </c>
      <c r="K11" s="248">
        <f t="shared" si="8"/>
        <v>0</v>
      </c>
      <c r="L11" s="248">
        <f t="shared" si="8"/>
        <v>0</v>
      </c>
      <c r="M11" s="248">
        <f t="shared" si="8"/>
        <v>0</v>
      </c>
      <c r="N11" s="248">
        <f t="shared" si="8"/>
        <v>0</v>
      </c>
      <c r="O11" s="248">
        <f t="shared" si="8"/>
        <v>0</v>
      </c>
      <c r="P11" s="248">
        <f t="shared" si="8"/>
        <v>0</v>
      </c>
      <c r="Q11" s="248">
        <f t="shared" si="8"/>
        <v>0</v>
      </c>
      <c r="R11" s="248">
        <f t="shared" si="8"/>
        <v>0</v>
      </c>
      <c r="S11" s="248">
        <f t="shared" si="8"/>
        <v>0</v>
      </c>
      <c r="T11" s="248">
        <f t="shared" si="8"/>
        <v>0</v>
      </c>
      <c r="U11" s="248">
        <f t="shared" si="8"/>
        <v>0</v>
      </c>
      <c r="V11" s="248">
        <f t="shared" si="8"/>
        <v>0</v>
      </c>
      <c r="W11" s="248">
        <f t="shared" si="8"/>
        <v>0</v>
      </c>
      <c r="X11" s="248">
        <f t="shared" si="8"/>
        <v>0</v>
      </c>
      <c r="Y11" s="248">
        <f t="shared" si="1"/>
        <v>0</v>
      </c>
      <c r="Z11" s="248">
        <v>37</v>
      </c>
      <c r="AA11" s="249">
        <f t="shared" si="3"/>
        <v>0</v>
      </c>
      <c r="AB11" s="253" t="s">
        <v>120</v>
      </c>
      <c r="AC11" s="250"/>
      <c r="AD11" s="228"/>
      <c r="AE11" s="251"/>
      <c r="AF11" s="252"/>
      <c r="AG11" s="228"/>
      <c r="AH11" s="228"/>
      <c r="AI11" s="228"/>
      <c r="AJ11" s="228"/>
      <c r="AK11" s="228"/>
      <c r="AL11" s="228"/>
      <c r="AM11" s="228"/>
      <c r="AN11" s="228"/>
      <c r="AO11" s="228"/>
      <c r="AP11" s="228"/>
      <c r="AQ11" s="228"/>
      <c r="AR11" s="228"/>
      <c r="AS11" s="228"/>
      <c r="AT11" s="228"/>
      <c r="AU11" s="228"/>
      <c r="AV11" s="228"/>
      <c r="AW11" s="228"/>
      <c r="AX11" s="228"/>
      <c r="AY11" s="228"/>
      <c r="AZ11" s="228"/>
      <c r="BA11" s="228"/>
      <c r="BB11" s="228"/>
      <c r="BC11" s="228"/>
      <c r="BD11" s="228"/>
      <c r="BE11" s="228"/>
      <c r="BF11" s="228"/>
      <c r="BG11" s="228"/>
      <c r="BH11" s="228"/>
      <c r="BI11" s="228"/>
      <c r="BJ11" s="228"/>
      <c r="BK11" s="228"/>
      <c r="BL11" s="228"/>
      <c r="BM11" s="228"/>
      <c r="BN11" s="228"/>
      <c r="BO11" s="228"/>
      <c r="BP11" s="228"/>
      <c r="BQ11" s="228"/>
      <c r="BR11" s="228"/>
      <c r="BS11" s="228"/>
      <c r="BT11" s="228"/>
      <c r="BU11" s="228"/>
      <c r="BV11" s="228"/>
      <c r="BW11" s="228"/>
      <c r="BX11" s="228"/>
      <c r="BY11" s="228"/>
      <c r="BZ11" s="228"/>
      <c r="CA11" s="228"/>
      <c r="CB11" s="228"/>
      <c r="CC11" s="228"/>
      <c r="CD11" s="2"/>
    </row>
    <row r="12" spans="1:82" ht="12.75" hidden="1" customHeight="1">
      <c r="A12" s="246"/>
      <c r="B12" s="507"/>
      <c r="C12" s="253" t="s">
        <v>1927</v>
      </c>
      <c r="D12" s="254"/>
      <c r="E12" s="254"/>
      <c r="F12" s="254"/>
      <c r="G12" s="254"/>
      <c r="H12" s="254"/>
      <c r="I12" s="254"/>
      <c r="J12" s="254"/>
      <c r="K12" s="254"/>
      <c r="L12" s="254"/>
      <c r="M12" s="254"/>
      <c r="N12" s="254"/>
      <c r="O12" s="254"/>
      <c r="P12" s="254"/>
      <c r="Q12" s="254"/>
      <c r="R12" s="254"/>
      <c r="S12" s="254"/>
      <c r="T12" s="254"/>
      <c r="U12" s="254"/>
      <c r="V12" s="254"/>
      <c r="W12" s="254"/>
      <c r="X12" s="254"/>
      <c r="Y12" s="254"/>
      <c r="Z12" s="254"/>
      <c r="AA12" s="255" t="str">
        <f t="shared" si="3"/>
        <v>-</v>
      </c>
      <c r="AB12" s="256"/>
      <c r="AC12" s="250"/>
      <c r="AD12" s="228"/>
      <c r="AE12" s="251"/>
      <c r="AF12" s="252"/>
      <c r="AG12" s="228"/>
      <c r="AH12" s="228"/>
      <c r="AI12" s="228"/>
      <c r="AJ12" s="228"/>
      <c r="AK12" s="228"/>
      <c r="AL12" s="228"/>
      <c r="AM12" s="228"/>
      <c r="AN12" s="228"/>
      <c r="AO12" s="228"/>
      <c r="AP12" s="228"/>
      <c r="AQ12" s="228"/>
      <c r="AR12" s="228"/>
      <c r="AS12" s="228"/>
      <c r="AT12" s="228"/>
      <c r="AU12" s="228"/>
      <c r="AV12" s="228"/>
      <c r="AW12" s="228"/>
      <c r="AX12" s="228"/>
      <c r="AY12" s="228"/>
      <c r="AZ12" s="228"/>
      <c r="BA12" s="228"/>
      <c r="BB12" s="228"/>
      <c r="BC12" s="228"/>
      <c r="BD12" s="228"/>
      <c r="BE12" s="228"/>
      <c r="BF12" s="228"/>
      <c r="BG12" s="228"/>
      <c r="BH12" s="228"/>
      <c r="BI12" s="228"/>
      <c r="BJ12" s="228"/>
      <c r="BK12" s="228"/>
      <c r="BL12" s="228"/>
      <c r="BM12" s="228"/>
      <c r="BN12" s="228"/>
      <c r="BO12" s="228"/>
      <c r="BP12" s="228"/>
      <c r="BQ12" s="228"/>
      <c r="BR12" s="228"/>
      <c r="BS12" s="228"/>
      <c r="BT12" s="228"/>
      <c r="BU12" s="228"/>
      <c r="BV12" s="228"/>
      <c r="BW12" s="228"/>
      <c r="BX12" s="228"/>
      <c r="BY12" s="228"/>
      <c r="BZ12" s="228"/>
      <c r="CA12" s="228"/>
      <c r="CB12" s="228"/>
      <c r="CC12" s="228"/>
      <c r="CD12" s="2"/>
    </row>
    <row r="13" spans="1:82" ht="12.75" hidden="1" customHeight="1">
      <c r="A13" s="246"/>
      <c r="B13" s="507"/>
      <c r="C13" s="253" t="s">
        <v>121</v>
      </c>
      <c r="D13" s="248">
        <f t="shared" ref="D13:X13" si="9">D31+D34+D40</f>
        <v>0</v>
      </c>
      <c r="E13" s="248">
        <f t="shared" si="9"/>
        <v>0</v>
      </c>
      <c r="F13" s="248">
        <f t="shared" si="9"/>
        <v>0</v>
      </c>
      <c r="G13" s="248">
        <f t="shared" si="9"/>
        <v>0</v>
      </c>
      <c r="H13" s="248">
        <f t="shared" si="9"/>
        <v>0</v>
      </c>
      <c r="I13" s="248">
        <f t="shared" si="9"/>
        <v>0</v>
      </c>
      <c r="J13" s="248">
        <f t="shared" si="9"/>
        <v>0</v>
      </c>
      <c r="K13" s="248">
        <f t="shared" si="9"/>
        <v>0</v>
      </c>
      <c r="L13" s="248">
        <f t="shared" si="9"/>
        <v>0</v>
      </c>
      <c r="M13" s="248">
        <f t="shared" si="9"/>
        <v>0</v>
      </c>
      <c r="N13" s="248">
        <f t="shared" si="9"/>
        <v>0</v>
      </c>
      <c r="O13" s="248">
        <f t="shared" si="9"/>
        <v>0</v>
      </c>
      <c r="P13" s="248">
        <f t="shared" si="9"/>
        <v>0</v>
      </c>
      <c r="Q13" s="248">
        <f t="shared" si="9"/>
        <v>0</v>
      </c>
      <c r="R13" s="248">
        <f t="shared" si="9"/>
        <v>0</v>
      </c>
      <c r="S13" s="248">
        <f t="shared" si="9"/>
        <v>0</v>
      </c>
      <c r="T13" s="248">
        <f t="shared" si="9"/>
        <v>0</v>
      </c>
      <c r="U13" s="248">
        <f t="shared" si="9"/>
        <v>0</v>
      </c>
      <c r="V13" s="248">
        <f t="shared" si="9"/>
        <v>0</v>
      </c>
      <c r="W13" s="248">
        <f t="shared" si="9"/>
        <v>0</v>
      </c>
      <c r="X13" s="248">
        <f t="shared" si="9"/>
        <v>0</v>
      </c>
      <c r="Y13" s="248">
        <f>(D13*$D$4)+(E13*$E$4)+(F13*$F$4)+(G13*$G$4)+(H13*$H$4)+(I13*$I$4)+(J13*$J$4)+(K13*$K$4)+(L13*$L$4)+(M13*$M$4)+(N13*$N$4)+(O13*$O$4)+(P13*$P$4)+(Q13*$Q$4)+(R13*$R$4)+(S13*$S$4)+(T13*$T$4)+(U13*$U$4)+(V13*$V$4)+(W13*$W$4)+(X13*$X$4)</f>
        <v>0</v>
      </c>
      <c r="Z13" s="248">
        <v>22</v>
      </c>
      <c r="AA13" s="249">
        <f t="shared" si="3"/>
        <v>0</v>
      </c>
      <c r="AB13" s="253" t="s">
        <v>121</v>
      </c>
      <c r="AC13" s="250"/>
      <c r="AD13" s="228"/>
      <c r="AE13" s="251"/>
      <c r="AF13" s="252"/>
      <c r="AG13" s="228"/>
      <c r="AH13" s="228"/>
      <c r="AI13" s="228"/>
      <c r="AJ13" s="228"/>
      <c r="AK13" s="228"/>
      <c r="AL13" s="228"/>
      <c r="AM13" s="228"/>
      <c r="AN13" s="228"/>
      <c r="AO13" s="228"/>
      <c r="AP13" s="228"/>
      <c r="AQ13" s="228"/>
      <c r="AR13" s="228"/>
      <c r="AS13" s="228"/>
      <c r="AT13" s="228"/>
      <c r="AU13" s="228"/>
      <c r="AV13" s="228"/>
      <c r="AW13" s="228"/>
      <c r="AX13" s="228"/>
      <c r="AY13" s="228"/>
      <c r="AZ13" s="228"/>
      <c r="BA13" s="228"/>
      <c r="BB13" s="228"/>
      <c r="BC13" s="228"/>
      <c r="BD13" s="228"/>
      <c r="BE13" s="228"/>
      <c r="BF13" s="228"/>
      <c r="BG13" s="228"/>
      <c r="BH13" s="228"/>
      <c r="BI13" s="228"/>
      <c r="BJ13" s="228"/>
      <c r="BK13" s="228"/>
      <c r="BL13" s="228"/>
      <c r="BM13" s="228"/>
      <c r="BN13" s="228"/>
      <c r="BO13" s="228"/>
      <c r="BP13" s="228"/>
      <c r="BQ13" s="228"/>
      <c r="BR13" s="228"/>
      <c r="BS13" s="228"/>
      <c r="BT13" s="228"/>
      <c r="BU13" s="228"/>
      <c r="BV13" s="228"/>
      <c r="BW13" s="228"/>
      <c r="BX13" s="228"/>
      <c r="BY13" s="228"/>
      <c r="BZ13" s="228"/>
      <c r="CA13" s="228"/>
      <c r="CB13" s="228"/>
      <c r="CC13" s="228"/>
      <c r="CD13" s="2"/>
    </row>
    <row r="14" spans="1:82" ht="12.75" hidden="1" customHeight="1">
      <c r="A14" s="246"/>
      <c r="B14" s="507"/>
      <c r="C14" s="253" t="s">
        <v>1928</v>
      </c>
      <c r="D14" s="254"/>
      <c r="E14" s="254"/>
      <c r="F14" s="254"/>
      <c r="G14" s="254"/>
      <c r="H14" s="254"/>
      <c r="I14" s="254"/>
      <c r="J14" s="254"/>
      <c r="K14" s="254"/>
      <c r="L14" s="254"/>
      <c r="M14" s="254"/>
      <c r="N14" s="254"/>
      <c r="O14" s="254"/>
      <c r="P14" s="254"/>
      <c r="Q14" s="254"/>
      <c r="R14" s="254"/>
      <c r="S14" s="254"/>
      <c r="T14" s="254"/>
      <c r="U14" s="254"/>
      <c r="V14" s="254"/>
      <c r="W14" s="254"/>
      <c r="X14" s="254"/>
      <c r="Y14" s="254"/>
      <c r="Z14" s="254"/>
      <c r="AA14" s="255" t="str">
        <f t="shared" si="3"/>
        <v>-</v>
      </c>
      <c r="AB14" s="256"/>
      <c r="AC14" s="250"/>
      <c r="AD14" s="228"/>
      <c r="AE14" s="251"/>
      <c r="AF14" s="252"/>
      <c r="AG14" s="228"/>
      <c r="AH14" s="228"/>
      <c r="AI14" s="228"/>
      <c r="AJ14" s="228"/>
      <c r="AK14" s="228"/>
      <c r="AL14" s="228"/>
      <c r="AM14" s="228"/>
      <c r="AN14" s="228"/>
      <c r="AO14" s="228"/>
      <c r="AP14" s="228"/>
      <c r="AQ14" s="228"/>
      <c r="AR14" s="228"/>
      <c r="AS14" s="228"/>
      <c r="AT14" s="228"/>
      <c r="AU14" s="228"/>
      <c r="AV14" s="228"/>
      <c r="AW14" s="228"/>
      <c r="AX14" s="228"/>
      <c r="AY14" s="228"/>
      <c r="AZ14" s="228"/>
      <c r="BA14" s="228"/>
      <c r="BB14" s="228"/>
      <c r="BC14" s="228"/>
      <c r="BD14" s="228"/>
      <c r="BE14" s="228"/>
      <c r="BF14" s="228"/>
      <c r="BG14" s="228"/>
      <c r="BH14" s="228"/>
      <c r="BI14" s="228"/>
      <c r="BJ14" s="228"/>
      <c r="BK14" s="228"/>
      <c r="BL14" s="228"/>
      <c r="BM14" s="228"/>
      <c r="BN14" s="228"/>
      <c r="BO14" s="228"/>
      <c r="BP14" s="228"/>
      <c r="BQ14" s="228"/>
      <c r="BR14" s="228"/>
      <c r="BS14" s="228"/>
      <c r="BT14" s="228"/>
      <c r="BU14" s="228"/>
      <c r="BV14" s="228"/>
      <c r="BW14" s="228"/>
      <c r="BX14" s="228"/>
      <c r="BY14" s="228"/>
      <c r="BZ14" s="228"/>
      <c r="CA14" s="228"/>
      <c r="CB14" s="228"/>
      <c r="CC14" s="228"/>
      <c r="CD14" s="2"/>
    </row>
    <row r="15" spans="1:82" ht="12.75" hidden="1" customHeight="1">
      <c r="A15" s="246"/>
      <c r="B15" s="507"/>
      <c r="C15" s="253" t="s">
        <v>122</v>
      </c>
      <c r="D15" s="248">
        <f t="shared" ref="D15:N15" si="10">D22</f>
        <v>0</v>
      </c>
      <c r="E15" s="248">
        <f t="shared" si="10"/>
        <v>0</v>
      </c>
      <c r="F15" s="248">
        <f t="shared" si="10"/>
        <v>0</v>
      </c>
      <c r="G15" s="248">
        <f t="shared" si="10"/>
        <v>0</v>
      </c>
      <c r="H15" s="248">
        <f t="shared" si="10"/>
        <v>0</v>
      </c>
      <c r="I15" s="248">
        <f t="shared" si="10"/>
        <v>0</v>
      </c>
      <c r="J15" s="248">
        <f t="shared" si="10"/>
        <v>0</v>
      </c>
      <c r="K15" s="248">
        <f t="shared" si="10"/>
        <v>0</v>
      </c>
      <c r="L15" s="248">
        <f t="shared" si="10"/>
        <v>0</v>
      </c>
      <c r="M15" s="248">
        <f t="shared" si="10"/>
        <v>0</v>
      </c>
      <c r="N15" s="248">
        <f t="shared" si="10"/>
        <v>0</v>
      </c>
      <c r="O15" s="248">
        <f>O34+O35+O41</f>
        <v>0</v>
      </c>
      <c r="P15" s="248">
        <v>0</v>
      </c>
      <c r="Q15" s="248">
        <f t="shared" ref="Q15:X15" si="11">Q22</f>
        <v>0</v>
      </c>
      <c r="R15" s="248">
        <f t="shared" si="11"/>
        <v>0</v>
      </c>
      <c r="S15" s="248">
        <f t="shared" si="11"/>
        <v>0</v>
      </c>
      <c r="T15" s="248">
        <f t="shared" si="11"/>
        <v>0</v>
      </c>
      <c r="U15" s="248">
        <f t="shared" si="11"/>
        <v>0</v>
      </c>
      <c r="V15" s="248">
        <f t="shared" si="11"/>
        <v>0</v>
      </c>
      <c r="W15" s="248">
        <f t="shared" si="11"/>
        <v>0</v>
      </c>
      <c r="X15" s="248">
        <f t="shared" si="11"/>
        <v>0</v>
      </c>
      <c r="Y15" s="248">
        <f t="shared" ref="Y15:Y22" si="12">(D15*$D$4)+(E15*$E$4)+(F15*$F$4)+(G15*$G$4)+(H15*$H$4)+(I15*$I$4)+(J15*$J$4)+(K15*$K$4)+(L15*$L$4)+(M15*$M$4)+(N15*$N$4)+(O15*$O$4)+(P15*$P$4)+(Q15*$Q$4)+(R15*$R$4)+(S15*$S$4)+(T15*$T$4)+(U15*$U$4)+(V15*$V$4)+(W15*$W$4)+(X15*$X$4)</f>
        <v>0</v>
      </c>
      <c r="Z15" s="248">
        <v>13</v>
      </c>
      <c r="AA15" s="249">
        <f t="shared" si="3"/>
        <v>0</v>
      </c>
      <c r="AB15" s="253" t="s">
        <v>122</v>
      </c>
      <c r="AC15" s="250"/>
      <c r="AD15" s="228"/>
      <c r="AE15" s="251"/>
      <c r="AF15" s="252"/>
      <c r="AG15" s="228"/>
      <c r="AH15" s="228"/>
      <c r="AI15" s="228"/>
      <c r="AJ15" s="228"/>
      <c r="AK15" s="228"/>
      <c r="AL15" s="228"/>
      <c r="AM15" s="228"/>
      <c r="AN15" s="228"/>
      <c r="AO15" s="228"/>
      <c r="AP15" s="228"/>
      <c r="AQ15" s="228"/>
      <c r="AR15" s="228"/>
      <c r="AS15" s="228"/>
      <c r="AT15" s="228"/>
      <c r="AU15" s="228"/>
      <c r="AV15" s="228"/>
      <c r="AW15" s="228"/>
      <c r="AX15" s="228"/>
      <c r="AY15" s="228"/>
      <c r="AZ15" s="228"/>
      <c r="BA15" s="228"/>
      <c r="BB15" s="228"/>
      <c r="BC15" s="228"/>
      <c r="BD15" s="228"/>
      <c r="BE15" s="228"/>
      <c r="BF15" s="228"/>
      <c r="BG15" s="228"/>
      <c r="BH15" s="228"/>
      <c r="BI15" s="228"/>
      <c r="BJ15" s="228"/>
      <c r="BK15" s="228"/>
      <c r="BL15" s="228"/>
      <c r="BM15" s="228"/>
      <c r="BN15" s="228"/>
      <c r="BO15" s="228"/>
      <c r="BP15" s="228"/>
      <c r="BQ15" s="228"/>
      <c r="BR15" s="228"/>
      <c r="BS15" s="228"/>
      <c r="BT15" s="228"/>
      <c r="BU15" s="228"/>
      <c r="BV15" s="228"/>
      <c r="BW15" s="228"/>
      <c r="BX15" s="228"/>
      <c r="BY15" s="228"/>
      <c r="BZ15" s="228"/>
      <c r="CA15" s="228"/>
      <c r="CB15" s="228"/>
      <c r="CC15" s="228"/>
      <c r="CD15" s="2"/>
    </row>
    <row r="16" spans="1:82" ht="12.75" hidden="1" customHeight="1">
      <c r="A16" s="246"/>
      <c r="B16" s="507"/>
      <c r="C16" s="253" t="s">
        <v>123</v>
      </c>
      <c r="D16" s="248">
        <f t="shared" ref="D16:X16" si="13">D36+D37</f>
        <v>0</v>
      </c>
      <c r="E16" s="248">
        <f t="shared" si="13"/>
        <v>0</v>
      </c>
      <c r="F16" s="248">
        <f t="shared" si="13"/>
        <v>0</v>
      </c>
      <c r="G16" s="248">
        <f t="shared" si="13"/>
        <v>0</v>
      </c>
      <c r="H16" s="248">
        <f t="shared" si="13"/>
        <v>0</v>
      </c>
      <c r="I16" s="248">
        <f t="shared" si="13"/>
        <v>0</v>
      </c>
      <c r="J16" s="248">
        <f t="shared" si="13"/>
        <v>0</v>
      </c>
      <c r="K16" s="248">
        <f t="shared" si="13"/>
        <v>0</v>
      </c>
      <c r="L16" s="248">
        <f t="shared" si="13"/>
        <v>0</v>
      </c>
      <c r="M16" s="248">
        <f t="shared" si="13"/>
        <v>0</v>
      </c>
      <c r="N16" s="248">
        <f t="shared" si="13"/>
        <v>0</v>
      </c>
      <c r="O16" s="248">
        <f t="shared" si="13"/>
        <v>0</v>
      </c>
      <c r="P16" s="248">
        <f t="shared" si="13"/>
        <v>0</v>
      </c>
      <c r="Q16" s="248">
        <f t="shared" si="13"/>
        <v>0</v>
      </c>
      <c r="R16" s="248">
        <f t="shared" si="13"/>
        <v>0</v>
      </c>
      <c r="S16" s="248">
        <f t="shared" si="13"/>
        <v>0</v>
      </c>
      <c r="T16" s="248">
        <f t="shared" si="13"/>
        <v>0</v>
      </c>
      <c r="U16" s="248">
        <f t="shared" si="13"/>
        <v>0</v>
      </c>
      <c r="V16" s="248">
        <f t="shared" si="13"/>
        <v>0</v>
      </c>
      <c r="W16" s="248">
        <f t="shared" si="13"/>
        <v>0</v>
      </c>
      <c r="X16" s="248">
        <f t="shared" si="13"/>
        <v>0</v>
      </c>
      <c r="Y16" s="248">
        <f t="shared" si="12"/>
        <v>0</v>
      </c>
      <c r="Z16" s="248">
        <v>11</v>
      </c>
      <c r="AA16" s="249">
        <f t="shared" si="3"/>
        <v>0</v>
      </c>
      <c r="AB16" s="253" t="s">
        <v>123</v>
      </c>
      <c r="AC16" s="250"/>
      <c r="AD16" s="228"/>
      <c r="AE16" s="251"/>
      <c r="AF16" s="252"/>
      <c r="AG16" s="228"/>
      <c r="AH16" s="228"/>
      <c r="AI16" s="228"/>
      <c r="AJ16" s="228"/>
      <c r="AK16" s="228"/>
      <c r="AL16" s="228"/>
      <c r="AM16" s="228"/>
      <c r="AN16" s="228"/>
      <c r="AO16" s="228"/>
      <c r="AP16" s="228"/>
      <c r="AQ16" s="228"/>
      <c r="AR16" s="228"/>
      <c r="AS16" s="228"/>
      <c r="AT16" s="228"/>
      <c r="AU16" s="228"/>
      <c r="AV16" s="228"/>
      <c r="AW16" s="228"/>
      <c r="AX16" s="228"/>
      <c r="AY16" s="228"/>
      <c r="AZ16" s="228"/>
      <c r="BA16" s="228"/>
      <c r="BB16" s="228"/>
      <c r="BC16" s="228"/>
      <c r="BD16" s="228"/>
      <c r="BE16" s="228"/>
      <c r="BF16" s="228"/>
      <c r="BG16" s="228"/>
      <c r="BH16" s="228"/>
      <c r="BI16" s="228"/>
      <c r="BJ16" s="228"/>
      <c r="BK16" s="228"/>
      <c r="BL16" s="228"/>
      <c r="BM16" s="228"/>
      <c r="BN16" s="228"/>
      <c r="BO16" s="228"/>
      <c r="BP16" s="228"/>
      <c r="BQ16" s="228"/>
      <c r="BR16" s="228"/>
      <c r="BS16" s="228"/>
      <c r="BT16" s="228"/>
      <c r="BU16" s="228"/>
      <c r="BV16" s="228"/>
      <c r="BW16" s="228"/>
      <c r="BX16" s="228"/>
      <c r="BY16" s="228"/>
      <c r="BZ16" s="228"/>
      <c r="CA16" s="228"/>
      <c r="CB16" s="228"/>
      <c r="CC16" s="228"/>
      <c r="CD16" s="2"/>
    </row>
    <row r="17" spans="1:82" ht="12.75" hidden="1" customHeight="1">
      <c r="A17" s="246"/>
      <c r="B17" s="507"/>
      <c r="C17" s="253" t="s">
        <v>124</v>
      </c>
      <c r="D17" s="248">
        <f t="shared" ref="D17:N17" si="14">D41</f>
        <v>0</v>
      </c>
      <c r="E17" s="248">
        <f t="shared" si="14"/>
        <v>0</v>
      </c>
      <c r="F17" s="248">
        <f t="shared" si="14"/>
        <v>0</v>
      </c>
      <c r="G17" s="248">
        <f t="shared" si="14"/>
        <v>0</v>
      </c>
      <c r="H17" s="248">
        <f t="shared" si="14"/>
        <v>0</v>
      </c>
      <c r="I17" s="248">
        <f t="shared" si="14"/>
        <v>0</v>
      </c>
      <c r="J17" s="248">
        <f t="shared" si="14"/>
        <v>0</v>
      </c>
      <c r="K17" s="248">
        <f t="shared" si="14"/>
        <v>0</v>
      </c>
      <c r="L17" s="248">
        <f t="shared" si="14"/>
        <v>0</v>
      </c>
      <c r="M17" s="248">
        <f t="shared" si="14"/>
        <v>0</v>
      </c>
      <c r="N17" s="248">
        <f t="shared" si="14"/>
        <v>0</v>
      </c>
      <c r="O17" s="248">
        <f>O37+O38</f>
        <v>0</v>
      </c>
      <c r="P17" s="248">
        <v>0</v>
      </c>
      <c r="Q17" s="248">
        <f t="shared" ref="Q17:X17" si="15">Q41</f>
        <v>0</v>
      </c>
      <c r="R17" s="248">
        <f t="shared" si="15"/>
        <v>0</v>
      </c>
      <c r="S17" s="248">
        <f t="shared" si="15"/>
        <v>0</v>
      </c>
      <c r="T17" s="248">
        <f t="shared" si="15"/>
        <v>0</v>
      </c>
      <c r="U17" s="248">
        <f t="shared" si="15"/>
        <v>0</v>
      </c>
      <c r="V17" s="248">
        <f t="shared" si="15"/>
        <v>0</v>
      </c>
      <c r="W17" s="248">
        <f t="shared" si="15"/>
        <v>0</v>
      </c>
      <c r="X17" s="248">
        <f t="shared" si="15"/>
        <v>0</v>
      </c>
      <c r="Y17" s="248">
        <f t="shared" si="12"/>
        <v>0</v>
      </c>
      <c r="Z17" s="248">
        <v>9</v>
      </c>
      <c r="AA17" s="249">
        <f t="shared" si="3"/>
        <v>0</v>
      </c>
      <c r="AB17" s="253" t="s">
        <v>124</v>
      </c>
      <c r="AC17" s="250"/>
      <c r="AD17" s="228"/>
      <c r="AE17" s="251"/>
      <c r="AF17" s="252"/>
      <c r="AG17" s="228"/>
      <c r="AH17" s="228"/>
      <c r="AI17" s="228"/>
      <c r="AJ17" s="228"/>
      <c r="AK17" s="228"/>
      <c r="AL17" s="228"/>
      <c r="AM17" s="228"/>
      <c r="AN17" s="228"/>
      <c r="AO17" s="228"/>
      <c r="AP17" s="228"/>
      <c r="AQ17" s="228"/>
      <c r="AR17" s="228"/>
      <c r="AS17" s="228"/>
      <c r="AT17" s="228"/>
      <c r="AU17" s="228"/>
      <c r="AV17" s="228"/>
      <c r="AW17" s="228"/>
      <c r="AX17" s="228"/>
      <c r="AY17" s="228"/>
      <c r="AZ17" s="228"/>
      <c r="BA17" s="228"/>
      <c r="BB17" s="228"/>
      <c r="BC17" s="228"/>
      <c r="BD17" s="228"/>
      <c r="BE17" s="228"/>
      <c r="BF17" s="228"/>
      <c r="BG17" s="228"/>
      <c r="BH17" s="228"/>
      <c r="BI17" s="228"/>
      <c r="BJ17" s="228"/>
      <c r="BK17" s="228"/>
      <c r="BL17" s="228"/>
      <c r="BM17" s="228"/>
      <c r="BN17" s="228"/>
      <c r="BO17" s="228"/>
      <c r="BP17" s="228"/>
      <c r="BQ17" s="228"/>
      <c r="BR17" s="228"/>
      <c r="BS17" s="228"/>
      <c r="BT17" s="228"/>
      <c r="BU17" s="228"/>
      <c r="BV17" s="228"/>
      <c r="BW17" s="228"/>
      <c r="BX17" s="228"/>
      <c r="BY17" s="228"/>
      <c r="BZ17" s="228"/>
      <c r="CA17" s="228"/>
      <c r="CB17" s="228"/>
      <c r="CC17" s="228"/>
      <c r="CD17" s="2"/>
    </row>
    <row r="18" spans="1:82" ht="12.75" hidden="1" customHeight="1">
      <c r="A18" s="246"/>
      <c r="B18" s="508"/>
      <c r="C18" s="253" t="s">
        <v>125</v>
      </c>
      <c r="D18" s="248">
        <f t="shared" ref="D18:X18" si="16">D27+D26+D21</f>
        <v>0</v>
      </c>
      <c r="E18" s="248">
        <f t="shared" si="16"/>
        <v>0</v>
      </c>
      <c r="F18" s="248">
        <f t="shared" si="16"/>
        <v>0</v>
      </c>
      <c r="G18" s="248">
        <f t="shared" si="16"/>
        <v>0</v>
      </c>
      <c r="H18" s="248">
        <f t="shared" si="16"/>
        <v>0</v>
      </c>
      <c r="I18" s="248">
        <f t="shared" si="16"/>
        <v>0</v>
      </c>
      <c r="J18" s="248">
        <f t="shared" si="16"/>
        <v>0</v>
      </c>
      <c r="K18" s="248">
        <f t="shared" si="16"/>
        <v>0</v>
      </c>
      <c r="L18" s="248">
        <f t="shared" si="16"/>
        <v>0</v>
      </c>
      <c r="M18" s="248">
        <f t="shared" si="16"/>
        <v>0</v>
      </c>
      <c r="N18" s="248">
        <f t="shared" si="16"/>
        <v>0</v>
      </c>
      <c r="O18" s="248">
        <f t="shared" si="16"/>
        <v>0</v>
      </c>
      <c r="P18" s="248">
        <f t="shared" si="16"/>
        <v>0</v>
      </c>
      <c r="Q18" s="248">
        <f t="shared" si="16"/>
        <v>0</v>
      </c>
      <c r="R18" s="248">
        <f t="shared" si="16"/>
        <v>0</v>
      </c>
      <c r="S18" s="248">
        <f t="shared" si="16"/>
        <v>0</v>
      </c>
      <c r="T18" s="248">
        <f t="shared" si="16"/>
        <v>0</v>
      </c>
      <c r="U18" s="248">
        <f t="shared" si="16"/>
        <v>0</v>
      </c>
      <c r="V18" s="248">
        <f t="shared" si="16"/>
        <v>0</v>
      </c>
      <c r="W18" s="248">
        <f t="shared" si="16"/>
        <v>0</v>
      </c>
      <c r="X18" s="248">
        <f t="shared" si="16"/>
        <v>0</v>
      </c>
      <c r="Y18" s="248">
        <f t="shared" si="12"/>
        <v>0</v>
      </c>
      <c r="Z18" s="248">
        <v>30</v>
      </c>
      <c r="AA18" s="249">
        <f t="shared" si="3"/>
        <v>0</v>
      </c>
      <c r="AB18" s="253" t="s">
        <v>125</v>
      </c>
      <c r="AC18" s="250"/>
      <c r="AD18" s="228"/>
      <c r="AE18" s="251"/>
      <c r="AF18" s="252"/>
      <c r="AG18" s="228"/>
      <c r="AH18" s="228"/>
      <c r="AI18" s="228"/>
      <c r="AJ18" s="228"/>
      <c r="AK18" s="228"/>
      <c r="AL18" s="228"/>
      <c r="AM18" s="228"/>
      <c r="AN18" s="228"/>
      <c r="AO18" s="228"/>
      <c r="AP18" s="228"/>
      <c r="AQ18" s="228"/>
      <c r="AR18" s="228"/>
      <c r="AS18" s="228"/>
      <c r="AT18" s="228"/>
      <c r="AU18" s="228"/>
      <c r="AV18" s="228"/>
      <c r="AW18" s="228"/>
      <c r="AX18" s="228"/>
      <c r="AY18" s="228"/>
      <c r="AZ18" s="228"/>
      <c r="BA18" s="228"/>
      <c r="BB18" s="228"/>
      <c r="BC18" s="228"/>
      <c r="BD18" s="228"/>
      <c r="BE18" s="228"/>
      <c r="BF18" s="228"/>
      <c r="BG18" s="228"/>
      <c r="BH18" s="228"/>
      <c r="BI18" s="228"/>
      <c r="BJ18" s="228"/>
      <c r="BK18" s="228"/>
      <c r="BL18" s="228"/>
      <c r="BM18" s="228"/>
      <c r="BN18" s="228"/>
      <c r="BO18" s="228"/>
      <c r="BP18" s="228"/>
      <c r="BQ18" s="228"/>
      <c r="BR18" s="228"/>
      <c r="BS18" s="228"/>
      <c r="BT18" s="228"/>
      <c r="BU18" s="228"/>
      <c r="BV18" s="228"/>
      <c r="BW18" s="228"/>
      <c r="BX18" s="228"/>
      <c r="BY18" s="228"/>
      <c r="BZ18" s="228"/>
      <c r="CA18" s="228"/>
      <c r="CB18" s="228"/>
      <c r="CC18" s="228"/>
      <c r="CD18" s="2"/>
    </row>
    <row r="19" spans="1:82" ht="12.75" customHeight="1">
      <c r="A19" s="257">
        <f>COUNTIFS('Data All'!C1:C468,VLOOKUP("Accounting",'Data All'!C1:C468,1,FALSE))</f>
        <v>5</v>
      </c>
      <c r="B19" s="540" t="s">
        <v>37</v>
      </c>
      <c r="C19" s="258" t="s">
        <v>69</v>
      </c>
      <c r="D19" s="259">
        <f>SUMIFS(Table2[Score], Table2[Major], "Accounting", Table2[Level], "External Regional", Table2[Status], "Juri/Pelatih/Wasit")</f>
        <v>0</v>
      </c>
      <c r="E19" s="259">
        <f>SUMIFS(Table2[Score], Table2[Major], "Accounting", Table2[Level], "External National", Table2[Status], "Juri/Pelatih/Wasit")</f>
        <v>0</v>
      </c>
      <c r="F19" s="259">
        <f>SUMIFS(Table2[Score], Table2[Major], "Accounting", Table2[Level], "External International", Table2[Status], "Juri/Pelatih/Wasit")</f>
        <v>0</v>
      </c>
      <c r="G19" s="259"/>
      <c r="H19" s="259"/>
      <c r="I19" s="260"/>
      <c r="J19" s="259"/>
      <c r="K19" s="260"/>
      <c r="L19" s="260"/>
      <c r="M19" s="259"/>
      <c r="N19" s="260"/>
      <c r="O19" s="260"/>
      <c r="P19" s="259"/>
      <c r="Q19" s="259"/>
      <c r="R19" s="259"/>
      <c r="S19" s="259"/>
      <c r="T19" s="259"/>
      <c r="U19" s="259"/>
      <c r="V19" s="259"/>
      <c r="W19" s="259"/>
      <c r="X19" s="259"/>
      <c r="Y19" s="248">
        <f t="shared" si="12"/>
        <v>0</v>
      </c>
      <c r="Z19" s="248">
        <v>8</v>
      </c>
      <c r="AA19" s="249">
        <f t="shared" si="3"/>
        <v>0</v>
      </c>
      <c r="AB19" s="258" t="s">
        <v>69</v>
      </c>
      <c r="AC19" s="250"/>
      <c r="AD19" s="228"/>
      <c r="AE19" s="251"/>
      <c r="AF19" s="252"/>
      <c r="AG19" s="228"/>
      <c r="AH19" s="228"/>
      <c r="AI19" s="228"/>
      <c r="AJ19" s="228"/>
      <c r="AK19" s="228"/>
      <c r="AL19" s="228"/>
      <c r="AM19" s="228"/>
      <c r="AN19" s="228"/>
      <c r="AO19" s="228"/>
      <c r="AP19" s="228"/>
      <c r="AQ19" s="228"/>
      <c r="AR19" s="228"/>
      <c r="AS19" s="228"/>
      <c r="AT19" s="228"/>
      <c r="AU19" s="228"/>
      <c r="AV19" s="228"/>
      <c r="AW19" s="228"/>
      <c r="AX19" s="228"/>
      <c r="AY19" s="228"/>
      <c r="AZ19" s="228"/>
      <c r="BA19" s="228"/>
      <c r="BB19" s="228"/>
      <c r="BC19" s="228"/>
      <c r="BD19" s="228"/>
      <c r="BE19" s="228"/>
      <c r="BF19" s="228"/>
      <c r="BG19" s="228"/>
      <c r="BH19" s="228"/>
      <c r="BI19" s="228"/>
      <c r="BJ19" s="228"/>
      <c r="BK19" s="228"/>
      <c r="BL19" s="228"/>
      <c r="BM19" s="228"/>
      <c r="BN19" s="228"/>
      <c r="BO19" s="228"/>
      <c r="BP19" s="228"/>
      <c r="BQ19" s="228"/>
      <c r="BR19" s="228"/>
      <c r="BS19" s="228"/>
      <c r="BT19" s="228"/>
      <c r="BU19" s="228"/>
      <c r="BV19" s="228"/>
      <c r="BW19" s="228"/>
      <c r="BX19" s="228"/>
      <c r="BY19" s="228"/>
      <c r="BZ19" s="228"/>
      <c r="CA19" s="228"/>
      <c r="CB19" s="228"/>
      <c r="CC19" s="228"/>
      <c r="CD19" s="2"/>
    </row>
    <row r="20" spans="1:82" ht="12.75" customHeight="1">
      <c r="A20" s="246">
        <f>COUNTIFS('Data All'!C1:C468,VLOOKUP("Management - Regular Class",'Data All'!C1:C468,1,FALSE),'Data All'!E1:E468,VLOOKUP("The 10th International Conference on Entrepreneurship 2023 (ICOEN)",'Data All'!E1:E468,1,FALSE))</f>
        <v>0</v>
      </c>
      <c r="B20" s="507"/>
      <c r="C20" s="258" t="s">
        <v>80</v>
      </c>
      <c r="D20" s="259">
        <f>SUMIFS(Table2[Score], Table2[Major], "Architecture", Table2[Level], "External Regional", Table2[Status], "Juri/Pelatih/Wasit")</f>
        <v>0</v>
      </c>
      <c r="E20" s="259">
        <f>SUMIFS(Table2[Score], Table2[Major], "Architecture", Table2[Level], "External National", Table2[Status], "Juri/Pelatih/Wasit")</f>
        <v>0</v>
      </c>
      <c r="F20" s="259">
        <f>SUMIFS(Table2[Score], Table2[Major], "Architecture", Table2[Level], "External International", Table2[Status], "Juri/Pelatih/Wasit")</f>
        <v>0</v>
      </c>
      <c r="G20" s="259"/>
      <c r="H20" s="259"/>
      <c r="I20" s="260"/>
      <c r="J20" s="259"/>
      <c r="K20" s="260"/>
      <c r="L20" s="260"/>
      <c r="M20" s="259"/>
      <c r="N20" s="260"/>
      <c r="O20" s="260"/>
      <c r="P20" s="259"/>
      <c r="Q20" s="259"/>
      <c r="R20" s="259"/>
      <c r="S20" s="259"/>
      <c r="T20" s="259"/>
      <c r="U20" s="259"/>
      <c r="V20" s="259"/>
      <c r="W20" s="259"/>
      <c r="X20" s="259"/>
      <c r="Y20" s="248">
        <f t="shared" si="12"/>
        <v>0</v>
      </c>
      <c r="Z20" s="248">
        <v>10</v>
      </c>
      <c r="AA20" s="249">
        <f t="shared" si="3"/>
        <v>0</v>
      </c>
      <c r="AB20" s="258" t="s">
        <v>80</v>
      </c>
      <c r="AC20" s="250"/>
      <c r="AD20" s="228"/>
      <c r="AE20" s="251"/>
      <c r="AF20" s="252"/>
      <c r="AG20" s="228"/>
      <c r="AH20" s="228"/>
      <c r="AI20" s="228"/>
      <c r="AJ20" s="228"/>
      <c r="AK20" s="228"/>
      <c r="AL20" s="228"/>
      <c r="AM20" s="228"/>
      <c r="AN20" s="228"/>
      <c r="AO20" s="228"/>
      <c r="AP20" s="228"/>
      <c r="AQ20" s="228"/>
      <c r="AR20" s="228"/>
      <c r="AS20" s="228"/>
      <c r="AT20" s="228"/>
      <c r="AU20" s="228"/>
      <c r="AV20" s="228"/>
      <c r="AW20" s="228"/>
      <c r="AX20" s="228"/>
      <c r="AY20" s="228"/>
      <c r="AZ20" s="228"/>
      <c r="BA20" s="228"/>
      <c r="BB20" s="228"/>
      <c r="BC20" s="228"/>
      <c r="BD20" s="228"/>
      <c r="BE20" s="228"/>
      <c r="BF20" s="228"/>
      <c r="BG20" s="228"/>
      <c r="BH20" s="228"/>
      <c r="BI20" s="228"/>
      <c r="BJ20" s="228"/>
      <c r="BK20" s="228"/>
      <c r="BL20" s="228"/>
      <c r="BM20" s="228"/>
      <c r="BN20" s="228"/>
      <c r="BO20" s="228"/>
      <c r="BP20" s="228"/>
      <c r="BQ20" s="228"/>
      <c r="BR20" s="228"/>
      <c r="BS20" s="228"/>
      <c r="BT20" s="228"/>
      <c r="BU20" s="228"/>
      <c r="BV20" s="228"/>
      <c r="BW20" s="228"/>
      <c r="BX20" s="228"/>
      <c r="BY20" s="228"/>
      <c r="BZ20" s="228"/>
      <c r="CA20" s="228"/>
      <c r="CB20" s="228"/>
      <c r="CC20" s="228"/>
      <c r="CD20" s="2"/>
    </row>
    <row r="21" spans="1:82" ht="12.75" customHeight="1">
      <c r="A21" s="8"/>
      <c r="B21" s="507"/>
      <c r="C21" s="258" t="s">
        <v>70</v>
      </c>
      <c r="D21" s="259">
        <f>SUMIFS(Table2[Score], Table2[Major], "Tourism - Culinary Business", Table2[Level], "External Regional", Table2[Status], "Juri/Pelatih/Wasit")</f>
        <v>0</v>
      </c>
      <c r="E21" s="259">
        <f>SUMIFS(Table2[Score], Table2[Major], "Tourism - Culinary Business", Table2[Level], "External National", Table2[Status], "Juri/Pelatih/Wasit")</f>
        <v>0</v>
      </c>
      <c r="F21" s="259">
        <f>SUMIFS(Table2[Score], Table2[Major], "Tourism - Culinary Business", Table2[Level], "External International", Table2[Status], "Juri/Pelatih/Wasit")</f>
        <v>0</v>
      </c>
      <c r="G21" s="259"/>
      <c r="H21" s="259"/>
      <c r="I21" s="259"/>
      <c r="J21" s="259"/>
      <c r="K21" s="260"/>
      <c r="L21" s="260"/>
      <c r="M21" s="259"/>
      <c r="N21" s="260"/>
      <c r="O21" s="260"/>
      <c r="P21" s="259"/>
      <c r="Q21" s="259"/>
      <c r="R21" s="259"/>
      <c r="S21" s="259"/>
      <c r="T21" s="259"/>
      <c r="U21" s="259"/>
      <c r="V21" s="259"/>
      <c r="W21" s="259"/>
      <c r="X21" s="259"/>
      <c r="Y21" s="248">
        <f t="shared" si="12"/>
        <v>0</v>
      </c>
      <c r="Z21" s="248">
        <v>15</v>
      </c>
      <c r="AA21" s="249">
        <f t="shared" si="3"/>
        <v>0</v>
      </c>
      <c r="AB21" s="258" t="s">
        <v>70</v>
      </c>
      <c r="AC21" s="250"/>
      <c r="AD21" s="228"/>
      <c r="AE21" s="251"/>
      <c r="AF21" s="252"/>
      <c r="AG21" s="228"/>
      <c r="AH21" s="228"/>
      <c r="AI21" s="228"/>
      <c r="AJ21" s="228"/>
      <c r="AK21" s="228"/>
      <c r="AL21" s="228"/>
      <c r="AM21" s="228"/>
      <c r="AN21" s="228"/>
      <c r="AO21" s="228"/>
      <c r="AP21" s="228"/>
      <c r="AQ21" s="228"/>
      <c r="AR21" s="228"/>
      <c r="AS21" s="228"/>
      <c r="AT21" s="228"/>
      <c r="AU21" s="228"/>
      <c r="AV21" s="228"/>
      <c r="AW21" s="228"/>
      <c r="AX21" s="228"/>
      <c r="AY21" s="228"/>
      <c r="AZ21" s="228"/>
      <c r="BA21" s="228"/>
      <c r="BB21" s="228"/>
      <c r="BC21" s="228"/>
      <c r="BD21" s="228"/>
      <c r="BE21" s="228"/>
      <c r="BF21" s="228"/>
      <c r="BG21" s="228"/>
      <c r="BH21" s="228"/>
      <c r="BI21" s="228"/>
      <c r="BJ21" s="228"/>
      <c r="BK21" s="228"/>
      <c r="BL21" s="228"/>
      <c r="BM21" s="228"/>
      <c r="BN21" s="228"/>
      <c r="BO21" s="228"/>
      <c r="BP21" s="228"/>
      <c r="BQ21" s="228"/>
      <c r="BR21" s="228"/>
      <c r="BS21" s="228"/>
      <c r="BT21" s="228"/>
      <c r="BU21" s="228"/>
      <c r="BV21" s="228"/>
      <c r="BW21" s="228"/>
      <c r="BX21" s="228"/>
      <c r="BY21" s="228"/>
      <c r="BZ21" s="228"/>
      <c r="CA21" s="228"/>
      <c r="CB21" s="228"/>
      <c r="CC21" s="228"/>
      <c r="CD21" s="2"/>
    </row>
    <row r="22" spans="1:82" ht="12.75" customHeight="1">
      <c r="A22" s="246"/>
      <c r="B22" s="507"/>
      <c r="C22" s="258" t="s">
        <v>71</v>
      </c>
      <c r="D22" s="259">
        <f>SUMIFS(Table2[Score], Table2[Major], "Communication Science", Table2[Level], "External Regional", Table2[Status], "Juri/Pelatih/Wasit")</f>
        <v>0</v>
      </c>
      <c r="E22" s="259">
        <f>SUMIFS(Table2[NIS], Table2[Student Year], "Communication Science", Table2[Participant As], "External National", Table2[Status], "Juri/Pelatih/Wasit")</f>
        <v>0</v>
      </c>
      <c r="F22" s="259">
        <f>SUMIFS(Table2[Name], Table2[Activity], "Communication Science", Table2[Total Participant], "External International", Table2[Status], "Juri/Pelatih/Wasit")</f>
        <v>0</v>
      </c>
      <c r="G22" s="259"/>
      <c r="H22" s="259"/>
      <c r="I22" s="260"/>
      <c r="J22" s="259"/>
      <c r="K22" s="260"/>
      <c r="L22" s="260"/>
      <c r="M22" s="259"/>
      <c r="N22" s="260"/>
      <c r="O22" s="260"/>
      <c r="P22" s="259"/>
      <c r="Q22" s="259"/>
      <c r="R22" s="259"/>
      <c r="S22" s="259"/>
      <c r="T22" s="259"/>
      <c r="U22" s="259"/>
      <c r="V22" s="259"/>
      <c r="W22" s="259"/>
      <c r="X22" s="259"/>
      <c r="Y22" s="248">
        <f t="shared" si="12"/>
        <v>0</v>
      </c>
      <c r="Z22" s="248">
        <v>13</v>
      </c>
      <c r="AA22" s="249">
        <f t="shared" si="3"/>
        <v>0</v>
      </c>
      <c r="AB22" s="258" t="s">
        <v>71</v>
      </c>
      <c r="AC22" s="250"/>
      <c r="AD22" s="228"/>
      <c r="AE22" s="251"/>
      <c r="AF22" s="252"/>
      <c r="AG22" s="228"/>
      <c r="AH22" s="228"/>
      <c r="AI22" s="228"/>
      <c r="AJ22" s="228"/>
      <c r="AK22" s="228"/>
      <c r="AL22" s="228"/>
      <c r="AM22" s="228"/>
      <c r="AN22" s="228"/>
      <c r="AO22" s="228"/>
      <c r="AP22" s="228"/>
      <c r="AQ22" s="228"/>
      <c r="AR22" s="228"/>
      <c r="AS22" s="228"/>
      <c r="AT22" s="228"/>
      <c r="AU22" s="228"/>
      <c r="AV22" s="228"/>
      <c r="AW22" s="228"/>
      <c r="AX22" s="228"/>
      <c r="AY22" s="228"/>
      <c r="AZ22" s="228"/>
      <c r="BA22" s="228"/>
      <c r="BB22" s="228"/>
      <c r="BC22" s="228"/>
      <c r="BD22" s="228"/>
      <c r="BE22" s="228"/>
      <c r="BF22" s="228"/>
      <c r="BG22" s="228"/>
      <c r="BH22" s="228"/>
      <c r="BI22" s="228"/>
      <c r="BJ22" s="228"/>
      <c r="BK22" s="228"/>
      <c r="BL22" s="228"/>
      <c r="BM22" s="228"/>
      <c r="BN22" s="228"/>
      <c r="BO22" s="228"/>
      <c r="BP22" s="228"/>
      <c r="BQ22" s="228"/>
      <c r="BR22" s="228"/>
      <c r="BS22" s="228"/>
      <c r="BT22" s="228"/>
      <c r="BU22" s="228"/>
      <c r="BV22" s="228"/>
      <c r="BW22" s="228"/>
      <c r="BX22" s="228"/>
      <c r="BY22" s="228"/>
      <c r="BZ22" s="228"/>
      <c r="CA22" s="228"/>
      <c r="CB22" s="228"/>
      <c r="CC22" s="228"/>
      <c r="CD22" s="2"/>
    </row>
    <row r="23" spans="1:82" ht="12.75" customHeight="1">
      <c r="A23" s="246"/>
      <c r="B23" s="507"/>
      <c r="C23" s="261" t="s">
        <v>72</v>
      </c>
      <c r="D23" s="259">
        <f>SUMIFS(Table2[Score], Table2[Major], "", Table2[Level], "External Regional", Table2[Status], "Juri/Pelatih/Wasit")</f>
        <v>0</v>
      </c>
      <c r="E23" s="259">
        <f>SUMIFS(Table2[Score], Table2[Major], "", Table2[Level], "")</f>
        <v>0</v>
      </c>
      <c r="F23" s="259">
        <f>SUMIFS(Table2[Score], Table2[Major], "", Table2[Level], "")</f>
        <v>0</v>
      </c>
      <c r="G23" s="259"/>
      <c r="H23" s="259"/>
      <c r="I23" s="259"/>
      <c r="J23" s="259"/>
      <c r="K23" s="259"/>
      <c r="L23" s="259"/>
      <c r="M23" s="259"/>
      <c r="N23" s="259"/>
      <c r="O23" s="259"/>
      <c r="P23" s="259"/>
      <c r="Q23" s="259"/>
      <c r="R23" s="259"/>
      <c r="S23" s="259"/>
      <c r="T23" s="259"/>
      <c r="U23" s="259"/>
      <c r="V23" s="259"/>
      <c r="W23" s="259"/>
      <c r="X23" s="259"/>
      <c r="Y23" s="255" t="s">
        <v>19</v>
      </c>
      <c r="Z23" s="255" t="s">
        <v>19</v>
      </c>
      <c r="AA23" s="255" t="str">
        <f t="shared" si="3"/>
        <v>-</v>
      </c>
      <c r="AB23" s="262"/>
      <c r="AC23" s="250"/>
      <c r="AD23" s="228"/>
      <c r="AE23" s="251"/>
      <c r="AF23" s="252"/>
      <c r="AG23" s="228"/>
      <c r="AH23" s="228"/>
      <c r="AI23" s="228"/>
      <c r="AJ23" s="228"/>
      <c r="AK23" s="228"/>
      <c r="AL23" s="228"/>
      <c r="AM23" s="228"/>
      <c r="AN23" s="228"/>
      <c r="AO23" s="228"/>
      <c r="AP23" s="228"/>
      <c r="AQ23" s="228"/>
      <c r="AR23" s="228"/>
      <c r="AS23" s="228"/>
      <c r="AT23" s="228"/>
      <c r="AU23" s="228"/>
      <c r="AV23" s="228"/>
      <c r="AW23" s="228"/>
      <c r="AX23" s="228"/>
      <c r="AY23" s="228"/>
      <c r="AZ23" s="228"/>
      <c r="BA23" s="228"/>
      <c r="BB23" s="228"/>
      <c r="BC23" s="228"/>
      <c r="BD23" s="228"/>
      <c r="BE23" s="228"/>
      <c r="BF23" s="228"/>
      <c r="BG23" s="228"/>
      <c r="BH23" s="228"/>
      <c r="BI23" s="228"/>
      <c r="BJ23" s="228"/>
      <c r="BK23" s="228"/>
      <c r="BL23" s="228"/>
      <c r="BM23" s="228"/>
      <c r="BN23" s="228"/>
      <c r="BO23" s="228"/>
      <c r="BP23" s="228"/>
      <c r="BQ23" s="228"/>
      <c r="BR23" s="228"/>
      <c r="BS23" s="228"/>
      <c r="BT23" s="228"/>
      <c r="BU23" s="228"/>
      <c r="BV23" s="228"/>
      <c r="BW23" s="228"/>
      <c r="BX23" s="228"/>
      <c r="BY23" s="228"/>
      <c r="BZ23" s="228"/>
      <c r="CA23" s="228"/>
      <c r="CB23" s="228"/>
      <c r="CC23" s="228"/>
      <c r="CD23" s="2"/>
    </row>
    <row r="24" spans="1:82" ht="12.75" customHeight="1">
      <c r="A24" s="246"/>
      <c r="B24" s="507"/>
      <c r="C24" s="261" t="s">
        <v>73</v>
      </c>
      <c r="D24" s="259">
        <f>SUMIFS(Table2[Score], Table2[Major], "", Table2[Level], "")</f>
        <v>0</v>
      </c>
      <c r="E24" s="259">
        <f>SUMIFS(Table2[Score], Table2[Major], "", Table2[Level], "")</f>
        <v>0</v>
      </c>
      <c r="F24" s="259">
        <f>SUMIFS(Table2[Score], Table2[Major], "", Table2[Level], "")</f>
        <v>0</v>
      </c>
      <c r="G24" s="259"/>
      <c r="H24" s="259"/>
      <c r="I24" s="260"/>
      <c r="J24" s="259"/>
      <c r="K24" s="260"/>
      <c r="L24" s="260"/>
      <c r="M24" s="259"/>
      <c r="N24" s="260"/>
      <c r="O24" s="260"/>
      <c r="P24" s="260"/>
      <c r="Q24" s="259"/>
      <c r="R24" s="259"/>
      <c r="S24" s="259"/>
      <c r="T24" s="259"/>
      <c r="U24" s="259"/>
      <c r="V24" s="259"/>
      <c r="W24" s="259"/>
      <c r="X24" s="259"/>
      <c r="Y24" s="248">
        <f t="shared" ref="Y24:Y51" si="17">(D24*$D$4)+(E24*$E$4)+(F24*$F$4)+(G24*$G$4)+(H24*$H$4)+(I24*$I$4)+(J24*$J$4)+(K24*$K$4)+(L24*$L$4)+(M24*$M$4)+(N24*$N$4)+(O24*$O$4)+(P24*$P$4)+(Q24*$Q$4)+(R24*$R$4)+(S24*$S$4)+(T24*$T$4)+(U24*$U$4)+(V24*$V$4)+(W24*$W$4)+(X24*$X$4)</f>
        <v>0</v>
      </c>
      <c r="Z24" s="248">
        <v>8</v>
      </c>
      <c r="AA24" s="249">
        <f t="shared" si="3"/>
        <v>0</v>
      </c>
      <c r="AB24" s="261" t="s">
        <v>74</v>
      </c>
      <c r="AC24" s="250"/>
      <c r="AD24" s="228"/>
      <c r="AE24" s="251"/>
      <c r="AF24" s="252"/>
      <c r="AG24" s="228"/>
      <c r="AH24" s="228"/>
      <c r="AI24" s="228"/>
      <c r="AJ24" s="228"/>
      <c r="AK24" s="228"/>
      <c r="AL24" s="228"/>
      <c r="AM24" s="228"/>
      <c r="AN24" s="228"/>
      <c r="AO24" s="228"/>
      <c r="AP24" s="228"/>
      <c r="AQ24" s="228"/>
      <c r="AR24" s="228"/>
      <c r="AS24" s="228"/>
      <c r="AT24" s="228"/>
      <c r="AU24" s="228"/>
      <c r="AV24" s="228"/>
      <c r="AW24" s="228"/>
      <c r="AX24" s="228"/>
      <c r="AY24" s="228"/>
      <c r="AZ24" s="228"/>
      <c r="BA24" s="228"/>
      <c r="BB24" s="228"/>
      <c r="BC24" s="228"/>
      <c r="BD24" s="228"/>
      <c r="BE24" s="228"/>
      <c r="BF24" s="228"/>
      <c r="BG24" s="228"/>
      <c r="BH24" s="228"/>
      <c r="BI24" s="228"/>
      <c r="BJ24" s="228"/>
      <c r="BK24" s="228"/>
      <c r="BL24" s="228"/>
      <c r="BM24" s="228"/>
      <c r="BN24" s="228"/>
      <c r="BO24" s="228"/>
      <c r="BP24" s="228"/>
      <c r="BQ24" s="228"/>
      <c r="BR24" s="228"/>
      <c r="BS24" s="228"/>
      <c r="BT24" s="228"/>
      <c r="BU24" s="228"/>
      <c r="BV24" s="228"/>
      <c r="BW24" s="228"/>
      <c r="BX24" s="228"/>
      <c r="BY24" s="228"/>
      <c r="BZ24" s="228"/>
      <c r="CA24" s="228"/>
      <c r="CB24" s="228"/>
      <c r="CC24" s="228"/>
      <c r="CD24" s="2"/>
    </row>
    <row r="25" spans="1:82" ht="12.75" customHeight="1">
      <c r="A25" s="246"/>
      <c r="B25" s="507"/>
      <c r="C25" s="261" t="s">
        <v>74</v>
      </c>
      <c r="D25" s="259">
        <f>SUMIFS(Table2[Score], Table2[Major], "", Table2[Level], "")</f>
        <v>0</v>
      </c>
      <c r="E25" s="259">
        <f>SUMIFS(Table2[Score], Table2[Major], "", Table2[Level], "")</f>
        <v>0</v>
      </c>
      <c r="F25" s="259">
        <f>SUMIFS(Table2[Score], Table2[Major], "", Table2[Level], "")</f>
        <v>0</v>
      </c>
      <c r="G25" s="259"/>
      <c r="H25" s="259"/>
      <c r="I25" s="259"/>
      <c r="J25" s="259"/>
      <c r="K25" s="260"/>
      <c r="L25" s="260"/>
      <c r="M25" s="259"/>
      <c r="N25" s="260"/>
      <c r="O25" s="260"/>
      <c r="P25" s="260"/>
      <c r="Q25" s="259"/>
      <c r="R25" s="259"/>
      <c r="S25" s="259"/>
      <c r="T25" s="259"/>
      <c r="U25" s="259"/>
      <c r="V25" s="259"/>
      <c r="W25" s="259"/>
      <c r="X25" s="259"/>
      <c r="Y25" s="248">
        <f t="shared" si="17"/>
        <v>0</v>
      </c>
      <c r="Z25" s="255" t="s">
        <v>19</v>
      </c>
      <c r="AA25" s="255" t="str">
        <f t="shared" si="3"/>
        <v>-</v>
      </c>
      <c r="AB25" s="261" t="s">
        <v>73</v>
      </c>
      <c r="AC25" s="250"/>
      <c r="AD25" s="228"/>
      <c r="AE25" s="251"/>
      <c r="AF25" s="252"/>
      <c r="AG25" s="228"/>
      <c r="AH25" s="228"/>
      <c r="AI25" s="228"/>
      <c r="AJ25" s="228"/>
      <c r="AK25" s="228"/>
      <c r="AL25" s="228"/>
      <c r="AM25" s="228"/>
      <c r="AN25" s="228"/>
      <c r="AO25" s="228"/>
      <c r="AP25" s="228"/>
      <c r="AQ25" s="228"/>
      <c r="AR25" s="228"/>
      <c r="AS25" s="228"/>
      <c r="AT25" s="228"/>
      <c r="AU25" s="228"/>
      <c r="AV25" s="228"/>
      <c r="AW25" s="228"/>
      <c r="AX25" s="228"/>
      <c r="AY25" s="228"/>
      <c r="AZ25" s="228"/>
      <c r="BA25" s="228"/>
      <c r="BB25" s="228"/>
      <c r="BC25" s="228"/>
      <c r="BD25" s="228"/>
      <c r="BE25" s="228"/>
      <c r="BF25" s="228"/>
      <c r="BG25" s="228"/>
      <c r="BH25" s="228"/>
      <c r="BI25" s="228"/>
      <c r="BJ25" s="228"/>
      <c r="BK25" s="228"/>
      <c r="BL25" s="228"/>
      <c r="BM25" s="228"/>
      <c r="BN25" s="228"/>
      <c r="BO25" s="228"/>
      <c r="BP25" s="228"/>
      <c r="BQ25" s="228"/>
      <c r="BR25" s="228"/>
      <c r="BS25" s="228"/>
      <c r="BT25" s="228"/>
      <c r="BU25" s="228"/>
      <c r="BV25" s="228"/>
      <c r="BW25" s="228"/>
      <c r="BX25" s="228"/>
      <c r="BY25" s="228"/>
      <c r="BZ25" s="228"/>
      <c r="CA25" s="228"/>
      <c r="CB25" s="228"/>
      <c r="CC25" s="228"/>
      <c r="CD25" s="2"/>
    </row>
    <row r="26" spans="1:82" ht="12.75" customHeight="1">
      <c r="A26" s="246"/>
      <c r="B26" s="507"/>
      <c r="C26" s="258" t="s">
        <v>75</v>
      </c>
      <c r="D26" s="259">
        <f>SUMIFS(Table2[Score], Table2[Major], "", Table2[Level], "")</f>
        <v>0</v>
      </c>
      <c r="E26" s="259">
        <f>SUMIFS(Table2[Score], Table2[Major], "", Table2[Level], "")</f>
        <v>0</v>
      </c>
      <c r="F26" s="259">
        <f>SUMIFS(Table2[Score], Table2[Major], "", Table2[Level], "")</f>
        <v>0</v>
      </c>
      <c r="G26" s="259"/>
      <c r="H26" s="259"/>
      <c r="I26" s="259"/>
      <c r="J26" s="259"/>
      <c r="K26" s="260"/>
      <c r="L26" s="260"/>
      <c r="M26" s="260"/>
      <c r="N26" s="260"/>
      <c r="O26" s="260"/>
      <c r="P26" s="260"/>
      <c r="Q26" s="259"/>
      <c r="R26" s="259"/>
      <c r="S26" s="259"/>
      <c r="T26" s="259"/>
      <c r="U26" s="259"/>
      <c r="V26" s="259"/>
      <c r="W26" s="259"/>
      <c r="X26" s="259"/>
      <c r="Y26" s="248">
        <f t="shared" si="17"/>
        <v>0</v>
      </c>
      <c r="Z26" s="248">
        <v>4</v>
      </c>
      <c r="AA26" s="249">
        <f t="shared" si="3"/>
        <v>0</v>
      </c>
      <c r="AB26" s="258" t="s">
        <v>75</v>
      </c>
      <c r="AC26" s="250"/>
      <c r="AD26" s="228"/>
      <c r="AE26" s="251"/>
      <c r="AF26" s="252"/>
      <c r="AG26" s="228"/>
      <c r="AH26" s="228"/>
      <c r="AI26" s="228"/>
      <c r="AJ26" s="228"/>
      <c r="AK26" s="228"/>
      <c r="AL26" s="228"/>
      <c r="AM26" s="228"/>
      <c r="AN26" s="228"/>
      <c r="AO26" s="228"/>
      <c r="AP26" s="228"/>
      <c r="AQ26" s="228"/>
      <c r="AR26" s="228"/>
      <c r="AS26" s="228"/>
      <c r="AT26" s="228"/>
      <c r="AU26" s="228"/>
      <c r="AV26" s="228"/>
      <c r="AW26" s="228"/>
      <c r="AX26" s="228"/>
      <c r="AY26" s="228"/>
      <c r="AZ26" s="228"/>
      <c r="BA26" s="228"/>
      <c r="BB26" s="228"/>
      <c r="BC26" s="228"/>
      <c r="BD26" s="228"/>
      <c r="BE26" s="228"/>
      <c r="BF26" s="228"/>
      <c r="BG26" s="228"/>
      <c r="BH26" s="228"/>
      <c r="BI26" s="228"/>
      <c r="BJ26" s="228"/>
      <c r="BK26" s="228"/>
      <c r="BL26" s="228"/>
      <c r="BM26" s="228"/>
      <c r="BN26" s="228"/>
      <c r="BO26" s="228"/>
      <c r="BP26" s="228"/>
      <c r="BQ26" s="228"/>
      <c r="BR26" s="228"/>
      <c r="BS26" s="228"/>
      <c r="BT26" s="228"/>
      <c r="BU26" s="228"/>
      <c r="BV26" s="228"/>
      <c r="BW26" s="228"/>
      <c r="BX26" s="228"/>
      <c r="BY26" s="228"/>
      <c r="BZ26" s="228"/>
      <c r="CA26" s="228"/>
      <c r="CB26" s="228"/>
      <c r="CC26" s="228"/>
      <c r="CD26" s="2"/>
    </row>
    <row r="27" spans="1:82" ht="12.75" customHeight="1">
      <c r="A27" s="246"/>
      <c r="B27" s="507"/>
      <c r="C27" s="258" t="s">
        <v>76</v>
      </c>
      <c r="D27" s="259">
        <f>SUMIFS(Table2[Score], Table2[Major], "", Table2[Level], "")</f>
        <v>0</v>
      </c>
      <c r="E27" s="259">
        <f>SUMIFS(Table2[Score], Table2[Major], "", Table2[Level], "")</f>
        <v>0</v>
      </c>
      <c r="F27" s="259">
        <f>SUMIFS(Table2[Score], Table2[Major], "", Table2[Level], "")</f>
        <v>0</v>
      </c>
      <c r="G27" s="259"/>
      <c r="H27" s="259"/>
      <c r="I27" s="259"/>
      <c r="J27" s="259"/>
      <c r="K27" s="260"/>
      <c r="L27" s="260"/>
      <c r="M27" s="260"/>
      <c r="N27" s="260"/>
      <c r="O27" s="260"/>
      <c r="P27" s="260"/>
      <c r="Q27" s="260"/>
      <c r="R27" s="259"/>
      <c r="S27" s="259"/>
      <c r="T27" s="259"/>
      <c r="U27" s="259"/>
      <c r="V27" s="259"/>
      <c r="W27" s="259"/>
      <c r="X27" s="259"/>
      <c r="Y27" s="248">
        <f t="shared" si="17"/>
        <v>0</v>
      </c>
      <c r="Z27" s="248">
        <v>11</v>
      </c>
      <c r="AA27" s="249">
        <f t="shared" si="3"/>
        <v>0</v>
      </c>
      <c r="AB27" s="258" t="s">
        <v>76</v>
      </c>
      <c r="AC27" s="250"/>
      <c r="AD27" s="228"/>
      <c r="AE27" s="251"/>
      <c r="AF27" s="252"/>
      <c r="AG27" s="228"/>
      <c r="AH27" s="228"/>
      <c r="AI27" s="228"/>
      <c r="AJ27" s="228"/>
      <c r="AK27" s="228"/>
      <c r="AL27" s="228"/>
      <c r="AM27" s="228"/>
      <c r="AN27" s="228"/>
      <c r="AO27" s="228"/>
      <c r="AP27" s="228"/>
      <c r="AQ27" s="228"/>
      <c r="AR27" s="228"/>
      <c r="AS27" s="228"/>
      <c r="AT27" s="228"/>
      <c r="AU27" s="228"/>
      <c r="AV27" s="228"/>
      <c r="AW27" s="228"/>
      <c r="AX27" s="228"/>
      <c r="AY27" s="228"/>
      <c r="AZ27" s="228"/>
      <c r="BA27" s="228"/>
      <c r="BB27" s="228"/>
      <c r="BC27" s="228"/>
      <c r="BD27" s="228"/>
      <c r="BE27" s="228"/>
      <c r="BF27" s="228"/>
      <c r="BG27" s="228"/>
      <c r="BH27" s="228"/>
      <c r="BI27" s="228"/>
      <c r="BJ27" s="228"/>
      <c r="BK27" s="228"/>
      <c r="BL27" s="228"/>
      <c r="BM27" s="228"/>
      <c r="BN27" s="228"/>
      <c r="BO27" s="228"/>
      <c r="BP27" s="228"/>
      <c r="BQ27" s="228"/>
      <c r="BR27" s="228"/>
      <c r="BS27" s="228"/>
      <c r="BT27" s="228"/>
      <c r="BU27" s="228"/>
      <c r="BV27" s="228"/>
      <c r="BW27" s="228"/>
      <c r="BX27" s="228"/>
      <c r="BY27" s="228"/>
      <c r="BZ27" s="228"/>
      <c r="CA27" s="228"/>
      <c r="CB27" s="228"/>
      <c r="CC27" s="228"/>
      <c r="CD27" s="2"/>
    </row>
    <row r="28" spans="1:82" ht="12.75" customHeight="1">
      <c r="A28" s="246"/>
      <c r="B28" s="507"/>
      <c r="C28" s="258" t="s">
        <v>77</v>
      </c>
      <c r="D28" s="259">
        <f>SUMIFS(Table2[Score], Table2[Major], "", Table2[Level], "")</f>
        <v>0</v>
      </c>
      <c r="E28" s="259">
        <f>SUMIFS(Table2[Score], Table2[Major], "", Table2[Level], "")</f>
        <v>0</v>
      </c>
      <c r="F28" s="259">
        <f>SUMIFS(Table2[Score], Table2[Major], "", Table2[Level], "")</f>
        <v>0</v>
      </c>
      <c r="G28" s="259"/>
      <c r="H28" s="259"/>
      <c r="I28" s="259"/>
      <c r="J28" s="259"/>
      <c r="K28" s="260"/>
      <c r="L28" s="260"/>
      <c r="M28" s="260"/>
      <c r="N28" s="260"/>
      <c r="O28" s="260"/>
      <c r="P28" s="260"/>
      <c r="Q28" s="260"/>
      <c r="R28" s="259"/>
      <c r="S28" s="259"/>
      <c r="T28" s="259"/>
      <c r="U28" s="259"/>
      <c r="V28" s="259"/>
      <c r="W28" s="259"/>
      <c r="X28" s="259"/>
      <c r="Y28" s="248">
        <f t="shared" si="17"/>
        <v>0</v>
      </c>
      <c r="Z28" s="248">
        <v>14</v>
      </c>
      <c r="AA28" s="249">
        <f t="shared" si="3"/>
        <v>0</v>
      </c>
      <c r="AB28" s="258" t="s">
        <v>77</v>
      </c>
      <c r="AC28" s="250"/>
      <c r="AD28" s="228"/>
      <c r="AE28" s="251"/>
      <c r="AF28" s="252"/>
      <c r="AG28" s="228"/>
      <c r="AH28" s="228"/>
      <c r="AI28" s="228"/>
      <c r="AJ28" s="228"/>
      <c r="AK28" s="228"/>
      <c r="AL28" s="228"/>
      <c r="AM28" s="228"/>
      <c r="AN28" s="228"/>
      <c r="AO28" s="228"/>
      <c r="AP28" s="228"/>
      <c r="AQ28" s="228"/>
      <c r="AR28" s="228"/>
      <c r="AS28" s="228"/>
      <c r="AT28" s="228"/>
      <c r="AU28" s="228"/>
      <c r="AV28" s="228"/>
      <c r="AW28" s="228"/>
      <c r="AX28" s="228"/>
      <c r="AY28" s="228"/>
      <c r="AZ28" s="228"/>
      <c r="BA28" s="228"/>
      <c r="BB28" s="228"/>
      <c r="BC28" s="228"/>
      <c r="BD28" s="228"/>
      <c r="BE28" s="228"/>
      <c r="BF28" s="228"/>
      <c r="BG28" s="228"/>
      <c r="BH28" s="228"/>
      <c r="BI28" s="228"/>
      <c r="BJ28" s="228"/>
      <c r="BK28" s="228"/>
      <c r="BL28" s="228"/>
      <c r="BM28" s="228"/>
      <c r="BN28" s="228"/>
      <c r="BO28" s="228"/>
      <c r="BP28" s="228"/>
      <c r="BQ28" s="228"/>
      <c r="BR28" s="228"/>
      <c r="BS28" s="228"/>
      <c r="BT28" s="228"/>
      <c r="BU28" s="228"/>
      <c r="BV28" s="228"/>
      <c r="BW28" s="228"/>
      <c r="BX28" s="228"/>
      <c r="BY28" s="228"/>
      <c r="BZ28" s="228"/>
      <c r="CA28" s="228"/>
      <c r="CB28" s="228"/>
      <c r="CC28" s="228"/>
      <c r="CD28" s="2"/>
    </row>
    <row r="29" spans="1:82" ht="12.75" customHeight="1">
      <c r="A29" s="246"/>
      <c r="B29" s="507"/>
      <c r="C29" s="258" t="s">
        <v>78</v>
      </c>
      <c r="D29" s="263">
        <f>COUNTIF('Data All'!E1:E468,'Data All'!E164)</f>
        <v>297</v>
      </c>
      <c r="E29" s="259">
        <f>SUMIFS(Table2[Score], Table2[Major], "", Table2[Level], "")</f>
        <v>0</v>
      </c>
      <c r="F29" s="259">
        <f>SUMIFS(Table2[Score], Table2[Major], "", Table2[Level], "")</f>
        <v>0</v>
      </c>
      <c r="G29" s="259"/>
      <c r="H29" s="263">
        <f>COUNTIFS('Data All'!C1:C468,"Management - Reguler Class",'Data All'!E1:E468,VLOOKUP("National Management Seminar (SENIMA)",'Data All'!E1:E468,1,FALSE))+COUNTIF('Data All'!E1:E468,'Data All'!E28)+COUNTIF('Data All'!E1:E468,'Data All'!E36)+COUNTIF('Data All'!E1:E468,'Data All'!E43)+COUNTIF('Data All'!E1:E468,'Data All'!E44)+COUNTIF('Data All'!E1:E468,'Data All'!E45)+COUNTIF('Data All'!E1:E468,'Data All'!E56)</f>
        <v>1191</v>
      </c>
      <c r="I29" s="479">
        <f>COUNTIFS('Data All'!C1:C468,"Management - Reguler Class",'Data All'!E1:E468,VLOOKUP("The 10th International Conference on Entrepreneurship 2023 (ICOEN)",'Data All'!E1:E468,1,FALSE))+COUNTIFS('Data All'!C1:C468,"Management - Reguler Class",'Data All'!E1:E468,VLOOKUP("Pelatihan Channels Blok Business Model Canvas bagi Komunitas BMC - Hongkong dan China",'Data All'!E1:E468,1,FALSE))+COUNTIFS('Data All'!C1:C468,"Management - Reguler Class",'Data All'!E1:E468,VLOOKUP("Pelatihan Channels Blok Business Model Canvas bagi Komunitas BMC-Hongkong, China",'Data All'!E1:E468,1,FALSE))+COUNTIFS('Data All'!E1:E468,'Data All'!E9)+COUNTIF('Data All'!E1:E468,'Data All'!E27)</f>
        <v>812</v>
      </c>
      <c r="J29" s="264">
        <f>COUNTIF('Data All'!E1:E468,'Data All'!E50)</f>
        <v>297</v>
      </c>
      <c r="K29" s="260"/>
      <c r="L29" s="260"/>
      <c r="M29" s="260"/>
      <c r="N29" s="260"/>
      <c r="O29" s="260"/>
      <c r="P29" s="260"/>
      <c r="Q29" s="260"/>
      <c r="R29" s="259"/>
      <c r="S29" s="259"/>
      <c r="T29" s="259"/>
      <c r="U29" s="259"/>
      <c r="V29" s="259"/>
      <c r="W29" s="259"/>
      <c r="X29" s="259"/>
      <c r="Y29" s="248">
        <f t="shared" si="17"/>
        <v>8524</v>
      </c>
      <c r="Z29" s="248">
        <v>72</v>
      </c>
      <c r="AA29" s="249">
        <f t="shared" si="3"/>
        <v>1.25</v>
      </c>
      <c r="AB29" s="258" t="s">
        <v>78</v>
      </c>
      <c r="AC29" s="250"/>
      <c r="AD29" s="228"/>
      <c r="AE29" s="251"/>
      <c r="AF29" s="252"/>
      <c r="AG29" s="228"/>
      <c r="AH29" s="228"/>
      <c r="AI29" s="228"/>
      <c r="AJ29" s="228"/>
      <c r="AK29" s="228"/>
      <c r="AL29" s="228"/>
      <c r="AM29" s="228"/>
      <c r="AN29" s="228"/>
      <c r="AO29" s="228"/>
      <c r="AP29" s="228"/>
      <c r="AQ29" s="228"/>
      <c r="AR29" s="228"/>
      <c r="AS29" s="228"/>
      <c r="AT29" s="228"/>
      <c r="AU29" s="228"/>
      <c r="AV29" s="228"/>
      <c r="AW29" s="228"/>
      <c r="AX29" s="228"/>
      <c r="AY29" s="228"/>
      <c r="AZ29" s="228"/>
      <c r="BA29" s="228"/>
      <c r="BB29" s="228"/>
      <c r="BC29" s="228"/>
      <c r="BD29" s="228"/>
      <c r="BE29" s="228"/>
      <c r="BF29" s="228"/>
      <c r="BG29" s="228"/>
      <c r="BH29" s="228"/>
      <c r="BI29" s="228"/>
      <c r="BJ29" s="228"/>
      <c r="BK29" s="228"/>
      <c r="BL29" s="228"/>
      <c r="BM29" s="228"/>
      <c r="BN29" s="228"/>
      <c r="BO29" s="228"/>
      <c r="BP29" s="228"/>
      <c r="BQ29" s="228"/>
      <c r="BR29" s="228"/>
      <c r="BS29" s="228"/>
      <c r="BT29" s="228"/>
      <c r="BU29" s="228"/>
      <c r="BV29" s="228"/>
      <c r="BW29" s="228"/>
      <c r="BX29" s="228"/>
      <c r="BY29" s="228"/>
      <c r="BZ29" s="228"/>
      <c r="CA29" s="228"/>
      <c r="CB29" s="228"/>
      <c r="CC29" s="228"/>
      <c r="CD29" s="2"/>
    </row>
    <row r="30" spans="1:82" ht="12.75" customHeight="1">
      <c r="A30" s="246"/>
      <c r="B30" s="507"/>
      <c r="C30" s="258" t="s">
        <v>97</v>
      </c>
      <c r="D30" s="259">
        <f>SUMIFS(Table2[Score], Table2[Major], "", Table2[Level], "")</f>
        <v>0</v>
      </c>
      <c r="E30" s="259">
        <f>SUMIFS(Table2[Score], Table2[Major], "", Table2[Level], "")</f>
        <v>0</v>
      </c>
      <c r="F30" s="259">
        <f>SUMIFS(Table2[Score], Table2[Major], "", Table2[Level], "")</f>
        <v>0</v>
      </c>
      <c r="G30" s="259"/>
      <c r="H30" s="259"/>
      <c r="I30" s="259"/>
      <c r="J30" s="259"/>
      <c r="K30" s="259"/>
      <c r="L30" s="259"/>
      <c r="M30" s="259"/>
      <c r="N30" s="259"/>
      <c r="O30" s="259"/>
      <c r="P30" s="259"/>
      <c r="Q30" s="259"/>
      <c r="R30" s="259"/>
      <c r="S30" s="259"/>
      <c r="T30" s="259"/>
      <c r="U30" s="259"/>
      <c r="V30" s="259"/>
      <c r="W30" s="259"/>
      <c r="X30" s="259"/>
      <c r="Y30" s="248">
        <f t="shared" si="17"/>
        <v>0</v>
      </c>
      <c r="Z30" s="248">
        <v>5</v>
      </c>
      <c r="AA30" s="249">
        <f t="shared" si="3"/>
        <v>0</v>
      </c>
      <c r="AB30" s="258" t="s">
        <v>97</v>
      </c>
      <c r="AC30" s="250"/>
      <c r="AD30" s="228"/>
      <c r="AE30" s="251"/>
      <c r="AF30" s="252"/>
      <c r="AG30" s="228"/>
      <c r="AH30" s="228"/>
      <c r="AI30" s="228"/>
      <c r="AJ30" s="228"/>
      <c r="AK30" s="228"/>
      <c r="AL30" s="228"/>
      <c r="AM30" s="228"/>
      <c r="AN30" s="228"/>
      <c r="AO30" s="228"/>
      <c r="AP30" s="228"/>
      <c r="AQ30" s="228"/>
      <c r="AR30" s="228"/>
      <c r="AS30" s="228"/>
      <c r="AT30" s="228"/>
      <c r="AU30" s="228"/>
      <c r="AV30" s="228"/>
      <c r="AW30" s="228"/>
      <c r="AX30" s="228"/>
      <c r="AY30" s="228"/>
      <c r="AZ30" s="228"/>
      <c r="BA30" s="228"/>
      <c r="BB30" s="228"/>
      <c r="BC30" s="228"/>
      <c r="BD30" s="228"/>
      <c r="BE30" s="228"/>
      <c r="BF30" s="228"/>
      <c r="BG30" s="228"/>
      <c r="BH30" s="228"/>
      <c r="BI30" s="228"/>
      <c r="BJ30" s="228"/>
      <c r="BK30" s="228"/>
      <c r="BL30" s="228"/>
      <c r="BM30" s="228"/>
      <c r="BN30" s="228"/>
      <c r="BO30" s="228"/>
      <c r="BP30" s="228"/>
      <c r="BQ30" s="228"/>
      <c r="BR30" s="228"/>
      <c r="BS30" s="228"/>
      <c r="BT30" s="228"/>
      <c r="BU30" s="228"/>
      <c r="BV30" s="228"/>
      <c r="BW30" s="228"/>
      <c r="BX30" s="228"/>
      <c r="BY30" s="228"/>
      <c r="BZ30" s="228"/>
      <c r="CA30" s="228"/>
      <c r="CB30" s="228"/>
      <c r="CC30" s="228"/>
      <c r="CD30" s="2"/>
    </row>
    <row r="31" spans="1:82" ht="12.75" customHeight="1">
      <c r="A31" s="246"/>
      <c r="B31" s="507"/>
      <c r="C31" s="258" t="s">
        <v>79</v>
      </c>
      <c r="D31" s="259">
        <f>SUMIFS(Table2[Score], Table2[Major], "", Table2[Level], "")</f>
        <v>0</v>
      </c>
      <c r="E31" s="259">
        <f>SUMIFS(Table2[Score], Table2[Major], "", Table2[Level], "")</f>
        <v>0</v>
      </c>
      <c r="F31" s="259">
        <f>SUMIFS(Table2[Score], Table2[Major], "", Table2[Level], "")</f>
        <v>0</v>
      </c>
      <c r="G31" s="259"/>
      <c r="H31" s="259"/>
      <c r="I31" s="260"/>
      <c r="J31" s="259"/>
      <c r="K31" s="260"/>
      <c r="L31" s="260"/>
      <c r="M31" s="260"/>
      <c r="N31" s="260"/>
      <c r="O31" s="260"/>
      <c r="P31" s="260"/>
      <c r="Q31" s="260"/>
      <c r="R31" s="259"/>
      <c r="S31" s="259"/>
      <c r="T31" s="259"/>
      <c r="U31" s="259"/>
      <c r="V31" s="259"/>
      <c r="W31" s="259"/>
      <c r="X31" s="259"/>
      <c r="Y31" s="248">
        <f t="shared" si="17"/>
        <v>0</v>
      </c>
      <c r="Z31" s="248">
        <v>10</v>
      </c>
      <c r="AA31" s="249">
        <f t="shared" si="3"/>
        <v>0</v>
      </c>
      <c r="AB31" s="258" t="s">
        <v>79</v>
      </c>
      <c r="AC31" s="250"/>
      <c r="AD31" s="228"/>
      <c r="AE31" s="251"/>
      <c r="AF31" s="252"/>
      <c r="AG31" s="228"/>
      <c r="AH31" s="228"/>
      <c r="AI31" s="228"/>
      <c r="AJ31" s="228"/>
      <c r="AK31" s="228"/>
      <c r="AL31" s="228"/>
      <c r="AM31" s="228"/>
      <c r="AN31" s="228"/>
      <c r="AO31" s="228"/>
      <c r="AP31" s="228"/>
      <c r="AQ31" s="228"/>
      <c r="AR31" s="228"/>
      <c r="AS31" s="228"/>
      <c r="AT31" s="228"/>
      <c r="AU31" s="228"/>
      <c r="AV31" s="228"/>
      <c r="AW31" s="228"/>
      <c r="AX31" s="228"/>
      <c r="AY31" s="228"/>
      <c r="AZ31" s="228"/>
      <c r="BA31" s="228"/>
      <c r="BB31" s="228"/>
      <c r="BC31" s="228"/>
      <c r="BD31" s="228"/>
      <c r="BE31" s="228"/>
      <c r="BF31" s="228"/>
      <c r="BG31" s="228"/>
      <c r="BH31" s="228"/>
      <c r="BI31" s="228"/>
      <c r="BJ31" s="228"/>
      <c r="BK31" s="228"/>
      <c r="BL31" s="228"/>
      <c r="BM31" s="228"/>
      <c r="BN31" s="228"/>
      <c r="BO31" s="228"/>
      <c r="BP31" s="228"/>
      <c r="BQ31" s="228"/>
      <c r="BR31" s="228"/>
      <c r="BS31" s="228"/>
      <c r="BT31" s="228"/>
      <c r="BU31" s="228"/>
      <c r="BV31" s="228"/>
      <c r="BW31" s="228"/>
      <c r="BX31" s="228"/>
      <c r="BY31" s="228"/>
      <c r="BZ31" s="228"/>
      <c r="CA31" s="228"/>
      <c r="CB31" s="228"/>
      <c r="CC31" s="228"/>
      <c r="CD31" s="2"/>
    </row>
    <row r="32" spans="1:82" ht="12.75" customHeight="1">
      <c r="A32" s="246"/>
      <c r="B32" s="507"/>
      <c r="C32" s="258" t="s">
        <v>98</v>
      </c>
      <c r="D32" s="259">
        <f>SUMIFS(Table2[Score], Table2[Major], "", Table2[Level], "")</f>
        <v>0</v>
      </c>
      <c r="E32" s="259">
        <f>SUMIFS(Table2[Score], Table2[Major], "", Table2[Level], "")</f>
        <v>0</v>
      </c>
      <c r="F32" s="259">
        <f>SUMIFS(Table2[Score], Table2[Major], "", Table2[Level], "")</f>
        <v>0</v>
      </c>
      <c r="G32" s="259"/>
      <c r="H32" s="259"/>
      <c r="I32" s="259"/>
      <c r="J32" s="259"/>
      <c r="K32" s="259"/>
      <c r="L32" s="259"/>
      <c r="M32" s="259"/>
      <c r="N32" s="259"/>
      <c r="O32" s="259"/>
      <c r="P32" s="259"/>
      <c r="Q32" s="259"/>
      <c r="R32" s="259"/>
      <c r="S32" s="259"/>
      <c r="T32" s="259"/>
      <c r="U32" s="259"/>
      <c r="V32" s="259"/>
      <c r="W32" s="259"/>
      <c r="X32" s="259"/>
      <c r="Y32" s="248">
        <f t="shared" si="17"/>
        <v>0</v>
      </c>
      <c r="Z32" s="248">
        <v>3</v>
      </c>
      <c r="AA32" s="249">
        <f t="shared" si="3"/>
        <v>0</v>
      </c>
      <c r="AB32" s="258" t="s">
        <v>98</v>
      </c>
      <c r="AC32" s="250"/>
      <c r="AD32" s="228"/>
      <c r="AE32" s="251"/>
      <c r="AF32" s="252"/>
      <c r="AG32" s="228"/>
      <c r="AH32" s="228"/>
      <c r="AI32" s="228"/>
      <c r="AJ32" s="228"/>
      <c r="AK32" s="228"/>
      <c r="AL32" s="228"/>
      <c r="AM32" s="228"/>
      <c r="AN32" s="228"/>
      <c r="AO32" s="228"/>
      <c r="AP32" s="228"/>
      <c r="AQ32" s="228"/>
      <c r="AR32" s="228"/>
      <c r="AS32" s="228"/>
      <c r="AT32" s="228"/>
      <c r="AU32" s="228"/>
      <c r="AV32" s="228"/>
      <c r="AW32" s="228"/>
      <c r="AX32" s="228"/>
      <c r="AY32" s="228"/>
      <c r="AZ32" s="228"/>
      <c r="BA32" s="228"/>
      <c r="BB32" s="228"/>
      <c r="BC32" s="228"/>
      <c r="BD32" s="228"/>
      <c r="BE32" s="228"/>
      <c r="BF32" s="228"/>
      <c r="BG32" s="228"/>
      <c r="BH32" s="228"/>
      <c r="BI32" s="228"/>
      <c r="BJ32" s="228"/>
      <c r="BK32" s="228"/>
      <c r="BL32" s="228"/>
      <c r="BM32" s="228"/>
      <c r="BN32" s="228"/>
      <c r="BO32" s="228"/>
      <c r="BP32" s="228"/>
      <c r="BQ32" s="228"/>
      <c r="BR32" s="228"/>
      <c r="BS32" s="228"/>
      <c r="BT32" s="228"/>
      <c r="BU32" s="228"/>
      <c r="BV32" s="228"/>
      <c r="BW32" s="228"/>
      <c r="BX32" s="228"/>
      <c r="BY32" s="228"/>
      <c r="BZ32" s="228"/>
      <c r="CA32" s="228"/>
      <c r="CB32" s="228"/>
      <c r="CC32" s="228"/>
      <c r="CD32" s="2"/>
    </row>
    <row r="33" spans="1:82" ht="12.75" customHeight="1">
      <c r="A33" s="246"/>
      <c r="B33" s="507"/>
      <c r="C33" s="258" t="s">
        <v>1929</v>
      </c>
      <c r="D33" s="259">
        <f>SUMIFS(Table2[Score], Table2[Major], "", Table2[Level], "")</f>
        <v>0</v>
      </c>
      <c r="E33" s="259">
        <f>SUMIFS(Table2[Score], Table2[Major], "", Table2[Level], "")</f>
        <v>0</v>
      </c>
      <c r="F33" s="259">
        <f>SUMIFS(Table2[Score], Table2[Major], "", Table2[Level], "")</f>
        <v>0</v>
      </c>
      <c r="G33" s="259"/>
      <c r="H33" s="259"/>
      <c r="I33" s="259"/>
      <c r="J33" s="259"/>
      <c r="K33" s="259"/>
      <c r="L33" s="259"/>
      <c r="M33" s="259"/>
      <c r="N33" s="259"/>
      <c r="O33" s="259"/>
      <c r="P33" s="259"/>
      <c r="Q33" s="259"/>
      <c r="R33" s="259"/>
      <c r="S33" s="259"/>
      <c r="T33" s="259"/>
      <c r="U33" s="259"/>
      <c r="V33" s="259"/>
      <c r="W33" s="259"/>
      <c r="X33" s="259"/>
      <c r="Y33" s="248">
        <f t="shared" si="17"/>
        <v>0</v>
      </c>
      <c r="Z33" s="248">
        <v>2</v>
      </c>
      <c r="AA33" s="249">
        <f t="shared" si="3"/>
        <v>0</v>
      </c>
      <c r="AB33" s="258" t="s">
        <v>1929</v>
      </c>
      <c r="AC33" s="250"/>
      <c r="AD33" s="228"/>
      <c r="AE33" s="251"/>
      <c r="AF33" s="252"/>
      <c r="AG33" s="228"/>
      <c r="AH33" s="228"/>
      <c r="AI33" s="228"/>
      <c r="AJ33" s="228"/>
      <c r="AK33" s="228"/>
      <c r="AL33" s="228"/>
      <c r="AM33" s="228"/>
      <c r="AN33" s="228"/>
      <c r="AO33" s="228"/>
      <c r="AP33" s="228"/>
      <c r="AQ33" s="228"/>
      <c r="AR33" s="228"/>
      <c r="AS33" s="228"/>
      <c r="AT33" s="228"/>
      <c r="AU33" s="228"/>
      <c r="AV33" s="228"/>
      <c r="AW33" s="228"/>
      <c r="AX33" s="228"/>
      <c r="AY33" s="228"/>
      <c r="AZ33" s="228"/>
      <c r="BA33" s="228"/>
      <c r="BB33" s="228"/>
      <c r="BC33" s="228"/>
      <c r="BD33" s="228"/>
      <c r="BE33" s="228"/>
      <c r="BF33" s="228"/>
      <c r="BG33" s="228"/>
      <c r="BH33" s="228"/>
      <c r="BI33" s="228"/>
      <c r="BJ33" s="228"/>
      <c r="BK33" s="228"/>
      <c r="BL33" s="228"/>
      <c r="BM33" s="228"/>
      <c r="BN33" s="228"/>
      <c r="BO33" s="228"/>
      <c r="BP33" s="228"/>
      <c r="BQ33" s="228"/>
      <c r="BR33" s="228"/>
      <c r="BS33" s="228"/>
      <c r="BT33" s="228"/>
      <c r="BU33" s="228"/>
      <c r="BV33" s="228"/>
      <c r="BW33" s="228"/>
      <c r="BX33" s="228"/>
      <c r="BY33" s="228"/>
      <c r="BZ33" s="228"/>
      <c r="CA33" s="228"/>
      <c r="CB33" s="228"/>
      <c r="CC33" s="228"/>
      <c r="CD33" s="2"/>
    </row>
    <row r="34" spans="1:82" ht="12.75" customHeight="1">
      <c r="A34" s="246"/>
      <c r="B34" s="507"/>
      <c r="C34" s="258" t="s">
        <v>81</v>
      </c>
      <c r="D34" s="259">
        <f>SUMIFS(Table2[Score], Table2[Major], "", Table2[Level], "")</f>
        <v>0</v>
      </c>
      <c r="E34" s="259">
        <f>SUMIFS(Table2[Score], Table2[Major], "", Table2[Level], "")</f>
        <v>0</v>
      </c>
      <c r="F34" s="259">
        <f>SUMIFS(Table2[Score], Table2[Major], "", Table2[Level], "")</f>
        <v>0</v>
      </c>
      <c r="G34" s="259"/>
      <c r="H34" s="259"/>
      <c r="I34" s="260"/>
      <c r="J34" s="259"/>
      <c r="K34" s="260"/>
      <c r="L34" s="260"/>
      <c r="M34" s="260"/>
      <c r="N34" s="260"/>
      <c r="O34" s="260"/>
      <c r="P34" s="260"/>
      <c r="Q34" s="260"/>
      <c r="R34" s="259"/>
      <c r="S34" s="259"/>
      <c r="T34" s="259"/>
      <c r="U34" s="259"/>
      <c r="V34" s="259"/>
      <c r="W34" s="259"/>
      <c r="X34" s="259"/>
      <c r="Y34" s="248">
        <f t="shared" si="17"/>
        <v>0</v>
      </c>
      <c r="Z34" s="248">
        <v>7</v>
      </c>
      <c r="AA34" s="249">
        <f t="shared" si="3"/>
        <v>0</v>
      </c>
      <c r="AB34" s="258" t="s">
        <v>81</v>
      </c>
      <c r="AC34" s="250"/>
      <c r="AD34" s="228"/>
      <c r="AE34" s="251"/>
      <c r="AF34" s="252"/>
      <c r="AG34" s="228"/>
      <c r="AH34" s="228"/>
      <c r="AI34" s="228"/>
      <c r="AJ34" s="228"/>
      <c r="AK34" s="228"/>
      <c r="AL34" s="228"/>
      <c r="AM34" s="228"/>
      <c r="AN34" s="228"/>
      <c r="AO34" s="228"/>
      <c r="AP34" s="228"/>
      <c r="AQ34" s="228"/>
      <c r="AR34" s="228"/>
      <c r="AS34" s="228"/>
      <c r="AT34" s="228"/>
      <c r="AU34" s="228"/>
      <c r="AV34" s="228"/>
      <c r="AW34" s="228"/>
      <c r="AX34" s="228"/>
      <c r="AY34" s="228"/>
      <c r="AZ34" s="228"/>
      <c r="BA34" s="228"/>
      <c r="BB34" s="228"/>
      <c r="BC34" s="228"/>
      <c r="BD34" s="228"/>
      <c r="BE34" s="228"/>
      <c r="BF34" s="228"/>
      <c r="BG34" s="228"/>
      <c r="BH34" s="228"/>
      <c r="BI34" s="228"/>
      <c r="BJ34" s="228"/>
      <c r="BK34" s="228"/>
      <c r="BL34" s="228"/>
      <c r="BM34" s="228"/>
      <c r="BN34" s="228"/>
      <c r="BO34" s="228"/>
      <c r="BP34" s="228"/>
      <c r="BQ34" s="228"/>
      <c r="BR34" s="228"/>
      <c r="BS34" s="228"/>
      <c r="BT34" s="228"/>
      <c r="BU34" s="228"/>
      <c r="BV34" s="228"/>
      <c r="BW34" s="228"/>
      <c r="BX34" s="228"/>
      <c r="BY34" s="228"/>
      <c r="BZ34" s="228"/>
      <c r="CA34" s="228"/>
      <c r="CB34" s="228"/>
      <c r="CC34" s="228"/>
      <c r="CD34" s="2"/>
    </row>
    <row r="35" spans="1:82" ht="12.75" customHeight="1">
      <c r="A35" s="246"/>
      <c r="B35" s="507"/>
      <c r="C35" s="258" t="s">
        <v>82</v>
      </c>
      <c r="D35" s="259">
        <f>SUMIFS(Table2[Score], Table2[Major], "", Table2[Level], "")</f>
        <v>0</v>
      </c>
      <c r="E35" s="259">
        <f>SUMIFS(Table2[Score], Table2[Major], "", Table2[Level], "")</f>
        <v>0</v>
      </c>
      <c r="F35" s="259">
        <f>SUMIFS(Table2[Score], Table2[Major], "", Table2[Level], "")</f>
        <v>0</v>
      </c>
      <c r="G35" s="259"/>
      <c r="H35" s="259"/>
      <c r="I35" s="259"/>
      <c r="J35" s="260"/>
      <c r="K35" s="260"/>
      <c r="L35" s="260"/>
      <c r="M35" s="260"/>
      <c r="N35" s="260"/>
      <c r="O35" s="260"/>
      <c r="P35" s="260"/>
      <c r="Q35" s="260"/>
      <c r="R35" s="259"/>
      <c r="S35" s="259"/>
      <c r="T35" s="259"/>
      <c r="U35" s="259"/>
      <c r="V35" s="259"/>
      <c r="W35" s="259"/>
      <c r="X35" s="259"/>
      <c r="Y35" s="248">
        <f t="shared" si="17"/>
        <v>0</v>
      </c>
      <c r="Z35" s="255" t="s">
        <v>19</v>
      </c>
      <c r="AA35" s="255" t="str">
        <f t="shared" si="3"/>
        <v>-</v>
      </c>
      <c r="AB35" s="258" t="s">
        <v>82</v>
      </c>
      <c r="AC35" s="250"/>
      <c r="AD35" s="228"/>
      <c r="AE35" s="251"/>
      <c r="AF35" s="252"/>
      <c r="AG35" s="228"/>
      <c r="AH35" s="228"/>
      <c r="AI35" s="228"/>
      <c r="AJ35" s="228"/>
      <c r="AK35" s="228"/>
      <c r="AL35" s="228"/>
      <c r="AM35" s="228"/>
      <c r="AN35" s="228"/>
      <c r="AO35" s="228"/>
      <c r="AP35" s="228"/>
      <c r="AQ35" s="228"/>
      <c r="AR35" s="228"/>
      <c r="AS35" s="228"/>
      <c r="AT35" s="228"/>
      <c r="AU35" s="228"/>
      <c r="AV35" s="228"/>
      <c r="AW35" s="228"/>
      <c r="AX35" s="228"/>
      <c r="AY35" s="228"/>
      <c r="AZ35" s="228"/>
      <c r="BA35" s="228"/>
      <c r="BB35" s="228"/>
      <c r="BC35" s="228"/>
      <c r="BD35" s="228"/>
      <c r="BE35" s="228"/>
      <c r="BF35" s="228"/>
      <c r="BG35" s="228"/>
      <c r="BH35" s="228"/>
      <c r="BI35" s="228"/>
      <c r="BJ35" s="228"/>
      <c r="BK35" s="228"/>
      <c r="BL35" s="228"/>
      <c r="BM35" s="228"/>
      <c r="BN35" s="228"/>
      <c r="BO35" s="228"/>
      <c r="BP35" s="228"/>
      <c r="BQ35" s="228"/>
      <c r="BR35" s="228"/>
      <c r="BS35" s="228"/>
      <c r="BT35" s="228"/>
      <c r="BU35" s="228"/>
      <c r="BV35" s="228"/>
      <c r="BW35" s="228"/>
      <c r="BX35" s="228"/>
      <c r="BY35" s="228"/>
      <c r="BZ35" s="228"/>
      <c r="CA35" s="228"/>
      <c r="CB35" s="228"/>
      <c r="CC35" s="228"/>
      <c r="CD35" s="2"/>
    </row>
    <row r="36" spans="1:82" ht="12.75" customHeight="1">
      <c r="A36" s="246"/>
      <c r="B36" s="507"/>
      <c r="C36" s="258" t="s">
        <v>83</v>
      </c>
      <c r="D36" s="259">
        <f>SUMIFS(Table2[Score], Table2[Major], "", Table2[Level], "")</f>
        <v>0</v>
      </c>
      <c r="E36" s="259">
        <f>SUMIFS(Table2[Score], Table2[Major], "", Table2[Level], "")</f>
        <v>0</v>
      </c>
      <c r="F36" s="259">
        <f>SUMIFS(Table2[Score], Table2[Major], "", Table2[Level], "")</f>
        <v>0</v>
      </c>
      <c r="G36" s="259"/>
      <c r="H36" s="259"/>
      <c r="I36" s="259"/>
      <c r="J36" s="260"/>
      <c r="K36" s="260"/>
      <c r="L36" s="260"/>
      <c r="M36" s="260"/>
      <c r="N36" s="260"/>
      <c r="O36" s="260"/>
      <c r="P36" s="260"/>
      <c r="Q36" s="260"/>
      <c r="R36" s="259"/>
      <c r="S36" s="259"/>
      <c r="T36" s="259"/>
      <c r="U36" s="259"/>
      <c r="V36" s="259"/>
      <c r="W36" s="259"/>
      <c r="X36" s="259"/>
      <c r="Y36" s="248">
        <f t="shared" si="17"/>
        <v>0</v>
      </c>
      <c r="Z36" s="255" t="s">
        <v>19</v>
      </c>
      <c r="AA36" s="255" t="str">
        <f t="shared" si="3"/>
        <v>-</v>
      </c>
      <c r="AB36" s="258" t="s">
        <v>83</v>
      </c>
      <c r="AC36" s="250"/>
      <c r="AD36" s="228"/>
      <c r="AE36" s="251"/>
      <c r="AF36" s="252"/>
      <c r="AG36" s="228"/>
      <c r="AH36" s="228"/>
      <c r="AI36" s="228"/>
      <c r="AJ36" s="228"/>
      <c r="AK36" s="228"/>
      <c r="AL36" s="228"/>
      <c r="AM36" s="228"/>
      <c r="AN36" s="228"/>
      <c r="AO36" s="228"/>
      <c r="AP36" s="228"/>
      <c r="AQ36" s="228"/>
      <c r="AR36" s="228"/>
      <c r="AS36" s="228"/>
      <c r="AT36" s="228"/>
      <c r="AU36" s="228"/>
      <c r="AV36" s="228"/>
      <c r="AW36" s="228"/>
      <c r="AX36" s="228"/>
      <c r="AY36" s="228"/>
      <c r="AZ36" s="228"/>
      <c r="BA36" s="228"/>
      <c r="BB36" s="228"/>
      <c r="BC36" s="228"/>
      <c r="BD36" s="228"/>
      <c r="BE36" s="228"/>
      <c r="BF36" s="228"/>
      <c r="BG36" s="228"/>
      <c r="BH36" s="228"/>
      <c r="BI36" s="228"/>
      <c r="BJ36" s="228"/>
      <c r="BK36" s="228"/>
      <c r="BL36" s="228"/>
      <c r="BM36" s="228"/>
      <c r="BN36" s="228"/>
      <c r="BO36" s="228"/>
      <c r="BP36" s="228"/>
      <c r="BQ36" s="228"/>
      <c r="BR36" s="228"/>
      <c r="BS36" s="228"/>
      <c r="BT36" s="228"/>
      <c r="BU36" s="228"/>
      <c r="BV36" s="228"/>
      <c r="BW36" s="228"/>
      <c r="BX36" s="228"/>
      <c r="BY36" s="228"/>
      <c r="BZ36" s="228"/>
      <c r="CA36" s="228"/>
      <c r="CB36" s="228"/>
      <c r="CC36" s="228"/>
      <c r="CD36" s="2"/>
    </row>
    <row r="37" spans="1:82" ht="12.75" customHeight="1">
      <c r="A37" s="246"/>
      <c r="B37" s="507"/>
      <c r="C37" s="258" t="s">
        <v>84</v>
      </c>
      <c r="D37" s="259">
        <f>SUMIFS(Table2[Score], Table2[Major], "", Table2[Level], "")</f>
        <v>0</v>
      </c>
      <c r="E37" s="259">
        <f>SUMIFS(Table2[Score], Table2[Major], "", Table2[Level], "")</f>
        <v>0</v>
      </c>
      <c r="F37" s="259">
        <f>SUMIFS(Table2[Score], Table2[Major], "", Table2[Level], "")</f>
        <v>0</v>
      </c>
      <c r="G37" s="259"/>
      <c r="H37" s="259"/>
      <c r="I37" s="259"/>
      <c r="J37" s="260"/>
      <c r="K37" s="260"/>
      <c r="L37" s="260"/>
      <c r="M37" s="260"/>
      <c r="N37" s="260"/>
      <c r="O37" s="260"/>
      <c r="P37" s="260"/>
      <c r="Q37" s="260"/>
      <c r="R37" s="259"/>
      <c r="S37" s="259"/>
      <c r="T37" s="259"/>
      <c r="U37" s="259"/>
      <c r="V37" s="259"/>
      <c r="W37" s="259"/>
      <c r="X37" s="259"/>
      <c r="Y37" s="248">
        <f t="shared" si="17"/>
        <v>0</v>
      </c>
      <c r="Z37" s="248">
        <v>11</v>
      </c>
      <c r="AA37" s="249">
        <f t="shared" si="3"/>
        <v>0</v>
      </c>
      <c r="AB37" s="258" t="s">
        <v>84</v>
      </c>
      <c r="AC37" s="250"/>
      <c r="AD37" s="228"/>
      <c r="AE37" s="251"/>
      <c r="AF37" s="252"/>
      <c r="AG37" s="228"/>
      <c r="AH37" s="228"/>
      <c r="AI37" s="228"/>
      <c r="AJ37" s="228"/>
      <c r="AK37" s="228"/>
      <c r="AL37" s="228"/>
      <c r="AM37" s="228"/>
      <c r="AN37" s="228"/>
      <c r="AO37" s="228"/>
      <c r="AP37" s="228"/>
      <c r="AQ37" s="228"/>
      <c r="AR37" s="228"/>
      <c r="AS37" s="228"/>
      <c r="AT37" s="228"/>
      <c r="AU37" s="228"/>
      <c r="AV37" s="228"/>
      <c r="AW37" s="228"/>
      <c r="AX37" s="228"/>
      <c r="AY37" s="228"/>
      <c r="AZ37" s="228"/>
      <c r="BA37" s="228"/>
      <c r="BB37" s="228"/>
      <c r="BC37" s="228"/>
      <c r="BD37" s="228"/>
      <c r="BE37" s="228"/>
      <c r="BF37" s="228"/>
      <c r="BG37" s="228"/>
      <c r="BH37" s="228"/>
      <c r="BI37" s="228"/>
      <c r="BJ37" s="228"/>
      <c r="BK37" s="228"/>
      <c r="BL37" s="228"/>
      <c r="BM37" s="228"/>
      <c r="BN37" s="228"/>
      <c r="BO37" s="228"/>
      <c r="BP37" s="228"/>
      <c r="BQ37" s="228"/>
      <c r="BR37" s="228"/>
      <c r="BS37" s="228"/>
      <c r="BT37" s="228"/>
      <c r="BU37" s="228"/>
      <c r="BV37" s="228"/>
      <c r="BW37" s="228"/>
      <c r="BX37" s="228"/>
      <c r="BY37" s="228"/>
      <c r="BZ37" s="228"/>
      <c r="CA37" s="228"/>
      <c r="CB37" s="228"/>
      <c r="CC37" s="228"/>
      <c r="CD37" s="2"/>
    </row>
    <row r="38" spans="1:82" ht="12.75" customHeight="1">
      <c r="A38" s="246"/>
      <c r="B38" s="507"/>
      <c r="C38" s="258" t="s">
        <v>85</v>
      </c>
      <c r="D38" s="263">
        <f>COUNTIF('Data All'!E1:E468,'Data All'!E271)+COUNTIF('Data All'!E1:E468,'Data All'!E272)</f>
        <v>304</v>
      </c>
      <c r="E38" s="259">
        <f>SUMIFS(Table2[Score], Table2[Major], "", Table2[Level], "")</f>
        <v>0</v>
      </c>
      <c r="F38" s="259">
        <f>SUMIFS(Table2[Score], Table2[Major], "", Table2[Level], "")</f>
        <v>0</v>
      </c>
      <c r="G38" s="259"/>
      <c r="H38" s="263">
        <f>COUNTIF('Data All'!E1:E468,'Data All'!E273)+COUNTIF('Data All'!E1:E468,'Data All'!E274)</f>
        <v>594</v>
      </c>
      <c r="I38" s="264">
        <f>COUNTIF('Data All'!E1:E468,'Data All'!E265)</f>
        <v>10</v>
      </c>
      <c r="J38" s="264">
        <f>COUNTIF('Data All'!E1:E468,'Data All'!E272)+COUNTIFS('Data All'!C1:C468,"Magister of Management",'Data All'!E1:E468,VLOOKUP('Data All'!E289,'Data All'!E1:E468,1,FALSE))+COUNTIF('Data All'!E1:E468,'Data All'!E290)+COUNTIF('Data All'!E1:E468,'Data All'!E291)+COUNTIF('Data All'!E1:E468,'Data All'!E292)+COUNTIF('Data All'!E1:E468,'Data All'!E293)+COUNTIF('Data All'!E1:E468,'Data All'!E294)</f>
        <v>1190</v>
      </c>
      <c r="K38" s="264">
        <f>COUNTIF('Data All'!E1:E468,'Data All'!E266)+COUNTIF('Data All'!E1:E468,'Data All'!E267)+COUNTIFS('Data All'!C1:C468,"Magister of Management",'Data All'!E1:E468,VLOOKUP('Data All'!E281,'Data All'!E1:E468,1,FALSE))</f>
        <v>298</v>
      </c>
      <c r="L38" s="260"/>
      <c r="M38" s="260"/>
      <c r="N38" s="260"/>
      <c r="O38" s="260"/>
      <c r="P38" s="260"/>
      <c r="Q38" s="260"/>
      <c r="R38" s="259"/>
      <c r="S38" s="259"/>
      <c r="T38" s="259"/>
      <c r="U38" s="259"/>
      <c r="V38" s="259"/>
      <c r="W38" s="259"/>
      <c r="X38" s="259"/>
      <c r="Y38" s="248">
        <f t="shared" si="17"/>
        <v>4967</v>
      </c>
      <c r="Z38" s="255" t="s">
        <v>19</v>
      </c>
      <c r="AA38" s="255" t="str">
        <f t="shared" si="3"/>
        <v>-</v>
      </c>
      <c r="AB38" s="258" t="s">
        <v>85</v>
      </c>
      <c r="AC38" s="250"/>
      <c r="AD38" s="228"/>
      <c r="AE38" s="251"/>
      <c r="AF38" s="252"/>
      <c r="AG38" s="228"/>
      <c r="AH38" s="228"/>
      <c r="AI38" s="228"/>
      <c r="AJ38" s="228"/>
      <c r="AK38" s="228"/>
      <c r="AL38" s="228"/>
      <c r="AM38" s="228"/>
      <c r="AN38" s="228"/>
      <c r="AO38" s="228"/>
      <c r="AP38" s="228"/>
      <c r="AQ38" s="228"/>
      <c r="AR38" s="228"/>
      <c r="AS38" s="228"/>
      <c r="AT38" s="228"/>
      <c r="AU38" s="228"/>
      <c r="AV38" s="228"/>
      <c r="AW38" s="228"/>
      <c r="AX38" s="228"/>
      <c r="AY38" s="228"/>
      <c r="AZ38" s="228"/>
      <c r="BA38" s="228"/>
      <c r="BB38" s="228"/>
      <c r="BC38" s="228"/>
      <c r="BD38" s="228"/>
      <c r="BE38" s="228"/>
      <c r="BF38" s="228"/>
      <c r="BG38" s="228"/>
      <c r="BH38" s="228"/>
      <c r="BI38" s="228"/>
      <c r="BJ38" s="228"/>
      <c r="BK38" s="228"/>
      <c r="BL38" s="228"/>
      <c r="BM38" s="228"/>
      <c r="BN38" s="228"/>
      <c r="BO38" s="228"/>
      <c r="BP38" s="228"/>
      <c r="BQ38" s="228"/>
      <c r="BR38" s="228"/>
      <c r="BS38" s="228"/>
      <c r="BT38" s="228"/>
      <c r="BU38" s="228"/>
      <c r="BV38" s="228"/>
      <c r="BW38" s="228"/>
      <c r="BX38" s="228"/>
      <c r="BY38" s="228"/>
      <c r="BZ38" s="228"/>
      <c r="CA38" s="228"/>
      <c r="CB38" s="228"/>
      <c r="CC38" s="228"/>
      <c r="CD38" s="2"/>
    </row>
    <row r="39" spans="1:82" ht="12.75" customHeight="1">
      <c r="A39" s="246"/>
      <c r="B39" s="507"/>
      <c r="C39" s="258" t="s">
        <v>99</v>
      </c>
      <c r="D39" s="259">
        <f>SUMIFS(Table2[Score], Table2[Major], "", Table2[Level], "")</f>
        <v>0</v>
      </c>
      <c r="E39" s="259">
        <f>SUMIFS(Table2[Score], Table2[Major], "", Table2[Level], "")</f>
        <v>0</v>
      </c>
      <c r="F39" s="259">
        <f>SUMIFS(Table2[Score], Table2[Major], "", Table2[Level], "")</f>
        <v>0</v>
      </c>
      <c r="G39" s="259"/>
      <c r="H39" s="259"/>
      <c r="I39" s="259"/>
      <c r="J39" s="259"/>
      <c r="K39" s="259"/>
      <c r="L39" s="259"/>
      <c r="M39" s="259"/>
      <c r="N39" s="259"/>
      <c r="O39" s="259"/>
      <c r="P39" s="259"/>
      <c r="Q39" s="259"/>
      <c r="R39" s="259"/>
      <c r="S39" s="259"/>
      <c r="T39" s="259"/>
      <c r="U39" s="259"/>
      <c r="V39" s="259"/>
      <c r="W39" s="259"/>
      <c r="X39" s="259"/>
      <c r="Y39" s="248">
        <f t="shared" si="17"/>
        <v>0</v>
      </c>
      <c r="Z39" s="255" t="s">
        <v>19</v>
      </c>
      <c r="AA39" s="255" t="str">
        <f t="shared" si="3"/>
        <v>-</v>
      </c>
      <c r="AB39" s="258" t="s">
        <v>99</v>
      </c>
      <c r="AC39" s="250"/>
      <c r="AD39" s="228"/>
      <c r="AE39" s="251"/>
      <c r="AF39" s="252"/>
      <c r="AG39" s="228"/>
      <c r="AH39" s="228"/>
      <c r="AI39" s="228"/>
      <c r="AJ39" s="228"/>
      <c r="AK39" s="228"/>
      <c r="AL39" s="228"/>
      <c r="AM39" s="228"/>
      <c r="AN39" s="228"/>
      <c r="AO39" s="228"/>
      <c r="AP39" s="228"/>
      <c r="AQ39" s="228"/>
      <c r="AR39" s="228"/>
      <c r="AS39" s="228"/>
      <c r="AT39" s="228"/>
      <c r="AU39" s="228"/>
      <c r="AV39" s="228"/>
      <c r="AW39" s="228"/>
      <c r="AX39" s="228"/>
      <c r="AY39" s="228"/>
      <c r="AZ39" s="228"/>
      <c r="BA39" s="228"/>
      <c r="BB39" s="228"/>
      <c r="BC39" s="228"/>
      <c r="BD39" s="228"/>
      <c r="BE39" s="228"/>
      <c r="BF39" s="228"/>
      <c r="BG39" s="228"/>
      <c r="BH39" s="228"/>
      <c r="BI39" s="228"/>
      <c r="BJ39" s="228"/>
      <c r="BK39" s="228"/>
      <c r="BL39" s="228"/>
      <c r="BM39" s="228"/>
      <c r="BN39" s="228"/>
      <c r="BO39" s="228"/>
      <c r="BP39" s="228"/>
      <c r="BQ39" s="228"/>
      <c r="BR39" s="228"/>
      <c r="BS39" s="228"/>
      <c r="BT39" s="228"/>
      <c r="BU39" s="228"/>
      <c r="BV39" s="228"/>
      <c r="BW39" s="228"/>
      <c r="BX39" s="228"/>
      <c r="BY39" s="228"/>
      <c r="BZ39" s="228"/>
      <c r="CA39" s="228"/>
      <c r="CB39" s="228"/>
      <c r="CC39" s="228"/>
      <c r="CD39" s="2"/>
    </row>
    <row r="40" spans="1:82" ht="12.75" customHeight="1">
      <c r="A40" s="246"/>
      <c r="B40" s="507"/>
      <c r="C40" s="258" t="s">
        <v>86</v>
      </c>
      <c r="D40" s="259">
        <f>SUMIFS(Table2[Score], Table2[Major], "", Table2[Level], "")</f>
        <v>0</v>
      </c>
      <c r="E40" s="259">
        <f>SUMIFS(Table2[Score], Table2[Major], "", Table2[Level], "")</f>
        <v>0</v>
      </c>
      <c r="F40" s="259">
        <f>SUMIFS(Table2[Score], Table2[Major], "", Table2[Level], "")</f>
        <v>0</v>
      </c>
      <c r="G40" s="259"/>
      <c r="H40" s="259"/>
      <c r="I40" s="259"/>
      <c r="J40" s="260"/>
      <c r="K40" s="260"/>
      <c r="L40" s="260"/>
      <c r="M40" s="260"/>
      <c r="N40" s="260"/>
      <c r="O40" s="260"/>
      <c r="P40" s="260"/>
      <c r="Q40" s="260"/>
      <c r="R40" s="259"/>
      <c r="S40" s="259"/>
      <c r="T40" s="259"/>
      <c r="U40" s="259"/>
      <c r="V40" s="259"/>
      <c r="W40" s="259"/>
      <c r="X40" s="259"/>
      <c r="Y40" s="248">
        <f t="shared" si="17"/>
        <v>0</v>
      </c>
      <c r="Z40" s="255" t="s">
        <v>19</v>
      </c>
      <c r="AA40" s="255" t="str">
        <f t="shared" si="3"/>
        <v>-</v>
      </c>
      <c r="AB40" s="258" t="s">
        <v>86</v>
      </c>
      <c r="AC40" s="250"/>
      <c r="AD40" s="228"/>
      <c r="AE40" s="251"/>
      <c r="AF40" s="252"/>
      <c r="AG40" s="228"/>
      <c r="AH40" s="228"/>
      <c r="AI40" s="228"/>
      <c r="AJ40" s="228"/>
      <c r="AK40" s="228"/>
      <c r="AL40" s="228"/>
      <c r="AM40" s="228"/>
      <c r="AN40" s="228"/>
      <c r="AO40" s="228"/>
      <c r="AP40" s="228"/>
      <c r="AQ40" s="228"/>
      <c r="AR40" s="228"/>
      <c r="AS40" s="228"/>
      <c r="AT40" s="228"/>
      <c r="AU40" s="228"/>
      <c r="AV40" s="228"/>
      <c r="AW40" s="228"/>
      <c r="AX40" s="228"/>
      <c r="AY40" s="228"/>
      <c r="AZ40" s="228"/>
      <c r="BA40" s="228"/>
      <c r="BB40" s="228"/>
      <c r="BC40" s="228"/>
      <c r="BD40" s="228"/>
      <c r="BE40" s="228"/>
      <c r="BF40" s="228"/>
      <c r="BG40" s="228"/>
      <c r="BH40" s="228"/>
      <c r="BI40" s="228"/>
      <c r="BJ40" s="228"/>
      <c r="BK40" s="228"/>
      <c r="BL40" s="228"/>
      <c r="BM40" s="228"/>
      <c r="BN40" s="228"/>
      <c r="BO40" s="228"/>
      <c r="BP40" s="228"/>
      <c r="BQ40" s="228"/>
      <c r="BR40" s="228"/>
      <c r="BS40" s="228"/>
      <c r="BT40" s="228"/>
      <c r="BU40" s="228"/>
      <c r="BV40" s="228"/>
      <c r="BW40" s="228"/>
      <c r="BX40" s="228"/>
      <c r="BY40" s="228"/>
      <c r="BZ40" s="228"/>
      <c r="CA40" s="228"/>
      <c r="CB40" s="228"/>
      <c r="CC40" s="228"/>
      <c r="CD40" s="2"/>
    </row>
    <row r="41" spans="1:82" ht="12.75" customHeight="1">
      <c r="A41" s="246"/>
      <c r="B41" s="507"/>
      <c r="C41" s="258" t="s">
        <v>87</v>
      </c>
      <c r="D41" s="259">
        <f>SUMIFS(Table2[Score], Table2[Major], "", Table2[Level], "")</f>
        <v>0</v>
      </c>
      <c r="E41" s="259">
        <f>SUMIFS(Table2[Score], Table2[Major], "", Table2[Level], "")</f>
        <v>0</v>
      </c>
      <c r="F41" s="259">
        <f>SUMIFS(Table2[Score], Table2[Major], "", Table2[Level], "")</f>
        <v>0</v>
      </c>
      <c r="G41" s="259"/>
      <c r="H41" s="259"/>
      <c r="I41" s="259"/>
      <c r="J41" s="260"/>
      <c r="K41" s="260"/>
      <c r="L41" s="260"/>
      <c r="M41" s="260"/>
      <c r="N41" s="260"/>
      <c r="O41" s="260"/>
      <c r="P41" s="260"/>
      <c r="Q41" s="260"/>
      <c r="R41" s="259"/>
      <c r="S41" s="259"/>
      <c r="T41" s="259"/>
      <c r="U41" s="259"/>
      <c r="V41" s="259"/>
      <c r="W41" s="259"/>
      <c r="X41" s="259"/>
      <c r="Y41" s="248">
        <f t="shared" si="17"/>
        <v>0</v>
      </c>
      <c r="Z41" s="248">
        <v>9</v>
      </c>
      <c r="AA41" s="249">
        <f t="shared" si="3"/>
        <v>0</v>
      </c>
      <c r="AB41" s="258" t="s">
        <v>87</v>
      </c>
      <c r="AC41" s="250"/>
      <c r="AD41" s="228"/>
      <c r="AE41" s="251"/>
      <c r="AF41" s="252"/>
      <c r="AG41" s="228"/>
      <c r="AH41" s="228"/>
      <c r="AI41" s="228"/>
      <c r="AJ41" s="228"/>
      <c r="AK41" s="228"/>
      <c r="AL41" s="228"/>
      <c r="AM41" s="228"/>
      <c r="AN41" s="228"/>
      <c r="AO41" s="228"/>
      <c r="AP41" s="228"/>
      <c r="AQ41" s="228"/>
      <c r="AR41" s="228"/>
      <c r="AS41" s="228"/>
      <c r="AT41" s="228"/>
      <c r="AU41" s="228"/>
      <c r="AV41" s="228"/>
      <c r="AW41" s="228"/>
      <c r="AX41" s="228"/>
      <c r="AY41" s="228"/>
      <c r="AZ41" s="228"/>
      <c r="BA41" s="228"/>
      <c r="BB41" s="228"/>
      <c r="BC41" s="228"/>
      <c r="BD41" s="228"/>
      <c r="BE41" s="228"/>
      <c r="BF41" s="228"/>
      <c r="BG41" s="228"/>
      <c r="BH41" s="228"/>
      <c r="BI41" s="228"/>
      <c r="BJ41" s="228"/>
      <c r="BK41" s="228"/>
      <c r="BL41" s="228"/>
      <c r="BM41" s="228"/>
      <c r="BN41" s="228"/>
      <c r="BO41" s="228"/>
      <c r="BP41" s="228"/>
      <c r="BQ41" s="228"/>
      <c r="BR41" s="228"/>
      <c r="BS41" s="228"/>
      <c r="BT41" s="228"/>
      <c r="BU41" s="228"/>
      <c r="BV41" s="228"/>
      <c r="BW41" s="228"/>
      <c r="BX41" s="228"/>
      <c r="BY41" s="228"/>
      <c r="BZ41" s="228"/>
      <c r="CA41" s="228"/>
      <c r="CB41" s="228"/>
      <c r="CC41" s="228"/>
      <c r="CD41" s="2"/>
    </row>
    <row r="42" spans="1:82" ht="11.25" customHeight="1">
      <c r="A42" s="265"/>
      <c r="B42" s="507"/>
      <c r="C42" s="266" t="s">
        <v>88</v>
      </c>
      <c r="D42" s="259">
        <f>SUMIFS(Table2[Score], Table2[Major], "", Table2[Level], "")</f>
        <v>0</v>
      </c>
      <c r="E42" s="259">
        <f>SUMIFS(Table2[Score], Table2[Major], "", Table2[Level], "")</f>
        <v>0</v>
      </c>
      <c r="F42" s="259">
        <f>SUMIFS(Table2[Score], Table2[Major], "", Table2[Level], "")</f>
        <v>0</v>
      </c>
      <c r="G42" s="259"/>
      <c r="H42" s="259"/>
      <c r="I42" s="259"/>
      <c r="J42" s="260"/>
      <c r="K42" s="260"/>
      <c r="L42" s="260"/>
      <c r="M42" s="260"/>
      <c r="N42" s="260"/>
      <c r="O42" s="260"/>
      <c r="P42" s="260"/>
      <c r="Q42" s="260"/>
      <c r="R42" s="259"/>
      <c r="S42" s="259"/>
      <c r="T42" s="259"/>
      <c r="U42" s="259"/>
      <c r="V42" s="259"/>
      <c r="W42" s="259"/>
      <c r="X42" s="259"/>
      <c r="Y42" s="248">
        <f t="shared" si="17"/>
        <v>0</v>
      </c>
      <c r="Z42" s="248">
        <v>16</v>
      </c>
      <c r="AA42" s="249">
        <f t="shared" si="3"/>
        <v>0</v>
      </c>
      <c r="AB42" s="266" t="s">
        <v>88</v>
      </c>
      <c r="AC42" s="250"/>
      <c r="AD42" s="228"/>
      <c r="AE42" s="251"/>
      <c r="AF42" s="252"/>
      <c r="AG42" s="228"/>
      <c r="AH42" s="228"/>
      <c r="AI42" s="228"/>
      <c r="AJ42" s="228"/>
      <c r="AK42" s="228"/>
      <c r="AL42" s="228"/>
      <c r="AM42" s="228"/>
      <c r="AN42" s="228"/>
      <c r="AO42" s="228"/>
      <c r="AP42" s="228"/>
      <c r="AQ42" s="228"/>
      <c r="AR42" s="228"/>
      <c r="AS42" s="228"/>
      <c r="AT42" s="228"/>
      <c r="AU42" s="228"/>
      <c r="AV42" s="228"/>
      <c r="AW42" s="228"/>
      <c r="AX42" s="228"/>
      <c r="AY42" s="228"/>
      <c r="AZ42" s="228"/>
      <c r="BA42" s="228"/>
      <c r="BB42" s="228"/>
      <c r="BC42" s="228"/>
      <c r="BD42" s="228"/>
      <c r="BE42" s="228"/>
      <c r="BF42" s="228"/>
      <c r="BG42" s="228"/>
      <c r="BH42" s="228"/>
      <c r="BI42" s="228"/>
      <c r="BJ42" s="228"/>
      <c r="BK42" s="228"/>
      <c r="BL42" s="228"/>
      <c r="BM42" s="228"/>
      <c r="BN42" s="228"/>
      <c r="BO42" s="228"/>
      <c r="BP42" s="228"/>
      <c r="BQ42" s="228"/>
      <c r="BR42" s="228"/>
      <c r="BS42" s="228"/>
      <c r="BT42" s="228"/>
      <c r="BU42" s="228"/>
      <c r="BV42" s="228"/>
      <c r="BW42" s="228"/>
      <c r="BX42" s="228"/>
      <c r="BY42" s="228"/>
      <c r="BZ42" s="228"/>
      <c r="CA42" s="228"/>
      <c r="CB42" s="228"/>
      <c r="CC42" s="228"/>
      <c r="CD42" s="2"/>
    </row>
    <row r="43" spans="1:82" ht="12.75" customHeight="1">
      <c r="A43" s="267"/>
      <c r="B43" s="508"/>
      <c r="C43" s="266" t="s">
        <v>1930</v>
      </c>
      <c r="D43" s="259">
        <f>SUMIFS(Table2[Score], Table2[Major], "", Table2[Level], "")</f>
        <v>0</v>
      </c>
      <c r="E43" s="259">
        <f>SUMIFS(Table2[Score], Table2[Major], "", Table2[Level], "")</f>
        <v>0</v>
      </c>
      <c r="F43" s="259">
        <f>SUMIFS(Table2[Score], Table2[Major], "", Table2[Level], "")</f>
        <v>0</v>
      </c>
      <c r="G43" s="259"/>
      <c r="H43" s="259"/>
      <c r="I43" s="259"/>
      <c r="J43" s="259"/>
      <c r="K43" s="259"/>
      <c r="L43" s="259"/>
      <c r="M43" s="259"/>
      <c r="N43" s="259"/>
      <c r="O43" s="259"/>
      <c r="P43" s="259"/>
      <c r="Q43" s="259"/>
      <c r="R43" s="259"/>
      <c r="S43" s="259"/>
      <c r="T43" s="259"/>
      <c r="U43" s="259"/>
      <c r="V43" s="259"/>
      <c r="W43" s="259"/>
      <c r="X43" s="259"/>
      <c r="Y43" s="248">
        <f t="shared" si="17"/>
        <v>0</v>
      </c>
      <c r="Z43" s="254"/>
      <c r="AA43" s="255" t="str">
        <f t="shared" si="3"/>
        <v>-</v>
      </c>
      <c r="AB43" s="266" t="s">
        <v>1930</v>
      </c>
      <c r="AC43" s="250"/>
      <c r="AD43" s="228"/>
      <c r="AE43" s="251"/>
      <c r="AF43" s="252"/>
      <c r="AG43" s="228"/>
      <c r="AH43" s="228"/>
      <c r="AI43" s="228"/>
      <c r="AJ43" s="228"/>
      <c r="AK43" s="228"/>
      <c r="AL43" s="228"/>
      <c r="AM43" s="228"/>
      <c r="AN43" s="228"/>
      <c r="AO43" s="228"/>
      <c r="AP43" s="228"/>
      <c r="AQ43" s="228"/>
      <c r="AR43" s="228"/>
      <c r="AS43" s="228"/>
      <c r="AT43" s="228"/>
      <c r="AU43" s="228"/>
      <c r="AV43" s="228"/>
      <c r="AW43" s="228"/>
      <c r="AX43" s="228"/>
      <c r="AY43" s="228"/>
      <c r="AZ43" s="228"/>
      <c r="BA43" s="228"/>
      <c r="BB43" s="228"/>
      <c r="BC43" s="228"/>
      <c r="BD43" s="228"/>
      <c r="BE43" s="228"/>
      <c r="BF43" s="228"/>
      <c r="BG43" s="228"/>
      <c r="BH43" s="228"/>
      <c r="BI43" s="228"/>
      <c r="BJ43" s="228"/>
      <c r="BK43" s="228"/>
      <c r="BL43" s="228"/>
      <c r="BM43" s="228"/>
      <c r="BN43" s="228"/>
      <c r="BO43" s="228"/>
      <c r="BP43" s="228"/>
      <c r="BQ43" s="228"/>
      <c r="BR43" s="228"/>
      <c r="BS43" s="228"/>
      <c r="BT43" s="228"/>
      <c r="BU43" s="228"/>
      <c r="BV43" s="228"/>
      <c r="BW43" s="228"/>
      <c r="BX43" s="228"/>
      <c r="BY43" s="228"/>
      <c r="BZ43" s="228"/>
      <c r="CA43" s="228"/>
      <c r="CB43" s="228"/>
      <c r="CC43" s="228"/>
      <c r="CD43" s="2"/>
    </row>
    <row r="44" spans="1:82" ht="12.75" customHeight="1">
      <c r="A44" s="268" t="s">
        <v>1931</v>
      </c>
      <c r="B44" s="555" t="s">
        <v>1932</v>
      </c>
      <c r="C44" s="261" t="s">
        <v>89</v>
      </c>
      <c r="D44" s="248">
        <f t="shared" ref="D44:X44" si="18">D42+D43+D25</f>
        <v>0</v>
      </c>
      <c r="E44" s="248">
        <f t="shared" si="18"/>
        <v>0</v>
      </c>
      <c r="F44" s="248">
        <f t="shared" si="18"/>
        <v>0</v>
      </c>
      <c r="G44" s="248">
        <f t="shared" si="18"/>
        <v>0</v>
      </c>
      <c r="H44" s="248">
        <f t="shared" si="18"/>
        <v>0</v>
      </c>
      <c r="I44" s="248">
        <f t="shared" si="18"/>
        <v>0</v>
      </c>
      <c r="J44" s="248">
        <f t="shared" si="18"/>
        <v>0</v>
      </c>
      <c r="K44" s="248">
        <f t="shared" si="18"/>
        <v>0</v>
      </c>
      <c r="L44" s="248">
        <f t="shared" si="18"/>
        <v>0</v>
      </c>
      <c r="M44" s="248">
        <f t="shared" si="18"/>
        <v>0</v>
      </c>
      <c r="N44" s="248">
        <f t="shared" si="18"/>
        <v>0</v>
      </c>
      <c r="O44" s="248">
        <f t="shared" si="18"/>
        <v>0</v>
      </c>
      <c r="P44" s="248">
        <f t="shared" si="18"/>
        <v>0</v>
      </c>
      <c r="Q44" s="248">
        <f t="shared" si="18"/>
        <v>0</v>
      </c>
      <c r="R44" s="248">
        <f t="shared" si="18"/>
        <v>0</v>
      </c>
      <c r="S44" s="248">
        <f t="shared" si="18"/>
        <v>0</v>
      </c>
      <c r="T44" s="248">
        <f t="shared" si="18"/>
        <v>0</v>
      </c>
      <c r="U44" s="248">
        <f t="shared" si="18"/>
        <v>0</v>
      </c>
      <c r="V44" s="248">
        <f t="shared" si="18"/>
        <v>0</v>
      </c>
      <c r="W44" s="248">
        <f t="shared" si="18"/>
        <v>0</v>
      </c>
      <c r="X44" s="248">
        <f t="shared" si="18"/>
        <v>0</v>
      </c>
      <c r="Y44" s="248">
        <f t="shared" si="17"/>
        <v>0</v>
      </c>
      <c r="Z44" s="248">
        <f>Z42</f>
        <v>16</v>
      </c>
      <c r="AA44" s="249">
        <f t="shared" si="3"/>
        <v>0</v>
      </c>
      <c r="AB44" s="261" t="s">
        <v>89</v>
      </c>
      <c r="AC44" s="250"/>
      <c r="AD44" s="228"/>
      <c r="AE44" s="251"/>
      <c r="AF44" s="252"/>
      <c r="AG44" s="228"/>
      <c r="AH44" s="228"/>
      <c r="AI44" s="228"/>
      <c r="AJ44" s="228"/>
      <c r="AK44" s="228"/>
      <c r="AL44" s="228"/>
      <c r="AM44" s="228"/>
      <c r="AN44" s="228"/>
      <c r="AO44" s="228"/>
      <c r="AP44" s="228"/>
      <c r="AQ44" s="228"/>
      <c r="AR44" s="228"/>
      <c r="AS44" s="228"/>
      <c r="AT44" s="228"/>
      <c r="AU44" s="228"/>
      <c r="AV44" s="228"/>
      <c r="AW44" s="228"/>
      <c r="AX44" s="228"/>
      <c r="AY44" s="228"/>
      <c r="AZ44" s="228"/>
      <c r="BA44" s="228"/>
      <c r="BB44" s="228"/>
      <c r="BC44" s="228"/>
      <c r="BD44" s="228"/>
      <c r="BE44" s="228"/>
      <c r="BF44" s="228"/>
      <c r="BG44" s="228"/>
      <c r="BH44" s="228"/>
      <c r="BI44" s="228"/>
      <c r="BJ44" s="228"/>
      <c r="BK44" s="228"/>
      <c r="BL44" s="228"/>
      <c r="BM44" s="228"/>
      <c r="BN44" s="228"/>
      <c r="BO44" s="228"/>
      <c r="BP44" s="228"/>
      <c r="BQ44" s="228"/>
      <c r="BR44" s="228"/>
      <c r="BS44" s="228"/>
      <c r="BT44" s="228"/>
      <c r="BU44" s="228"/>
      <c r="BV44" s="228"/>
      <c r="BW44" s="228"/>
      <c r="BX44" s="228"/>
      <c r="BY44" s="228"/>
      <c r="BZ44" s="228"/>
      <c r="CA44" s="228"/>
      <c r="CB44" s="228"/>
      <c r="CC44" s="228"/>
      <c r="CD44" s="2"/>
    </row>
    <row r="45" spans="1:82" ht="12.75" customHeight="1">
      <c r="A45" s="269" t="s">
        <v>1933</v>
      </c>
      <c r="B45" s="507"/>
      <c r="C45" s="261" t="s">
        <v>90</v>
      </c>
      <c r="D45" s="248">
        <f t="shared" ref="D45:X45" si="19">D40+D31</f>
        <v>0</v>
      </c>
      <c r="E45" s="248">
        <f t="shared" si="19"/>
        <v>0</v>
      </c>
      <c r="F45" s="248">
        <f t="shared" si="19"/>
        <v>0</v>
      </c>
      <c r="G45" s="248">
        <f t="shared" si="19"/>
        <v>0</v>
      </c>
      <c r="H45" s="248">
        <f t="shared" si="19"/>
        <v>0</v>
      </c>
      <c r="I45" s="248">
        <f t="shared" si="19"/>
        <v>0</v>
      </c>
      <c r="J45" s="248">
        <f t="shared" si="19"/>
        <v>0</v>
      </c>
      <c r="K45" s="248">
        <f t="shared" si="19"/>
        <v>0</v>
      </c>
      <c r="L45" s="248">
        <f t="shared" si="19"/>
        <v>0</v>
      </c>
      <c r="M45" s="248">
        <f t="shared" si="19"/>
        <v>0</v>
      </c>
      <c r="N45" s="248">
        <f t="shared" si="19"/>
        <v>0</v>
      </c>
      <c r="O45" s="248">
        <f t="shared" si="19"/>
        <v>0</v>
      </c>
      <c r="P45" s="248">
        <f t="shared" si="19"/>
        <v>0</v>
      </c>
      <c r="Q45" s="248">
        <f t="shared" si="19"/>
        <v>0</v>
      </c>
      <c r="R45" s="248">
        <f t="shared" si="19"/>
        <v>0</v>
      </c>
      <c r="S45" s="248">
        <f t="shared" si="19"/>
        <v>0</v>
      </c>
      <c r="T45" s="248">
        <f t="shared" si="19"/>
        <v>0</v>
      </c>
      <c r="U45" s="248">
        <f t="shared" si="19"/>
        <v>0</v>
      </c>
      <c r="V45" s="248">
        <f t="shared" si="19"/>
        <v>0</v>
      </c>
      <c r="W45" s="248">
        <f t="shared" si="19"/>
        <v>0</v>
      </c>
      <c r="X45" s="248">
        <f t="shared" si="19"/>
        <v>0</v>
      </c>
      <c r="Y45" s="248">
        <f t="shared" si="17"/>
        <v>0</v>
      </c>
      <c r="Z45" s="254"/>
      <c r="AA45" s="255" t="str">
        <f t="shared" si="3"/>
        <v>-</v>
      </c>
      <c r="AB45" s="261" t="s">
        <v>90</v>
      </c>
      <c r="AC45" s="250"/>
      <c r="AD45" s="228"/>
      <c r="AE45" s="251"/>
      <c r="AF45" s="252"/>
      <c r="AG45" s="228"/>
      <c r="AH45" s="228"/>
      <c r="AI45" s="228"/>
      <c r="AJ45" s="228"/>
      <c r="AK45" s="228"/>
      <c r="AL45" s="228"/>
      <c r="AM45" s="228"/>
      <c r="AN45" s="228"/>
      <c r="AO45" s="228"/>
      <c r="AP45" s="228"/>
      <c r="AQ45" s="228"/>
      <c r="AR45" s="228"/>
      <c r="AS45" s="228"/>
      <c r="AT45" s="228"/>
      <c r="AU45" s="228"/>
      <c r="AV45" s="228"/>
      <c r="AW45" s="228"/>
      <c r="AX45" s="228"/>
      <c r="AY45" s="228"/>
      <c r="AZ45" s="228"/>
      <c r="BA45" s="228"/>
      <c r="BB45" s="228"/>
      <c r="BC45" s="228"/>
      <c r="BD45" s="228"/>
      <c r="BE45" s="228"/>
      <c r="BF45" s="228"/>
      <c r="BG45" s="228"/>
      <c r="BH45" s="228"/>
      <c r="BI45" s="228"/>
      <c r="BJ45" s="228"/>
      <c r="BK45" s="228"/>
      <c r="BL45" s="228"/>
      <c r="BM45" s="228"/>
      <c r="BN45" s="228"/>
      <c r="BO45" s="228"/>
      <c r="BP45" s="228"/>
      <c r="BQ45" s="228"/>
      <c r="BR45" s="228"/>
      <c r="BS45" s="228"/>
      <c r="BT45" s="228"/>
      <c r="BU45" s="228"/>
      <c r="BV45" s="228"/>
      <c r="BW45" s="228"/>
      <c r="BX45" s="228"/>
      <c r="BY45" s="228"/>
      <c r="BZ45" s="228"/>
      <c r="CA45" s="228"/>
      <c r="CB45" s="228"/>
      <c r="CC45" s="228"/>
      <c r="CD45" s="2"/>
    </row>
    <row r="46" spans="1:82" ht="12.75" customHeight="1">
      <c r="A46" s="268" t="s">
        <v>1934</v>
      </c>
      <c r="B46" s="507"/>
      <c r="C46" s="261" t="s">
        <v>91</v>
      </c>
      <c r="D46" s="248">
        <f t="shared" ref="D46:X46" si="20">D28+D29+D35</f>
        <v>297</v>
      </c>
      <c r="E46" s="248">
        <f t="shared" si="20"/>
        <v>0</v>
      </c>
      <c r="F46" s="248">
        <f t="shared" si="20"/>
        <v>0</v>
      </c>
      <c r="G46" s="248">
        <f t="shared" si="20"/>
        <v>0</v>
      </c>
      <c r="H46" s="248">
        <f t="shared" si="20"/>
        <v>1191</v>
      </c>
      <c r="I46" s="248">
        <f t="shared" si="20"/>
        <v>812</v>
      </c>
      <c r="J46" s="248">
        <f t="shared" si="20"/>
        <v>297</v>
      </c>
      <c r="K46" s="248">
        <f t="shared" si="20"/>
        <v>0</v>
      </c>
      <c r="L46" s="248">
        <f t="shared" si="20"/>
        <v>0</v>
      </c>
      <c r="M46" s="248">
        <f t="shared" si="20"/>
        <v>0</v>
      </c>
      <c r="N46" s="248">
        <f t="shared" si="20"/>
        <v>0</v>
      </c>
      <c r="O46" s="248">
        <f t="shared" si="20"/>
        <v>0</v>
      </c>
      <c r="P46" s="248">
        <f t="shared" si="20"/>
        <v>0</v>
      </c>
      <c r="Q46" s="248">
        <f t="shared" si="20"/>
        <v>0</v>
      </c>
      <c r="R46" s="248">
        <f t="shared" si="20"/>
        <v>0</v>
      </c>
      <c r="S46" s="248">
        <f t="shared" si="20"/>
        <v>0</v>
      </c>
      <c r="T46" s="248">
        <f t="shared" si="20"/>
        <v>0</v>
      </c>
      <c r="U46" s="248">
        <f t="shared" si="20"/>
        <v>0</v>
      </c>
      <c r="V46" s="248">
        <f t="shared" si="20"/>
        <v>0</v>
      </c>
      <c r="W46" s="248">
        <f t="shared" si="20"/>
        <v>0</v>
      </c>
      <c r="X46" s="248">
        <f t="shared" si="20"/>
        <v>0</v>
      </c>
      <c r="Y46" s="248">
        <f t="shared" si="17"/>
        <v>8524</v>
      </c>
      <c r="Z46" s="248">
        <v>91</v>
      </c>
      <c r="AA46" s="249">
        <f t="shared" si="3"/>
        <v>1.25</v>
      </c>
      <c r="AB46" s="261" t="s">
        <v>91</v>
      </c>
      <c r="AC46" s="250"/>
      <c r="AD46" s="228"/>
      <c r="AE46" s="251"/>
      <c r="AF46" s="252"/>
      <c r="AG46" s="228"/>
      <c r="AH46" s="228"/>
      <c r="AI46" s="228"/>
      <c r="AJ46" s="228"/>
      <c r="AK46" s="228"/>
      <c r="AL46" s="228"/>
      <c r="AM46" s="228"/>
      <c r="AN46" s="228"/>
      <c r="AO46" s="228"/>
      <c r="AP46" s="228"/>
      <c r="AQ46" s="228"/>
      <c r="AR46" s="228"/>
      <c r="AS46" s="228"/>
      <c r="AT46" s="228"/>
      <c r="AU46" s="228"/>
      <c r="AV46" s="228"/>
      <c r="AW46" s="228"/>
      <c r="AX46" s="228"/>
      <c r="AY46" s="228"/>
      <c r="AZ46" s="228"/>
      <c r="BA46" s="228"/>
      <c r="BB46" s="228"/>
      <c r="BC46" s="228"/>
      <c r="BD46" s="228"/>
      <c r="BE46" s="228"/>
      <c r="BF46" s="228"/>
      <c r="BG46" s="228"/>
      <c r="BH46" s="228"/>
      <c r="BI46" s="228"/>
      <c r="BJ46" s="228"/>
      <c r="BK46" s="228"/>
      <c r="BL46" s="228"/>
      <c r="BM46" s="228"/>
      <c r="BN46" s="228"/>
      <c r="BO46" s="228"/>
      <c r="BP46" s="228"/>
      <c r="BQ46" s="228"/>
      <c r="BR46" s="228"/>
      <c r="BS46" s="228"/>
      <c r="BT46" s="228"/>
      <c r="BU46" s="228"/>
      <c r="BV46" s="228"/>
      <c r="BW46" s="228"/>
      <c r="BX46" s="228"/>
      <c r="BY46" s="228"/>
      <c r="BZ46" s="228"/>
      <c r="CA46" s="228"/>
      <c r="CB46" s="228"/>
      <c r="CC46" s="228"/>
      <c r="CD46" s="2"/>
    </row>
    <row r="47" spans="1:82" ht="12.75" customHeight="1">
      <c r="A47" s="267"/>
      <c r="B47" s="507"/>
      <c r="C47" s="261" t="s">
        <v>92</v>
      </c>
      <c r="D47" s="248">
        <v>0</v>
      </c>
      <c r="E47" s="248">
        <v>0</v>
      </c>
      <c r="F47" s="254"/>
      <c r="G47" s="254"/>
      <c r="H47" s="254"/>
      <c r="I47" s="254"/>
      <c r="J47" s="254"/>
      <c r="K47" s="254"/>
      <c r="L47" s="254"/>
      <c r="M47" s="254"/>
      <c r="N47" s="254"/>
      <c r="O47" s="254"/>
      <c r="P47" s="254"/>
      <c r="Q47" s="254"/>
      <c r="R47" s="254"/>
      <c r="S47" s="254"/>
      <c r="T47" s="254"/>
      <c r="U47" s="254"/>
      <c r="V47" s="254"/>
      <c r="W47" s="254"/>
      <c r="X47" s="254"/>
      <c r="Y47" s="248">
        <f t="shared" si="17"/>
        <v>0</v>
      </c>
      <c r="Z47" s="254"/>
      <c r="AA47" s="255" t="str">
        <f t="shared" si="3"/>
        <v>-</v>
      </c>
      <c r="AB47" s="261" t="s">
        <v>92</v>
      </c>
      <c r="AC47" s="250"/>
      <c r="AD47" s="228"/>
      <c r="AE47" s="251"/>
      <c r="AF47" s="252"/>
      <c r="AG47" s="228"/>
      <c r="AH47" s="228"/>
      <c r="AI47" s="228"/>
      <c r="AJ47" s="228"/>
      <c r="AK47" s="228"/>
      <c r="AL47" s="228"/>
      <c r="AM47" s="228"/>
      <c r="AN47" s="228"/>
      <c r="AO47" s="228"/>
      <c r="AP47" s="228"/>
      <c r="AQ47" s="228"/>
      <c r="AR47" s="228"/>
      <c r="AS47" s="228"/>
      <c r="AT47" s="228"/>
      <c r="AU47" s="228"/>
      <c r="AV47" s="228"/>
      <c r="AW47" s="228"/>
      <c r="AX47" s="228"/>
      <c r="AY47" s="228"/>
      <c r="AZ47" s="228"/>
      <c r="BA47" s="228"/>
      <c r="BB47" s="228"/>
      <c r="BC47" s="228"/>
      <c r="BD47" s="228"/>
      <c r="BE47" s="228"/>
      <c r="BF47" s="228"/>
      <c r="BG47" s="228"/>
      <c r="BH47" s="228"/>
      <c r="BI47" s="228"/>
      <c r="BJ47" s="228"/>
      <c r="BK47" s="228"/>
      <c r="BL47" s="228"/>
      <c r="BM47" s="228"/>
      <c r="BN47" s="228"/>
      <c r="BO47" s="228"/>
      <c r="BP47" s="228"/>
      <c r="BQ47" s="228"/>
      <c r="BR47" s="228"/>
      <c r="BS47" s="228"/>
      <c r="BT47" s="228"/>
      <c r="BU47" s="228"/>
      <c r="BV47" s="228"/>
      <c r="BW47" s="228"/>
      <c r="BX47" s="228"/>
      <c r="BY47" s="228"/>
      <c r="BZ47" s="228"/>
      <c r="CA47" s="228"/>
      <c r="CB47" s="228"/>
      <c r="CC47" s="228"/>
      <c r="CD47" s="2"/>
    </row>
    <row r="48" spans="1:82" ht="12.75" customHeight="1">
      <c r="A48" s="268" t="s">
        <v>1935</v>
      </c>
      <c r="B48" s="508"/>
      <c r="C48" s="261" t="s">
        <v>93</v>
      </c>
      <c r="D48" s="248">
        <f t="shared" ref="D48:X48" si="21">D27+D21</f>
        <v>0</v>
      </c>
      <c r="E48" s="248">
        <f t="shared" si="21"/>
        <v>0</v>
      </c>
      <c r="F48" s="248">
        <f t="shared" si="21"/>
        <v>0</v>
      </c>
      <c r="G48" s="248">
        <f t="shared" si="21"/>
        <v>0</v>
      </c>
      <c r="H48" s="248">
        <f t="shared" si="21"/>
        <v>0</v>
      </c>
      <c r="I48" s="248">
        <f t="shared" si="21"/>
        <v>0</v>
      </c>
      <c r="J48" s="248">
        <f t="shared" si="21"/>
        <v>0</v>
      </c>
      <c r="K48" s="248">
        <f t="shared" si="21"/>
        <v>0</v>
      </c>
      <c r="L48" s="248">
        <f t="shared" si="21"/>
        <v>0</v>
      </c>
      <c r="M48" s="248">
        <f t="shared" si="21"/>
        <v>0</v>
      </c>
      <c r="N48" s="248">
        <f t="shared" si="21"/>
        <v>0</v>
      </c>
      <c r="O48" s="248">
        <f t="shared" si="21"/>
        <v>0</v>
      </c>
      <c r="P48" s="248">
        <f t="shared" si="21"/>
        <v>0</v>
      </c>
      <c r="Q48" s="248">
        <f t="shared" si="21"/>
        <v>0</v>
      </c>
      <c r="R48" s="248">
        <f t="shared" si="21"/>
        <v>0</v>
      </c>
      <c r="S48" s="248">
        <f t="shared" si="21"/>
        <v>0</v>
      </c>
      <c r="T48" s="248">
        <f t="shared" si="21"/>
        <v>0</v>
      </c>
      <c r="U48" s="248">
        <f t="shared" si="21"/>
        <v>0</v>
      </c>
      <c r="V48" s="248">
        <f t="shared" si="21"/>
        <v>0</v>
      </c>
      <c r="W48" s="248">
        <f t="shared" si="21"/>
        <v>0</v>
      </c>
      <c r="X48" s="248">
        <f t="shared" si="21"/>
        <v>0</v>
      </c>
      <c r="Y48" s="248">
        <f t="shared" si="17"/>
        <v>0</v>
      </c>
      <c r="Z48" s="248">
        <v>26</v>
      </c>
      <c r="AA48" s="249">
        <f t="shared" si="3"/>
        <v>0</v>
      </c>
      <c r="AB48" s="261" t="s">
        <v>93</v>
      </c>
      <c r="AC48" s="250"/>
      <c r="AD48" s="228"/>
      <c r="AE48" s="251"/>
      <c r="AF48" s="252"/>
      <c r="AG48" s="228"/>
      <c r="AH48" s="228"/>
      <c r="AI48" s="228"/>
      <c r="AJ48" s="228"/>
      <c r="AK48" s="228"/>
      <c r="AL48" s="228"/>
      <c r="AM48" s="228"/>
      <c r="AN48" s="228"/>
      <c r="AO48" s="228"/>
      <c r="AP48" s="228"/>
      <c r="AQ48" s="228"/>
      <c r="AR48" s="228"/>
      <c r="AS48" s="228"/>
      <c r="AT48" s="228"/>
      <c r="AU48" s="228"/>
      <c r="AV48" s="228"/>
      <c r="AW48" s="228"/>
      <c r="AX48" s="228"/>
      <c r="AY48" s="228"/>
      <c r="AZ48" s="228"/>
      <c r="BA48" s="228"/>
      <c r="BB48" s="228"/>
      <c r="BC48" s="228"/>
      <c r="BD48" s="228"/>
      <c r="BE48" s="228"/>
      <c r="BF48" s="228"/>
      <c r="BG48" s="228"/>
      <c r="BH48" s="228"/>
      <c r="BI48" s="228"/>
      <c r="BJ48" s="228"/>
      <c r="BK48" s="228"/>
      <c r="BL48" s="228"/>
      <c r="BM48" s="228"/>
      <c r="BN48" s="228"/>
      <c r="BO48" s="228"/>
      <c r="BP48" s="228"/>
      <c r="BQ48" s="228"/>
      <c r="BR48" s="228"/>
      <c r="BS48" s="228"/>
      <c r="BT48" s="228"/>
      <c r="BU48" s="228"/>
      <c r="BV48" s="228"/>
      <c r="BW48" s="228"/>
      <c r="BX48" s="228"/>
      <c r="BY48" s="228"/>
      <c r="BZ48" s="228"/>
      <c r="CA48" s="228"/>
      <c r="CB48" s="228"/>
      <c r="CC48" s="228"/>
      <c r="CD48" s="2"/>
    </row>
    <row r="49" spans="1:82" ht="12.75" customHeight="1">
      <c r="A49" s="267"/>
      <c r="B49" s="556"/>
      <c r="C49" s="258" t="s">
        <v>94</v>
      </c>
      <c r="D49" s="248">
        <f t="shared" ref="D49:X49" si="22">D22+D35</f>
        <v>0</v>
      </c>
      <c r="E49" s="248">
        <f t="shared" si="22"/>
        <v>0</v>
      </c>
      <c r="F49" s="248">
        <f t="shared" si="22"/>
        <v>0</v>
      </c>
      <c r="G49" s="248">
        <f t="shared" si="22"/>
        <v>0</v>
      </c>
      <c r="H49" s="248">
        <f t="shared" si="22"/>
        <v>0</v>
      </c>
      <c r="I49" s="248">
        <f t="shared" si="22"/>
        <v>0</v>
      </c>
      <c r="J49" s="248">
        <f t="shared" si="22"/>
        <v>0</v>
      </c>
      <c r="K49" s="248">
        <f t="shared" si="22"/>
        <v>0</v>
      </c>
      <c r="L49" s="248">
        <f t="shared" si="22"/>
        <v>0</v>
      </c>
      <c r="M49" s="248">
        <f t="shared" si="22"/>
        <v>0</v>
      </c>
      <c r="N49" s="248">
        <f t="shared" si="22"/>
        <v>0</v>
      </c>
      <c r="O49" s="248">
        <f t="shared" si="22"/>
        <v>0</v>
      </c>
      <c r="P49" s="248">
        <f t="shared" si="22"/>
        <v>0</v>
      </c>
      <c r="Q49" s="248">
        <f t="shared" si="22"/>
        <v>0</v>
      </c>
      <c r="R49" s="248">
        <f t="shared" si="22"/>
        <v>0</v>
      </c>
      <c r="S49" s="248">
        <f t="shared" si="22"/>
        <v>0</v>
      </c>
      <c r="T49" s="248">
        <f t="shared" si="22"/>
        <v>0</v>
      </c>
      <c r="U49" s="248">
        <f t="shared" si="22"/>
        <v>0</v>
      </c>
      <c r="V49" s="248">
        <f t="shared" si="22"/>
        <v>0</v>
      </c>
      <c r="W49" s="248">
        <f t="shared" si="22"/>
        <v>0</v>
      </c>
      <c r="X49" s="248">
        <f t="shared" si="22"/>
        <v>0</v>
      </c>
      <c r="Y49" s="248">
        <f t="shared" si="17"/>
        <v>0</v>
      </c>
      <c r="Z49" s="248">
        <v>13</v>
      </c>
      <c r="AA49" s="249">
        <f t="shared" si="3"/>
        <v>0</v>
      </c>
      <c r="AB49" s="270" t="s">
        <v>71</v>
      </c>
      <c r="AC49" s="250"/>
      <c r="AD49" s="228"/>
      <c r="AE49" s="251"/>
      <c r="AF49" s="252"/>
      <c r="AG49" s="228"/>
      <c r="AH49" s="228"/>
      <c r="AI49" s="228"/>
      <c r="AJ49" s="228"/>
      <c r="AK49" s="228"/>
      <c r="AL49" s="228"/>
      <c r="AM49" s="228"/>
      <c r="AN49" s="228"/>
      <c r="AO49" s="228"/>
      <c r="AP49" s="228"/>
      <c r="AQ49" s="228"/>
      <c r="AR49" s="228"/>
      <c r="AS49" s="228"/>
      <c r="AT49" s="228"/>
      <c r="AU49" s="228"/>
      <c r="AV49" s="228"/>
      <c r="AW49" s="228"/>
      <c r="AX49" s="228"/>
      <c r="AY49" s="228"/>
      <c r="AZ49" s="228"/>
      <c r="BA49" s="228"/>
      <c r="BB49" s="228"/>
      <c r="BC49" s="228"/>
      <c r="BD49" s="228"/>
      <c r="BE49" s="228"/>
      <c r="BF49" s="228"/>
      <c r="BG49" s="228"/>
      <c r="BH49" s="228"/>
      <c r="BI49" s="228"/>
      <c r="BJ49" s="228"/>
      <c r="BK49" s="228"/>
      <c r="BL49" s="228"/>
      <c r="BM49" s="228"/>
      <c r="BN49" s="228"/>
      <c r="BO49" s="228"/>
      <c r="BP49" s="228"/>
      <c r="BQ49" s="228"/>
      <c r="BR49" s="228"/>
      <c r="BS49" s="228"/>
      <c r="BT49" s="228"/>
      <c r="BU49" s="228"/>
      <c r="BV49" s="228"/>
      <c r="BW49" s="228"/>
      <c r="BX49" s="228"/>
      <c r="BY49" s="228"/>
      <c r="BZ49" s="228"/>
      <c r="CA49" s="228"/>
      <c r="CB49" s="228"/>
      <c r="CC49" s="228"/>
      <c r="CD49" s="2"/>
    </row>
    <row r="50" spans="1:82" ht="15.75" customHeight="1">
      <c r="A50" s="271"/>
      <c r="B50" s="507"/>
      <c r="C50" s="258" t="s">
        <v>1936</v>
      </c>
      <c r="D50" s="248">
        <f t="shared" ref="D50:X50" si="23">D25+D24</f>
        <v>0</v>
      </c>
      <c r="E50" s="248">
        <f t="shared" si="23"/>
        <v>0</v>
      </c>
      <c r="F50" s="248">
        <f t="shared" si="23"/>
        <v>0</v>
      </c>
      <c r="G50" s="248">
        <f t="shared" si="23"/>
        <v>0</v>
      </c>
      <c r="H50" s="248">
        <f t="shared" si="23"/>
        <v>0</v>
      </c>
      <c r="I50" s="248">
        <f t="shared" si="23"/>
        <v>0</v>
      </c>
      <c r="J50" s="248">
        <f t="shared" si="23"/>
        <v>0</v>
      </c>
      <c r="K50" s="248">
        <f t="shared" si="23"/>
        <v>0</v>
      </c>
      <c r="L50" s="248">
        <f t="shared" si="23"/>
        <v>0</v>
      </c>
      <c r="M50" s="248">
        <f t="shared" si="23"/>
        <v>0</v>
      </c>
      <c r="N50" s="248">
        <f t="shared" si="23"/>
        <v>0</v>
      </c>
      <c r="O50" s="248">
        <f t="shared" si="23"/>
        <v>0</v>
      </c>
      <c r="P50" s="248">
        <f t="shared" si="23"/>
        <v>0</v>
      </c>
      <c r="Q50" s="248">
        <f t="shared" si="23"/>
        <v>0</v>
      </c>
      <c r="R50" s="248">
        <f t="shared" si="23"/>
        <v>0</v>
      </c>
      <c r="S50" s="248">
        <f t="shared" si="23"/>
        <v>0</v>
      </c>
      <c r="T50" s="248">
        <f t="shared" si="23"/>
        <v>0</v>
      </c>
      <c r="U50" s="248">
        <f t="shared" si="23"/>
        <v>0</v>
      </c>
      <c r="V50" s="248">
        <f t="shared" si="23"/>
        <v>0</v>
      </c>
      <c r="W50" s="248">
        <f t="shared" si="23"/>
        <v>0</v>
      </c>
      <c r="X50" s="248">
        <f t="shared" si="23"/>
        <v>0</v>
      </c>
      <c r="Y50" s="248">
        <f t="shared" si="17"/>
        <v>0</v>
      </c>
      <c r="Z50" s="248">
        <v>8</v>
      </c>
      <c r="AA50" s="249">
        <f t="shared" si="3"/>
        <v>0</v>
      </c>
      <c r="AB50" s="270" t="s">
        <v>74</v>
      </c>
      <c r="AC50" s="250"/>
      <c r="AD50" s="228"/>
      <c r="AE50" s="251"/>
      <c r="AF50" s="252"/>
      <c r="AG50" s="228"/>
      <c r="AH50" s="228"/>
      <c r="AI50" s="228"/>
      <c r="AJ50" s="228"/>
      <c r="AK50" s="228"/>
      <c r="AL50" s="228"/>
      <c r="AM50" s="228"/>
      <c r="AN50" s="228"/>
      <c r="AO50" s="228"/>
      <c r="AP50" s="228"/>
      <c r="AQ50" s="228"/>
      <c r="AR50" s="228"/>
      <c r="AS50" s="228"/>
      <c r="AT50" s="228"/>
      <c r="AU50" s="228"/>
      <c r="AV50" s="228"/>
      <c r="AW50" s="228"/>
      <c r="AX50" s="228"/>
      <c r="AY50" s="228"/>
      <c r="AZ50" s="228"/>
      <c r="BA50" s="228"/>
      <c r="BB50" s="228"/>
      <c r="BC50" s="228"/>
      <c r="BD50" s="228"/>
      <c r="BE50" s="228"/>
      <c r="BF50" s="228"/>
      <c r="BG50" s="228"/>
      <c r="BH50" s="228"/>
      <c r="BI50" s="228"/>
      <c r="BJ50" s="228"/>
      <c r="BK50" s="228"/>
      <c r="BL50" s="228"/>
      <c r="BM50" s="228"/>
      <c r="BN50" s="228"/>
      <c r="BO50" s="228"/>
      <c r="BP50" s="228"/>
      <c r="BQ50" s="228"/>
      <c r="BR50" s="228"/>
      <c r="BS50" s="228"/>
      <c r="BT50" s="228"/>
      <c r="BU50" s="228"/>
      <c r="BV50" s="228"/>
      <c r="BW50" s="228"/>
      <c r="BX50" s="228"/>
      <c r="BY50" s="228"/>
      <c r="BZ50" s="228"/>
      <c r="CA50" s="228"/>
      <c r="CB50" s="228"/>
      <c r="CC50" s="228"/>
      <c r="CD50" s="2"/>
    </row>
    <row r="51" spans="1:82" ht="15.75" customHeight="1">
      <c r="A51" s="272"/>
      <c r="B51" s="508"/>
      <c r="C51" s="258" t="s">
        <v>96</v>
      </c>
      <c r="D51" s="248">
        <f t="shared" ref="D51:X51" si="24">D40+D34</f>
        <v>0</v>
      </c>
      <c r="E51" s="248">
        <f t="shared" si="24"/>
        <v>0</v>
      </c>
      <c r="F51" s="248">
        <f t="shared" si="24"/>
        <v>0</v>
      </c>
      <c r="G51" s="248">
        <f t="shared" si="24"/>
        <v>0</v>
      </c>
      <c r="H51" s="248">
        <f t="shared" si="24"/>
        <v>0</v>
      </c>
      <c r="I51" s="248">
        <f t="shared" si="24"/>
        <v>0</v>
      </c>
      <c r="J51" s="248">
        <f t="shared" si="24"/>
        <v>0</v>
      </c>
      <c r="K51" s="248">
        <f t="shared" si="24"/>
        <v>0</v>
      </c>
      <c r="L51" s="248">
        <f t="shared" si="24"/>
        <v>0</v>
      </c>
      <c r="M51" s="248">
        <f t="shared" si="24"/>
        <v>0</v>
      </c>
      <c r="N51" s="248">
        <f t="shared" si="24"/>
        <v>0</v>
      </c>
      <c r="O51" s="248">
        <f t="shared" si="24"/>
        <v>0</v>
      </c>
      <c r="P51" s="248">
        <f t="shared" si="24"/>
        <v>0</v>
      </c>
      <c r="Q51" s="248">
        <f t="shared" si="24"/>
        <v>0</v>
      </c>
      <c r="R51" s="248">
        <f t="shared" si="24"/>
        <v>0</v>
      </c>
      <c r="S51" s="248">
        <f t="shared" si="24"/>
        <v>0</v>
      </c>
      <c r="T51" s="248">
        <f t="shared" si="24"/>
        <v>0</v>
      </c>
      <c r="U51" s="248">
        <f t="shared" si="24"/>
        <v>0</v>
      </c>
      <c r="V51" s="248">
        <f t="shared" si="24"/>
        <v>0</v>
      </c>
      <c r="W51" s="248">
        <f t="shared" si="24"/>
        <v>0</v>
      </c>
      <c r="X51" s="248">
        <f t="shared" si="24"/>
        <v>0</v>
      </c>
      <c r="Y51" s="248">
        <f t="shared" si="17"/>
        <v>0</v>
      </c>
      <c r="Z51" s="248">
        <v>7</v>
      </c>
      <c r="AA51" s="249">
        <f t="shared" si="3"/>
        <v>0</v>
      </c>
      <c r="AB51" s="270" t="s">
        <v>81</v>
      </c>
      <c r="AC51" s="250"/>
      <c r="AD51" s="228"/>
      <c r="AE51" s="251"/>
      <c r="AF51" s="252"/>
      <c r="AG51" s="228"/>
      <c r="AH51" s="228"/>
      <c r="AI51" s="228"/>
      <c r="AJ51" s="228"/>
      <c r="AK51" s="228"/>
      <c r="AL51" s="228"/>
      <c r="AM51" s="228"/>
      <c r="AN51" s="228"/>
      <c r="AO51" s="228"/>
      <c r="AP51" s="228"/>
      <c r="AQ51" s="228"/>
      <c r="AR51" s="228"/>
      <c r="AS51" s="228"/>
      <c r="AT51" s="228"/>
      <c r="AU51" s="228"/>
      <c r="AV51" s="228"/>
      <c r="AW51" s="228"/>
      <c r="AX51" s="228"/>
      <c r="AY51" s="228"/>
      <c r="AZ51" s="228"/>
      <c r="BA51" s="228"/>
      <c r="BB51" s="228"/>
      <c r="BC51" s="228"/>
      <c r="BD51" s="228"/>
      <c r="BE51" s="228"/>
      <c r="BF51" s="228"/>
      <c r="BG51" s="228"/>
      <c r="BH51" s="228"/>
      <c r="BI51" s="228"/>
      <c r="BJ51" s="228"/>
      <c r="BK51" s="228"/>
      <c r="BL51" s="228"/>
      <c r="BM51" s="228"/>
      <c r="BN51" s="228"/>
      <c r="BO51" s="228"/>
      <c r="BP51" s="228"/>
      <c r="BQ51" s="228"/>
      <c r="BR51" s="228"/>
      <c r="BS51" s="228"/>
      <c r="BT51" s="228"/>
      <c r="BU51" s="228"/>
      <c r="BV51" s="228"/>
      <c r="BW51" s="228"/>
      <c r="BX51" s="228"/>
      <c r="BY51" s="228"/>
      <c r="BZ51" s="228"/>
      <c r="CA51" s="228"/>
      <c r="CB51" s="228"/>
      <c r="CC51" s="228"/>
      <c r="CD51" s="2"/>
    </row>
    <row r="52" spans="1:82" ht="15.75" customHeight="1">
      <c r="A52" s="228"/>
      <c r="B52" s="273"/>
      <c r="C52" s="274"/>
      <c r="D52" s="275"/>
      <c r="E52" s="275"/>
      <c r="F52" s="275"/>
      <c r="G52" s="275"/>
      <c r="H52" s="275"/>
      <c r="I52" s="275"/>
      <c r="J52" s="275"/>
      <c r="K52" s="275"/>
      <c r="L52" s="275"/>
      <c r="M52" s="275"/>
      <c r="N52" s="275"/>
      <c r="O52" s="275"/>
      <c r="P52" s="275"/>
      <c r="Q52" s="275"/>
      <c r="R52" s="275"/>
      <c r="S52" s="275"/>
      <c r="T52" s="275"/>
      <c r="U52" s="275"/>
      <c r="V52" s="275"/>
      <c r="W52" s="275"/>
      <c r="X52" s="275"/>
      <c r="Y52" s="275"/>
      <c r="Z52" s="275"/>
      <c r="AA52" s="273"/>
      <c r="AB52" s="273"/>
      <c r="AC52" s="228"/>
      <c r="AD52" s="228"/>
      <c r="AE52" s="228"/>
      <c r="AF52" s="228"/>
      <c r="AG52" s="228"/>
      <c r="AH52" s="228"/>
      <c r="AI52" s="228"/>
      <c r="AJ52" s="228"/>
      <c r="AK52" s="228"/>
      <c r="AL52" s="228"/>
      <c r="AM52" s="228"/>
      <c r="AN52" s="228"/>
      <c r="AO52" s="228"/>
      <c r="AP52" s="228"/>
      <c r="AQ52" s="228"/>
      <c r="AR52" s="228"/>
      <c r="AS52" s="228"/>
      <c r="AT52" s="228"/>
      <c r="AU52" s="228"/>
      <c r="AV52" s="228"/>
      <c r="AW52" s="228"/>
      <c r="AX52" s="228"/>
      <c r="AY52" s="228"/>
      <c r="AZ52" s="228"/>
      <c r="BA52" s="228"/>
      <c r="BB52" s="228"/>
      <c r="BC52" s="228"/>
      <c r="BD52" s="228"/>
      <c r="BE52" s="228"/>
      <c r="BF52" s="228"/>
      <c r="BG52" s="228"/>
      <c r="BH52" s="228"/>
      <c r="BI52" s="228"/>
      <c r="BJ52" s="228"/>
      <c r="BK52" s="228"/>
      <c r="BL52" s="228"/>
      <c r="BM52" s="228"/>
      <c r="BN52" s="228"/>
      <c r="BO52" s="228"/>
      <c r="BP52" s="228"/>
      <c r="BQ52" s="228"/>
      <c r="BR52" s="228"/>
      <c r="BS52" s="228"/>
      <c r="BT52" s="228"/>
      <c r="BU52" s="228"/>
      <c r="BV52" s="228"/>
      <c r="BW52" s="228"/>
      <c r="BX52" s="228"/>
      <c r="BY52" s="228"/>
      <c r="BZ52" s="228"/>
      <c r="CA52" s="228"/>
      <c r="CB52" s="228"/>
      <c r="CC52" s="228"/>
      <c r="CD52" s="228"/>
    </row>
    <row r="53" spans="1:82" ht="15.75" customHeight="1">
      <c r="A53" s="228"/>
      <c r="B53" s="228"/>
      <c r="C53" s="276"/>
      <c r="D53" s="277"/>
      <c r="E53" s="277"/>
      <c r="F53" s="277"/>
      <c r="G53" s="277"/>
      <c r="H53" s="277"/>
      <c r="I53" s="277"/>
      <c r="J53" s="277"/>
      <c r="K53" s="277"/>
      <c r="L53" s="277"/>
      <c r="M53" s="277"/>
      <c r="N53" s="277"/>
      <c r="O53" s="277"/>
      <c r="P53" s="277"/>
      <c r="Q53" s="277"/>
      <c r="R53" s="277"/>
      <c r="S53" s="277"/>
      <c r="T53" s="277"/>
      <c r="U53" s="277"/>
      <c r="V53" s="277"/>
      <c r="W53" s="277"/>
      <c r="X53" s="277"/>
      <c r="Y53" s="277"/>
      <c r="Z53" s="277"/>
      <c r="AA53" s="228"/>
      <c r="AB53" s="228"/>
      <c r="AC53" s="228"/>
      <c r="AD53" s="228"/>
      <c r="AE53" s="228"/>
      <c r="AF53" s="228"/>
      <c r="AG53" s="228"/>
      <c r="AH53" s="228"/>
      <c r="AI53" s="228"/>
      <c r="AJ53" s="228"/>
      <c r="AK53" s="228"/>
      <c r="AL53" s="228"/>
      <c r="AM53" s="228"/>
      <c r="AN53" s="228"/>
      <c r="AO53" s="228"/>
      <c r="AP53" s="228"/>
      <c r="AQ53" s="228"/>
      <c r="AR53" s="228"/>
      <c r="AS53" s="228"/>
      <c r="AT53" s="228"/>
      <c r="AU53" s="228"/>
      <c r="AV53" s="228"/>
      <c r="AW53" s="228"/>
      <c r="AX53" s="228"/>
      <c r="AY53" s="228"/>
      <c r="AZ53" s="228"/>
      <c r="BA53" s="228"/>
      <c r="BB53" s="228"/>
      <c r="BC53" s="228"/>
      <c r="BD53" s="228"/>
      <c r="BE53" s="228"/>
      <c r="BF53" s="228"/>
      <c r="BG53" s="228"/>
      <c r="BH53" s="228"/>
      <c r="BI53" s="228"/>
      <c r="BJ53" s="228"/>
      <c r="BK53" s="228"/>
      <c r="BL53" s="228"/>
      <c r="BM53" s="228"/>
      <c r="BN53" s="228"/>
      <c r="BO53" s="228"/>
      <c r="BP53" s="228"/>
      <c r="BQ53" s="228"/>
      <c r="BR53" s="228"/>
      <c r="BS53" s="228"/>
      <c r="BT53" s="228"/>
      <c r="BU53" s="228"/>
      <c r="BV53" s="228"/>
      <c r="BW53" s="228"/>
      <c r="BX53" s="228"/>
      <c r="BY53" s="228"/>
      <c r="BZ53" s="228"/>
      <c r="CA53" s="228"/>
      <c r="CB53" s="228"/>
      <c r="CC53" s="228"/>
      <c r="CD53" s="228"/>
    </row>
    <row r="54" spans="1:82" ht="12.75" customHeight="1">
      <c r="A54" s="228"/>
      <c r="B54" s="228"/>
      <c r="C54" s="277"/>
      <c r="D54" s="278"/>
      <c r="E54" s="278"/>
      <c r="F54" s="252"/>
      <c r="G54" s="252"/>
      <c r="H54" s="279"/>
      <c r="I54" s="279"/>
      <c r="J54" s="252"/>
      <c r="K54" s="252"/>
      <c r="L54" s="252"/>
      <c r="M54" s="252"/>
      <c r="N54" s="252"/>
      <c r="O54" s="252"/>
      <c r="P54" s="252"/>
      <c r="Q54" s="252"/>
      <c r="R54" s="228"/>
      <c r="S54" s="228"/>
      <c r="T54" s="228"/>
      <c r="U54" s="228"/>
      <c r="V54" s="228"/>
      <c r="W54" s="228"/>
      <c r="X54" s="228"/>
      <c r="Y54" s="228"/>
      <c r="Z54" s="228"/>
      <c r="AA54" s="228"/>
      <c r="AB54" s="228"/>
      <c r="AC54" s="228"/>
      <c r="AD54" s="228"/>
      <c r="AE54" s="228"/>
      <c r="AF54" s="228"/>
      <c r="AG54" s="228"/>
      <c r="AH54" s="228"/>
      <c r="AI54" s="228"/>
      <c r="AJ54" s="228"/>
      <c r="AK54" s="228"/>
      <c r="AL54" s="228"/>
      <c r="AM54" s="228"/>
      <c r="AN54" s="228"/>
      <c r="AO54" s="228"/>
      <c r="AP54" s="228"/>
      <c r="AQ54" s="228"/>
      <c r="AR54" s="228"/>
      <c r="AS54" s="228"/>
      <c r="AT54" s="228"/>
      <c r="AU54" s="228"/>
      <c r="AV54" s="228"/>
      <c r="AW54" s="228"/>
      <c r="AX54" s="228"/>
      <c r="AY54" s="228"/>
      <c r="AZ54" s="228"/>
      <c r="BA54" s="228"/>
      <c r="BB54" s="228"/>
      <c r="BC54" s="228"/>
      <c r="BD54" s="228"/>
      <c r="BE54" s="228"/>
      <c r="BF54" s="228"/>
      <c r="BG54" s="228"/>
      <c r="BH54" s="228"/>
      <c r="BI54" s="228"/>
      <c r="BJ54" s="228"/>
      <c r="BK54" s="228"/>
      <c r="BL54" s="228"/>
      <c r="BM54" s="228"/>
      <c r="BN54" s="228"/>
      <c r="BO54" s="228"/>
      <c r="BP54" s="228"/>
      <c r="BQ54" s="228"/>
      <c r="BR54" s="228"/>
      <c r="BS54" s="228"/>
      <c r="BT54" s="228"/>
      <c r="BU54" s="228"/>
      <c r="BV54" s="228"/>
      <c r="BW54" s="228"/>
      <c r="BX54" s="228"/>
      <c r="BY54" s="228"/>
      <c r="BZ54" s="228"/>
      <c r="CA54" s="228"/>
      <c r="CB54" s="228"/>
      <c r="CC54" s="228"/>
      <c r="CD54" s="228"/>
    </row>
    <row r="55" spans="1:82" ht="12.75" customHeight="1">
      <c r="A55" s="228"/>
      <c r="B55" s="228"/>
      <c r="C55" s="280"/>
      <c r="D55" s="281"/>
      <c r="E55" s="281"/>
      <c r="F55" s="233"/>
      <c r="G55" s="233"/>
      <c r="H55" s="234"/>
      <c r="I55" s="234"/>
      <c r="J55" s="233"/>
      <c r="K55" s="233"/>
      <c r="L55" s="233"/>
      <c r="M55" s="233"/>
      <c r="N55" s="233"/>
      <c r="O55" s="252"/>
      <c r="P55" s="252"/>
      <c r="Q55" s="252"/>
      <c r="R55" s="228"/>
      <c r="S55" s="228"/>
      <c r="T55" s="228"/>
      <c r="U55" s="228"/>
      <c r="V55" s="228"/>
      <c r="W55" s="228"/>
      <c r="X55" s="228"/>
      <c r="Y55" s="228"/>
      <c r="Z55" s="228"/>
      <c r="AA55" s="228"/>
      <c r="AB55" s="228"/>
      <c r="AC55" s="228"/>
      <c r="AD55" s="228"/>
      <c r="AE55" s="228"/>
      <c r="AF55" s="228"/>
      <c r="AG55" s="228"/>
      <c r="AH55" s="228"/>
      <c r="AI55" s="228"/>
      <c r="AJ55" s="228"/>
      <c r="AK55" s="228"/>
      <c r="AL55" s="228"/>
      <c r="AM55" s="228"/>
      <c r="AN55" s="228"/>
      <c r="AO55" s="228"/>
      <c r="AP55" s="228"/>
      <c r="AQ55" s="228"/>
      <c r="AR55" s="228"/>
      <c r="AS55" s="228"/>
      <c r="AT55" s="228"/>
      <c r="AU55" s="228"/>
      <c r="AV55" s="228"/>
      <c r="AW55" s="228"/>
      <c r="AX55" s="228"/>
      <c r="AY55" s="228"/>
      <c r="AZ55" s="228"/>
      <c r="BA55" s="228"/>
      <c r="BB55" s="228"/>
      <c r="BC55" s="228"/>
      <c r="BD55" s="228"/>
      <c r="BE55" s="228"/>
      <c r="BF55" s="228"/>
      <c r="BG55" s="228"/>
      <c r="BH55" s="228"/>
      <c r="BI55" s="228"/>
      <c r="BJ55" s="228"/>
      <c r="BK55" s="228"/>
      <c r="BL55" s="228"/>
      <c r="BM55" s="228"/>
      <c r="BN55" s="228"/>
      <c r="BO55" s="228"/>
      <c r="BP55" s="228"/>
      <c r="BQ55" s="228"/>
      <c r="BR55" s="228"/>
      <c r="BS55" s="228"/>
      <c r="BT55" s="228"/>
      <c r="BU55" s="228"/>
      <c r="BV55" s="228"/>
      <c r="BW55" s="228"/>
      <c r="BX55" s="228"/>
      <c r="BY55" s="228"/>
      <c r="BZ55" s="228"/>
      <c r="CA55" s="228"/>
      <c r="CB55" s="228"/>
      <c r="CC55" s="228"/>
      <c r="CD55" s="228"/>
    </row>
    <row r="56" spans="1:82" ht="12.75" hidden="1" customHeight="1">
      <c r="A56" s="228"/>
      <c r="B56" s="282"/>
      <c r="C56" s="283" t="s">
        <v>1937</v>
      </c>
      <c r="D56" s="284"/>
      <c r="E56" s="285"/>
      <c r="F56" s="286"/>
      <c r="G56" s="286"/>
      <c r="H56" s="287"/>
      <c r="I56" s="287"/>
      <c r="J56" s="286"/>
      <c r="K56" s="286"/>
      <c r="L56" s="286"/>
      <c r="M56" s="286"/>
      <c r="N56" s="286"/>
      <c r="O56" s="252"/>
      <c r="P56" s="252"/>
      <c r="Q56" s="252"/>
      <c r="R56" s="228"/>
      <c r="S56" s="228"/>
      <c r="T56" s="228"/>
      <c r="U56" s="228"/>
      <c r="V56" s="228"/>
      <c r="W56" s="228"/>
      <c r="X56" s="228"/>
      <c r="Y56" s="228"/>
      <c r="Z56" s="228"/>
      <c r="AA56" s="228"/>
      <c r="AB56" s="228"/>
      <c r="AC56" s="228"/>
      <c r="AD56" s="228"/>
      <c r="AE56" s="228"/>
      <c r="AF56" s="228"/>
      <c r="AG56" s="228"/>
      <c r="AH56" s="228"/>
      <c r="AI56" s="228"/>
      <c r="AJ56" s="228"/>
      <c r="AK56" s="228"/>
      <c r="AL56" s="228"/>
      <c r="AM56" s="228"/>
      <c r="AN56" s="228"/>
      <c r="AO56" s="228"/>
      <c r="AP56" s="228"/>
      <c r="AQ56" s="228"/>
      <c r="AR56" s="228"/>
      <c r="AS56" s="228"/>
      <c r="AT56" s="228"/>
      <c r="AU56" s="228"/>
      <c r="AV56" s="228"/>
      <c r="AW56" s="228"/>
      <c r="AX56" s="228"/>
      <c r="AY56" s="228"/>
      <c r="AZ56" s="228"/>
      <c r="BA56" s="228"/>
      <c r="BB56" s="228"/>
      <c r="BC56" s="228"/>
      <c r="BD56" s="228"/>
      <c r="BE56" s="228"/>
      <c r="BF56" s="228"/>
      <c r="BG56" s="228"/>
      <c r="BH56" s="228"/>
      <c r="BI56" s="228"/>
      <c r="BJ56" s="228"/>
      <c r="BK56" s="228"/>
      <c r="BL56" s="228"/>
      <c r="BM56" s="228"/>
      <c r="BN56" s="228"/>
      <c r="BO56" s="228"/>
      <c r="BP56" s="228"/>
      <c r="BQ56" s="228"/>
      <c r="BR56" s="228"/>
      <c r="BS56" s="228"/>
      <c r="BT56" s="228"/>
      <c r="BU56" s="228"/>
      <c r="BV56" s="228"/>
      <c r="BW56" s="228"/>
      <c r="BX56" s="228"/>
      <c r="BY56" s="228"/>
      <c r="BZ56" s="228"/>
      <c r="CA56" s="228"/>
      <c r="CB56" s="228"/>
      <c r="CC56" s="228"/>
      <c r="CD56" s="228"/>
    </row>
    <row r="57" spans="1:82" ht="15" customHeight="1">
      <c r="A57" s="228"/>
      <c r="B57" s="246"/>
      <c r="C57" s="543" t="s">
        <v>1938</v>
      </c>
      <c r="D57" s="544" t="s">
        <v>1939</v>
      </c>
      <c r="E57" s="503"/>
      <c r="F57" s="504"/>
      <c r="G57" s="504"/>
      <c r="H57" s="504"/>
      <c r="I57" s="504"/>
      <c r="J57" s="504"/>
      <c r="K57" s="504"/>
      <c r="L57" s="504"/>
      <c r="M57" s="505"/>
      <c r="N57" s="543" t="s">
        <v>1940</v>
      </c>
      <c r="O57" s="250"/>
      <c r="P57" s="252"/>
      <c r="Q57" s="252"/>
      <c r="R57" s="228"/>
      <c r="S57" s="228"/>
      <c r="T57" s="228"/>
      <c r="U57" s="228"/>
      <c r="V57" s="228"/>
      <c r="W57" s="228"/>
      <c r="X57" s="228"/>
      <c r="Y57" s="228"/>
      <c r="Z57" s="228"/>
      <c r="AA57" s="228"/>
      <c r="AB57" s="228"/>
      <c r="AC57" s="228"/>
      <c r="AD57" s="228"/>
      <c r="AE57" s="228"/>
      <c r="AF57" s="228"/>
      <c r="AG57" s="228"/>
      <c r="AH57" s="228"/>
      <c r="AI57" s="228"/>
      <c r="AJ57" s="228"/>
      <c r="AK57" s="228"/>
      <c r="AL57" s="228"/>
      <c r="AM57" s="228"/>
      <c r="AN57" s="228"/>
      <c r="AO57" s="228"/>
      <c r="AP57" s="228"/>
      <c r="AQ57" s="228"/>
      <c r="AR57" s="228"/>
      <c r="AS57" s="228"/>
      <c r="AT57" s="228"/>
      <c r="AU57" s="228"/>
      <c r="AV57" s="228"/>
      <c r="AW57" s="228"/>
      <c r="AX57" s="228"/>
      <c r="AY57" s="228"/>
      <c r="AZ57" s="228"/>
      <c r="BA57" s="228"/>
      <c r="BB57" s="228"/>
      <c r="BC57" s="228"/>
      <c r="BD57" s="228"/>
      <c r="BE57" s="228"/>
      <c r="BF57" s="228"/>
      <c r="BG57" s="228"/>
      <c r="BH57" s="228"/>
      <c r="BI57" s="228"/>
      <c r="BJ57" s="228"/>
      <c r="BK57" s="228"/>
      <c r="BL57" s="228"/>
      <c r="BM57" s="228"/>
      <c r="BN57" s="228"/>
      <c r="BO57" s="228"/>
      <c r="BP57" s="228"/>
      <c r="BQ57" s="228"/>
      <c r="BR57" s="228"/>
      <c r="BS57" s="228"/>
      <c r="BT57" s="228"/>
      <c r="BU57" s="228"/>
      <c r="BV57" s="228"/>
      <c r="BW57" s="228"/>
      <c r="BX57" s="228"/>
      <c r="BY57" s="228"/>
      <c r="BZ57" s="228"/>
      <c r="CA57" s="228"/>
      <c r="CB57" s="228"/>
      <c r="CC57" s="228"/>
      <c r="CD57" s="228"/>
    </row>
    <row r="58" spans="1:82" ht="64.5" customHeight="1">
      <c r="A58" s="242"/>
      <c r="B58" s="238"/>
      <c r="C58" s="521"/>
      <c r="D58" s="240" t="s">
        <v>1941</v>
      </c>
      <c r="E58" s="240" t="s">
        <v>1942</v>
      </c>
      <c r="F58" s="240" t="s">
        <v>1943</v>
      </c>
      <c r="G58" s="240" t="s">
        <v>1944</v>
      </c>
      <c r="H58" s="240" t="s">
        <v>1945</v>
      </c>
      <c r="I58" s="240" t="s">
        <v>1946</v>
      </c>
      <c r="J58" s="240" t="s">
        <v>1947</v>
      </c>
      <c r="K58" s="240" t="s">
        <v>1948</v>
      </c>
      <c r="L58" s="240" t="s">
        <v>1949</v>
      </c>
      <c r="M58" s="240" t="s">
        <v>1950</v>
      </c>
      <c r="N58" s="521"/>
      <c r="O58" s="241"/>
      <c r="P58" s="242"/>
      <c r="Q58" s="242"/>
      <c r="R58" s="242"/>
      <c r="S58" s="242"/>
      <c r="T58" s="242"/>
      <c r="U58" s="242"/>
      <c r="V58" s="242"/>
      <c r="W58" s="242"/>
      <c r="X58" s="242"/>
      <c r="Y58" s="242"/>
      <c r="Z58" s="242"/>
      <c r="AA58" s="242"/>
      <c r="AB58" s="242"/>
      <c r="AC58" s="242"/>
      <c r="AD58" s="242"/>
      <c r="AE58" s="242"/>
      <c r="AF58" s="242"/>
      <c r="AG58" s="242"/>
      <c r="AH58" s="242"/>
      <c r="AI58" s="242"/>
      <c r="AJ58" s="242"/>
      <c r="AK58" s="242"/>
      <c r="AL58" s="242"/>
      <c r="AM58" s="242"/>
      <c r="AN58" s="242"/>
      <c r="AO58" s="242"/>
      <c r="AP58" s="242"/>
      <c r="AQ58" s="242"/>
      <c r="AR58" s="242"/>
      <c r="AS58" s="242"/>
      <c r="AT58" s="242"/>
      <c r="AU58" s="242"/>
      <c r="AV58" s="242"/>
      <c r="AW58" s="242"/>
      <c r="AX58" s="242"/>
      <c r="AY58" s="242"/>
      <c r="AZ58" s="242"/>
      <c r="BA58" s="242"/>
      <c r="BB58" s="242"/>
      <c r="BC58" s="242"/>
      <c r="BD58" s="242"/>
      <c r="BE58" s="242"/>
      <c r="BF58" s="242"/>
      <c r="BG58" s="242"/>
      <c r="BH58" s="242"/>
      <c r="BI58" s="242"/>
      <c r="BJ58" s="242"/>
      <c r="BK58" s="242"/>
      <c r="BL58" s="242"/>
      <c r="BM58" s="242"/>
      <c r="BN58" s="242"/>
      <c r="BO58" s="242"/>
      <c r="BP58" s="242"/>
      <c r="BQ58" s="242"/>
      <c r="BR58" s="242"/>
      <c r="BS58" s="242"/>
      <c r="BT58" s="242"/>
      <c r="BU58" s="242"/>
      <c r="BV58" s="242"/>
      <c r="BW58" s="242"/>
      <c r="BX58" s="242"/>
      <c r="BY58" s="242"/>
      <c r="BZ58" s="242"/>
      <c r="CA58" s="242"/>
      <c r="CB58" s="242"/>
      <c r="CC58" s="242"/>
      <c r="CD58" s="242"/>
    </row>
    <row r="59" spans="1:82" ht="12.75" hidden="1" customHeight="1">
      <c r="A59" s="228"/>
      <c r="B59" s="246"/>
      <c r="C59" s="247" t="s">
        <v>44</v>
      </c>
      <c r="D59" s="288">
        <f t="shared" ref="D59:L59" si="25">SUM(D70:D88)</f>
        <v>52</v>
      </c>
      <c r="E59" s="288">
        <f t="shared" si="25"/>
        <v>588</v>
      </c>
      <c r="F59" s="288">
        <f t="shared" si="25"/>
        <v>85</v>
      </c>
      <c r="G59" s="288">
        <f t="shared" si="25"/>
        <v>110</v>
      </c>
      <c r="H59" s="288">
        <f t="shared" si="25"/>
        <v>439</v>
      </c>
      <c r="I59" s="288">
        <f t="shared" si="25"/>
        <v>161</v>
      </c>
      <c r="J59" s="288">
        <f t="shared" si="25"/>
        <v>1138</v>
      </c>
      <c r="K59" s="288">
        <f t="shared" si="25"/>
        <v>26</v>
      </c>
      <c r="L59" s="288">
        <f t="shared" si="25"/>
        <v>800</v>
      </c>
      <c r="M59" s="288">
        <v>9</v>
      </c>
      <c r="N59" s="288">
        <v>4714</v>
      </c>
      <c r="O59" s="250"/>
      <c r="P59" s="228"/>
      <c r="Q59" s="228"/>
      <c r="R59" s="228"/>
      <c r="S59" s="228"/>
      <c r="T59" s="228"/>
      <c r="U59" s="228"/>
      <c r="V59" s="228"/>
      <c r="W59" s="228"/>
      <c r="X59" s="228"/>
      <c r="Y59" s="228"/>
      <c r="Z59" s="228"/>
      <c r="AA59" s="228"/>
      <c r="AB59" s="228"/>
      <c r="AC59" s="228"/>
      <c r="AD59" s="228"/>
      <c r="AE59" s="228"/>
      <c r="AF59" s="228"/>
      <c r="AG59" s="228"/>
      <c r="AH59" s="228"/>
      <c r="AI59" s="228"/>
      <c r="AJ59" s="228"/>
      <c r="AK59" s="228"/>
      <c r="AL59" s="228"/>
      <c r="AM59" s="228"/>
      <c r="AN59" s="228"/>
      <c r="AO59" s="228"/>
      <c r="AP59" s="228"/>
      <c r="AQ59" s="228"/>
      <c r="AR59" s="228"/>
      <c r="AS59" s="228"/>
      <c r="AT59" s="228"/>
      <c r="AU59" s="228"/>
      <c r="AV59" s="228"/>
      <c r="AW59" s="228"/>
      <c r="AX59" s="228"/>
      <c r="AY59" s="228"/>
      <c r="AZ59" s="228"/>
      <c r="BA59" s="228"/>
      <c r="BB59" s="228"/>
      <c r="BC59" s="228"/>
      <c r="BD59" s="228"/>
      <c r="BE59" s="228"/>
      <c r="BF59" s="228"/>
      <c r="BG59" s="228"/>
      <c r="BH59" s="228"/>
      <c r="BI59" s="228"/>
      <c r="BJ59" s="228"/>
      <c r="BK59" s="228"/>
      <c r="BL59" s="228"/>
      <c r="BM59" s="228"/>
      <c r="BN59" s="228"/>
      <c r="BO59" s="228"/>
      <c r="BP59" s="228"/>
      <c r="BQ59" s="228"/>
      <c r="BR59" s="228"/>
      <c r="BS59" s="228"/>
      <c r="BT59" s="228"/>
      <c r="BU59" s="228"/>
      <c r="BV59" s="228"/>
      <c r="BW59" s="228"/>
      <c r="BX59" s="228"/>
      <c r="BY59" s="228"/>
      <c r="BZ59" s="228"/>
      <c r="CA59" s="228"/>
      <c r="CB59" s="228"/>
      <c r="CC59" s="228"/>
      <c r="CD59" s="228"/>
    </row>
    <row r="60" spans="1:82" ht="12.75" hidden="1" customHeight="1">
      <c r="A60" s="228"/>
      <c r="B60" s="246"/>
      <c r="C60" s="247" t="s">
        <v>49</v>
      </c>
      <c r="D60" s="288">
        <f t="shared" ref="D60:L60" si="26">SUM(D70:D88)</f>
        <v>52</v>
      </c>
      <c r="E60" s="288">
        <f t="shared" si="26"/>
        <v>588</v>
      </c>
      <c r="F60" s="288">
        <f t="shared" si="26"/>
        <v>85</v>
      </c>
      <c r="G60" s="288">
        <f t="shared" si="26"/>
        <v>110</v>
      </c>
      <c r="H60" s="288">
        <f t="shared" si="26"/>
        <v>439</v>
      </c>
      <c r="I60" s="288">
        <f t="shared" si="26"/>
        <v>161</v>
      </c>
      <c r="J60" s="288">
        <f t="shared" si="26"/>
        <v>1138</v>
      </c>
      <c r="K60" s="288">
        <f t="shared" si="26"/>
        <v>26</v>
      </c>
      <c r="L60" s="288">
        <f t="shared" si="26"/>
        <v>800</v>
      </c>
      <c r="M60" s="288">
        <f t="shared" ref="M60:M92" si="27">$M$59</f>
        <v>9</v>
      </c>
      <c r="N60" s="288">
        <v>4714</v>
      </c>
      <c r="O60" s="250"/>
      <c r="P60" s="228"/>
      <c r="Q60" s="228"/>
      <c r="R60" s="228"/>
      <c r="S60" s="228"/>
      <c r="T60" s="228"/>
      <c r="U60" s="228"/>
      <c r="V60" s="228"/>
      <c r="W60" s="228"/>
      <c r="X60" s="228"/>
      <c r="Y60" s="228"/>
      <c r="Z60" s="228"/>
      <c r="AA60" s="228"/>
      <c r="AB60" s="228"/>
      <c r="AC60" s="228"/>
      <c r="AD60" s="228"/>
      <c r="AE60" s="228"/>
      <c r="AF60" s="228"/>
      <c r="AG60" s="228"/>
      <c r="AH60" s="228"/>
      <c r="AI60" s="228"/>
      <c r="AJ60" s="228"/>
      <c r="AK60" s="228"/>
      <c r="AL60" s="228"/>
      <c r="AM60" s="228"/>
      <c r="AN60" s="228"/>
      <c r="AO60" s="228"/>
      <c r="AP60" s="228"/>
      <c r="AQ60" s="228"/>
      <c r="AR60" s="228"/>
      <c r="AS60" s="228"/>
      <c r="AT60" s="228"/>
      <c r="AU60" s="228"/>
      <c r="AV60" s="228"/>
      <c r="AW60" s="228"/>
      <c r="AX60" s="228"/>
      <c r="AY60" s="228"/>
      <c r="AZ60" s="228"/>
      <c r="BA60" s="228"/>
      <c r="BB60" s="228"/>
      <c r="BC60" s="228"/>
      <c r="BD60" s="228"/>
      <c r="BE60" s="228"/>
      <c r="BF60" s="228"/>
      <c r="BG60" s="228"/>
      <c r="BH60" s="228"/>
      <c r="BI60" s="228"/>
      <c r="BJ60" s="228"/>
      <c r="BK60" s="228"/>
      <c r="BL60" s="228"/>
      <c r="BM60" s="228"/>
      <c r="BN60" s="228"/>
      <c r="BO60" s="228"/>
      <c r="BP60" s="228"/>
      <c r="BQ60" s="228"/>
      <c r="BR60" s="228"/>
      <c r="BS60" s="228"/>
      <c r="BT60" s="228"/>
      <c r="BU60" s="228"/>
      <c r="BV60" s="228"/>
      <c r="BW60" s="228"/>
      <c r="BX60" s="228"/>
      <c r="BY60" s="228"/>
      <c r="BZ60" s="228"/>
      <c r="CA60" s="228"/>
      <c r="CB60" s="228"/>
      <c r="CC60" s="228"/>
      <c r="CD60" s="228"/>
    </row>
    <row r="61" spans="1:82" ht="12.75" hidden="1" customHeight="1">
      <c r="A61" s="228"/>
      <c r="B61" s="246"/>
      <c r="C61" s="247" t="s">
        <v>50</v>
      </c>
      <c r="D61" s="288">
        <f t="shared" ref="D61:L61" si="28">SUM(D70:D88)</f>
        <v>52</v>
      </c>
      <c r="E61" s="288">
        <f t="shared" si="28"/>
        <v>588</v>
      </c>
      <c r="F61" s="288">
        <f t="shared" si="28"/>
        <v>85</v>
      </c>
      <c r="G61" s="288">
        <f t="shared" si="28"/>
        <v>110</v>
      </c>
      <c r="H61" s="288">
        <f t="shared" si="28"/>
        <v>439</v>
      </c>
      <c r="I61" s="288">
        <f t="shared" si="28"/>
        <v>161</v>
      </c>
      <c r="J61" s="288">
        <f t="shared" si="28"/>
        <v>1138</v>
      </c>
      <c r="K61" s="288">
        <f t="shared" si="28"/>
        <v>26</v>
      </c>
      <c r="L61" s="288">
        <f t="shared" si="28"/>
        <v>800</v>
      </c>
      <c r="M61" s="288">
        <f t="shared" si="27"/>
        <v>9</v>
      </c>
      <c r="N61" s="288">
        <v>4714</v>
      </c>
      <c r="O61" s="250"/>
      <c r="P61" s="228"/>
      <c r="Q61" s="228"/>
      <c r="R61" s="228"/>
      <c r="S61" s="228"/>
      <c r="T61" s="228"/>
      <c r="U61" s="228"/>
      <c r="V61" s="228"/>
      <c r="W61" s="228"/>
      <c r="X61" s="228"/>
      <c r="Y61" s="228"/>
      <c r="Z61" s="228"/>
      <c r="AA61" s="228"/>
      <c r="AB61" s="228"/>
      <c r="AC61" s="228"/>
      <c r="AD61" s="228"/>
      <c r="AE61" s="228"/>
      <c r="AF61" s="228"/>
      <c r="AG61" s="228"/>
      <c r="AH61" s="228"/>
      <c r="AI61" s="228"/>
      <c r="AJ61" s="228"/>
      <c r="AK61" s="228"/>
      <c r="AL61" s="228"/>
      <c r="AM61" s="228"/>
      <c r="AN61" s="228"/>
      <c r="AO61" s="228"/>
      <c r="AP61" s="228"/>
      <c r="AQ61" s="228"/>
      <c r="AR61" s="228"/>
      <c r="AS61" s="228"/>
      <c r="AT61" s="228"/>
      <c r="AU61" s="228"/>
      <c r="AV61" s="228"/>
      <c r="AW61" s="228"/>
      <c r="AX61" s="228"/>
      <c r="AY61" s="228"/>
      <c r="AZ61" s="228"/>
      <c r="BA61" s="228"/>
      <c r="BB61" s="228"/>
      <c r="BC61" s="228"/>
      <c r="BD61" s="228"/>
      <c r="BE61" s="228"/>
      <c r="BF61" s="228"/>
      <c r="BG61" s="228"/>
      <c r="BH61" s="228"/>
      <c r="BI61" s="228"/>
      <c r="BJ61" s="228"/>
      <c r="BK61" s="228"/>
      <c r="BL61" s="228"/>
      <c r="BM61" s="228"/>
      <c r="BN61" s="228"/>
      <c r="BO61" s="228"/>
      <c r="BP61" s="228"/>
      <c r="BQ61" s="228"/>
      <c r="BR61" s="228"/>
      <c r="BS61" s="228"/>
      <c r="BT61" s="228"/>
      <c r="BU61" s="228"/>
      <c r="BV61" s="228"/>
      <c r="BW61" s="228"/>
      <c r="BX61" s="228"/>
      <c r="BY61" s="228"/>
      <c r="BZ61" s="228"/>
      <c r="CA61" s="228"/>
      <c r="CB61" s="228"/>
      <c r="CC61" s="228"/>
      <c r="CD61" s="228"/>
    </row>
    <row r="62" spans="1:82" ht="12.75" hidden="1" customHeight="1">
      <c r="A62" s="228"/>
      <c r="B62" s="246"/>
      <c r="C62" s="247" t="s">
        <v>51</v>
      </c>
      <c r="D62" s="288">
        <f t="shared" ref="D62:L62" si="29">SUM(D70:D88)</f>
        <v>52</v>
      </c>
      <c r="E62" s="288">
        <f t="shared" si="29"/>
        <v>588</v>
      </c>
      <c r="F62" s="288">
        <f t="shared" si="29"/>
        <v>85</v>
      </c>
      <c r="G62" s="288">
        <f t="shared" si="29"/>
        <v>110</v>
      </c>
      <c r="H62" s="288">
        <f t="shared" si="29"/>
        <v>439</v>
      </c>
      <c r="I62" s="288">
        <f t="shared" si="29"/>
        <v>161</v>
      </c>
      <c r="J62" s="288">
        <f t="shared" si="29"/>
        <v>1138</v>
      </c>
      <c r="K62" s="288">
        <f t="shared" si="29"/>
        <v>26</v>
      </c>
      <c r="L62" s="288">
        <f t="shared" si="29"/>
        <v>800</v>
      </c>
      <c r="M62" s="288">
        <f t="shared" si="27"/>
        <v>9</v>
      </c>
      <c r="N62" s="288">
        <v>4714</v>
      </c>
      <c r="O62" s="250"/>
      <c r="P62" s="228"/>
      <c r="Q62" s="228"/>
      <c r="R62" s="228"/>
      <c r="S62" s="228"/>
      <c r="T62" s="228"/>
      <c r="U62" s="228"/>
      <c r="V62" s="228"/>
      <c r="W62" s="228"/>
      <c r="X62" s="228"/>
      <c r="Y62" s="228"/>
      <c r="Z62" s="228"/>
      <c r="AA62" s="228"/>
      <c r="AB62" s="228"/>
      <c r="AC62" s="228"/>
      <c r="AD62" s="228"/>
      <c r="AE62" s="228"/>
      <c r="AF62" s="228"/>
      <c r="AG62" s="228"/>
      <c r="AH62" s="228"/>
      <c r="AI62" s="228"/>
      <c r="AJ62" s="228"/>
      <c r="AK62" s="228"/>
      <c r="AL62" s="228"/>
      <c r="AM62" s="228"/>
      <c r="AN62" s="228"/>
      <c r="AO62" s="228"/>
      <c r="AP62" s="228"/>
      <c r="AQ62" s="228"/>
      <c r="AR62" s="228"/>
      <c r="AS62" s="228"/>
      <c r="AT62" s="228"/>
      <c r="AU62" s="228"/>
      <c r="AV62" s="228"/>
      <c r="AW62" s="228"/>
      <c r="AX62" s="228"/>
      <c r="AY62" s="228"/>
      <c r="AZ62" s="228"/>
      <c r="BA62" s="228"/>
      <c r="BB62" s="228"/>
      <c r="BC62" s="228"/>
      <c r="BD62" s="228"/>
      <c r="BE62" s="228"/>
      <c r="BF62" s="228"/>
      <c r="BG62" s="228"/>
      <c r="BH62" s="228"/>
      <c r="BI62" s="228"/>
      <c r="BJ62" s="228"/>
      <c r="BK62" s="228"/>
      <c r="BL62" s="228"/>
      <c r="BM62" s="228"/>
      <c r="BN62" s="228"/>
      <c r="BO62" s="228"/>
      <c r="BP62" s="228"/>
      <c r="BQ62" s="228"/>
      <c r="BR62" s="228"/>
      <c r="BS62" s="228"/>
      <c r="BT62" s="228"/>
      <c r="BU62" s="228"/>
      <c r="BV62" s="228"/>
      <c r="BW62" s="228"/>
      <c r="BX62" s="228"/>
      <c r="BY62" s="228"/>
      <c r="BZ62" s="228"/>
      <c r="CA62" s="228"/>
      <c r="CB62" s="228"/>
      <c r="CC62" s="228"/>
      <c r="CD62" s="228"/>
    </row>
    <row r="63" spans="1:82" ht="12.75" hidden="1" customHeight="1">
      <c r="A63" s="228"/>
      <c r="B63" s="246"/>
      <c r="C63" s="247" t="s">
        <v>119</v>
      </c>
      <c r="D63" s="289">
        <f t="shared" ref="D63:L63" si="30">SUM(D78,D79,D82,D70,D85)</f>
        <v>0</v>
      </c>
      <c r="E63" s="289">
        <f t="shared" si="30"/>
        <v>398</v>
      </c>
      <c r="F63" s="289">
        <f t="shared" si="30"/>
        <v>77</v>
      </c>
      <c r="G63" s="289">
        <f t="shared" si="30"/>
        <v>3</v>
      </c>
      <c r="H63" s="289">
        <f t="shared" si="30"/>
        <v>2</v>
      </c>
      <c r="I63" s="289">
        <f t="shared" si="30"/>
        <v>0</v>
      </c>
      <c r="J63" s="289">
        <f t="shared" si="30"/>
        <v>999</v>
      </c>
      <c r="K63" s="289">
        <f t="shared" si="30"/>
        <v>0</v>
      </c>
      <c r="L63" s="289">
        <f t="shared" si="30"/>
        <v>8</v>
      </c>
      <c r="M63" s="288">
        <f t="shared" si="27"/>
        <v>9</v>
      </c>
      <c r="N63" s="288">
        <v>2473</v>
      </c>
      <c r="O63" s="250"/>
      <c r="P63" s="228"/>
      <c r="Q63" s="228"/>
      <c r="R63" s="228"/>
      <c r="S63" s="228"/>
      <c r="T63" s="228"/>
      <c r="U63" s="228"/>
      <c r="V63" s="228"/>
      <c r="W63" s="228"/>
      <c r="X63" s="228"/>
      <c r="Y63" s="228"/>
      <c r="Z63" s="228"/>
      <c r="AA63" s="228"/>
      <c r="AB63" s="228"/>
      <c r="AC63" s="228"/>
      <c r="AD63" s="228"/>
      <c r="AE63" s="228"/>
      <c r="AF63" s="228"/>
      <c r="AG63" s="228"/>
      <c r="AH63" s="228"/>
      <c r="AI63" s="228"/>
      <c r="AJ63" s="228"/>
      <c r="AK63" s="228"/>
      <c r="AL63" s="228"/>
      <c r="AM63" s="228"/>
      <c r="AN63" s="228"/>
      <c r="AO63" s="228"/>
      <c r="AP63" s="228"/>
      <c r="AQ63" s="228"/>
      <c r="AR63" s="228"/>
      <c r="AS63" s="228"/>
      <c r="AT63" s="228"/>
      <c r="AU63" s="228"/>
      <c r="AV63" s="228"/>
      <c r="AW63" s="228"/>
      <c r="AX63" s="228"/>
      <c r="AY63" s="228"/>
      <c r="AZ63" s="228"/>
      <c r="BA63" s="228"/>
      <c r="BB63" s="228"/>
      <c r="BC63" s="228"/>
      <c r="BD63" s="228"/>
      <c r="BE63" s="228"/>
      <c r="BF63" s="228"/>
      <c r="BG63" s="228"/>
      <c r="BH63" s="228"/>
      <c r="BI63" s="228"/>
      <c r="BJ63" s="228"/>
      <c r="BK63" s="228"/>
      <c r="BL63" s="228"/>
      <c r="BM63" s="228"/>
      <c r="BN63" s="228"/>
      <c r="BO63" s="228"/>
      <c r="BP63" s="228"/>
      <c r="BQ63" s="228"/>
      <c r="BR63" s="228"/>
      <c r="BS63" s="228"/>
      <c r="BT63" s="228"/>
      <c r="BU63" s="228"/>
      <c r="BV63" s="228"/>
      <c r="BW63" s="228"/>
      <c r="BX63" s="228"/>
      <c r="BY63" s="228"/>
      <c r="BZ63" s="228"/>
      <c r="CA63" s="228"/>
      <c r="CB63" s="228"/>
      <c r="CC63" s="228"/>
      <c r="CD63" s="228"/>
    </row>
    <row r="64" spans="1:82" ht="12.75" hidden="1" customHeight="1">
      <c r="A64" s="228"/>
      <c r="B64" s="246"/>
      <c r="C64" s="247" t="s">
        <v>120</v>
      </c>
      <c r="D64" s="289">
        <f t="shared" ref="D64:L64" si="31">SUM(D74,D75,D71,D88)</f>
        <v>52</v>
      </c>
      <c r="E64" s="289">
        <f t="shared" si="31"/>
        <v>88</v>
      </c>
      <c r="F64" s="289">
        <f t="shared" si="31"/>
        <v>8</v>
      </c>
      <c r="G64" s="289">
        <f t="shared" si="31"/>
        <v>95</v>
      </c>
      <c r="H64" s="289">
        <f t="shared" si="31"/>
        <v>175</v>
      </c>
      <c r="I64" s="289">
        <f t="shared" si="31"/>
        <v>0</v>
      </c>
      <c r="J64" s="289">
        <f t="shared" si="31"/>
        <v>14</v>
      </c>
      <c r="K64" s="289">
        <f t="shared" si="31"/>
        <v>3</v>
      </c>
      <c r="L64" s="289">
        <f t="shared" si="31"/>
        <v>544</v>
      </c>
      <c r="M64" s="288">
        <f t="shared" si="27"/>
        <v>9</v>
      </c>
      <c r="N64" s="288">
        <v>639</v>
      </c>
      <c r="O64" s="250"/>
      <c r="P64" s="228"/>
      <c r="Q64" s="228"/>
      <c r="R64" s="228"/>
      <c r="S64" s="228"/>
      <c r="T64" s="228"/>
      <c r="U64" s="228"/>
      <c r="V64" s="228"/>
      <c r="W64" s="228"/>
      <c r="X64" s="228"/>
      <c r="Y64" s="228"/>
      <c r="Z64" s="228"/>
      <c r="AA64" s="228"/>
      <c r="AB64" s="228"/>
      <c r="AC64" s="228"/>
      <c r="AD64" s="228"/>
      <c r="AE64" s="228"/>
      <c r="AF64" s="228"/>
      <c r="AG64" s="228"/>
      <c r="AH64" s="228"/>
      <c r="AI64" s="228"/>
      <c r="AJ64" s="228"/>
      <c r="AK64" s="228"/>
      <c r="AL64" s="228"/>
      <c r="AM64" s="228"/>
      <c r="AN64" s="228"/>
      <c r="AO64" s="228"/>
      <c r="AP64" s="228"/>
      <c r="AQ64" s="228"/>
      <c r="AR64" s="228"/>
      <c r="AS64" s="228"/>
      <c r="AT64" s="228"/>
      <c r="AU64" s="228"/>
      <c r="AV64" s="228"/>
      <c r="AW64" s="228"/>
      <c r="AX64" s="228"/>
      <c r="AY64" s="228"/>
      <c r="AZ64" s="228"/>
      <c r="BA64" s="228"/>
      <c r="BB64" s="228"/>
      <c r="BC64" s="228"/>
      <c r="BD64" s="228"/>
      <c r="BE64" s="228"/>
      <c r="BF64" s="228"/>
      <c r="BG64" s="228"/>
      <c r="BH64" s="228"/>
      <c r="BI64" s="228"/>
      <c r="BJ64" s="228"/>
      <c r="BK64" s="228"/>
      <c r="BL64" s="228"/>
      <c r="BM64" s="228"/>
      <c r="BN64" s="228"/>
      <c r="BO64" s="228"/>
      <c r="BP64" s="228"/>
      <c r="BQ64" s="228"/>
      <c r="BR64" s="228"/>
      <c r="BS64" s="228"/>
      <c r="BT64" s="228"/>
      <c r="BU64" s="228"/>
      <c r="BV64" s="228"/>
      <c r="BW64" s="228"/>
      <c r="BX64" s="228"/>
      <c r="BY64" s="228"/>
      <c r="BZ64" s="228"/>
      <c r="CA64" s="228"/>
      <c r="CB64" s="228"/>
      <c r="CC64" s="228"/>
      <c r="CD64" s="228"/>
    </row>
    <row r="65" spans="1:82" ht="12.75" hidden="1" customHeight="1">
      <c r="A65" s="228"/>
      <c r="B65" s="246"/>
      <c r="C65" s="247" t="s">
        <v>121</v>
      </c>
      <c r="D65" s="289">
        <f t="shared" ref="D65:L65" si="32">SUM(D80,D81,D86)</f>
        <v>0</v>
      </c>
      <c r="E65" s="289">
        <f t="shared" si="32"/>
        <v>3</v>
      </c>
      <c r="F65" s="289">
        <f t="shared" si="32"/>
        <v>0</v>
      </c>
      <c r="G65" s="289">
        <f t="shared" si="32"/>
        <v>0</v>
      </c>
      <c r="H65" s="289">
        <f t="shared" si="32"/>
        <v>0</v>
      </c>
      <c r="I65" s="289">
        <f t="shared" si="32"/>
        <v>0</v>
      </c>
      <c r="J65" s="289">
        <f t="shared" si="32"/>
        <v>36</v>
      </c>
      <c r="K65" s="289">
        <f t="shared" si="32"/>
        <v>2</v>
      </c>
      <c r="L65" s="289">
        <f t="shared" si="32"/>
        <v>0</v>
      </c>
      <c r="M65" s="288">
        <f t="shared" si="27"/>
        <v>9</v>
      </c>
      <c r="N65" s="288">
        <v>259</v>
      </c>
      <c r="O65" s="250"/>
      <c r="P65" s="228"/>
      <c r="Q65" s="228"/>
      <c r="R65" s="228"/>
      <c r="S65" s="228"/>
      <c r="T65" s="228"/>
      <c r="U65" s="228"/>
      <c r="V65" s="228"/>
      <c r="W65" s="228"/>
      <c r="X65" s="228"/>
      <c r="Y65" s="228"/>
      <c r="Z65" s="228"/>
      <c r="AA65" s="228"/>
      <c r="AB65" s="228"/>
      <c r="AC65" s="228"/>
      <c r="AD65" s="228"/>
      <c r="AE65" s="228"/>
      <c r="AF65" s="228"/>
      <c r="AG65" s="228"/>
      <c r="AH65" s="228"/>
      <c r="AI65" s="228"/>
      <c r="AJ65" s="228"/>
      <c r="AK65" s="228"/>
      <c r="AL65" s="228"/>
      <c r="AM65" s="228"/>
      <c r="AN65" s="228"/>
      <c r="AO65" s="228"/>
      <c r="AP65" s="228"/>
      <c r="AQ65" s="228"/>
      <c r="AR65" s="228"/>
      <c r="AS65" s="228"/>
      <c r="AT65" s="228"/>
      <c r="AU65" s="228"/>
      <c r="AV65" s="228"/>
      <c r="AW65" s="228"/>
      <c r="AX65" s="228"/>
      <c r="AY65" s="228"/>
      <c r="AZ65" s="228"/>
      <c r="BA65" s="228"/>
      <c r="BB65" s="228"/>
      <c r="BC65" s="228"/>
      <c r="BD65" s="228"/>
      <c r="BE65" s="228"/>
      <c r="BF65" s="228"/>
      <c r="BG65" s="228"/>
      <c r="BH65" s="228"/>
      <c r="BI65" s="228"/>
      <c r="BJ65" s="228"/>
      <c r="BK65" s="228"/>
      <c r="BL65" s="228"/>
      <c r="BM65" s="228"/>
      <c r="BN65" s="228"/>
      <c r="BO65" s="228"/>
      <c r="BP65" s="228"/>
      <c r="BQ65" s="228"/>
      <c r="BR65" s="228"/>
      <c r="BS65" s="228"/>
      <c r="BT65" s="228"/>
      <c r="BU65" s="228"/>
      <c r="BV65" s="228"/>
      <c r="BW65" s="228"/>
      <c r="BX65" s="228"/>
      <c r="BY65" s="228"/>
      <c r="BZ65" s="228"/>
      <c r="CA65" s="228"/>
      <c r="CB65" s="228"/>
      <c r="CC65" s="228"/>
      <c r="CD65" s="228"/>
    </row>
    <row r="66" spans="1:82" ht="12.75" hidden="1" customHeight="1">
      <c r="A66" s="242"/>
      <c r="B66" s="238"/>
      <c r="C66" s="247" t="s">
        <v>122</v>
      </c>
      <c r="D66" s="289">
        <f t="shared" ref="D66:L66" si="33">D73</f>
        <v>0</v>
      </c>
      <c r="E66" s="289">
        <f t="shared" si="33"/>
        <v>0</v>
      </c>
      <c r="F66" s="289">
        <f t="shared" si="33"/>
        <v>0</v>
      </c>
      <c r="G66" s="289">
        <f t="shared" si="33"/>
        <v>4</v>
      </c>
      <c r="H66" s="289">
        <f t="shared" si="33"/>
        <v>49</v>
      </c>
      <c r="I66" s="289">
        <f t="shared" si="33"/>
        <v>0</v>
      </c>
      <c r="J66" s="289">
        <f t="shared" si="33"/>
        <v>19</v>
      </c>
      <c r="K66" s="289">
        <f t="shared" si="33"/>
        <v>0</v>
      </c>
      <c r="L66" s="289">
        <f t="shared" si="33"/>
        <v>0</v>
      </c>
      <c r="M66" s="288">
        <f t="shared" si="27"/>
        <v>9</v>
      </c>
      <c r="N66" s="288">
        <v>177</v>
      </c>
      <c r="O66" s="241"/>
      <c r="P66" s="242"/>
      <c r="Q66" s="242"/>
      <c r="R66" s="242"/>
      <c r="S66" s="242"/>
      <c r="T66" s="242"/>
      <c r="U66" s="242"/>
      <c r="V66" s="242"/>
      <c r="W66" s="242"/>
      <c r="X66" s="242"/>
      <c r="Y66" s="242"/>
      <c r="Z66" s="242"/>
      <c r="AA66" s="242"/>
      <c r="AB66" s="242"/>
      <c r="AC66" s="242"/>
      <c r="AD66" s="242"/>
      <c r="AE66" s="242"/>
      <c r="AF66" s="242"/>
      <c r="AG66" s="242"/>
      <c r="AH66" s="242"/>
      <c r="AI66" s="242"/>
      <c r="AJ66" s="242"/>
      <c r="AK66" s="242"/>
      <c r="AL66" s="242"/>
      <c r="AM66" s="242"/>
      <c r="AN66" s="242"/>
      <c r="AO66" s="242"/>
      <c r="AP66" s="242"/>
      <c r="AQ66" s="242"/>
      <c r="AR66" s="242"/>
      <c r="AS66" s="242"/>
      <c r="AT66" s="242"/>
      <c r="AU66" s="242"/>
      <c r="AV66" s="242"/>
      <c r="AW66" s="242"/>
      <c r="AX66" s="242"/>
      <c r="AY66" s="242"/>
      <c r="AZ66" s="242"/>
      <c r="BA66" s="242"/>
      <c r="BB66" s="242"/>
      <c r="BC66" s="242"/>
      <c r="BD66" s="242"/>
      <c r="BE66" s="242"/>
      <c r="BF66" s="242"/>
      <c r="BG66" s="242"/>
      <c r="BH66" s="242"/>
      <c r="BI66" s="242"/>
      <c r="BJ66" s="242"/>
      <c r="BK66" s="242"/>
      <c r="BL66" s="242"/>
      <c r="BM66" s="242"/>
      <c r="BN66" s="242"/>
      <c r="BO66" s="242"/>
      <c r="BP66" s="242"/>
      <c r="BQ66" s="242"/>
      <c r="BR66" s="242"/>
      <c r="BS66" s="242"/>
      <c r="BT66" s="242"/>
      <c r="BU66" s="242"/>
      <c r="BV66" s="242"/>
      <c r="BW66" s="242"/>
      <c r="BX66" s="242"/>
      <c r="BY66" s="242"/>
      <c r="BZ66" s="242"/>
      <c r="CA66" s="242"/>
      <c r="CB66" s="242"/>
      <c r="CC66" s="242"/>
      <c r="CD66" s="242"/>
    </row>
    <row r="67" spans="1:82" ht="12.75" hidden="1" customHeight="1">
      <c r="A67" s="242"/>
      <c r="B67" s="238"/>
      <c r="C67" s="247" t="s">
        <v>123</v>
      </c>
      <c r="D67" s="289">
        <f t="shared" ref="D67:L67" si="34">SUM(D83:D84)</f>
        <v>0</v>
      </c>
      <c r="E67" s="289">
        <f t="shared" si="34"/>
        <v>1</v>
      </c>
      <c r="F67" s="289">
        <f t="shared" si="34"/>
        <v>0</v>
      </c>
      <c r="G67" s="289">
        <f t="shared" si="34"/>
        <v>0</v>
      </c>
      <c r="H67" s="289">
        <f t="shared" si="34"/>
        <v>93</v>
      </c>
      <c r="I67" s="289">
        <f t="shared" si="34"/>
        <v>0</v>
      </c>
      <c r="J67" s="289">
        <f t="shared" si="34"/>
        <v>0</v>
      </c>
      <c r="K67" s="289">
        <f t="shared" si="34"/>
        <v>0</v>
      </c>
      <c r="L67" s="289">
        <f t="shared" si="34"/>
        <v>0</v>
      </c>
      <c r="M67" s="288">
        <f t="shared" si="27"/>
        <v>9</v>
      </c>
      <c r="N67" s="288">
        <v>224</v>
      </c>
      <c r="O67" s="241"/>
      <c r="P67" s="242"/>
      <c r="Q67" s="242"/>
      <c r="R67" s="242"/>
      <c r="S67" s="242"/>
      <c r="T67" s="242"/>
      <c r="U67" s="242"/>
      <c r="V67" s="242"/>
      <c r="W67" s="242"/>
      <c r="X67" s="242"/>
      <c r="Y67" s="242"/>
      <c r="Z67" s="242"/>
      <c r="AA67" s="242"/>
      <c r="AB67" s="242"/>
      <c r="AC67" s="242"/>
      <c r="AD67" s="242"/>
      <c r="AE67" s="242"/>
      <c r="AF67" s="242"/>
      <c r="AG67" s="242"/>
      <c r="AH67" s="242"/>
      <c r="AI67" s="242"/>
      <c r="AJ67" s="242"/>
      <c r="AK67" s="242"/>
      <c r="AL67" s="242"/>
      <c r="AM67" s="242"/>
      <c r="AN67" s="242"/>
      <c r="AO67" s="242"/>
      <c r="AP67" s="242"/>
      <c r="AQ67" s="242"/>
      <c r="AR67" s="242"/>
      <c r="AS67" s="242"/>
      <c r="AT67" s="242"/>
      <c r="AU67" s="242"/>
      <c r="AV67" s="242"/>
      <c r="AW67" s="242"/>
      <c r="AX67" s="242"/>
      <c r="AY67" s="242"/>
      <c r="AZ67" s="242"/>
      <c r="BA67" s="242"/>
      <c r="BB67" s="242"/>
      <c r="BC67" s="242"/>
      <c r="BD67" s="242"/>
      <c r="BE67" s="242"/>
      <c r="BF67" s="242"/>
      <c r="BG67" s="242"/>
      <c r="BH67" s="242"/>
      <c r="BI67" s="242"/>
      <c r="BJ67" s="242"/>
      <c r="BK67" s="242"/>
      <c r="BL67" s="242"/>
      <c r="BM67" s="242"/>
      <c r="BN67" s="242"/>
      <c r="BO67" s="242"/>
      <c r="BP67" s="242"/>
      <c r="BQ67" s="242"/>
      <c r="BR67" s="242"/>
      <c r="BS67" s="242"/>
      <c r="BT67" s="242"/>
      <c r="BU67" s="242"/>
      <c r="BV67" s="242"/>
      <c r="BW67" s="242"/>
      <c r="BX67" s="242"/>
      <c r="BY67" s="242"/>
      <c r="BZ67" s="242"/>
      <c r="CA67" s="242"/>
      <c r="CB67" s="242"/>
      <c r="CC67" s="242"/>
      <c r="CD67" s="242"/>
    </row>
    <row r="68" spans="1:82" ht="12.75" hidden="1" customHeight="1">
      <c r="A68" s="228"/>
      <c r="B68" s="246"/>
      <c r="C68" s="247" t="s">
        <v>124</v>
      </c>
      <c r="D68" s="289">
        <f t="shared" ref="D68:L68" si="35">D87</f>
        <v>0</v>
      </c>
      <c r="E68" s="289">
        <f t="shared" si="35"/>
        <v>2</v>
      </c>
      <c r="F68" s="289">
        <f t="shared" si="35"/>
        <v>0</v>
      </c>
      <c r="G68" s="289">
        <f t="shared" si="35"/>
        <v>3</v>
      </c>
      <c r="H68" s="289">
        <f t="shared" si="35"/>
        <v>116</v>
      </c>
      <c r="I68" s="289">
        <f t="shared" si="35"/>
        <v>0</v>
      </c>
      <c r="J68" s="289">
        <f t="shared" si="35"/>
        <v>10</v>
      </c>
      <c r="K68" s="289">
        <f t="shared" si="35"/>
        <v>0</v>
      </c>
      <c r="L68" s="289">
        <f t="shared" si="35"/>
        <v>248</v>
      </c>
      <c r="M68" s="288">
        <f t="shared" si="27"/>
        <v>9</v>
      </c>
      <c r="N68" s="288">
        <v>168</v>
      </c>
      <c r="O68" s="250"/>
      <c r="P68" s="228"/>
      <c r="Q68" s="228"/>
      <c r="R68" s="228"/>
      <c r="S68" s="228"/>
      <c r="T68" s="228"/>
      <c r="U68" s="228"/>
      <c r="V68" s="228"/>
      <c r="W68" s="228"/>
      <c r="X68" s="228"/>
      <c r="Y68" s="228"/>
      <c r="Z68" s="228"/>
      <c r="AA68" s="228"/>
      <c r="AB68" s="228"/>
      <c r="AC68" s="228"/>
      <c r="AD68" s="228"/>
      <c r="AE68" s="228"/>
      <c r="AF68" s="228"/>
      <c r="AG68" s="228"/>
      <c r="AH68" s="228"/>
      <c r="AI68" s="228"/>
      <c r="AJ68" s="228"/>
      <c r="AK68" s="228"/>
      <c r="AL68" s="228"/>
      <c r="AM68" s="228"/>
      <c r="AN68" s="228"/>
      <c r="AO68" s="228"/>
      <c r="AP68" s="228"/>
      <c r="AQ68" s="228"/>
      <c r="AR68" s="228"/>
      <c r="AS68" s="228"/>
      <c r="AT68" s="228"/>
      <c r="AU68" s="228"/>
      <c r="AV68" s="228"/>
      <c r="AW68" s="228"/>
      <c r="AX68" s="228"/>
      <c r="AY68" s="228"/>
      <c r="AZ68" s="228"/>
      <c r="BA68" s="228"/>
      <c r="BB68" s="228"/>
      <c r="BC68" s="228"/>
      <c r="BD68" s="228"/>
      <c r="BE68" s="228"/>
      <c r="BF68" s="228"/>
      <c r="BG68" s="228"/>
      <c r="BH68" s="228"/>
      <c r="BI68" s="228"/>
      <c r="BJ68" s="228"/>
      <c r="BK68" s="228"/>
      <c r="BL68" s="228"/>
      <c r="BM68" s="228"/>
      <c r="BN68" s="228"/>
      <c r="BO68" s="228"/>
      <c r="BP68" s="228"/>
      <c r="BQ68" s="228"/>
      <c r="BR68" s="228"/>
      <c r="BS68" s="228"/>
      <c r="BT68" s="228"/>
      <c r="BU68" s="228"/>
      <c r="BV68" s="228"/>
      <c r="BW68" s="228"/>
      <c r="BX68" s="228"/>
      <c r="BY68" s="228"/>
      <c r="BZ68" s="228"/>
      <c r="CA68" s="228"/>
      <c r="CB68" s="228"/>
      <c r="CC68" s="228"/>
      <c r="CD68" s="228"/>
    </row>
    <row r="69" spans="1:82" ht="12.75" hidden="1" customHeight="1">
      <c r="A69" s="228"/>
      <c r="B69" s="246"/>
      <c r="C69" s="247" t="s">
        <v>125</v>
      </c>
      <c r="D69" s="289">
        <f t="shared" ref="D69:L69" si="36">SUM(D72,D76,D77)</f>
        <v>0</v>
      </c>
      <c r="E69" s="289">
        <f t="shared" si="36"/>
        <v>96</v>
      </c>
      <c r="F69" s="289">
        <f t="shared" si="36"/>
        <v>0</v>
      </c>
      <c r="G69" s="289">
        <f t="shared" si="36"/>
        <v>5</v>
      </c>
      <c r="H69" s="289">
        <f t="shared" si="36"/>
        <v>4</v>
      </c>
      <c r="I69" s="289">
        <f t="shared" si="36"/>
        <v>161</v>
      </c>
      <c r="J69" s="289">
        <f t="shared" si="36"/>
        <v>60</v>
      </c>
      <c r="K69" s="289">
        <f t="shared" si="36"/>
        <v>21</v>
      </c>
      <c r="L69" s="289">
        <f t="shared" si="36"/>
        <v>0</v>
      </c>
      <c r="M69" s="288">
        <f t="shared" si="27"/>
        <v>9</v>
      </c>
      <c r="N69" s="288">
        <v>774</v>
      </c>
      <c r="O69" s="250"/>
      <c r="P69" s="228"/>
      <c r="Q69" s="228"/>
      <c r="R69" s="228"/>
      <c r="S69" s="228"/>
      <c r="T69" s="228"/>
      <c r="U69" s="228"/>
      <c r="V69" s="228"/>
      <c r="W69" s="228"/>
      <c r="X69" s="228"/>
      <c r="Y69" s="228"/>
      <c r="Z69" s="228"/>
      <c r="AA69" s="228"/>
      <c r="AB69" s="228"/>
      <c r="AC69" s="228"/>
      <c r="AD69" s="228"/>
      <c r="AE69" s="228"/>
      <c r="AF69" s="228"/>
      <c r="AG69" s="228"/>
      <c r="AH69" s="228"/>
      <c r="AI69" s="228"/>
      <c r="AJ69" s="228"/>
      <c r="AK69" s="228"/>
      <c r="AL69" s="228"/>
      <c r="AM69" s="228"/>
      <c r="AN69" s="228"/>
      <c r="AO69" s="228"/>
      <c r="AP69" s="228"/>
      <c r="AQ69" s="228"/>
      <c r="AR69" s="228"/>
      <c r="AS69" s="228"/>
      <c r="AT69" s="228"/>
      <c r="AU69" s="228"/>
      <c r="AV69" s="228"/>
      <c r="AW69" s="228"/>
      <c r="AX69" s="228"/>
      <c r="AY69" s="228"/>
      <c r="AZ69" s="228"/>
      <c r="BA69" s="228"/>
      <c r="BB69" s="228"/>
      <c r="BC69" s="228"/>
      <c r="BD69" s="228"/>
      <c r="BE69" s="228"/>
      <c r="BF69" s="228"/>
      <c r="BG69" s="228"/>
      <c r="BH69" s="228"/>
      <c r="BI69" s="228"/>
      <c r="BJ69" s="228"/>
      <c r="BK69" s="228"/>
      <c r="BL69" s="228"/>
      <c r="BM69" s="228"/>
      <c r="BN69" s="228"/>
      <c r="BO69" s="228"/>
      <c r="BP69" s="228"/>
      <c r="BQ69" s="228"/>
      <c r="BR69" s="228"/>
      <c r="BS69" s="228"/>
      <c r="BT69" s="228"/>
      <c r="BU69" s="228"/>
      <c r="BV69" s="228"/>
      <c r="BW69" s="228"/>
      <c r="BX69" s="228"/>
      <c r="BY69" s="228"/>
      <c r="BZ69" s="228"/>
      <c r="CA69" s="228"/>
      <c r="CB69" s="228"/>
      <c r="CC69" s="228"/>
      <c r="CD69" s="228"/>
    </row>
    <row r="70" spans="1:82" ht="12.75" hidden="1" customHeight="1">
      <c r="A70" s="242"/>
      <c r="B70" s="238"/>
      <c r="C70" s="266" t="s">
        <v>69</v>
      </c>
      <c r="D70" s="248">
        <v>0</v>
      </c>
      <c r="E70" s="248">
        <v>30</v>
      </c>
      <c r="F70" s="248">
        <v>0</v>
      </c>
      <c r="G70" s="248">
        <v>0</v>
      </c>
      <c r="H70" s="248">
        <v>0</v>
      </c>
      <c r="I70" s="248">
        <v>0</v>
      </c>
      <c r="J70" s="248">
        <v>21</v>
      </c>
      <c r="K70" s="248">
        <v>0</v>
      </c>
      <c r="L70" s="248">
        <v>8</v>
      </c>
      <c r="M70" s="288">
        <f t="shared" si="27"/>
        <v>9</v>
      </c>
      <c r="N70" s="288">
        <v>172</v>
      </c>
      <c r="O70" s="241"/>
      <c r="P70" s="242"/>
      <c r="Q70" s="242"/>
      <c r="R70" s="242"/>
      <c r="S70" s="242"/>
      <c r="T70" s="242"/>
      <c r="U70" s="242"/>
      <c r="V70" s="242"/>
      <c r="W70" s="242"/>
      <c r="X70" s="242"/>
      <c r="Y70" s="242"/>
      <c r="Z70" s="242"/>
      <c r="AA70" s="242"/>
      <c r="AB70" s="242"/>
      <c r="AC70" s="242"/>
      <c r="AD70" s="242"/>
      <c r="AE70" s="242"/>
      <c r="AF70" s="242"/>
      <c r="AG70" s="242"/>
      <c r="AH70" s="242"/>
      <c r="AI70" s="242"/>
      <c r="AJ70" s="242"/>
      <c r="AK70" s="242"/>
      <c r="AL70" s="242"/>
      <c r="AM70" s="242"/>
      <c r="AN70" s="242"/>
      <c r="AO70" s="242"/>
      <c r="AP70" s="242"/>
      <c r="AQ70" s="242"/>
      <c r="AR70" s="242"/>
      <c r="AS70" s="242"/>
      <c r="AT70" s="242"/>
      <c r="AU70" s="242"/>
      <c r="AV70" s="242"/>
      <c r="AW70" s="242"/>
      <c r="AX70" s="242"/>
      <c r="AY70" s="242"/>
      <c r="AZ70" s="242"/>
      <c r="BA70" s="242"/>
      <c r="BB70" s="242"/>
      <c r="BC70" s="242"/>
      <c r="BD70" s="242"/>
      <c r="BE70" s="242"/>
      <c r="BF70" s="242"/>
      <c r="BG70" s="242"/>
      <c r="BH70" s="242"/>
      <c r="BI70" s="242"/>
      <c r="BJ70" s="242"/>
      <c r="BK70" s="242"/>
      <c r="BL70" s="242"/>
      <c r="BM70" s="242"/>
      <c r="BN70" s="242"/>
      <c r="BO70" s="242"/>
      <c r="BP70" s="242"/>
      <c r="BQ70" s="242"/>
      <c r="BR70" s="242"/>
      <c r="BS70" s="242"/>
      <c r="BT70" s="242"/>
      <c r="BU70" s="242"/>
      <c r="BV70" s="242"/>
      <c r="BW70" s="242"/>
      <c r="BX70" s="242"/>
      <c r="BY70" s="242"/>
      <c r="BZ70" s="242"/>
      <c r="CA70" s="242"/>
      <c r="CB70" s="242"/>
      <c r="CC70" s="242"/>
      <c r="CD70" s="242"/>
    </row>
    <row r="71" spans="1:82" ht="12.75" hidden="1" customHeight="1">
      <c r="A71" s="242"/>
      <c r="B71" s="238"/>
      <c r="C71" s="266" t="s">
        <v>80</v>
      </c>
      <c r="D71" s="248">
        <v>19</v>
      </c>
      <c r="E71" s="248">
        <v>0</v>
      </c>
      <c r="F71" s="248">
        <v>4</v>
      </c>
      <c r="G71" s="248">
        <v>38</v>
      </c>
      <c r="H71" s="248">
        <v>2</v>
      </c>
      <c r="I71" s="248">
        <v>0</v>
      </c>
      <c r="J71" s="248">
        <v>3</v>
      </c>
      <c r="K71" s="248">
        <v>1</v>
      </c>
      <c r="L71" s="248">
        <v>8</v>
      </c>
      <c r="M71" s="288">
        <f t="shared" si="27"/>
        <v>9</v>
      </c>
      <c r="N71" s="288">
        <v>193</v>
      </c>
      <c r="O71" s="241"/>
      <c r="P71" s="242"/>
      <c r="Q71" s="242"/>
      <c r="R71" s="242"/>
      <c r="S71" s="242"/>
      <c r="T71" s="242"/>
      <c r="U71" s="242"/>
      <c r="V71" s="242"/>
      <c r="W71" s="242"/>
      <c r="X71" s="242"/>
      <c r="Y71" s="242"/>
      <c r="Z71" s="242"/>
      <c r="AA71" s="242"/>
      <c r="AB71" s="242"/>
      <c r="AC71" s="242"/>
      <c r="AD71" s="242"/>
      <c r="AE71" s="242"/>
      <c r="AF71" s="242"/>
      <c r="AG71" s="242"/>
      <c r="AH71" s="242"/>
      <c r="AI71" s="242"/>
      <c r="AJ71" s="242"/>
      <c r="AK71" s="242"/>
      <c r="AL71" s="242"/>
      <c r="AM71" s="242"/>
      <c r="AN71" s="242"/>
      <c r="AO71" s="242"/>
      <c r="AP71" s="242"/>
      <c r="AQ71" s="242"/>
      <c r="AR71" s="242"/>
      <c r="AS71" s="242"/>
      <c r="AT71" s="242"/>
      <c r="AU71" s="242"/>
      <c r="AV71" s="242"/>
      <c r="AW71" s="242"/>
      <c r="AX71" s="242"/>
      <c r="AY71" s="242"/>
      <c r="AZ71" s="242"/>
      <c r="BA71" s="242"/>
      <c r="BB71" s="242"/>
      <c r="BC71" s="242"/>
      <c r="BD71" s="242"/>
      <c r="BE71" s="242"/>
      <c r="BF71" s="242"/>
      <c r="BG71" s="242"/>
      <c r="BH71" s="242"/>
      <c r="BI71" s="242"/>
      <c r="BJ71" s="242"/>
      <c r="BK71" s="242"/>
      <c r="BL71" s="242"/>
      <c r="BM71" s="242"/>
      <c r="BN71" s="242"/>
      <c r="BO71" s="242"/>
      <c r="BP71" s="242"/>
      <c r="BQ71" s="242"/>
      <c r="BR71" s="242"/>
      <c r="BS71" s="242"/>
      <c r="BT71" s="242"/>
      <c r="BU71" s="242"/>
      <c r="BV71" s="242"/>
      <c r="BW71" s="242"/>
      <c r="BX71" s="242"/>
      <c r="BY71" s="242"/>
      <c r="BZ71" s="242"/>
      <c r="CA71" s="242"/>
      <c r="CB71" s="242"/>
      <c r="CC71" s="242"/>
      <c r="CD71" s="242"/>
    </row>
    <row r="72" spans="1:82" ht="12.75" hidden="1" customHeight="1">
      <c r="A72" s="242"/>
      <c r="B72" s="238"/>
      <c r="C72" s="266" t="s">
        <v>70</v>
      </c>
      <c r="D72" s="248">
        <v>0</v>
      </c>
      <c r="E72" s="248">
        <v>1</v>
      </c>
      <c r="F72" s="248">
        <v>0</v>
      </c>
      <c r="G72" s="248">
        <v>0</v>
      </c>
      <c r="H72" s="248">
        <v>0</v>
      </c>
      <c r="I72" s="248">
        <v>161</v>
      </c>
      <c r="J72" s="248">
        <v>25</v>
      </c>
      <c r="K72" s="248">
        <v>0</v>
      </c>
      <c r="L72" s="248">
        <v>0</v>
      </c>
      <c r="M72" s="288">
        <f t="shared" si="27"/>
        <v>9</v>
      </c>
      <c r="N72" s="288">
        <v>371</v>
      </c>
      <c r="O72" s="241"/>
      <c r="P72" s="242"/>
      <c r="Q72" s="242"/>
      <c r="R72" s="242"/>
      <c r="S72" s="242"/>
      <c r="T72" s="242"/>
      <c r="U72" s="242"/>
      <c r="V72" s="242"/>
      <c r="W72" s="242"/>
      <c r="X72" s="242"/>
      <c r="Y72" s="242"/>
      <c r="Z72" s="242"/>
      <c r="AA72" s="242"/>
      <c r="AB72" s="242"/>
      <c r="AC72" s="242"/>
      <c r="AD72" s="242"/>
      <c r="AE72" s="242"/>
      <c r="AF72" s="242"/>
      <c r="AG72" s="242"/>
      <c r="AH72" s="242"/>
      <c r="AI72" s="242"/>
      <c r="AJ72" s="242"/>
      <c r="AK72" s="242"/>
      <c r="AL72" s="242"/>
      <c r="AM72" s="242"/>
      <c r="AN72" s="242"/>
      <c r="AO72" s="242"/>
      <c r="AP72" s="242"/>
      <c r="AQ72" s="242"/>
      <c r="AR72" s="242"/>
      <c r="AS72" s="242"/>
      <c r="AT72" s="242"/>
      <c r="AU72" s="242"/>
      <c r="AV72" s="242"/>
      <c r="AW72" s="242"/>
      <c r="AX72" s="242"/>
      <c r="AY72" s="242"/>
      <c r="AZ72" s="242"/>
      <c r="BA72" s="242"/>
      <c r="BB72" s="242"/>
      <c r="BC72" s="242"/>
      <c r="BD72" s="242"/>
      <c r="BE72" s="242"/>
      <c r="BF72" s="242"/>
      <c r="BG72" s="242"/>
      <c r="BH72" s="242"/>
      <c r="BI72" s="242"/>
      <c r="BJ72" s="242"/>
      <c r="BK72" s="242"/>
      <c r="BL72" s="242"/>
      <c r="BM72" s="242"/>
      <c r="BN72" s="242"/>
      <c r="BO72" s="242"/>
      <c r="BP72" s="242"/>
      <c r="BQ72" s="242"/>
      <c r="BR72" s="242"/>
      <c r="BS72" s="242"/>
      <c r="BT72" s="242"/>
      <c r="BU72" s="242"/>
      <c r="BV72" s="242"/>
      <c r="BW72" s="242"/>
      <c r="BX72" s="242"/>
      <c r="BY72" s="242"/>
      <c r="BZ72" s="242"/>
      <c r="CA72" s="242"/>
      <c r="CB72" s="242"/>
      <c r="CC72" s="242"/>
      <c r="CD72" s="242"/>
    </row>
    <row r="73" spans="1:82" ht="12.75" hidden="1" customHeight="1">
      <c r="A73" s="242"/>
      <c r="B73" s="238"/>
      <c r="C73" s="266" t="s">
        <v>71</v>
      </c>
      <c r="D73" s="248">
        <v>0</v>
      </c>
      <c r="E73" s="248">
        <v>0</v>
      </c>
      <c r="F73" s="248">
        <v>0</v>
      </c>
      <c r="G73" s="248">
        <v>4</v>
      </c>
      <c r="H73" s="248">
        <v>49</v>
      </c>
      <c r="I73" s="248">
        <v>0</v>
      </c>
      <c r="J73" s="248">
        <v>19</v>
      </c>
      <c r="K73" s="248">
        <v>0</v>
      </c>
      <c r="L73" s="248">
        <v>0</v>
      </c>
      <c r="M73" s="288">
        <f t="shared" si="27"/>
        <v>9</v>
      </c>
      <c r="N73" s="288">
        <v>177</v>
      </c>
      <c r="O73" s="241"/>
      <c r="P73" s="242"/>
      <c r="Q73" s="242"/>
      <c r="R73" s="242"/>
      <c r="S73" s="242"/>
      <c r="T73" s="242"/>
      <c r="U73" s="242"/>
      <c r="V73" s="242"/>
      <c r="W73" s="242"/>
      <c r="X73" s="242"/>
      <c r="Y73" s="242"/>
      <c r="Z73" s="242"/>
      <c r="AA73" s="242"/>
      <c r="AB73" s="242"/>
      <c r="AC73" s="242"/>
      <c r="AD73" s="242"/>
      <c r="AE73" s="242"/>
      <c r="AF73" s="242"/>
      <c r="AG73" s="242"/>
      <c r="AH73" s="242"/>
      <c r="AI73" s="242"/>
      <c r="AJ73" s="242"/>
      <c r="AK73" s="242"/>
      <c r="AL73" s="242"/>
      <c r="AM73" s="242"/>
      <c r="AN73" s="242"/>
      <c r="AO73" s="242"/>
      <c r="AP73" s="242"/>
      <c r="AQ73" s="242"/>
      <c r="AR73" s="242"/>
      <c r="AS73" s="242"/>
      <c r="AT73" s="242"/>
      <c r="AU73" s="242"/>
      <c r="AV73" s="242"/>
      <c r="AW73" s="242"/>
      <c r="AX73" s="242"/>
      <c r="AY73" s="242"/>
      <c r="AZ73" s="242"/>
      <c r="BA73" s="242"/>
      <c r="BB73" s="242"/>
      <c r="BC73" s="242"/>
      <c r="BD73" s="242"/>
      <c r="BE73" s="242"/>
      <c r="BF73" s="242"/>
      <c r="BG73" s="242"/>
      <c r="BH73" s="242"/>
      <c r="BI73" s="242"/>
      <c r="BJ73" s="242"/>
      <c r="BK73" s="242"/>
      <c r="BL73" s="242"/>
      <c r="BM73" s="242"/>
      <c r="BN73" s="242"/>
      <c r="BO73" s="242"/>
      <c r="BP73" s="242"/>
      <c r="BQ73" s="242"/>
      <c r="BR73" s="242"/>
      <c r="BS73" s="242"/>
      <c r="BT73" s="242"/>
      <c r="BU73" s="242"/>
      <c r="BV73" s="242"/>
      <c r="BW73" s="242"/>
      <c r="BX73" s="242"/>
      <c r="BY73" s="242"/>
      <c r="BZ73" s="242"/>
      <c r="CA73" s="242"/>
      <c r="CB73" s="242"/>
      <c r="CC73" s="242"/>
      <c r="CD73" s="242"/>
    </row>
    <row r="74" spans="1:82" ht="12.75" hidden="1" customHeight="1">
      <c r="A74" s="242"/>
      <c r="B74" s="238"/>
      <c r="C74" s="266" t="s">
        <v>73</v>
      </c>
      <c r="D74" s="288">
        <v>1</v>
      </c>
      <c r="E74" s="288">
        <v>41</v>
      </c>
      <c r="F74" s="288">
        <v>0</v>
      </c>
      <c r="G74" s="288">
        <v>5</v>
      </c>
      <c r="H74" s="288">
        <v>2</v>
      </c>
      <c r="I74" s="288">
        <v>0</v>
      </c>
      <c r="J74" s="288">
        <v>0</v>
      </c>
      <c r="K74" s="288">
        <v>0</v>
      </c>
      <c r="L74" s="288">
        <v>0</v>
      </c>
      <c r="M74" s="288">
        <f t="shared" si="27"/>
        <v>9</v>
      </c>
      <c r="N74" s="288">
        <v>116</v>
      </c>
      <c r="O74" s="241"/>
      <c r="P74" s="242"/>
      <c r="Q74" s="242"/>
      <c r="R74" s="242"/>
      <c r="S74" s="242"/>
      <c r="T74" s="242"/>
      <c r="U74" s="242"/>
      <c r="V74" s="242"/>
      <c r="W74" s="242"/>
      <c r="X74" s="242"/>
      <c r="Y74" s="242"/>
      <c r="Z74" s="242"/>
      <c r="AA74" s="242"/>
      <c r="AB74" s="242"/>
      <c r="AC74" s="242"/>
      <c r="AD74" s="242"/>
      <c r="AE74" s="242"/>
      <c r="AF74" s="242"/>
      <c r="AG74" s="242"/>
      <c r="AH74" s="242"/>
      <c r="AI74" s="242"/>
      <c r="AJ74" s="242"/>
      <c r="AK74" s="242"/>
      <c r="AL74" s="242"/>
      <c r="AM74" s="242"/>
      <c r="AN74" s="242"/>
      <c r="AO74" s="242"/>
      <c r="AP74" s="242"/>
      <c r="AQ74" s="242"/>
      <c r="AR74" s="242"/>
      <c r="AS74" s="242"/>
      <c r="AT74" s="242"/>
      <c r="AU74" s="242"/>
      <c r="AV74" s="242"/>
      <c r="AW74" s="242"/>
      <c r="AX74" s="242"/>
      <c r="AY74" s="242"/>
      <c r="AZ74" s="242"/>
      <c r="BA74" s="242"/>
      <c r="BB74" s="242"/>
      <c r="BC74" s="242"/>
      <c r="BD74" s="242"/>
      <c r="BE74" s="242"/>
      <c r="BF74" s="242"/>
      <c r="BG74" s="242"/>
      <c r="BH74" s="242"/>
      <c r="BI74" s="242"/>
      <c r="BJ74" s="242"/>
      <c r="BK74" s="242"/>
      <c r="BL74" s="242"/>
      <c r="BM74" s="242"/>
      <c r="BN74" s="242"/>
      <c r="BO74" s="242"/>
      <c r="BP74" s="242"/>
      <c r="BQ74" s="242"/>
      <c r="BR74" s="242"/>
      <c r="BS74" s="242"/>
      <c r="BT74" s="242"/>
      <c r="BU74" s="242"/>
      <c r="BV74" s="242"/>
      <c r="BW74" s="242"/>
      <c r="BX74" s="242"/>
      <c r="BY74" s="242"/>
      <c r="BZ74" s="242"/>
      <c r="CA74" s="242"/>
      <c r="CB74" s="242"/>
      <c r="CC74" s="242"/>
      <c r="CD74" s="242"/>
    </row>
    <row r="75" spans="1:82" ht="12.75" hidden="1" customHeight="1">
      <c r="A75" s="242"/>
      <c r="B75" s="238"/>
      <c r="C75" s="266" t="s">
        <v>74</v>
      </c>
      <c r="D75" s="248">
        <v>20</v>
      </c>
      <c r="E75" s="248">
        <v>0</v>
      </c>
      <c r="F75" s="248">
        <v>0</v>
      </c>
      <c r="G75" s="248">
        <v>2</v>
      </c>
      <c r="H75" s="248">
        <v>8</v>
      </c>
      <c r="I75" s="248">
        <v>0</v>
      </c>
      <c r="J75" s="248">
        <v>2</v>
      </c>
      <c r="K75" s="248">
        <v>0</v>
      </c>
      <c r="L75" s="248">
        <v>0</v>
      </c>
      <c r="M75" s="288">
        <f t="shared" si="27"/>
        <v>9</v>
      </c>
      <c r="N75" s="288">
        <v>101</v>
      </c>
      <c r="O75" s="241"/>
      <c r="P75" s="242"/>
      <c r="Q75" s="242"/>
      <c r="R75" s="242"/>
      <c r="S75" s="242"/>
      <c r="T75" s="242"/>
      <c r="U75" s="242"/>
      <c r="V75" s="242"/>
      <c r="W75" s="242"/>
      <c r="X75" s="242"/>
      <c r="Y75" s="242"/>
      <c r="Z75" s="242"/>
      <c r="AA75" s="242"/>
      <c r="AB75" s="242"/>
      <c r="AC75" s="242"/>
      <c r="AD75" s="242"/>
      <c r="AE75" s="242"/>
      <c r="AF75" s="242"/>
      <c r="AG75" s="242"/>
      <c r="AH75" s="242"/>
      <c r="AI75" s="242"/>
      <c r="AJ75" s="242"/>
      <c r="AK75" s="242"/>
      <c r="AL75" s="242"/>
      <c r="AM75" s="242"/>
      <c r="AN75" s="242"/>
      <c r="AO75" s="242"/>
      <c r="AP75" s="242"/>
      <c r="AQ75" s="242"/>
      <c r="AR75" s="242"/>
      <c r="AS75" s="242"/>
      <c r="AT75" s="242"/>
      <c r="AU75" s="242"/>
      <c r="AV75" s="242"/>
      <c r="AW75" s="242"/>
      <c r="AX75" s="242"/>
      <c r="AY75" s="242"/>
      <c r="AZ75" s="242"/>
      <c r="BA75" s="242"/>
      <c r="BB75" s="242"/>
      <c r="BC75" s="242"/>
      <c r="BD75" s="242"/>
      <c r="BE75" s="242"/>
      <c r="BF75" s="242"/>
      <c r="BG75" s="242"/>
      <c r="BH75" s="242"/>
      <c r="BI75" s="242"/>
      <c r="BJ75" s="242"/>
      <c r="BK75" s="242"/>
      <c r="BL75" s="242"/>
      <c r="BM75" s="242"/>
      <c r="BN75" s="242"/>
      <c r="BO75" s="242"/>
      <c r="BP75" s="242"/>
      <c r="BQ75" s="242"/>
      <c r="BR75" s="242"/>
      <c r="BS75" s="242"/>
      <c r="BT75" s="242"/>
      <c r="BU75" s="242"/>
      <c r="BV75" s="242"/>
      <c r="BW75" s="242"/>
      <c r="BX75" s="242"/>
      <c r="BY75" s="242"/>
      <c r="BZ75" s="242"/>
      <c r="CA75" s="242"/>
      <c r="CB75" s="242"/>
      <c r="CC75" s="242"/>
      <c r="CD75" s="242"/>
    </row>
    <row r="76" spans="1:82" ht="12.75" hidden="1" customHeight="1">
      <c r="A76" s="242"/>
      <c r="B76" s="238"/>
      <c r="C76" s="266" t="s">
        <v>75</v>
      </c>
      <c r="D76" s="248">
        <v>0</v>
      </c>
      <c r="E76" s="248">
        <v>1</v>
      </c>
      <c r="F76" s="248">
        <v>0</v>
      </c>
      <c r="G76" s="248">
        <v>5</v>
      </c>
      <c r="H76" s="248">
        <v>4</v>
      </c>
      <c r="I76" s="248">
        <v>0</v>
      </c>
      <c r="J76" s="248">
        <v>6</v>
      </c>
      <c r="K76" s="248">
        <v>21</v>
      </c>
      <c r="L76" s="248">
        <v>0</v>
      </c>
      <c r="M76" s="288">
        <f t="shared" si="27"/>
        <v>9</v>
      </c>
      <c r="N76" s="288">
        <v>48</v>
      </c>
      <c r="O76" s="241"/>
      <c r="P76" s="242"/>
      <c r="Q76" s="242"/>
      <c r="R76" s="242"/>
      <c r="S76" s="242"/>
      <c r="T76" s="242"/>
      <c r="U76" s="242"/>
      <c r="V76" s="242"/>
      <c r="W76" s="242"/>
      <c r="X76" s="242"/>
      <c r="Y76" s="242"/>
      <c r="Z76" s="242"/>
      <c r="AA76" s="242"/>
      <c r="AB76" s="242"/>
      <c r="AC76" s="242"/>
      <c r="AD76" s="242"/>
      <c r="AE76" s="242"/>
      <c r="AF76" s="242"/>
      <c r="AG76" s="242"/>
      <c r="AH76" s="242"/>
      <c r="AI76" s="242"/>
      <c r="AJ76" s="242"/>
      <c r="AK76" s="242"/>
      <c r="AL76" s="242"/>
      <c r="AM76" s="242"/>
      <c r="AN76" s="242"/>
      <c r="AO76" s="242"/>
      <c r="AP76" s="242"/>
      <c r="AQ76" s="242"/>
      <c r="AR76" s="242"/>
      <c r="AS76" s="242"/>
      <c r="AT76" s="242"/>
      <c r="AU76" s="242"/>
      <c r="AV76" s="242"/>
      <c r="AW76" s="242"/>
      <c r="AX76" s="242"/>
      <c r="AY76" s="242"/>
      <c r="AZ76" s="242"/>
      <c r="BA76" s="242"/>
      <c r="BB76" s="242"/>
      <c r="BC76" s="242"/>
      <c r="BD76" s="242"/>
      <c r="BE76" s="242"/>
      <c r="BF76" s="242"/>
      <c r="BG76" s="242"/>
      <c r="BH76" s="242"/>
      <c r="BI76" s="242"/>
      <c r="BJ76" s="242"/>
      <c r="BK76" s="242"/>
      <c r="BL76" s="242"/>
      <c r="BM76" s="242"/>
      <c r="BN76" s="242"/>
      <c r="BO76" s="242"/>
      <c r="BP76" s="242"/>
      <c r="BQ76" s="242"/>
      <c r="BR76" s="242"/>
      <c r="BS76" s="242"/>
      <c r="BT76" s="242"/>
      <c r="BU76" s="242"/>
      <c r="BV76" s="242"/>
      <c r="BW76" s="242"/>
      <c r="BX76" s="242"/>
      <c r="BY76" s="242"/>
      <c r="BZ76" s="242"/>
      <c r="CA76" s="242"/>
      <c r="CB76" s="242"/>
      <c r="CC76" s="242"/>
      <c r="CD76" s="242"/>
    </row>
    <row r="77" spans="1:82" ht="12.75" hidden="1" customHeight="1">
      <c r="A77" s="242"/>
      <c r="B77" s="238"/>
      <c r="C77" s="266" t="s">
        <v>76</v>
      </c>
      <c r="D77" s="248">
        <v>0</v>
      </c>
      <c r="E77" s="248">
        <v>94</v>
      </c>
      <c r="F77" s="248">
        <v>0</v>
      </c>
      <c r="G77" s="248">
        <v>0</v>
      </c>
      <c r="H77" s="248">
        <v>0</v>
      </c>
      <c r="I77" s="248">
        <v>0</v>
      </c>
      <c r="J77" s="248">
        <v>29</v>
      </c>
      <c r="K77" s="248">
        <v>0</v>
      </c>
      <c r="L77" s="248">
        <v>0</v>
      </c>
      <c r="M77" s="288">
        <f t="shared" si="27"/>
        <v>9</v>
      </c>
      <c r="N77" s="288">
        <v>355</v>
      </c>
      <c r="O77" s="241"/>
      <c r="P77" s="242"/>
      <c r="Q77" s="242"/>
      <c r="R77" s="242"/>
      <c r="S77" s="242"/>
      <c r="T77" s="242"/>
      <c r="U77" s="242"/>
      <c r="V77" s="242"/>
      <c r="W77" s="242"/>
      <c r="X77" s="242"/>
      <c r="Y77" s="242"/>
      <c r="Z77" s="242"/>
      <c r="AA77" s="242"/>
      <c r="AB77" s="242"/>
      <c r="AC77" s="242"/>
      <c r="AD77" s="242"/>
      <c r="AE77" s="242"/>
      <c r="AF77" s="242"/>
      <c r="AG77" s="242"/>
      <c r="AH77" s="242"/>
      <c r="AI77" s="242"/>
      <c r="AJ77" s="242"/>
      <c r="AK77" s="242"/>
      <c r="AL77" s="242"/>
      <c r="AM77" s="242"/>
      <c r="AN77" s="242"/>
      <c r="AO77" s="242"/>
      <c r="AP77" s="242"/>
      <c r="AQ77" s="242"/>
      <c r="AR77" s="242"/>
      <c r="AS77" s="242"/>
      <c r="AT77" s="242"/>
      <c r="AU77" s="242"/>
      <c r="AV77" s="242"/>
      <c r="AW77" s="242"/>
      <c r="AX77" s="242"/>
      <c r="AY77" s="242"/>
      <c r="AZ77" s="242"/>
      <c r="BA77" s="242"/>
      <c r="BB77" s="242"/>
      <c r="BC77" s="242"/>
      <c r="BD77" s="242"/>
      <c r="BE77" s="242"/>
      <c r="BF77" s="242"/>
      <c r="BG77" s="242"/>
      <c r="BH77" s="242"/>
      <c r="BI77" s="242"/>
      <c r="BJ77" s="242"/>
      <c r="BK77" s="242"/>
      <c r="BL77" s="242"/>
      <c r="BM77" s="242"/>
      <c r="BN77" s="242"/>
      <c r="BO77" s="242"/>
      <c r="BP77" s="242"/>
      <c r="BQ77" s="242"/>
      <c r="BR77" s="242"/>
      <c r="BS77" s="242"/>
      <c r="BT77" s="242"/>
      <c r="BU77" s="242"/>
      <c r="BV77" s="242"/>
      <c r="BW77" s="242"/>
      <c r="BX77" s="242"/>
      <c r="BY77" s="242"/>
      <c r="BZ77" s="242"/>
      <c r="CA77" s="242"/>
      <c r="CB77" s="242"/>
      <c r="CC77" s="242"/>
      <c r="CD77" s="242"/>
    </row>
    <row r="78" spans="1:82" ht="12.75" hidden="1" customHeight="1">
      <c r="A78" s="242"/>
      <c r="B78" s="238"/>
      <c r="C78" s="266" t="s">
        <v>77</v>
      </c>
      <c r="D78" s="248">
        <v>0</v>
      </c>
      <c r="E78" s="248">
        <v>0</v>
      </c>
      <c r="F78" s="248">
        <v>0</v>
      </c>
      <c r="G78" s="248">
        <v>0</v>
      </c>
      <c r="H78" s="248">
        <v>0</v>
      </c>
      <c r="I78" s="248">
        <v>0</v>
      </c>
      <c r="J78" s="248">
        <v>159</v>
      </c>
      <c r="K78" s="248">
        <v>0</v>
      </c>
      <c r="L78" s="248">
        <v>0</v>
      </c>
      <c r="M78" s="288">
        <f t="shared" si="27"/>
        <v>9</v>
      </c>
      <c r="N78" s="288">
        <v>319</v>
      </c>
      <c r="O78" s="241"/>
      <c r="P78" s="242"/>
      <c r="Q78" s="242"/>
      <c r="R78" s="242"/>
      <c r="S78" s="242"/>
      <c r="T78" s="242"/>
      <c r="U78" s="242"/>
      <c r="V78" s="242"/>
      <c r="W78" s="242"/>
      <c r="X78" s="242"/>
      <c r="Y78" s="242"/>
      <c r="Z78" s="242"/>
      <c r="AA78" s="242"/>
      <c r="AB78" s="242"/>
      <c r="AC78" s="242"/>
      <c r="AD78" s="242"/>
      <c r="AE78" s="242"/>
      <c r="AF78" s="242"/>
      <c r="AG78" s="242"/>
      <c r="AH78" s="242"/>
      <c r="AI78" s="242"/>
      <c r="AJ78" s="242"/>
      <c r="AK78" s="242"/>
      <c r="AL78" s="242"/>
      <c r="AM78" s="242"/>
      <c r="AN78" s="242"/>
      <c r="AO78" s="242"/>
      <c r="AP78" s="242"/>
      <c r="AQ78" s="242"/>
      <c r="AR78" s="242"/>
      <c r="AS78" s="242"/>
      <c r="AT78" s="242"/>
      <c r="AU78" s="242"/>
      <c r="AV78" s="242"/>
      <c r="AW78" s="242"/>
      <c r="AX78" s="242"/>
      <c r="AY78" s="242"/>
      <c r="AZ78" s="242"/>
      <c r="BA78" s="242"/>
      <c r="BB78" s="242"/>
      <c r="BC78" s="242"/>
      <c r="BD78" s="242"/>
      <c r="BE78" s="242"/>
      <c r="BF78" s="242"/>
      <c r="BG78" s="242"/>
      <c r="BH78" s="242"/>
      <c r="BI78" s="242"/>
      <c r="BJ78" s="242"/>
      <c r="BK78" s="242"/>
      <c r="BL78" s="242"/>
      <c r="BM78" s="242"/>
      <c r="BN78" s="242"/>
      <c r="BO78" s="242"/>
      <c r="BP78" s="242"/>
      <c r="BQ78" s="242"/>
      <c r="BR78" s="242"/>
      <c r="BS78" s="242"/>
      <c r="BT78" s="242"/>
      <c r="BU78" s="242"/>
      <c r="BV78" s="242"/>
      <c r="BW78" s="242"/>
      <c r="BX78" s="242"/>
      <c r="BY78" s="242"/>
      <c r="BZ78" s="242"/>
      <c r="CA78" s="242"/>
      <c r="CB78" s="242"/>
      <c r="CC78" s="242"/>
      <c r="CD78" s="242"/>
    </row>
    <row r="79" spans="1:82" ht="12.75" hidden="1" customHeight="1">
      <c r="A79" s="242"/>
      <c r="B79" s="238"/>
      <c r="C79" s="266" t="s">
        <v>78</v>
      </c>
      <c r="D79" s="248">
        <v>0</v>
      </c>
      <c r="E79" s="248">
        <v>368</v>
      </c>
      <c r="F79" s="248">
        <v>77</v>
      </c>
      <c r="G79" s="248">
        <v>3</v>
      </c>
      <c r="H79" s="248">
        <v>0</v>
      </c>
      <c r="I79" s="248">
        <v>0</v>
      </c>
      <c r="J79" s="248">
        <v>819</v>
      </c>
      <c r="K79" s="248">
        <v>0</v>
      </c>
      <c r="L79" s="248">
        <v>0</v>
      </c>
      <c r="M79" s="288">
        <f t="shared" si="27"/>
        <v>9</v>
      </c>
      <c r="N79" s="288">
        <v>1681</v>
      </c>
      <c r="O79" s="241"/>
      <c r="P79" s="242"/>
      <c r="Q79" s="242"/>
      <c r="R79" s="242"/>
      <c r="S79" s="242"/>
      <c r="T79" s="242"/>
      <c r="U79" s="242"/>
      <c r="V79" s="242"/>
      <c r="W79" s="242"/>
      <c r="X79" s="242"/>
      <c r="Y79" s="242"/>
      <c r="Z79" s="242"/>
      <c r="AA79" s="242"/>
      <c r="AB79" s="242"/>
      <c r="AC79" s="242"/>
      <c r="AD79" s="242"/>
      <c r="AE79" s="242"/>
      <c r="AF79" s="242"/>
      <c r="AG79" s="242"/>
      <c r="AH79" s="242"/>
      <c r="AI79" s="242"/>
      <c r="AJ79" s="242"/>
      <c r="AK79" s="242"/>
      <c r="AL79" s="242"/>
      <c r="AM79" s="242"/>
      <c r="AN79" s="242"/>
      <c r="AO79" s="242"/>
      <c r="AP79" s="242"/>
      <c r="AQ79" s="242"/>
      <c r="AR79" s="242"/>
      <c r="AS79" s="242"/>
      <c r="AT79" s="242"/>
      <c r="AU79" s="242"/>
      <c r="AV79" s="242"/>
      <c r="AW79" s="242"/>
      <c r="AX79" s="242"/>
      <c r="AY79" s="242"/>
      <c r="AZ79" s="242"/>
      <c r="BA79" s="242"/>
      <c r="BB79" s="242"/>
      <c r="BC79" s="242"/>
      <c r="BD79" s="242"/>
      <c r="BE79" s="242"/>
      <c r="BF79" s="242"/>
      <c r="BG79" s="242"/>
      <c r="BH79" s="242"/>
      <c r="BI79" s="242"/>
      <c r="BJ79" s="242"/>
      <c r="BK79" s="242"/>
      <c r="BL79" s="242"/>
      <c r="BM79" s="242"/>
      <c r="BN79" s="242"/>
      <c r="BO79" s="242"/>
      <c r="BP79" s="242"/>
      <c r="BQ79" s="242"/>
      <c r="BR79" s="242"/>
      <c r="BS79" s="242"/>
      <c r="BT79" s="242"/>
      <c r="BU79" s="242"/>
      <c r="BV79" s="242"/>
      <c r="BW79" s="242"/>
      <c r="BX79" s="242"/>
      <c r="BY79" s="242"/>
      <c r="BZ79" s="242"/>
      <c r="CA79" s="242"/>
      <c r="CB79" s="242"/>
      <c r="CC79" s="242"/>
      <c r="CD79" s="242"/>
    </row>
    <row r="80" spans="1:82" ht="12.75" hidden="1" customHeight="1">
      <c r="A80" s="242"/>
      <c r="B80" s="238"/>
      <c r="C80" s="266" t="s">
        <v>79</v>
      </c>
      <c r="D80" s="248">
        <v>0</v>
      </c>
      <c r="E80" s="248">
        <v>3</v>
      </c>
      <c r="F80" s="248">
        <v>0</v>
      </c>
      <c r="G80" s="248">
        <v>0</v>
      </c>
      <c r="H80" s="248">
        <v>0</v>
      </c>
      <c r="I80" s="248">
        <v>0</v>
      </c>
      <c r="J80" s="248">
        <v>23</v>
      </c>
      <c r="K80" s="248">
        <v>0</v>
      </c>
      <c r="L80" s="248">
        <v>0</v>
      </c>
      <c r="M80" s="288">
        <f t="shared" si="27"/>
        <v>9</v>
      </c>
      <c r="N80" s="288">
        <v>175</v>
      </c>
      <c r="O80" s="241"/>
      <c r="P80" s="242"/>
      <c r="Q80" s="242"/>
      <c r="R80" s="242"/>
      <c r="S80" s="242"/>
      <c r="T80" s="242"/>
      <c r="U80" s="242"/>
      <c r="V80" s="242"/>
      <c r="W80" s="242"/>
      <c r="X80" s="242"/>
      <c r="Y80" s="242"/>
      <c r="Z80" s="242"/>
      <c r="AA80" s="242"/>
      <c r="AB80" s="242"/>
      <c r="AC80" s="242"/>
      <c r="AD80" s="242"/>
      <c r="AE80" s="242"/>
      <c r="AF80" s="242"/>
      <c r="AG80" s="242"/>
      <c r="AH80" s="242"/>
      <c r="AI80" s="242"/>
      <c r="AJ80" s="242"/>
      <c r="AK80" s="242"/>
      <c r="AL80" s="242"/>
      <c r="AM80" s="242"/>
      <c r="AN80" s="242"/>
      <c r="AO80" s="242"/>
      <c r="AP80" s="242"/>
      <c r="AQ80" s="242"/>
      <c r="AR80" s="242"/>
      <c r="AS80" s="242"/>
      <c r="AT80" s="242"/>
      <c r="AU80" s="242"/>
      <c r="AV80" s="242"/>
      <c r="AW80" s="242"/>
      <c r="AX80" s="242"/>
      <c r="AY80" s="242"/>
      <c r="AZ80" s="242"/>
      <c r="BA80" s="242"/>
      <c r="BB80" s="242"/>
      <c r="BC80" s="242"/>
      <c r="BD80" s="242"/>
      <c r="BE80" s="242"/>
      <c r="BF80" s="242"/>
      <c r="BG80" s="242"/>
      <c r="BH80" s="242"/>
      <c r="BI80" s="242"/>
      <c r="BJ80" s="242"/>
      <c r="BK80" s="242"/>
      <c r="BL80" s="242"/>
      <c r="BM80" s="242"/>
      <c r="BN80" s="242"/>
      <c r="BO80" s="242"/>
      <c r="BP80" s="242"/>
      <c r="BQ80" s="242"/>
      <c r="BR80" s="242"/>
      <c r="BS80" s="242"/>
      <c r="BT80" s="242"/>
      <c r="BU80" s="242"/>
      <c r="BV80" s="242"/>
      <c r="BW80" s="242"/>
      <c r="BX80" s="242"/>
      <c r="BY80" s="242"/>
      <c r="BZ80" s="242"/>
      <c r="CA80" s="242"/>
      <c r="CB80" s="242"/>
      <c r="CC80" s="242"/>
      <c r="CD80" s="242"/>
    </row>
    <row r="81" spans="1:82" ht="12.75" hidden="1" customHeight="1">
      <c r="A81" s="228"/>
      <c r="B81" s="246"/>
      <c r="C81" s="266" t="s">
        <v>81</v>
      </c>
      <c r="D81" s="248">
        <v>0</v>
      </c>
      <c r="E81" s="248">
        <v>0</v>
      </c>
      <c r="F81" s="248">
        <v>0</v>
      </c>
      <c r="G81" s="248">
        <v>0</v>
      </c>
      <c r="H81" s="248">
        <v>0</v>
      </c>
      <c r="I81" s="248">
        <v>0</v>
      </c>
      <c r="J81" s="248">
        <v>13</v>
      </c>
      <c r="K81" s="248">
        <v>2</v>
      </c>
      <c r="L81" s="248">
        <v>0</v>
      </c>
      <c r="M81" s="288">
        <f t="shared" si="27"/>
        <v>9</v>
      </c>
      <c r="N81" s="288">
        <v>78</v>
      </c>
      <c r="O81" s="241"/>
      <c r="P81" s="242"/>
      <c r="Q81" s="242"/>
      <c r="R81" s="242"/>
      <c r="S81" s="242"/>
      <c r="T81" s="242"/>
      <c r="U81" s="242"/>
      <c r="V81" s="242"/>
      <c r="W81" s="242"/>
      <c r="X81" s="242"/>
      <c r="Y81" s="242"/>
      <c r="Z81" s="242"/>
      <c r="AA81" s="242"/>
      <c r="AB81" s="242"/>
      <c r="AC81" s="242"/>
      <c r="AD81" s="242"/>
      <c r="AE81" s="242"/>
      <c r="AF81" s="242"/>
      <c r="AG81" s="242"/>
      <c r="AH81" s="242"/>
      <c r="AI81" s="242"/>
      <c r="AJ81" s="242"/>
      <c r="AK81" s="242"/>
      <c r="AL81" s="242"/>
      <c r="AM81" s="242"/>
      <c r="AN81" s="242"/>
      <c r="AO81" s="242"/>
      <c r="AP81" s="242"/>
      <c r="AQ81" s="242"/>
      <c r="AR81" s="242"/>
      <c r="AS81" s="242"/>
      <c r="AT81" s="242"/>
      <c r="AU81" s="242"/>
      <c r="AV81" s="242"/>
      <c r="AW81" s="242"/>
      <c r="AX81" s="242"/>
      <c r="AY81" s="242"/>
      <c r="AZ81" s="242"/>
      <c r="BA81" s="242"/>
      <c r="BB81" s="242"/>
      <c r="BC81" s="242"/>
      <c r="BD81" s="242"/>
      <c r="BE81" s="242"/>
      <c r="BF81" s="242"/>
      <c r="BG81" s="242"/>
      <c r="BH81" s="242"/>
      <c r="BI81" s="242"/>
      <c r="BJ81" s="242"/>
      <c r="BK81" s="242"/>
      <c r="BL81" s="242"/>
      <c r="BM81" s="242"/>
      <c r="BN81" s="242"/>
      <c r="BO81" s="242"/>
      <c r="BP81" s="242"/>
      <c r="BQ81" s="242"/>
      <c r="BR81" s="242"/>
      <c r="BS81" s="242"/>
      <c r="BT81" s="242"/>
      <c r="BU81" s="242"/>
      <c r="BV81" s="242"/>
      <c r="BW81" s="242"/>
      <c r="BX81" s="242"/>
      <c r="BY81" s="242"/>
      <c r="BZ81" s="242"/>
      <c r="CA81" s="242"/>
      <c r="CB81" s="242"/>
      <c r="CC81" s="242"/>
      <c r="CD81" s="242"/>
    </row>
    <row r="82" spans="1:82" ht="12.75" hidden="1" customHeight="1">
      <c r="A82" s="290"/>
      <c r="B82" s="291"/>
      <c r="C82" s="266" t="s">
        <v>82</v>
      </c>
      <c r="D82" s="248">
        <v>0</v>
      </c>
      <c r="E82" s="248">
        <v>0</v>
      </c>
      <c r="F82" s="248">
        <v>0</v>
      </c>
      <c r="G82" s="248">
        <v>0</v>
      </c>
      <c r="H82" s="248">
        <v>2</v>
      </c>
      <c r="I82" s="248">
        <v>0</v>
      </c>
      <c r="J82" s="248">
        <v>0</v>
      </c>
      <c r="K82" s="248">
        <v>0</v>
      </c>
      <c r="L82" s="248">
        <v>0</v>
      </c>
      <c r="M82" s="288">
        <f t="shared" si="27"/>
        <v>9</v>
      </c>
      <c r="N82" s="288">
        <v>48</v>
      </c>
      <c r="O82" s="241"/>
      <c r="P82" s="242"/>
      <c r="Q82" s="242"/>
      <c r="R82" s="242"/>
      <c r="S82" s="242"/>
      <c r="T82" s="242"/>
      <c r="U82" s="242"/>
      <c r="V82" s="242"/>
      <c r="W82" s="242"/>
      <c r="X82" s="242"/>
      <c r="Y82" s="242"/>
      <c r="Z82" s="242"/>
      <c r="AA82" s="242"/>
      <c r="AB82" s="242"/>
      <c r="AC82" s="242"/>
      <c r="AD82" s="242"/>
      <c r="AE82" s="242"/>
      <c r="AF82" s="242"/>
      <c r="AG82" s="242"/>
      <c r="AH82" s="242"/>
      <c r="AI82" s="242"/>
      <c r="AJ82" s="242"/>
      <c r="AK82" s="242"/>
      <c r="AL82" s="242"/>
      <c r="AM82" s="242"/>
      <c r="AN82" s="242"/>
      <c r="AO82" s="242"/>
      <c r="AP82" s="242"/>
      <c r="AQ82" s="242"/>
      <c r="AR82" s="242"/>
      <c r="AS82" s="242"/>
      <c r="AT82" s="242"/>
      <c r="AU82" s="242"/>
      <c r="AV82" s="242"/>
      <c r="AW82" s="242"/>
      <c r="AX82" s="242"/>
      <c r="AY82" s="242"/>
      <c r="AZ82" s="242"/>
      <c r="BA82" s="242"/>
      <c r="BB82" s="242"/>
      <c r="BC82" s="242"/>
      <c r="BD82" s="242"/>
      <c r="BE82" s="242"/>
      <c r="BF82" s="242"/>
      <c r="BG82" s="242"/>
      <c r="BH82" s="242"/>
      <c r="BI82" s="242"/>
      <c r="BJ82" s="242"/>
      <c r="BK82" s="242"/>
      <c r="BL82" s="242"/>
      <c r="BM82" s="242"/>
      <c r="BN82" s="242"/>
      <c r="BO82" s="242"/>
      <c r="BP82" s="242"/>
      <c r="BQ82" s="242"/>
      <c r="BR82" s="242"/>
      <c r="BS82" s="242"/>
      <c r="BT82" s="242"/>
      <c r="BU82" s="242"/>
      <c r="BV82" s="242"/>
      <c r="BW82" s="242"/>
      <c r="BX82" s="242"/>
      <c r="BY82" s="242"/>
      <c r="BZ82" s="242"/>
      <c r="CA82" s="242"/>
      <c r="CB82" s="242"/>
      <c r="CC82" s="242"/>
      <c r="CD82" s="242"/>
    </row>
    <row r="83" spans="1:82" ht="12.75" hidden="1" customHeight="1">
      <c r="A83" s="290"/>
      <c r="B83" s="291"/>
      <c r="C83" s="266" t="s">
        <v>83</v>
      </c>
      <c r="D83" s="255" t="s">
        <v>19</v>
      </c>
      <c r="E83" s="255" t="s">
        <v>19</v>
      </c>
      <c r="F83" s="255" t="s">
        <v>19</v>
      </c>
      <c r="G83" s="255" t="s">
        <v>19</v>
      </c>
      <c r="H83" s="255" t="s">
        <v>19</v>
      </c>
      <c r="I83" s="255" t="s">
        <v>19</v>
      </c>
      <c r="J83" s="255" t="s">
        <v>19</v>
      </c>
      <c r="K83" s="255" t="s">
        <v>19</v>
      </c>
      <c r="L83" s="255" t="s">
        <v>19</v>
      </c>
      <c r="M83" s="288">
        <f t="shared" si="27"/>
        <v>9</v>
      </c>
      <c r="N83" s="288">
        <v>49</v>
      </c>
      <c r="O83" s="241"/>
      <c r="P83" s="242"/>
      <c r="Q83" s="242"/>
      <c r="R83" s="242"/>
      <c r="S83" s="242"/>
      <c r="T83" s="242"/>
      <c r="U83" s="242"/>
      <c r="V83" s="242"/>
      <c r="W83" s="242"/>
      <c r="X83" s="242"/>
      <c r="Y83" s="242"/>
      <c r="Z83" s="242"/>
      <c r="AA83" s="242"/>
      <c r="AB83" s="242"/>
      <c r="AC83" s="242"/>
      <c r="AD83" s="242"/>
      <c r="AE83" s="242"/>
      <c r="AF83" s="242"/>
      <c r="AG83" s="242"/>
      <c r="AH83" s="242"/>
      <c r="AI83" s="242"/>
      <c r="AJ83" s="242"/>
      <c r="AK83" s="242"/>
      <c r="AL83" s="242"/>
      <c r="AM83" s="242"/>
      <c r="AN83" s="242"/>
      <c r="AO83" s="242"/>
      <c r="AP83" s="242"/>
      <c r="AQ83" s="242"/>
      <c r="AR83" s="242"/>
      <c r="AS83" s="242"/>
      <c r="AT83" s="242"/>
      <c r="AU83" s="242"/>
      <c r="AV83" s="242"/>
      <c r="AW83" s="242"/>
      <c r="AX83" s="242"/>
      <c r="AY83" s="242"/>
      <c r="AZ83" s="242"/>
      <c r="BA83" s="242"/>
      <c r="BB83" s="242"/>
      <c r="BC83" s="242"/>
      <c r="BD83" s="242"/>
      <c r="BE83" s="242"/>
      <c r="BF83" s="242"/>
      <c r="BG83" s="242"/>
      <c r="BH83" s="242"/>
      <c r="BI83" s="242"/>
      <c r="BJ83" s="242"/>
      <c r="BK83" s="242"/>
      <c r="BL83" s="242"/>
      <c r="BM83" s="242"/>
      <c r="BN83" s="242"/>
      <c r="BO83" s="242"/>
      <c r="BP83" s="242"/>
      <c r="BQ83" s="242"/>
      <c r="BR83" s="242"/>
      <c r="BS83" s="242"/>
      <c r="BT83" s="242"/>
      <c r="BU83" s="242"/>
      <c r="BV83" s="242"/>
      <c r="BW83" s="242"/>
      <c r="BX83" s="242"/>
      <c r="BY83" s="242"/>
      <c r="BZ83" s="242"/>
      <c r="CA83" s="242"/>
      <c r="CB83" s="242"/>
      <c r="CC83" s="242"/>
      <c r="CD83" s="242"/>
    </row>
    <row r="84" spans="1:82" ht="12.75" hidden="1" customHeight="1">
      <c r="A84" s="290"/>
      <c r="B84" s="291"/>
      <c r="C84" s="266" t="s">
        <v>84</v>
      </c>
      <c r="D84" s="248">
        <v>0</v>
      </c>
      <c r="E84" s="248">
        <v>1</v>
      </c>
      <c r="F84" s="248">
        <v>0</v>
      </c>
      <c r="G84" s="248">
        <v>0</v>
      </c>
      <c r="H84" s="248">
        <v>93</v>
      </c>
      <c r="I84" s="248">
        <v>0</v>
      </c>
      <c r="J84" s="248">
        <v>0</v>
      </c>
      <c r="K84" s="248">
        <v>0</v>
      </c>
      <c r="L84" s="248">
        <v>0</v>
      </c>
      <c r="M84" s="288">
        <f t="shared" si="27"/>
        <v>9</v>
      </c>
      <c r="N84" s="288">
        <v>175</v>
      </c>
      <c r="O84" s="241"/>
      <c r="P84" s="242"/>
      <c r="Q84" s="242"/>
      <c r="R84" s="242"/>
      <c r="S84" s="242"/>
      <c r="T84" s="242"/>
      <c r="U84" s="242"/>
      <c r="V84" s="242"/>
      <c r="W84" s="242"/>
      <c r="X84" s="242"/>
      <c r="Y84" s="242"/>
      <c r="Z84" s="242"/>
      <c r="AA84" s="242"/>
      <c r="AB84" s="242"/>
      <c r="AC84" s="242"/>
      <c r="AD84" s="242"/>
      <c r="AE84" s="242"/>
      <c r="AF84" s="242"/>
      <c r="AG84" s="242"/>
      <c r="AH84" s="242"/>
      <c r="AI84" s="242"/>
      <c r="AJ84" s="242"/>
      <c r="AK84" s="242"/>
      <c r="AL84" s="242"/>
      <c r="AM84" s="242"/>
      <c r="AN84" s="242"/>
      <c r="AO84" s="242"/>
      <c r="AP84" s="242"/>
      <c r="AQ84" s="242"/>
      <c r="AR84" s="242"/>
      <c r="AS84" s="242"/>
      <c r="AT84" s="242"/>
      <c r="AU84" s="242"/>
      <c r="AV84" s="242"/>
      <c r="AW84" s="242"/>
      <c r="AX84" s="242"/>
      <c r="AY84" s="242"/>
      <c r="AZ84" s="242"/>
      <c r="BA84" s="242"/>
      <c r="BB84" s="242"/>
      <c r="BC84" s="242"/>
      <c r="BD84" s="242"/>
      <c r="BE84" s="242"/>
      <c r="BF84" s="242"/>
      <c r="BG84" s="242"/>
      <c r="BH84" s="242"/>
      <c r="BI84" s="242"/>
      <c r="BJ84" s="242"/>
      <c r="BK84" s="242"/>
      <c r="BL84" s="242"/>
      <c r="BM84" s="242"/>
      <c r="BN84" s="242"/>
      <c r="BO84" s="242"/>
      <c r="BP84" s="242"/>
      <c r="BQ84" s="242"/>
      <c r="BR84" s="242"/>
      <c r="BS84" s="242"/>
      <c r="BT84" s="242"/>
      <c r="BU84" s="242"/>
      <c r="BV84" s="242"/>
      <c r="BW84" s="242"/>
      <c r="BX84" s="242"/>
      <c r="BY84" s="242"/>
      <c r="BZ84" s="242"/>
      <c r="CA84" s="242"/>
      <c r="CB84" s="242"/>
      <c r="CC84" s="242"/>
      <c r="CD84" s="242"/>
    </row>
    <row r="85" spans="1:82" ht="12.75" hidden="1" customHeight="1">
      <c r="A85" s="290"/>
      <c r="B85" s="291"/>
      <c r="C85" s="266" t="s">
        <v>85</v>
      </c>
      <c r="D85" s="255" t="s">
        <v>19</v>
      </c>
      <c r="E85" s="255" t="s">
        <v>19</v>
      </c>
      <c r="F85" s="255" t="s">
        <v>19</v>
      </c>
      <c r="G85" s="255" t="s">
        <v>19</v>
      </c>
      <c r="H85" s="255" t="s">
        <v>19</v>
      </c>
      <c r="I85" s="255" t="s">
        <v>19</v>
      </c>
      <c r="J85" s="255" t="s">
        <v>19</v>
      </c>
      <c r="K85" s="255" t="s">
        <v>19</v>
      </c>
      <c r="L85" s="255" t="s">
        <v>19</v>
      </c>
      <c r="M85" s="288">
        <f t="shared" si="27"/>
        <v>9</v>
      </c>
      <c r="N85" s="288">
        <v>253</v>
      </c>
      <c r="O85" s="241"/>
      <c r="P85" s="242"/>
      <c r="Q85" s="242"/>
      <c r="R85" s="242"/>
      <c r="S85" s="242"/>
      <c r="T85" s="242"/>
      <c r="U85" s="242"/>
      <c r="V85" s="242"/>
      <c r="W85" s="242"/>
      <c r="X85" s="242"/>
      <c r="Y85" s="242"/>
      <c r="Z85" s="242"/>
      <c r="AA85" s="242"/>
      <c r="AB85" s="242"/>
      <c r="AC85" s="242"/>
      <c r="AD85" s="242"/>
      <c r="AE85" s="242"/>
      <c r="AF85" s="242"/>
      <c r="AG85" s="242"/>
      <c r="AH85" s="242"/>
      <c r="AI85" s="242"/>
      <c r="AJ85" s="242"/>
      <c r="AK85" s="242"/>
      <c r="AL85" s="242"/>
      <c r="AM85" s="242"/>
      <c r="AN85" s="242"/>
      <c r="AO85" s="242"/>
      <c r="AP85" s="242"/>
      <c r="AQ85" s="242"/>
      <c r="AR85" s="242"/>
      <c r="AS85" s="242"/>
      <c r="AT85" s="242"/>
      <c r="AU85" s="242"/>
      <c r="AV85" s="242"/>
      <c r="AW85" s="242"/>
      <c r="AX85" s="242"/>
      <c r="AY85" s="242"/>
      <c r="AZ85" s="242"/>
      <c r="BA85" s="242"/>
      <c r="BB85" s="242"/>
      <c r="BC85" s="242"/>
      <c r="BD85" s="242"/>
      <c r="BE85" s="242"/>
      <c r="BF85" s="242"/>
      <c r="BG85" s="242"/>
      <c r="BH85" s="242"/>
      <c r="BI85" s="242"/>
      <c r="BJ85" s="242"/>
      <c r="BK85" s="242"/>
      <c r="BL85" s="242"/>
      <c r="BM85" s="242"/>
      <c r="BN85" s="242"/>
      <c r="BO85" s="242"/>
      <c r="BP85" s="242"/>
      <c r="BQ85" s="242"/>
      <c r="BR85" s="242"/>
      <c r="BS85" s="242"/>
      <c r="BT85" s="242"/>
      <c r="BU85" s="242"/>
      <c r="BV85" s="242"/>
      <c r="BW85" s="242"/>
      <c r="BX85" s="242"/>
      <c r="BY85" s="242"/>
      <c r="BZ85" s="242"/>
      <c r="CA85" s="242"/>
      <c r="CB85" s="242"/>
      <c r="CC85" s="242"/>
      <c r="CD85" s="242"/>
    </row>
    <row r="86" spans="1:82" ht="12.75" hidden="1" customHeight="1">
      <c r="A86" s="242"/>
      <c r="B86" s="238"/>
      <c r="C86" s="266" t="s">
        <v>86</v>
      </c>
      <c r="D86" s="248">
        <v>0</v>
      </c>
      <c r="E86" s="248">
        <v>0</v>
      </c>
      <c r="F86" s="248">
        <v>0</v>
      </c>
      <c r="G86" s="248">
        <v>0</v>
      </c>
      <c r="H86" s="248">
        <v>0</v>
      </c>
      <c r="I86" s="248">
        <v>0</v>
      </c>
      <c r="J86" s="248">
        <v>0</v>
      </c>
      <c r="K86" s="248">
        <v>0</v>
      </c>
      <c r="L86" s="248">
        <v>0</v>
      </c>
      <c r="M86" s="288">
        <f t="shared" si="27"/>
        <v>9</v>
      </c>
      <c r="N86" s="288">
        <v>6</v>
      </c>
      <c r="O86" s="241"/>
      <c r="P86" s="242"/>
      <c r="Q86" s="242"/>
      <c r="R86" s="242"/>
      <c r="S86" s="242"/>
      <c r="T86" s="242"/>
      <c r="U86" s="242"/>
      <c r="V86" s="242"/>
      <c r="W86" s="242"/>
      <c r="X86" s="242"/>
      <c r="Y86" s="242"/>
      <c r="Z86" s="242"/>
      <c r="AA86" s="242"/>
      <c r="AB86" s="242"/>
      <c r="AC86" s="242"/>
      <c r="AD86" s="242"/>
      <c r="AE86" s="242"/>
      <c r="AF86" s="242"/>
      <c r="AG86" s="242"/>
      <c r="AH86" s="242"/>
      <c r="AI86" s="242"/>
      <c r="AJ86" s="242"/>
      <c r="AK86" s="242"/>
      <c r="AL86" s="242"/>
      <c r="AM86" s="242"/>
      <c r="AN86" s="242"/>
      <c r="AO86" s="242"/>
      <c r="AP86" s="242"/>
      <c r="AQ86" s="242"/>
      <c r="AR86" s="242"/>
      <c r="AS86" s="242"/>
      <c r="AT86" s="242"/>
      <c r="AU86" s="242"/>
      <c r="AV86" s="242"/>
      <c r="AW86" s="242"/>
      <c r="AX86" s="242"/>
      <c r="AY86" s="242"/>
      <c r="AZ86" s="242"/>
      <c r="BA86" s="242"/>
      <c r="BB86" s="242"/>
      <c r="BC86" s="242"/>
      <c r="BD86" s="242"/>
      <c r="BE86" s="242"/>
      <c r="BF86" s="242"/>
      <c r="BG86" s="242"/>
      <c r="BH86" s="242"/>
      <c r="BI86" s="242"/>
      <c r="BJ86" s="242"/>
      <c r="BK86" s="242"/>
      <c r="BL86" s="242"/>
      <c r="BM86" s="242"/>
      <c r="BN86" s="242"/>
      <c r="BO86" s="242"/>
      <c r="BP86" s="242"/>
      <c r="BQ86" s="242"/>
      <c r="BR86" s="242"/>
      <c r="BS86" s="242"/>
      <c r="BT86" s="242"/>
      <c r="BU86" s="242"/>
      <c r="BV86" s="242"/>
      <c r="BW86" s="242"/>
      <c r="BX86" s="242"/>
      <c r="BY86" s="242"/>
      <c r="BZ86" s="242"/>
      <c r="CA86" s="242"/>
      <c r="CB86" s="242"/>
      <c r="CC86" s="242"/>
      <c r="CD86" s="242"/>
    </row>
    <row r="87" spans="1:82" ht="12.75" hidden="1" customHeight="1">
      <c r="A87" s="242"/>
      <c r="B87" s="238"/>
      <c r="C87" s="266" t="s">
        <v>87</v>
      </c>
      <c r="D87" s="248">
        <v>0</v>
      </c>
      <c r="E87" s="248">
        <v>2</v>
      </c>
      <c r="F87" s="248">
        <v>0</v>
      </c>
      <c r="G87" s="248">
        <v>3</v>
      </c>
      <c r="H87" s="248">
        <v>116</v>
      </c>
      <c r="I87" s="248">
        <v>0</v>
      </c>
      <c r="J87" s="248">
        <v>10</v>
      </c>
      <c r="K87" s="248">
        <v>0</v>
      </c>
      <c r="L87" s="248">
        <v>248</v>
      </c>
      <c r="M87" s="288">
        <f t="shared" si="27"/>
        <v>9</v>
      </c>
      <c r="N87" s="288">
        <v>168</v>
      </c>
      <c r="O87" s="241"/>
      <c r="P87" s="242"/>
      <c r="Q87" s="242"/>
      <c r="R87" s="242"/>
      <c r="S87" s="242"/>
      <c r="T87" s="242"/>
      <c r="U87" s="242"/>
      <c r="V87" s="242"/>
      <c r="W87" s="242"/>
      <c r="X87" s="242"/>
      <c r="Y87" s="242"/>
      <c r="Z87" s="242"/>
      <c r="AA87" s="242"/>
      <c r="AB87" s="242"/>
      <c r="AC87" s="242"/>
      <c r="AD87" s="242"/>
      <c r="AE87" s="242"/>
      <c r="AF87" s="242"/>
      <c r="AG87" s="242"/>
      <c r="AH87" s="242"/>
      <c r="AI87" s="242"/>
      <c r="AJ87" s="242"/>
      <c r="AK87" s="242"/>
      <c r="AL87" s="242"/>
      <c r="AM87" s="242"/>
      <c r="AN87" s="242"/>
      <c r="AO87" s="242"/>
      <c r="AP87" s="242"/>
      <c r="AQ87" s="242"/>
      <c r="AR87" s="242"/>
      <c r="AS87" s="242"/>
      <c r="AT87" s="242"/>
      <c r="AU87" s="242"/>
      <c r="AV87" s="242"/>
      <c r="AW87" s="242"/>
      <c r="AX87" s="242"/>
      <c r="AY87" s="242"/>
      <c r="AZ87" s="242"/>
      <c r="BA87" s="242"/>
      <c r="BB87" s="242"/>
      <c r="BC87" s="242"/>
      <c r="BD87" s="242"/>
      <c r="BE87" s="242"/>
      <c r="BF87" s="242"/>
      <c r="BG87" s="242"/>
      <c r="BH87" s="242"/>
      <c r="BI87" s="242"/>
      <c r="BJ87" s="242"/>
      <c r="BK87" s="242"/>
      <c r="BL87" s="242"/>
      <c r="BM87" s="242"/>
      <c r="BN87" s="242"/>
      <c r="BO87" s="242"/>
      <c r="BP87" s="242"/>
      <c r="BQ87" s="242"/>
      <c r="BR87" s="242"/>
      <c r="BS87" s="242"/>
      <c r="BT87" s="242"/>
      <c r="BU87" s="242"/>
      <c r="BV87" s="242"/>
      <c r="BW87" s="242"/>
      <c r="BX87" s="242"/>
      <c r="BY87" s="242"/>
      <c r="BZ87" s="242"/>
      <c r="CA87" s="242"/>
      <c r="CB87" s="242"/>
      <c r="CC87" s="242"/>
      <c r="CD87" s="242"/>
    </row>
    <row r="88" spans="1:82" ht="12.75" hidden="1" customHeight="1">
      <c r="A88" s="242"/>
      <c r="B88" s="238"/>
      <c r="C88" s="266" t="s">
        <v>88</v>
      </c>
      <c r="D88" s="248">
        <v>12</v>
      </c>
      <c r="E88" s="248">
        <v>47</v>
      </c>
      <c r="F88" s="248">
        <v>4</v>
      </c>
      <c r="G88" s="248">
        <v>50</v>
      </c>
      <c r="H88" s="248">
        <v>163</v>
      </c>
      <c r="I88" s="248">
        <v>0</v>
      </c>
      <c r="J88" s="248">
        <v>9</v>
      </c>
      <c r="K88" s="248">
        <v>2</v>
      </c>
      <c r="L88" s="248">
        <v>536</v>
      </c>
      <c r="M88" s="288">
        <f t="shared" si="27"/>
        <v>9</v>
      </c>
      <c r="N88" s="288">
        <v>229</v>
      </c>
      <c r="O88" s="241"/>
      <c r="P88" s="242"/>
      <c r="Q88" s="242"/>
      <c r="R88" s="242"/>
      <c r="S88" s="242"/>
      <c r="T88" s="242"/>
      <c r="U88" s="242"/>
      <c r="V88" s="242"/>
      <c r="W88" s="242"/>
      <c r="X88" s="242"/>
      <c r="Y88" s="242"/>
      <c r="Z88" s="242"/>
      <c r="AA88" s="242"/>
      <c r="AB88" s="242"/>
      <c r="AC88" s="242"/>
      <c r="AD88" s="242"/>
      <c r="AE88" s="242"/>
      <c r="AF88" s="242"/>
      <c r="AG88" s="242"/>
      <c r="AH88" s="242"/>
      <c r="AI88" s="242"/>
      <c r="AJ88" s="242"/>
      <c r="AK88" s="242"/>
      <c r="AL88" s="242"/>
      <c r="AM88" s="242"/>
      <c r="AN88" s="242"/>
      <c r="AO88" s="242"/>
      <c r="AP88" s="242"/>
      <c r="AQ88" s="242"/>
      <c r="AR88" s="242"/>
      <c r="AS88" s="242"/>
      <c r="AT88" s="242"/>
      <c r="AU88" s="242"/>
      <c r="AV88" s="242"/>
      <c r="AW88" s="242"/>
      <c r="AX88" s="242"/>
      <c r="AY88" s="242"/>
      <c r="AZ88" s="242"/>
      <c r="BA88" s="242"/>
      <c r="BB88" s="242"/>
      <c r="BC88" s="242"/>
      <c r="BD88" s="242"/>
      <c r="BE88" s="242"/>
      <c r="BF88" s="242"/>
      <c r="BG88" s="242"/>
      <c r="BH88" s="242"/>
      <c r="BI88" s="242"/>
      <c r="BJ88" s="242"/>
      <c r="BK88" s="242"/>
      <c r="BL88" s="242"/>
      <c r="BM88" s="242"/>
      <c r="BN88" s="242"/>
      <c r="BO88" s="242"/>
      <c r="BP88" s="242"/>
      <c r="BQ88" s="242"/>
      <c r="BR88" s="242"/>
      <c r="BS88" s="242"/>
      <c r="BT88" s="242"/>
      <c r="BU88" s="242"/>
      <c r="BV88" s="242"/>
      <c r="BW88" s="242"/>
      <c r="BX88" s="242"/>
      <c r="BY88" s="242"/>
      <c r="BZ88" s="242"/>
      <c r="CA88" s="242"/>
      <c r="CB88" s="242"/>
      <c r="CC88" s="242"/>
      <c r="CD88" s="242"/>
    </row>
    <row r="89" spans="1:82" ht="12.75" hidden="1" customHeight="1">
      <c r="A89" s="242"/>
      <c r="B89" s="292" t="s">
        <v>1951</v>
      </c>
      <c r="C89" s="261" t="s">
        <v>89</v>
      </c>
      <c r="D89" s="289">
        <f t="shared" ref="D89:L89" si="37">SUM(D88,D74)</f>
        <v>13</v>
      </c>
      <c r="E89" s="289">
        <f t="shared" si="37"/>
        <v>88</v>
      </c>
      <c r="F89" s="289">
        <f t="shared" si="37"/>
        <v>4</v>
      </c>
      <c r="G89" s="289">
        <f t="shared" si="37"/>
        <v>55</v>
      </c>
      <c r="H89" s="289">
        <f t="shared" si="37"/>
        <v>165</v>
      </c>
      <c r="I89" s="289">
        <f t="shared" si="37"/>
        <v>0</v>
      </c>
      <c r="J89" s="289">
        <f t="shared" si="37"/>
        <v>9</v>
      </c>
      <c r="K89" s="289">
        <f t="shared" si="37"/>
        <v>2</v>
      </c>
      <c r="L89" s="289">
        <f t="shared" si="37"/>
        <v>536</v>
      </c>
      <c r="M89" s="288">
        <f t="shared" si="27"/>
        <v>9</v>
      </c>
      <c r="N89" s="288">
        <v>345</v>
      </c>
      <c r="O89" s="241"/>
      <c r="P89" s="242"/>
      <c r="Q89" s="242"/>
      <c r="R89" s="242"/>
      <c r="S89" s="242"/>
      <c r="T89" s="242"/>
      <c r="U89" s="242"/>
      <c r="V89" s="242"/>
      <c r="W89" s="242"/>
      <c r="X89" s="242"/>
      <c r="Y89" s="242"/>
      <c r="Z89" s="242"/>
      <c r="AA89" s="242"/>
      <c r="AB89" s="242"/>
      <c r="AC89" s="242"/>
      <c r="AD89" s="242"/>
      <c r="AE89" s="242"/>
      <c r="AF89" s="242"/>
      <c r="AG89" s="242"/>
      <c r="AH89" s="242"/>
      <c r="AI89" s="242"/>
      <c r="AJ89" s="242"/>
      <c r="AK89" s="242"/>
      <c r="AL89" s="242"/>
      <c r="AM89" s="242"/>
      <c r="AN89" s="242"/>
      <c r="AO89" s="242"/>
      <c r="AP89" s="242"/>
      <c r="AQ89" s="242"/>
      <c r="AR89" s="242"/>
      <c r="AS89" s="242"/>
      <c r="AT89" s="242"/>
      <c r="AU89" s="242"/>
      <c r="AV89" s="242"/>
      <c r="AW89" s="242"/>
      <c r="AX89" s="242"/>
      <c r="AY89" s="242"/>
      <c r="AZ89" s="242"/>
      <c r="BA89" s="242"/>
      <c r="BB89" s="242"/>
      <c r="BC89" s="242"/>
      <c r="BD89" s="242"/>
      <c r="BE89" s="242"/>
      <c r="BF89" s="242"/>
      <c r="BG89" s="242"/>
      <c r="BH89" s="242"/>
      <c r="BI89" s="242"/>
      <c r="BJ89" s="242"/>
      <c r="BK89" s="242"/>
      <c r="BL89" s="242"/>
      <c r="BM89" s="242"/>
      <c r="BN89" s="242"/>
      <c r="BO89" s="242"/>
      <c r="BP89" s="242"/>
      <c r="BQ89" s="242"/>
      <c r="BR89" s="242"/>
      <c r="BS89" s="242"/>
      <c r="BT89" s="242"/>
      <c r="BU89" s="242"/>
      <c r="BV89" s="242"/>
      <c r="BW89" s="242"/>
      <c r="BX89" s="242"/>
      <c r="BY89" s="242"/>
      <c r="BZ89" s="242"/>
      <c r="CA89" s="242"/>
      <c r="CB89" s="242"/>
      <c r="CC89" s="242"/>
      <c r="CD89" s="242"/>
    </row>
    <row r="90" spans="1:82" ht="12.75" hidden="1" customHeight="1">
      <c r="A90" s="242"/>
      <c r="B90" s="292" t="s">
        <v>1952</v>
      </c>
      <c r="C90" s="261" t="s">
        <v>90</v>
      </c>
      <c r="D90" s="293">
        <f t="shared" ref="D90:L90" si="38">SUM(D80,D86)</f>
        <v>0</v>
      </c>
      <c r="E90" s="293">
        <f t="shared" si="38"/>
        <v>3</v>
      </c>
      <c r="F90" s="293">
        <f t="shared" si="38"/>
        <v>0</v>
      </c>
      <c r="G90" s="293">
        <f t="shared" si="38"/>
        <v>0</v>
      </c>
      <c r="H90" s="293">
        <f t="shared" si="38"/>
        <v>0</v>
      </c>
      <c r="I90" s="293">
        <f t="shared" si="38"/>
        <v>0</v>
      </c>
      <c r="J90" s="293">
        <f t="shared" si="38"/>
        <v>23</v>
      </c>
      <c r="K90" s="293">
        <f t="shared" si="38"/>
        <v>0</v>
      </c>
      <c r="L90" s="293">
        <f t="shared" si="38"/>
        <v>0</v>
      </c>
      <c r="M90" s="288">
        <f t="shared" si="27"/>
        <v>9</v>
      </c>
      <c r="N90" s="288">
        <v>181</v>
      </c>
      <c r="O90" s="241"/>
      <c r="P90" s="242"/>
      <c r="Q90" s="242"/>
      <c r="R90" s="242"/>
      <c r="S90" s="242"/>
      <c r="T90" s="242"/>
      <c r="U90" s="242"/>
      <c r="V90" s="242"/>
      <c r="W90" s="242"/>
      <c r="X90" s="242"/>
      <c r="Y90" s="242"/>
      <c r="Z90" s="242"/>
      <c r="AA90" s="242"/>
      <c r="AB90" s="242"/>
      <c r="AC90" s="242"/>
      <c r="AD90" s="242"/>
      <c r="AE90" s="242"/>
      <c r="AF90" s="242"/>
      <c r="AG90" s="242"/>
      <c r="AH90" s="242"/>
      <c r="AI90" s="242"/>
      <c r="AJ90" s="242"/>
      <c r="AK90" s="242"/>
      <c r="AL90" s="242"/>
      <c r="AM90" s="242"/>
      <c r="AN90" s="242"/>
      <c r="AO90" s="242"/>
      <c r="AP90" s="242"/>
      <c r="AQ90" s="242"/>
      <c r="AR90" s="242"/>
      <c r="AS90" s="242"/>
      <c r="AT90" s="242"/>
      <c r="AU90" s="242"/>
      <c r="AV90" s="242"/>
      <c r="AW90" s="242"/>
      <c r="AX90" s="242"/>
      <c r="AY90" s="242"/>
      <c r="AZ90" s="242"/>
      <c r="BA90" s="242"/>
      <c r="BB90" s="242"/>
      <c r="BC90" s="242"/>
      <c r="BD90" s="242"/>
      <c r="BE90" s="242"/>
      <c r="BF90" s="242"/>
      <c r="BG90" s="242"/>
      <c r="BH90" s="242"/>
      <c r="BI90" s="242"/>
      <c r="BJ90" s="242"/>
      <c r="BK90" s="242"/>
      <c r="BL90" s="242"/>
      <c r="BM90" s="242"/>
      <c r="BN90" s="242"/>
      <c r="BO90" s="242"/>
      <c r="BP90" s="242"/>
      <c r="BQ90" s="242"/>
      <c r="BR90" s="242"/>
      <c r="BS90" s="242"/>
      <c r="BT90" s="242"/>
      <c r="BU90" s="242"/>
      <c r="BV90" s="242"/>
      <c r="BW90" s="242"/>
      <c r="BX90" s="242"/>
      <c r="BY90" s="242"/>
      <c r="BZ90" s="242"/>
      <c r="CA90" s="242"/>
      <c r="CB90" s="242"/>
      <c r="CC90" s="242"/>
      <c r="CD90" s="242"/>
    </row>
    <row r="91" spans="1:82" ht="12.75" hidden="1" customHeight="1">
      <c r="A91" s="242"/>
      <c r="B91" s="292" t="s">
        <v>1953</v>
      </c>
      <c r="C91" s="261" t="s">
        <v>91</v>
      </c>
      <c r="D91" s="293">
        <f t="shared" ref="D91:L91" si="39">SUM(D78,D79,D82)</f>
        <v>0</v>
      </c>
      <c r="E91" s="293">
        <f t="shared" si="39"/>
        <v>368</v>
      </c>
      <c r="F91" s="293">
        <f t="shared" si="39"/>
        <v>77</v>
      </c>
      <c r="G91" s="293">
        <f t="shared" si="39"/>
        <v>3</v>
      </c>
      <c r="H91" s="293">
        <f t="shared" si="39"/>
        <v>2</v>
      </c>
      <c r="I91" s="293">
        <f t="shared" si="39"/>
        <v>0</v>
      </c>
      <c r="J91" s="293">
        <f t="shared" si="39"/>
        <v>978</v>
      </c>
      <c r="K91" s="293">
        <f t="shared" si="39"/>
        <v>0</v>
      </c>
      <c r="L91" s="293">
        <f t="shared" si="39"/>
        <v>0</v>
      </c>
      <c r="M91" s="288">
        <f t="shared" si="27"/>
        <v>9</v>
      </c>
      <c r="N91" s="288">
        <v>2048</v>
      </c>
      <c r="O91" s="241"/>
      <c r="P91" s="242"/>
      <c r="Q91" s="242"/>
      <c r="R91" s="242"/>
      <c r="S91" s="242"/>
      <c r="T91" s="242"/>
      <c r="U91" s="242"/>
      <c r="V91" s="242"/>
      <c r="W91" s="242"/>
      <c r="X91" s="242"/>
      <c r="Y91" s="242"/>
      <c r="Z91" s="242"/>
      <c r="AA91" s="242"/>
      <c r="AB91" s="242"/>
      <c r="AC91" s="242"/>
      <c r="AD91" s="242"/>
      <c r="AE91" s="242"/>
      <c r="AF91" s="242"/>
      <c r="AG91" s="242"/>
      <c r="AH91" s="242"/>
      <c r="AI91" s="242"/>
      <c r="AJ91" s="242"/>
      <c r="AK91" s="242"/>
      <c r="AL91" s="242"/>
      <c r="AM91" s="242"/>
      <c r="AN91" s="242"/>
      <c r="AO91" s="242"/>
      <c r="AP91" s="242"/>
      <c r="AQ91" s="242"/>
      <c r="AR91" s="242"/>
      <c r="AS91" s="242"/>
      <c r="AT91" s="242"/>
      <c r="AU91" s="242"/>
      <c r="AV91" s="242"/>
      <c r="AW91" s="242"/>
      <c r="AX91" s="242"/>
      <c r="AY91" s="242"/>
      <c r="AZ91" s="242"/>
      <c r="BA91" s="242"/>
      <c r="BB91" s="242"/>
      <c r="BC91" s="242"/>
      <c r="BD91" s="242"/>
      <c r="BE91" s="242"/>
      <c r="BF91" s="242"/>
      <c r="BG91" s="242"/>
      <c r="BH91" s="242"/>
      <c r="BI91" s="242"/>
      <c r="BJ91" s="242"/>
      <c r="BK91" s="242"/>
      <c r="BL91" s="242"/>
      <c r="BM91" s="242"/>
      <c r="BN91" s="242"/>
      <c r="BO91" s="242"/>
      <c r="BP91" s="242"/>
      <c r="BQ91" s="242"/>
      <c r="BR91" s="242"/>
      <c r="BS91" s="242"/>
      <c r="BT91" s="242"/>
      <c r="BU91" s="242"/>
      <c r="BV91" s="242"/>
      <c r="BW91" s="242"/>
      <c r="BX91" s="242"/>
      <c r="BY91" s="242"/>
      <c r="BZ91" s="242"/>
      <c r="CA91" s="242"/>
      <c r="CB91" s="242"/>
      <c r="CC91" s="242"/>
      <c r="CD91" s="242"/>
    </row>
    <row r="92" spans="1:82" ht="12.75" hidden="1" customHeight="1">
      <c r="A92" s="242"/>
      <c r="B92" s="292" t="s">
        <v>1954</v>
      </c>
      <c r="C92" s="261" t="s">
        <v>93</v>
      </c>
      <c r="D92" s="289">
        <f t="shared" ref="D92:L92" si="40">SUM(D77,D72)</f>
        <v>0</v>
      </c>
      <c r="E92" s="289">
        <f t="shared" si="40"/>
        <v>95</v>
      </c>
      <c r="F92" s="289">
        <f t="shared" si="40"/>
        <v>0</v>
      </c>
      <c r="G92" s="289">
        <f t="shared" si="40"/>
        <v>0</v>
      </c>
      <c r="H92" s="289">
        <f t="shared" si="40"/>
        <v>0</v>
      </c>
      <c r="I92" s="289">
        <f t="shared" si="40"/>
        <v>161</v>
      </c>
      <c r="J92" s="289">
        <f t="shared" si="40"/>
        <v>54</v>
      </c>
      <c r="K92" s="289">
        <f t="shared" si="40"/>
        <v>0</v>
      </c>
      <c r="L92" s="289">
        <f t="shared" si="40"/>
        <v>0</v>
      </c>
      <c r="M92" s="288">
        <f t="shared" si="27"/>
        <v>9</v>
      </c>
      <c r="N92" s="288">
        <v>726</v>
      </c>
      <c r="O92" s="241"/>
      <c r="P92" s="242"/>
      <c r="Q92" s="242"/>
      <c r="R92" s="242"/>
      <c r="S92" s="242"/>
      <c r="T92" s="242"/>
      <c r="U92" s="242"/>
      <c r="V92" s="242"/>
      <c r="W92" s="242"/>
      <c r="X92" s="242"/>
      <c r="Y92" s="242"/>
      <c r="Z92" s="242"/>
      <c r="AA92" s="242"/>
      <c r="AB92" s="242"/>
      <c r="AC92" s="242"/>
      <c r="AD92" s="242"/>
      <c r="AE92" s="242"/>
      <c r="AF92" s="242"/>
      <c r="AG92" s="242"/>
      <c r="AH92" s="242"/>
      <c r="AI92" s="242"/>
      <c r="AJ92" s="242"/>
      <c r="AK92" s="242"/>
      <c r="AL92" s="242"/>
      <c r="AM92" s="242"/>
      <c r="AN92" s="242"/>
      <c r="AO92" s="242"/>
      <c r="AP92" s="242"/>
      <c r="AQ92" s="242"/>
      <c r="AR92" s="242"/>
      <c r="AS92" s="242"/>
      <c r="AT92" s="242"/>
      <c r="AU92" s="242"/>
      <c r="AV92" s="242"/>
      <c r="AW92" s="242"/>
      <c r="AX92" s="242"/>
      <c r="AY92" s="242"/>
      <c r="AZ92" s="242"/>
      <c r="BA92" s="242"/>
      <c r="BB92" s="242"/>
      <c r="BC92" s="242"/>
      <c r="BD92" s="242"/>
      <c r="BE92" s="242"/>
      <c r="BF92" s="242"/>
      <c r="BG92" s="242"/>
      <c r="BH92" s="242"/>
      <c r="BI92" s="242"/>
      <c r="BJ92" s="242"/>
      <c r="BK92" s="242"/>
      <c r="BL92" s="242"/>
      <c r="BM92" s="242"/>
      <c r="BN92" s="242"/>
      <c r="BO92" s="242"/>
      <c r="BP92" s="242"/>
      <c r="BQ92" s="242"/>
      <c r="BR92" s="242"/>
      <c r="BS92" s="242"/>
      <c r="BT92" s="242"/>
      <c r="BU92" s="242"/>
      <c r="BV92" s="242"/>
      <c r="BW92" s="242"/>
      <c r="BX92" s="242"/>
      <c r="BY92" s="242"/>
      <c r="BZ92" s="242"/>
      <c r="CA92" s="242"/>
      <c r="CB92" s="242"/>
      <c r="CC92" s="242"/>
      <c r="CD92" s="242"/>
    </row>
    <row r="93" spans="1:82" ht="12.75" hidden="1" customHeight="1">
      <c r="A93" s="242"/>
      <c r="B93" s="242"/>
      <c r="C93" s="294"/>
      <c r="D93" s="294"/>
      <c r="E93" s="294"/>
      <c r="F93" s="294"/>
      <c r="G93" s="294"/>
      <c r="H93" s="285"/>
      <c r="I93" s="285"/>
      <c r="J93" s="294"/>
      <c r="K93" s="294"/>
      <c r="L93" s="294"/>
      <c r="M93" s="294"/>
      <c r="N93" s="294"/>
      <c r="O93" s="242"/>
      <c r="P93" s="242"/>
      <c r="Q93" s="242"/>
      <c r="R93" s="242"/>
      <c r="S93" s="242"/>
      <c r="T93" s="242"/>
      <c r="U93" s="242"/>
      <c r="V93" s="242"/>
      <c r="W93" s="242"/>
      <c r="X93" s="242"/>
      <c r="Y93" s="242"/>
      <c r="Z93" s="242"/>
      <c r="AA93" s="242"/>
      <c r="AB93" s="242"/>
      <c r="AC93" s="242"/>
      <c r="AD93" s="242"/>
      <c r="AE93" s="242"/>
      <c r="AF93" s="242"/>
      <c r="AG93" s="242"/>
      <c r="AH93" s="242"/>
      <c r="AI93" s="242"/>
      <c r="AJ93" s="242"/>
      <c r="AK93" s="242"/>
      <c r="AL93" s="242"/>
      <c r="AM93" s="242"/>
      <c r="AN93" s="242"/>
      <c r="AO93" s="242"/>
      <c r="AP93" s="242"/>
      <c r="AQ93" s="242"/>
      <c r="AR93" s="242"/>
      <c r="AS93" s="242"/>
      <c r="AT93" s="242"/>
      <c r="AU93" s="242"/>
      <c r="AV93" s="242"/>
      <c r="AW93" s="242"/>
      <c r="AX93" s="242"/>
      <c r="AY93" s="242"/>
      <c r="AZ93" s="242"/>
      <c r="BA93" s="242"/>
      <c r="BB93" s="242"/>
      <c r="BC93" s="242"/>
      <c r="BD93" s="242"/>
      <c r="BE93" s="242"/>
      <c r="BF93" s="242"/>
      <c r="BG93" s="242"/>
      <c r="BH93" s="242"/>
      <c r="BI93" s="242"/>
      <c r="BJ93" s="242"/>
      <c r="BK93" s="242"/>
      <c r="BL93" s="242"/>
      <c r="BM93" s="242"/>
      <c r="BN93" s="242"/>
      <c r="BO93" s="242"/>
      <c r="BP93" s="242"/>
      <c r="BQ93" s="242"/>
      <c r="BR93" s="242"/>
      <c r="BS93" s="242"/>
      <c r="BT93" s="242"/>
      <c r="BU93" s="242"/>
      <c r="BV93" s="242"/>
      <c r="BW93" s="242"/>
      <c r="BX93" s="242"/>
      <c r="BY93" s="242"/>
      <c r="BZ93" s="242"/>
      <c r="CA93" s="242"/>
      <c r="CB93" s="242"/>
      <c r="CC93" s="242"/>
      <c r="CD93" s="242"/>
    </row>
    <row r="94" spans="1:82" ht="12.75" hidden="1" customHeight="1">
      <c r="A94" s="242"/>
      <c r="B94" s="242"/>
      <c r="C94" s="294"/>
      <c r="D94" s="294"/>
      <c r="E94" s="294"/>
      <c r="F94" s="294"/>
      <c r="G94" s="294"/>
      <c r="H94" s="285"/>
      <c r="I94" s="285"/>
      <c r="J94" s="294"/>
      <c r="K94" s="294"/>
      <c r="L94" s="294"/>
      <c r="M94" s="294"/>
      <c r="N94" s="294"/>
      <c r="O94" s="242"/>
      <c r="P94" s="242"/>
      <c r="Q94" s="242"/>
      <c r="R94" s="242"/>
      <c r="S94" s="242"/>
      <c r="T94" s="242"/>
      <c r="U94" s="242"/>
      <c r="V94" s="242"/>
      <c r="W94" s="242"/>
      <c r="X94" s="242"/>
      <c r="Y94" s="242"/>
      <c r="Z94" s="242"/>
      <c r="AA94" s="242"/>
      <c r="AB94" s="242"/>
      <c r="AC94" s="242"/>
      <c r="AD94" s="242"/>
      <c r="AE94" s="242"/>
      <c r="AF94" s="242"/>
      <c r="AG94" s="242"/>
      <c r="AH94" s="242"/>
      <c r="AI94" s="242"/>
      <c r="AJ94" s="242"/>
      <c r="AK94" s="242"/>
      <c r="AL94" s="242"/>
      <c r="AM94" s="242"/>
      <c r="AN94" s="242"/>
      <c r="AO94" s="242"/>
      <c r="AP94" s="242"/>
      <c r="AQ94" s="242"/>
      <c r="AR94" s="242"/>
      <c r="AS94" s="242"/>
      <c r="AT94" s="242"/>
      <c r="AU94" s="242"/>
      <c r="AV94" s="242"/>
      <c r="AW94" s="242"/>
      <c r="AX94" s="242"/>
      <c r="AY94" s="242"/>
      <c r="AZ94" s="242"/>
      <c r="BA94" s="242"/>
      <c r="BB94" s="242"/>
      <c r="BC94" s="242"/>
      <c r="BD94" s="242"/>
      <c r="BE94" s="242"/>
      <c r="BF94" s="242"/>
      <c r="BG94" s="242"/>
      <c r="BH94" s="242"/>
      <c r="BI94" s="242"/>
      <c r="BJ94" s="242"/>
      <c r="BK94" s="242"/>
      <c r="BL94" s="242"/>
      <c r="BM94" s="242"/>
      <c r="BN94" s="242"/>
      <c r="BO94" s="242"/>
      <c r="BP94" s="242"/>
      <c r="BQ94" s="242"/>
      <c r="BR94" s="242"/>
      <c r="BS94" s="242"/>
      <c r="BT94" s="242"/>
      <c r="BU94" s="242"/>
      <c r="BV94" s="242"/>
      <c r="BW94" s="242"/>
      <c r="BX94" s="242"/>
      <c r="BY94" s="242"/>
      <c r="BZ94" s="242"/>
      <c r="CA94" s="242"/>
      <c r="CB94" s="242"/>
      <c r="CC94" s="242"/>
      <c r="CD94" s="242"/>
    </row>
    <row r="95" spans="1:82" ht="12.75" customHeight="1">
      <c r="A95" s="242"/>
      <c r="B95" s="238"/>
      <c r="C95" s="543" t="s">
        <v>1938</v>
      </c>
      <c r="D95" s="544" t="s">
        <v>1955</v>
      </c>
      <c r="E95" s="503"/>
      <c r="F95" s="504"/>
      <c r="G95" s="504"/>
      <c r="H95" s="504"/>
      <c r="I95" s="504"/>
      <c r="J95" s="504"/>
      <c r="K95" s="504"/>
      <c r="L95" s="504"/>
      <c r="M95" s="505"/>
      <c r="N95" s="543" t="s">
        <v>1956</v>
      </c>
      <c r="O95" s="241"/>
      <c r="P95" s="242"/>
      <c r="Q95" s="242"/>
      <c r="R95" s="242"/>
      <c r="S95" s="242"/>
      <c r="T95" s="242"/>
      <c r="U95" s="242"/>
      <c r="V95" s="242"/>
      <c r="W95" s="242"/>
      <c r="X95" s="242"/>
      <c r="Y95" s="242"/>
      <c r="Z95" s="242"/>
      <c r="AA95" s="242"/>
      <c r="AB95" s="242"/>
      <c r="AC95" s="242"/>
      <c r="AD95" s="242"/>
      <c r="AE95" s="242"/>
      <c r="AF95" s="242"/>
      <c r="AG95" s="242"/>
      <c r="AH95" s="242"/>
      <c r="AI95" s="242"/>
      <c r="AJ95" s="242"/>
      <c r="AK95" s="242"/>
      <c r="AL95" s="242"/>
      <c r="AM95" s="242"/>
      <c r="AN95" s="242"/>
      <c r="AO95" s="242"/>
      <c r="AP95" s="242"/>
      <c r="AQ95" s="242"/>
      <c r="AR95" s="242"/>
      <c r="AS95" s="242"/>
      <c r="AT95" s="242"/>
      <c r="AU95" s="242"/>
      <c r="AV95" s="242"/>
      <c r="AW95" s="242"/>
      <c r="AX95" s="242"/>
      <c r="AY95" s="242"/>
      <c r="AZ95" s="242"/>
      <c r="BA95" s="242"/>
      <c r="BB95" s="242"/>
      <c r="BC95" s="242"/>
      <c r="BD95" s="242"/>
      <c r="BE95" s="242"/>
      <c r="BF95" s="242"/>
      <c r="BG95" s="242"/>
      <c r="BH95" s="242"/>
      <c r="BI95" s="242"/>
      <c r="BJ95" s="242"/>
      <c r="BK95" s="242"/>
      <c r="BL95" s="242"/>
      <c r="BM95" s="242"/>
      <c r="BN95" s="242"/>
      <c r="BO95" s="242"/>
      <c r="BP95" s="242"/>
      <c r="BQ95" s="242"/>
      <c r="BR95" s="242"/>
      <c r="BS95" s="242"/>
      <c r="BT95" s="242"/>
      <c r="BU95" s="242"/>
      <c r="BV95" s="242"/>
      <c r="BW95" s="242"/>
      <c r="BX95" s="242"/>
      <c r="BY95" s="242"/>
      <c r="BZ95" s="242"/>
      <c r="CA95" s="242"/>
      <c r="CB95" s="242"/>
      <c r="CC95" s="242"/>
      <c r="CD95" s="242"/>
    </row>
    <row r="96" spans="1:82" ht="12.75" customHeight="1">
      <c r="A96" s="242"/>
      <c r="B96" s="238"/>
      <c r="C96" s="521"/>
      <c r="D96" s="240" t="s">
        <v>1941</v>
      </c>
      <c r="E96" s="240" t="s">
        <v>1942</v>
      </c>
      <c r="F96" s="240" t="s">
        <v>1943</v>
      </c>
      <c r="G96" s="240" t="s">
        <v>1944</v>
      </c>
      <c r="H96" s="240" t="s">
        <v>1945</v>
      </c>
      <c r="I96" s="240" t="s">
        <v>1946</v>
      </c>
      <c r="J96" s="240" t="s">
        <v>1947</v>
      </c>
      <c r="K96" s="240" t="s">
        <v>1948</v>
      </c>
      <c r="L96" s="240" t="s">
        <v>1957</v>
      </c>
      <c r="M96" s="240" t="s">
        <v>1958</v>
      </c>
      <c r="N96" s="521"/>
      <c r="O96" s="241"/>
      <c r="P96" s="242"/>
      <c r="Q96" s="242"/>
      <c r="R96" s="242"/>
      <c r="S96" s="242"/>
      <c r="T96" s="242"/>
      <c r="U96" s="242"/>
      <c r="V96" s="242"/>
      <c r="W96" s="242"/>
      <c r="X96" s="242"/>
      <c r="Y96" s="242"/>
      <c r="Z96" s="242"/>
      <c r="AA96" s="242"/>
      <c r="AB96" s="242"/>
      <c r="AC96" s="242"/>
      <c r="AD96" s="242"/>
      <c r="AE96" s="242"/>
      <c r="AF96" s="242"/>
      <c r="AG96" s="242"/>
      <c r="AH96" s="242"/>
      <c r="AI96" s="242"/>
      <c r="AJ96" s="242"/>
      <c r="AK96" s="242"/>
      <c r="AL96" s="242"/>
      <c r="AM96" s="242"/>
      <c r="AN96" s="242"/>
      <c r="AO96" s="242"/>
      <c r="AP96" s="242"/>
      <c r="AQ96" s="242"/>
      <c r="AR96" s="242"/>
      <c r="AS96" s="242"/>
      <c r="AT96" s="242"/>
      <c r="AU96" s="242"/>
      <c r="AV96" s="242"/>
      <c r="AW96" s="242"/>
      <c r="AX96" s="242"/>
      <c r="AY96" s="242"/>
      <c r="AZ96" s="242"/>
      <c r="BA96" s="242"/>
      <c r="BB96" s="242"/>
      <c r="BC96" s="242"/>
      <c r="BD96" s="242"/>
      <c r="BE96" s="242"/>
      <c r="BF96" s="242"/>
      <c r="BG96" s="242"/>
      <c r="BH96" s="242"/>
      <c r="BI96" s="242"/>
      <c r="BJ96" s="242"/>
      <c r="BK96" s="242"/>
      <c r="BL96" s="242"/>
      <c r="BM96" s="242"/>
      <c r="BN96" s="242"/>
      <c r="BO96" s="242"/>
      <c r="BP96" s="242"/>
      <c r="BQ96" s="242"/>
      <c r="BR96" s="242"/>
      <c r="BS96" s="242"/>
      <c r="BT96" s="242"/>
      <c r="BU96" s="242"/>
      <c r="BV96" s="242"/>
      <c r="BW96" s="242"/>
      <c r="BX96" s="242"/>
      <c r="BY96" s="242"/>
      <c r="BZ96" s="242"/>
      <c r="CA96" s="242"/>
      <c r="CB96" s="242"/>
      <c r="CC96" s="242"/>
      <c r="CD96" s="242"/>
    </row>
    <row r="97" spans="1:82" ht="12.75" hidden="1" customHeight="1">
      <c r="A97" s="242"/>
      <c r="B97" s="238"/>
      <c r="C97" s="247" t="s">
        <v>44</v>
      </c>
      <c r="D97" s="295">
        <f t="shared" ref="D97:D120" si="41">IF(D59/N59&lt;$AN$267,0,IF(D59/N59&lt;$AM$267,1,IF(D59/N59&lt;$AL$267,2,3)))</f>
        <v>3</v>
      </c>
      <c r="E97" s="295">
        <f t="shared" ref="E97:E120" si="42">IF(E59/N59&lt;$AN$268,0,IF(E59/N59&lt;$AM$268,1,IF(E59/N59&lt;$AL$268,2,3)))</f>
        <v>3</v>
      </c>
      <c r="F97" s="295">
        <f t="shared" ref="F97:F120" si="43">IF(F59/N59&lt;$AN$269,0,IF(F59/N59&lt;$AM$269,1,IF(F59/N59&lt;$AL$269,2,3)))</f>
        <v>2</v>
      </c>
      <c r="G97" s="295">
        <f t="shared" ref="G97:G120" si="44">IF(G59/N59&lt;$AN$270,0,IF(G59/N59&lt;$AM$270,1,IF(G59/N59&lt;$AL$270,2,3)))</f>
        <v>3</v>
      </c>
      <c r="H97" s="295">
        <f t="shared" ref="H97:H120" si="45">IF(H59/N59&lt;$AN$271,0,IF(H59/N59&lt;$AM$271,1,IF(H59/N59&lt;$AL$271,2,3)))</f>
        <v>3</v>
      </c>
      <c r="I97" s="295">
        <f t="shared" ref="I97:I120" si="46">IF(I59/N59&lt;$AN$272,0,IF(I59/N59&lt;$AM$272,1,IF(I59/N59&lt;$AL$272,2,3)))</f>
        <v>3</v>
      </c>
      <c r="J97" s="295">
        <f t="shared" ref="J97:J120" si="47">IF(J59/N59&lt;$AN$273,0,IF(J59/N59&lt;$AM$273,1,IF(J59/N59&lt;$AL$273,2,3)))</f>
        <v>3</v>
      </c>
      <c r="K97" s="295">
        <f t="shared" ref="K97:K120" si="48">IF(K59/N59&lt;$AN$274,0,IF(K59/N59&lt;$AM$274,1,IF(K59/N59&lt;$AL$274,2,3)))</f>
        <v>2</v>
      </c>
      <c r="L97" s="295">
        <f t="shared" ref="L97:L130" si="49">IF(L59&lt;$AN$275,0,IF(L59=$AM$275,1,IF(L59&lt;$AL$275,2,3)))</f>
        <v>3</v>
      </c>
      <c r="M97" s="295">
        <f t="shared" ref="M97:M130" si="50">IF(M59&lt;$AN$276,0,IF(M59&lt;$AM$276,1,IF(M59&lt;$AL$276,2,3)))</f>
        <v>2</v>
      </c>
      <c r="N97" s="295">
        <f t="shared" ref="N97:N120" si="51">AVERAGE(D97:M97)</f>
        <v>2.7</v>
      </c>
      <c r="O97" s="241"/>
      <c r="P97" s="242"/>
      <c r="Q97" s="242"/>
      <c r="R97" s="242"/>
      <c r="S97" s="242"/>
      <c r="T97" s="242"/>
      <c r="U97" s="242"/>
      <c r="V97" s="242"/>
      <c r="W97" s="242"/>
      <c r="X97" s="242"/>
      <c r="Y97" s="242"/>
      <c r="Z97" s="242"/>
      <c r="AA97" s="242"/>
      <c r="AB97" s="242"/>
      <c r="AC97" s="242"/>
      <c r="AD97" s="242"/>
      <c r="AE97" s="242"/>
      <c r="AF97" s="242"/>
      <c r="AG97" s="242"/>
      <c r="AH97" s="242"/>
      <c r="AI97" s="242"/>
      <c r="AJ97" s="242"/>
      <c r="AK97" s="242"/>
      <c r="AL97" s="242"/>
      <c r="AM97" s="242"/>
      <c r="AN97" s="242"/>
      <c r="AO97" s="242"/>
      <c r="AP97" s="242"/>
      <c r="AQ97" s="242"/>
      <c r="AR97" s="242"/>
      <c r="AS97" s="242"/>
      <c r="AT97" s="242"/>
      <c r="AU97" s="242"/>
      <c r="AV97" s="242"/>
      <c r="AW97" s="242"/>
      <c r="AX97" s="242"/>
      <c r="AY97" s="242"/>
      <c r="AZ97" s="242"/>
      <c r="BA97" s="242"/>
      <c r="BB97" s="242"/>
      <c r="BC97" s="242"/>
      <c r="BD97" s="242"/>
      <c r="BE97" s="242"/>
      <c r="BF97" s="242"/>
      <c r="BG97" s="242"/>
      <c r="BH97" s="242"/>
      <c r="BI97" s="242"/>
      <c r="BJ97" s="242"/>
      <c r="BK97" s="242"/>
      <c r="BL97" s="242"/>
      <c r="BM97" s="242"/>
      <c r="BN97" s="242"/>
      <c r="BO97" s="242"/>
      <c r="BP97" s="242"/>
      <c r="BQ97" s="242"/>
      <c r="BR97" s="242"/>
      <c r="BS97" s="242"/>
      <c r="BT97" s="242"/>
      <c r="BU97" s="242"/>
      <c r="BV97" s="242"/>
      <c r="BW97" s="242"/>
      <c r="BX97" s="242"/>
      <c r="BY97" s="242"/>
      <c r="BZ97" s="242"/>
      <c r="CA97" s="242"/>
      <c r="CB97" s="242"/>
      <c r="CC97" s="242"/>
      <c r="CD97" s="242"/>
    </row>
    <row r="98" spans="1:82" ht="12.75" hidden="1" customHeight="1">
      <c r="A98" s="242"/>
      <c r="B98" s="238"/>
      <c r="C98" s="247" t="s">
        <v>49</v>
      </c>
      <c r="D98" s="295">
        <f t="shared" si="41"/>
        <v>3</v>
      </c>
      <c r="E98" s="295">
        <f t="shared" si="42"/>
        <v>3</v>
      </c>
      <c r="F98" s="295">
        <f t="shared" si="43"/>
        <v>2</v>
      </c>
      <c r="G98" s="295">
        <f t="shared" si="44"/>
        <v>3</v>
      </c>
      <c r="H98" s="295">
        <f t="shared" si="45"/>
        <v>3</v>
      </c>
      <c r="I98" s="295">
        <f t="shared" si="46"/>
        <v>3</v>
      </c>
      <c r="J98" s="295">
        <f t="shared" si="47"/>
        <v>3</v>
      </c>
      <c r="K98" s="295">
        <f t="shared" si="48"/>
        <v>2</v>
      </c>
      <c r="L98" s="295">
        <f t="shared" si="49"/>
        <v>3</v>
      </c>
      <c r="M98" s="295">
        <f t="shared" si="50"/>
        <v>2</v>
      </c>
      <c r="N98" s="295">
        <f t="shared" si="51"/>
        <v>2.7</v>
      </c>
      <c r="O98" s="241"/>
      <c r="P98" s="242"/>
      <c r="Q98" s="242"/>
      <c r="R98" s="242"/>
      <c r="S98" s="242"/>
      <c r="T98" s="242"/>
      <c r="U98" s="242"/>
      <c r="V98" s="242"/>
      <c r="W98" s="242"/>
      <c r="X98" s="242"/>
      <c r="Y98" s="242"/>
      <c r="Z98" s="242"/>
      <c r="AA98" s="242"/>
      <c r="AB98" s="242"/>
      <c r="AC98" s="242"/>
      <c r="AD98" s="242"/>
      <c r="AE98" s="242"/>
      <c r="AF98" s="242"/>
      <c r="AG98" s="242"/>
      <c r="AH98" s="242"/>
      <c r="AI98" s="242"/>
      <c r="AJ98" s="242"/>
      <c r="AK98" s="242"/>
      <c r="AL98" s="242"/>
      <c r="AM98" s="242"/>
      <c r="AN98" s="242"/>
      <c r="AO98" s="242"/>
      <c r="AP98" s="242"/>
      <c r="AQ98" s="242"/>
      <c r="AR98" s="242"/>
      <c r="AS98" s="242"/>
      <c r="AT98" s="242"/>
      <c r="AU98" s="242"/>
      <c r="AV98" s="242"/>
      <c r="AW98" s="242"/>
      <c r="AX98" s="242"/>
      <c r="AY98" s="242"/>
      <c r="AZ98" s="242"/>
      <c r="BA98" s="242"/>
      <c r="BB98" s="242"/>
      <c r="BC98" s="242"/>
      <c r="BD98" s="242"/>
      <c r="BE98" s="242"/>
      <c r="BF98" s="242"/>
      <c r="BG98" s="242"/>
      <c r="BH98" s="242"/>
      <c r="BI98" s="242"/>
      <c r="BJ98" s="242"/>
      <c r="BK98" s="242"/>
      <c r="BL98" s="242"/>
      <c r="BM98" s="242"/>
      <c r="BN98" s="242"/>
      <c r="BO98" s="242"/>
      <c r="BP98" s="242"/>
      <c r="BQ98" s="242"/>
      <c r="BR98" s="242"/>
      <c r="BS98" s="242"/>
      <c r="BT98" s="242"/>
      <c r="BU98" s="242"/>
      <c r="BV98" s="242"/>
      <c r="BW98" s="242"/>
      <c r="BX98" s="242"/>
      <c r="BY98" s="242"/>
      <c r="BZ98" s="242"/>
      <c r="CA98" s="242"/>
      <c r="CB98" s="242"/>
      <c r="CC98" s="242"/>
      <c r="CD98" s="242"/>
    </row>
    <row r="99" spans="1:82" ht="12.75" hidden="1" customHeight="1">
      <c r="A99" s="242"/>
      <c r="B99" s="238"/>
      <c r="C99" s="247" t="s">
        <v>50</v>
      </c>
      <c r="D99" s="295">
        <f t="shared" si="41"/>
        <v>3</v>
      </c>
      <c r="E99" s="295">
        <f t="shared" si="42"/>
        <v>3</v>
      </c>
      <c r="F99" s="295">
        <f t="shared" si="43"/>
        <v>2</v>
      </c>
      <c r="G99" s="295">
        <f t="shared" si="44"/>
        <v>3</v>
      </c>
      <c r="H99" s="295">
        <f t="shared" si="45"/>
        <v>3</v>
      </c>
      <c r="I99" s="295">
        <f t="shared" si="46"/>
        <v>3</v>
      </c>
      <c r="J99" s="295">
        <f t="shared" si="47"/>
        <v>3</v>
      </c>
      <c r="K99" s="295">
        <f t="shared" si="48"/>
        <v>2</v>
      </c>
      <c r="L99" s="295">
        <f t="shared" si="49"/>
        <v>3</v>
      </c>
      <c r="M99" s="295">
        <f t="shared" si="50"/>
        <v>2</v>
      </c>
      <c r="N99" s="295">
        <f t="shared" si="51"/>
        <v>2.7</v>
      </c>
      <c r="O99" s="241"/>
      <c r="P99" s="242"/>
      <c r="Q99" s="242"/>
      <c r="R99" s="242"/>
      <c r="S99" s="242"/>
      <c r="T99" s="242"/>
      <c r="U99" s="242"/>
      <c r="V99" s="242"/>
      <c r="W99" s="242"/>
      <c r="X99" s="242"/>
      <c r="Y99" s="242"/>
      <c r="Z99" s="242"/>
      <c r="AA99" s="242"/>
      <c r="AB99" s="242"/>
      <c r="AC99" s="242"/>
      <c r="AD99" s="242"/>
      <c r="AE99" s="242"/>
      <c r="AF99" s="242"/>
      <c r="AG99" s="242"/>
      <c r="AH99" s="242"/>
      <c r="AI99" s="242"/>
      <c r="AJ99" s="242"/>
      <c r="AK99" s="242"/>
      <c r="AL99" s="242"/>
      <c r="AM99" s="242"/>
      <c r="AN99" s="242"/>
      <c r="AO99" s="242"/>
      <c r="AP99" s="242"/>
      <c r="AQ99" s="242"/>
      <c r="AR99" s="242"/>
      <c r="AS99" s="242"/>
      <c r="AT99" s="242"/>
      <c r="AU99" s="242"/>
      <c r="AV99" s="242"/>
      <c r="AW99" s="242"/>
      <c r="AX99" s="242"/>
      <c r="AY99" s="242"/>
      <c r="AZ99" s="242"/>
      <c r="BA99" s="242"/>
      <c r="BB99" s="242"/>
      <c r="BC99" s="242"/>
      <c r="BD99" s="242"/>
      <c r="BE99" s="242"/>
      <c r="BF99" s="242"/>
      <c r="BG99" s="242"/>
      <c r="BH99" s="242"/>
      <c r="BI99" s="242"/>
      <c r="BJ99" s="242"/>
      <c r="BK99" s="242"/>
      <c r="BL99" s="242"/>
      <c r="BM99" s="242"/>
      <c r="BN99" s="242"/>
      <c r="BO99" s="242"/>
      <c r="BP99" s="242"/>
      <c r="BQ99" s="242"/>
      <c r="BR99" s="242"/>
      <c r="BS99" s="242"/>
      <c r="BT99" s="242"/>
      <c r="BU99" s="242"/>
      <c r="BV99" s="242"/>
      <c r="BW99" s="242"/>
      <c r="BX99" s="242"/>
      <c r="BY99" s="242"/>
      <c r="BZ99" s="242"/>
      <c r="CA99" s="242"/>
      <c r="CB99" s="242"/>
      <c r="CC99" s="242"/>
      <c r="CD99" s="242"/>
    </row>
    <row r="100" spans="1:82" ht="12.75" hidden="1" customHeight="1">
      <c r="A100" s="242"/>
      <c r="B100" s="238"/>
      <c r="C100" s="247" t="s">
        <v>51</v>
      </c>
      <c r="D100" s="295">
        <f t="shared" si="41"/>
        <v>3</v>
      </c>
      <c r="E100" s="295">
        <f t="shared" si="42"/>
        <v>3</v>
      </c>
      <c r="F100" s="295">
        <f t="shared" si="43"/>
        <v>2</v>
      </c>
      <c r="G100" s="295">
        <f t="shared" si="44"/>
        <v>3</v>
      </c>
      <c r="H100" s="295">
        <f t="shared" si="45"/>
        <v>3</v>
      </c>
      <c r="I100" s="295">
        <f t="shared" si="46"/>
        <v>3</v>
      </c>
      <c r="J100" s="295">
        <f t="shared" si="47"/>
        <v>3</v>
      </c>
      <c r="K100" s="295">
        <f t="shared" si="48"/>
        <v>2</v>
      </c>
      <c r="L100" s="295">
        <f t="shared" si="49"/>
        <v>3</v>
      </c>
      <c r="M100" s="295">
        <f t="shared" si="50"/>
        <v>2</v>
      </c>
      <c r="N100" s="295">
        <f t="shared" si="51"/>
        <v>2.7</v>
      </c>
      <c r="O100" s="241"/>
      <c r="P100" s="242"/>
      <c r="Q100" s="242"/>
      <c r="R100" s="242"/>
      <c r="S100" s="242"/>
      <c r="T100" s="242"/>
      <c r="U100" s="242"/>
      <c r="V100" s="242"/>
      <c r="W100" s="242"/>
      <c r="X100" s="242"/>
      <c r="Y100" s="242"/>
      <c r="Z100" s="242"/>
      <c r="AA100" s="242"/>
      <c r="AB100" s="242"/>
      <c r="AC100" s="242"/>
      <c r="AD100" s="242"/>
      <c r="AE100" s="242"/>
      <c r="AF100" s="242"/>
      <c r="AG100" s="242"/>
      <c r="AH100" s="242"/>
      <c r="AI100" s="242"/>
      <c r="AJ100" s="242"/>
      <c r="AK100" s="242"/>
      <c r="AL100" s="242"/>
      <c r="AM100" s="242"/>
      <c r="AN100" s="242"/>
      <c r="AO100" s="242"/>
      <c r="AP100" s="242"/>
      <c r="AQ100" s="242"/>
      <c r="AR100" s="242"/>
      <c r="AS100" s="242"/>
      <c r="AT100" s="242"/>
      <c r="AU100" s="242"/>
      <c r="AV100" s="242"/>
      <c r="AW100" s="242"/>
      <c r="AX100" s="242"/>
      <c r="AY100" s="242"/>
      <c r="AZ100" s="242"/>
      <c r="BA100" s="242"/>
      <c r="BB100" s="242"/>
      <c r="BC100" s="242"/>
      <c r="BD100" s="242"/>
      <c r="BE100" s="242"/>
      <c r="BF100" s="242"/>
      <c r="BG100" s="242"/>
      <c r="BH100" s="242"/>
      <c r="BI100" s="242"/>
      <c r="BJ100" s="242"/>
      <c r="BK100" s="242"/>
      <c r="BL100" s="242"/>
      <c r="BM100" s="242"/>
      <c r="BN100" s="242"/>
      <c r="BO100" s="242"/>
      <c r="BP100" s="242"/>
      <c r="BQ100" s="242"/>
      <c r="BR100" s="242"/>
      <c r="BS100" s="242"/>
      <c r="BT100" s="242"/>
      <c r="BU100" s="242"/>
      <c r="BV100" s="242"/>
      <c r="BW100" s="242"/>
      <c r="BX100" s="242"/>
      <c r="BY100" s="242"/>
      <c r="BZ100" s="242"/>
      <c r="CA100" s="242"/>
      <c r="CB100" s="242"/>
      <c r="CC100" s="242"/>
      <c r="CD100" s="242"/>
    </row>
    <row r="101" spans="1:82" ht="12.75" hidden="1" customHeight="1">
      <c r="A101" s="242"/>
      <c r="B101" s="238"/>
      <c r="C101" s="247" t="s">
        <v>119</v>
      </c>
      <c r="D101" s="295">
        <f t="shared" si="41"/>
        <v>0</v>
      </c>
      <c r="E101" s="295">
        <f t="shared" si="42"/>
        <v>3</v>
      </c>
      <c r="F101" s="295">
        <f t="shared" si="43"/>
        <v>3</v>
      </c>
      <c r="G101" s="295">
        <f t="shared" si="44"/>
        <v>0</v>
      </c>
      <c r="H101" s="295">
        <f t="shared" si="45"/>
        <v>0</v>
      </c>
      <c r="I101" s="295">
        <f t="shared" si="46"/>
        <v>0</v>
      </c>
      <c r="J101" s="295">
        <f t="shared" si="47"/>
        <v>3</v>
      </c>
      <c r="K101" s="295">
        <f t="shared" si="48"/>
        <v>0</v>
      </c>
      <c r="L101" s="295">
        <f t="shared" si="49"/>
        <v>3</v>
      </c>
      <c r="M101" s="295">
        <f t="shared" si="50"/>
        <v>2</v>
      </c>
      <c r="N101" s="295">
        <f t="shared" si="51"/>
        <v>1.4</v>
      </c>
      <c r="O101" s="241"/>
      <c r="P101" s="242"/>
      <c r="Q101" s="242"/>
      <c r="R101" s="242"/>
      <c r="S101" s="242"/>
      <c r="T101" s="242"/>
      <c r="U101" s="242"/>
      <c r="V101" s="242"/>
      <c r="W101" s="242"/>
      <c r="X101" s="242"/>
      <c r="Y101" s="242"/>
      <c r="Z101" s="242"/>
      <c r="AA101" s="242"/>
      <c r="AB101" s="242"/>
      <c r="AC101" s="242"/>
      <c r="AD101" s="242"/>
      <c r="AE101" s="242"/>
      <c r="AF101" s="242"/>
      <c r="AG101" s="242"/>
      <c r="AH101" s="242"/>
      <c r="AI101" s="242"/>
      <c r="AJ101" s="242"/>
      <c r="AK101" s="242"/>
      <c r="AL101" s="242"/>
      <c r="AM101" s="242"/>
      <c r="AN101" s="242"/>
      <c r="AO101" s="242"/>
      <c r="AP101" s="242"/>
      <c r="AQ101" s="242"/>
      <c r="AR101" s="242"/>
      <c r="AS101" s="242"/>
      <c r="AT101" s="242"/>
      <c r="AU101" s="242"/>
      <c r="AV101" s="242"/>
      <c r="AW101" s="242"/>
      <c r="AX101" s="242"/>
      <c r="AY101" s="242"/>
      <c r="AZ101" s="242"/>
      <c r="BA101" s="242"/>
      <c r="BB101" s="242"/>
      <c r="BC101" s="242"/>
      <c r="BD101" s="242"/>
      <c r="BE101" s="242"/>
      <c r="BF101" s="242"/>
      <c r="BG101" s="242"/>
      <c r="BH101" s="242"/>
      <c r="BI101" s="242"/>
      <c r="BJ101" s="242"/>
      <c r="BK101" s="242"/>
      <c r="BL101" s="242"/>
      <c r="BM101" s="242"/>
      <c r="BN101" s="242"/>
      <c r="BO101" s="242"/>
      <c r="BP101" s="242"/>
      <c r="BQ101" s="242"/>
      <c r="BR101" s="242"/>
      <c r="BS101" s="242"/>
      <c r="BT101" s="242"/>
      <c r="BU101" s="242"/>
      <c r="BV101" s="242"/>
      <c r="BW101" s="242"/>
      <c r="BX101" s="242"/>
      <c r="BY101" s="242"/>
      <c r="BZ101" s="242"/>
      <c r="CA101" s="242"/>
      <c r="CB101" s="242"/>
      <c r="CC101" s="242"/>
      <c r="CD101" s="242"/>
    </row>
    <row r="102" spans="1:82" ht="12.75" hidden="1" customHeight="1">
      <c r="A102" s="242"/>
      <c r="B102" s="238"/>
      <c r="C102" s="247" t="s">
        <v>120</v>
      </c>
      <c r="D102" s="295">
        <f t="shared" si="41"/>
        <v>3</v>
      </c>
      <c r="E102" s="295">
        <f t="shared" si="42"/>
        <v>3</v>
      </c>
      <c r="F102" s="295">
        <f t="shared" si="43"/>
        <v>2</v>
      </c>
      <c r="G102" s="295">
        <f t="shared" si="44"/>
        <v>3</v>
      </c>
      <c r="H102" s="295">
        <f t="shared" si="45"/>
        <v>3</v>
      </c>
      <c r="I102" s="295">
        <f t="shared" si="46"/>
        <v>0</v>
      </c>
      <c r="J102" s="295">
        <f t="shared" si="47"/>
        <v>3</v>
      </c>
      <c r="K102" s="295">
        <f t="shared" si="48"/>
        <v>1</v>
      </c>
      <c r="L102" s="295">
        <f t="shared" si="49"/>
        <v>3</v>
      </c>
      <c r="M102" s="295">
        <f t="shared" si="50"/>
        <v>2</v>
      </c>
      <c r="N102" s="295">
        <f t="shared" si="51"/>
        <v>2.2999999999999998</v>
      </c>
      <c r="O102" s="241"/>
      <c r="P102" s="242"/>
      <c r="Q102" s="242"/>
      <c r="R102" s="242"/>
      <c r="S102" s="242"/>
      <c r="T102" s="242"/>
      <c r="U102" s="242"/>
      <c r="V102" s="242"/>
      <c r="W102" s="242"/>
      <c r="X102" s="242"/>
      <c r="Y102" s="242"/>
      <c r="Z102" s="242"/>
      <c r="AA102" s="242"/>
      <c r="AB102" s="242"/>
      <c r="AC102" s="242"/>
      <c r="AD102" s="242"/>
      <c r="AE102" s="242"/>
      <c r="AF102" s="242"/>
      <c r="AG102" s="242"/>
      <c r="AH102" s="242"/>
      <c r="AI102" s="242"/>
      <c r="AJ102" s="242"/>
      <c r="AK102" s="242"/>
      <c r="AL102" s="242"/>
      <c r="AM102" s="242"/>
      <c r="AN102" s="242"/>
      <c r="AO102" s="242"/>
      <c r="AP102" s="242"/>
      <c r="AQ102" s="242"/>
      <c r="AR102" s="242"/>
      <c r="AS102" s="242"/>
      <c r="AT102" s="242"/>
      <c r="AU102" s="242"/>
      <c r="AV102" s="242"/>
      <c r="AW102" s="242"/>
      <c r="AX102" s="242"/>
      <c r="AY102" s="242"/>
      <c r="AZ102" s="242"/>
      <c r="BA102" s="242"/>
      <c r="BB102" s="242"/>
      <c r="BC102" s="242"/>
      <c r="BD102" s="242"/>
      <c r="BE102" s="242"/>
      <c r="BF102" s="242"/>
      <c r="BG102" s="242"/>
      <c r="BH102" s="242"/>
      <c r="BI102" s="242"/>
      <c r="BJ102" s="242"/>
      <c r="BK102" s="242"/>
      <c r="BL102" s="242"/>
      <c r="BM102" s="242"/>
      <c r="BN102" s="242"/>
      <c r="BO102" s="242"/>
      <c r="BP102" s="242"/>
      <c r="BQ102" s="242"/>
      <c r="BR102" s="242"/>
      <c r="BS102" s="242"/>
      <c r="BT102" s="242"/>
      <c r="BU102" s="242"/>
      <c r="BV102" s="242"/>
      <c r="BW102" s="242"/>
      <c r="BX102" s="242"/>
      <c r="BY102" s="242"/>
      <c r="BZ102" s="242"/>
      <c r="CA102" s="242"/>
      <c r="CB102" s="242"/>
      <c r="CC102" s="242"/>
      <c r="CD102" s="242"/>
    </row>
    <row r="103" spans="1:82" ht="12.75" hidden="1" customHeight="1">
      <c r="A103" s="242"/>
      <c r="B103" s="238"/>
      <c r="C103" s="247" t="s">
        <v>121</v>
      </c>
      <c r="D103" s="295">
        <f t="shared" si="41"/>
        <v>0</v>
      </c>
      <c r="E103" s="295">
        <f t="shared" si="42"/>
        <v>0</v>
      </c>
      <c r="F103" s="295">
        <f t="shared" si="43"/>
        <v>0</v>
      </c>
      <c r="G103" s="295">
        <f t="shared" si="44"/>
        <v>0</v>
      </c>
      <c r="H103" s="295">
        <f t="shared" si="45"/>
        <v>0</v>
      </c>
      <c r="I103" s="295">
        <f t="shared" si="46"/>
        <v>0</v>
      </c>
      <c r="J103" s="295">
        <f t="shared" si="47"/>
        <v>3</v>
      </c>
      <c r="K103" s="295">
        <f t="shared" si="48"/>
        <v>2</v>
      </c>
      <c r="L103" s="295">
        <f t="shared" si="49"/>
        <v>0</v>
      </c>
      <c r="M103" s="295">
        <f t="shared" si="50"/>
        <v>2</v>
      </c>
      <c r="N103" s="295">
        <f t="shared" si="51"/>
        <v>0.7</v>
      </c>
      <c r="O103" s="241"/>
      <c r="P103" s="242"/>
      <c r="Q103" s="242"/>
      <c r="R103" s="242"/>
      <c r="S103" s="242"/>
      <c r="T103" s="242"/>
      <c r="U103" s="242"/>
      <c r="V103" s="242"/>
      <c r="W103" s="242"/>
      <c r="X103" s="242"/>
      <c r="Y103" s="242"/>
      <c r="Z103" s="242"/>
      <c r="AA103" s="242"/>
      <c r="AB103" s="242"/>
      <c r="AC103" s="242"/>
      <c r="AD103" s="242"/>
      <c r="AE103" s="242"/>
      <c r="AF103" s="242"/>
      <c r="AG103" s="242"/>
      <c r="AH103" s="242"/>
      <c r="AI103" s="242"/>
      <c r="AJ103" s="242"/>
      <c r="AK103" s="242"/>
      <c r="AL103" s="242"/>
      <c r="AM103" s="242"/>
      <c r="AN103" s="242"/>
      <c r="AO103" s="242"/>
      <c r="AP103" s="242"/>
      <c r="AQ103" s="242"/>
      <c r="AR103" s="242"/>
      <c r="AS103" s="242"/>
      <c r="AT103" s="242"/>
      <c r="AU103" s="242"/>
      <c r="AV103" s="242"/>
      <c r="AW103" s="242"/>
      <c r="AX103" s="242"/>
      <c r="AY103" s="242"/>
      <c r="AZ103" s="242"/>
      <c r="BA103" s="242"/>
      <c r="BB103" s="242"/>
      <c r="BC103" s="242"/>
      <c r="BD103" s="242"/>
      <c r="BE103" s="242"/>
      <c r="BF103" s="242"/>
      <c r="BG103" s="242"/>
      <c r="BH103" s="242"/>
      <c r="BI103" s="242"/>
      <c r="BJ103" s="242"/>
      <c r="BK103" s="242"/>
      <c r="BL103" s="242"/>
      <c r="BM103" s="242"/>
      <c r="BN103" s="242"/>
      <c r="BO103" s="242"/>
      <c r="BP103" s="242"/>
      <c r="BQ103" s="242"/>
      <c r="BR103" s="242"/>
      <c r="BS103" s="242"/>
      <c r="BT103" s="242"/>
      <c r="BU103" s="242"/>
      <c r="BV103" s="242"/>
      <c r="BW103" s="242"/>
      <c r="BX103" s="242"/>
      <c r="BY103" s="242"/>
      <c r="BZ103" s="242"/>
      <c r="CA103" s="242"/>
      <c r="CB103" s="242"/>
      <c r="CC103" s="242"/>
      <c r="CD103" s="242"/>
    </row>
    <row r="104" spans="1:82" ht="12.75" hidden="1" customHeight="1">
      <c r="A104" s="242"/>
      <c r="B104" s="238"/>
      <c r="C104" s="247" t="s">
        <v>122</v>
      </c>
      <c r="D104" s="295">
        <f t="shared" si="41"/>
        <v>0</v>
      </c>
      <c r="E104" s="295">
        <f t="shared" si="42"/>
        <v>0</v>
      </c>
      <c r="F104" s="295">
        <f t="shared" si="43"/>
        <v>0</v>
      </c>
      <c r="G104" s="295">
        <f t="shared" si="44"/>
        <v>3</v>
      </c>
      <c r="H104" s="295">
        <f t="shared" si="45"/>
        <v>3</v>
      </c>
      <c r="I104" s="295">
        <f t="shared" si="46"/>
        <v>0</v>
      </c>
      <c r="J104" s="295">
        <f t="shared" si="47"/>
        <v>3</v>
      </c>
      <c r="K104" s="295">
        <f t="shared" si="48"/>
        <v>0</v>
      </c>
      <c r="L104" s="295">
        <f t="shared" si="49"/>
        <v>0</v>
      </c>
      <c r="M104" s="295">
        <f t="shared" si="50"/>
        <v>2</v>
      </c>
      <c r="N104" s="295">
        <f t="shared" si="51"/>
        <v>1.1000000000000001</v>
      </c>
      <c r="O104" s="241"/>
      <c r="P104" s="242"/>
      <c r="Q104" s="242"/>
      <c r="R104" s="242"/>
      <c r="S104" s="242"/>
      <c r="T104" s="242"/>
      <c r="U104" s="242"/>
      <c r="V104" s="242"/>
      <c r="W104" s="242"/>
      <c r="X104" s="242"/>
      <c r="Y104" s="242"/>
      <c r="Z104" s="242"/>
      <c r="AA104" s="242"/>
      <c r="AB104" s="242"/>
      <c r="AC104" s="242"/>
      <c r="AD104" s="242"/>
      <c r="AE104" s="242"/>
      <c r="AF104" s="242"/>
      <c r="AG104" s="242"/>
      <c r="AH104" s="242"/>
      <c r="AI104" s="242"/>
      <c r="AJ104" s="242"/>
      <c r="AK104" s="242"/>
      <c r="AL104" s="242"/>
      <c r="AM104" s="242"/>
      <c r="AN104" s="242"/>
      <c r="AO104" s="242"/>
      <c r="AP104" s="242"/>
      <c r="AQ104" s="242"/>
      <c r="AR104" s="242"/>
      <c r="AS104" s="242"/>
      <c r="AT104" s="242"/>
      <c r="AU104" s="242"/>
      <c r="AV104" s="242"/>
      <c r="AW104" s="242"/>
      <c r="AX104" s="242"/>
      <c r="AY104" s="242"/>
      <c r="AZ104" s="242"/>
      <c r="BA104" s="242"/>
      <c r="BB104" s="242"/>
      <c r="BC104" s="242"/>
      <c r="BD104" s="242"/>
      <c r="BE104" s="242"/>
      <c r="BF104" s="242"/>
      <c r="BG104" s="242"/>
      <c r="BH104" s="242"/>
      <c r="BI104" s="242"/>
      <c r="BJ104" s="242"/>
      <c r="BK104" s="242"/>
      <c r="BL104" s="242"/>
      <c r="BM104" s="242"/>
      <c r="BN104" s="242"/>
      <c r="BO104" s="242"/>
      <c r="BP104" s="242"/>
      <c r="BQ104" s="242"/>
      <c r="BR104" s="242"/>
      <c r="BS104" s="242"/>
      <c r="BT104" s="242"/>
      <c r="BU104" s="242"/>
      <c r="BV104" s="242"/>
      <c r="BW104" s="242"/>
      <c r="BX104" s="242"/>
      <c r="BY104" s="242"/>
      <c r="BZ104" s="242"/>
      <c r="CA104" s="242"/>
      <c r="CB104" s="242"/>
      <c r="CC104" s="242"/>
      <c r="CD104" s="242"/>
    </row>
    <row r="105" spans="1:82" ht="12.75" hidden="1" customHeight="1">
      <c r="A105" s="242"/>
      <c r="B105" s="238"/>
      <c r="C105" s="247" t="s">
        <v>123</v>
      </c>
      <c r="D105" s="295">
        <f t="shared" si="41"/>
        <v>0</v>
      </c>
      <c r="E105" s="295">
        <f t="shared" si="42"/>
        <v>0</v>
      </c>
      <c r="F105" s="295">
        <f t="shared" si="43"/>
        <v>0</v>
      </c>
      <c r="G105" s="295">
        <f t="shared" si="44"/>
        <v>0</v>
      </c>
      <c r="H105" s="295">
        <f t="shared" si="45"/>
        <v>3</v>
      </c>
      <c r="I105" s="295">
        <f t="shared" si="46"/>
        <v>0</v>
      </c>
      <c r="J105" s="295">
        <f t="shared" si="47"/>
        <v>0</v>
      </c>
      <c r="K105" s="295">
        <f t="shared" si="48"/>
        <v>0</v>
      </c>
      <c r="L105" s="295">
        <f t="shared" si="49"/>
        <v>0</v>
      </c>
      <c r="M105" s="295">
        <f t="shared" si="50"/>
        <v>2</v>
      </c>
      <c r="N105" s="295">
        <f t="shared" si="51"/>
        <v>0.5</v>
      </c>
      <c r="O105" s="241"/>
      <c r="P105" s="242"/>
      <c r="Q105" s="242"/>
      <c r="R105" s="242"/>
      <c r="S105" s="242"/>
      <c r="T105" s="242"/>
      <c r="U105" s="242"/>
      <c r="V105" s="242"/>
      <c r="W105" s="242"/>
      <c r="X105" s="242"/>
      <c r="Y105" s="242"/>
      <c r="Z105" s="242"/>
      <c r="AA105" s="242"/>
      <c r="AB105" s="242"/>
      <c r="AC105" s="242"/>
      <c r="AD105" s="242"/>
      <c r="AE105" s="242"/>
      <c r="AF105" s="242"/>
      <c r="AG105" s="242"/>
      <c r="AH105" s="242"/>
      <c r="AI105" s="242"/>
      <c r="AJ105" s="242"/>
      <c r="AK105" s="242"/>
      <c r="AL105" s="242"/>
      <c r="AM105" s="242"/>
      <c r="AN105" s="242"/>
      <c r="AO105" s="242"/>
      <c r="AP105" s="242"/>
      <c r="AQ105" s="242"/>
      <c r="AR105" s="242"/>
      <c r="AS105" s="242"/>
      <c r="AT105" s="242"/>
      <c r="AU105" s="242"/>
      <c r="AV105" s="242"/>
      <c r="AW105" s="242"/>
      <c r="AX105" s="242"/>
      <c r="AY105" s="242"/>
      <c r="AZ105" s="242"/>
      <c r="BA105" s="242"/>
      <c r="BB105" s="242"/>
      <c r="BC105" s="242"/>
      <c r="BD105" s="242"/>
      <c r="BE105" s="242"/>
      <c r="BF105" s="242"/>
      <c r="BG105" s="242"/>
      <c r="BH105" s="242"/>
      <c r="BI105" s="242"/>
      <c r="BJ105" s="242"/>
      <c r="BK105" s="242"/>
      <c r="BL105" s="242"/>
      <c r="BM105" s="242"/>
      <c r="BN105" s="242"/>
      <c r="BO105" s="242"/>
      <c r="BP105" s="242"/>
      <c r="BQ105" s="242"/>
      <c r="BR105" s="242"/>
      <c r="BS105" s="242"/>
      <c r="BT105" s="242"/>
      <c r="BU105" s="242"/>
      <c r="BV105" s="242"/>
      <c r="BW105" s="242"/>
      <c r="BX105" s="242"/>
      <c r="BY105" s="242"/>
      <c r="BZ105" s="242"/>
      <c r="CA105" s="242"/>
      <c r="CB105" s="242"/>
      <c r="CC105" s="242"/>
      <c r="CD105" s="242"/>
    </row>
    <row r="106" spans="1:82" ht="12.75" hidden="1" customHeight="1">
      <c r="A106" s="242"/>
      <c r="B106" s="238"/>
      <c r="C106" s="247" t="s">
        <v>124</v>
      </c>
      <c r="D106" s="295">
        <f t="shared" si="41"/>
        <v>0</v>
      </c>
      <c r="E106" s="295">
        <f t="shared" si="42"/>
        <v>0</v>
      </c>
      <c r="F106" s="295">
        <f t="shared" si="43"/>
        <v>0</v>
      </c>
      <c r="G106" s="295">
        <f t="shared" si="44"/>
        <v>3</v>
      </c>
      <c r="H106" s="295">
        <f t="shared" si="45"/>
        <v>3</v>
      </c>
      <c r="I106" s="295">
        <f t="shared" si="46"/>
        <v>0</v>
      </c>
      <c r="J106" s="295">
        <f t="shared" si="47"/>
        <v>3</v>
      </c>
      <c r="K106" s="295">
        <f t="shared" si="48"/>
        <v>0</v>
      </c>
      <c r="L106" s="295">
        <f t="shared" si="49"/>
        <v>3</v>
      </c>
      <c r="M106" s="295">
        <f t="shared" si="50"/>
        <v>2</v>
      </c>
      <c r="N106" s="295">
        <f t="shared" si="51"/>
        <v>1.4</v>
      </c>
      <c r="O106" s="241"/>
      <c r="P106" s="242"/>
      <c r="Q106" s="242"/>
      <c r="R106" s="242"/>
      <c r="S106" s="242"/>
      <c r="T106" s="242"/>
      <c r="U106" s="242"/>
      <c r="V106" s="242"/>
      <c r="W106" s="242"/>
      <c r="X106" s="242"/>
      <c r="Y106" s="242"/>
      <c r="Z106" s="242"/>
      <c r="AA106" s="242"/>
      <c r="AB106" s="242"/>
      <c r="AC106" s="242"/>
      <c r="AD106" s="242"/>
      <c r="AE106" s="242"/>
      <c r="AF106" s="242"/>
      <c r="AG106" s="242"/>
      <c r="AH106" s="242"/>
      <c r="AI106" s="242"/>
      <c r="AJ106" s="242"/>
      <c r="AK106" s="242"/>
      <c r="AL106" s="242"/>
      <c r="AM106" s="242"/>
      <c r="AN106" s="242"/>
      <c r="AO106" s="242"/>
      <c r="AP106" s="242"/>
      <c r="AQ106" s="242"/>
      <c r="AR106" s="242"/>
      <c r="AS106" s="242"/>
      <c r="AT106" s="242"/>
      <c r="AU106" s="242"/>
      <c r="AV106" s="242"/>
      <c r="AW106" s="242"/>
      <c r="AX106" s="242"/>
      <c r="AY106" s="242"/>
      <c r="AZ106" s="242"/>
      <c r="BA106" s="242"/>
      <c r="BB106" s="242"/>
      <c r="BC106" s="242"/>
      <c r="BD106" s="242"/>
      <c r="BE106" s="242"/>
      <c r="BF106" s="242"/>
      <c r="BG106" s="242"/>
      <c r="BH106" s="242"/>
      <c r="BI106" s="242"/>
      <c r="BJ106" s="242"/>
      <c r="BK106" s="242"/>
      <c r="BL106" s="242"/>
      <c r="BM106" s="242"/>
      <c r="BN106" s="242"/>
      <c r="BO106" s="242"/>
      <c r="BP106" s="242"/>
      <c r="BQ106" s="242"/>
      <c r="BR106" s="242"/>
      <c r="BS106" s="242"/>
      <c r="BT106" s="242"/>
      <c r="BU106" s="242"/>
      <c r="BV106" s="242"/>
      <c r="BW106" s="242"/>
      <c r="BX106" s="242"/>
      <c r="BY106" s="242"/>
      <c r="BZ106" s="242"/>
      <c r="CA106" s="242"/>
      <c r="CB106" s="242"/>
      <c r="CC106" s="242"/>
      <c r="CD106" s="242"/>
    </row>
    <row r="107" spans="1:82" ht="12.75" hidden="1" customHeight="1">
      <c r="A107" s="242"/>
      <c r="B107" s="238"/>
      <c r="C107" s="247" t="s">
        <v>125</v>
      </c>
      <c r="D107" s="295">
        <f t="shared" si="41"/>
        <v>0</v>
      </c>
      <c r="E107" s="295">
        <f t="shared" si="42"/>
        <v>3</v>
      </c>
      <c r="F107" s="295">
        <f t="shared" si="43"/>
        <v>0</v>
      </c>
      <c r="G107" s="295">
        <f t="shared" si="44"/>
        <v>2</v>
      </c>
      <c r="H107" s="295">
        <f t="shared" si="45"/>
        <v>2</v>
      </c>
      <c r="I107" s="295">
        <f t="shared" si="46"/>
        <v>3</v>
      </c>
      <c r="J107" s="295">
        <f t="shared" si="47"/>
        <v>3</v>
      </c>
      <c r="K107" s="295">
        <f t="shared" si="48"/>
        <v>3</v>
      </c>
      <c r="L107" s="295">
        <f t="shared" si="49"/>
        <v>0</v>
      </c>
      <c r="M107" s="295">
        <f t="shared" si="50"/>
        <v>2</v>
      </c>
      <c r="N107" s="295">
        <f t="shared" si="51"/>
        <v>1.8</v>
      </c>
      <c r="O107" s="241"/>
      <c r="P107" s="242"/>
      <c r="Q107" s="242"/>
      <c r="R107" s="242"/>
      <c r="S107" s="242"/>
      <c r="T107" s="242"/>
      <c r="U107" s="242"/>
      <c r="V107" s="242"/>
      <c r="W107" s="242"/>
      <c r="X107" s="242"/>
      <c r="Y107" s="242"/>
      <c r="Z107" s="242"/>
      <c r="AA107" s="242"/>
      <c r="AB107" s="242"/>
      <c r="AC107" s="242"/>
      <c r="AD107" s="242"/>
      <c r="AE107" s="242"/>
      <c r="AF107" s="242"/>
      <c r="AG107" s="242"/>
      <c r="AH107" s="242"/>
      <c r="AI107" s="242"/>
      <c r="AJ107" s="242"/>
      <c r="AK107" s="242"/>
      <c r="AL107" s="242"/>
      <c r="AM107" s="242"/>
      <c r="AN107" s="242"/>
      <c r="AO107" s="242"/>
      <c r="AP107" s="242"/>
      <c r="AQ107" s="242"/>
      <c r="AR107" s="242"/>
      <c r="AS107" s="242"/>
      <c r="AT107" s="242"/>
      <c r="AU107" s="242"/>
      <c r="AV107" s="242"/>
      <c r="AW107" s="242"/>
      <c r="AX107" s="242"/>
      <c r="AY107" s="242"/>
      <c r="AZ107" s="242"/>
      <c r="BA107" s="242"/>
      <c r="BB107" s="242"/>
      <c r="BC107" s="242"/>
      <c r="BD107" s="242"/>
      <c r="BE107" s="242"/>
      <c r="BF107" s="242"/>
      <c r="BG107" s="242"/>
      <c r="BH107" s="242"/>
      <c r="BI107" s="242"/>
      <c r="BJ107" s="242"/>
      <c r="BK107" s="242"/>
      <c r="BL107" s="242"/>
      <c r="BM107" s="242"/>
      <c r="BN107" s="242"/>
      <c r="BO107" s="242"/>
      <c r="BP107" s="242"/>
      <c r="BQ107" s="242"/>
      <c r="BR107" s="242"/>
      <c r="BS107" s="242"/>
      <c r="BT107" s="242"/>
      <c r="BU107" s="242"/>
      <c r="BV107" s="242"/>
      <c r="BW107" s="242"/>
      <c r="BX107" s="242"/>
      <c r="BY107" s="242"/>
      <c r="BZ107" s="242"/>
      <c r="CA107" s="242"/>
      <c r="CB107" s="242"/>
      <c r="CC107" s="242"/>
      <c r="CD107" s="242"/>
    </row>
    <row r="108" spans="1:82" ht="12.75" hidden="1" customHeight="1">
      <c r="A108" s="242"/>
      <c r="B108" s="238"/>
      <c r="C108" s="266" t="s">
        <v>69</v>
      </c>
      <c r="D108" s="295">
        <f t="shared" si="41"/>
        <v>0</v>
      </c>
      <c r="E108" s="295">
        <f t="shared" si="42"/>
        <v>3</v>
      </c>
      <c r="F108" s="295">
        <f t="shared" si="43"/>
        <v>0</v>
      </c>
      <c r="G108" s="295">
        <f t="shared" si="44"/>
        <v>0</v>
      </c>
      <c r="H108" s="295">
        <f t="shared" si="45"/>
        <v>0</v>
      </c>
      <c r="I108" s="295">
        <f t="shared" si="46"/>
        <v>0</v>
      </c>
      <c r="J108" s="295">
        <f t="shared" si="47"/>
        <v>3</v>
      </c>
      <c r="K108" s="295">
        <f t="shared" si="48"/>
        <v>0</v>
      </c>
      <c r="L108" s="295">
        <f t="shared" si="49"/>
        <v>3</v>
      </c>
      <c r="M108" s="295">
        <f t="shared" si="50"/>
        <v>2</v>
      </c>
      <c r="N108" s="295">
        <f t="shared" si="51"/>
        <v>1.1000000000000001</v>
      </c>
      <c r="O108" s="241"/>
      <c r="P108" s="242"/>
      <c r="Q108" s="242"/>
      <c r="R108" s="242"/>
      <c r="S108" s="242"/>
      <c r="T108" s="242"/>
      <c r="U108" s="242"/>
      <c r="V108" s="242"/>
      <c r="W108" s="242"/>
      <c r="X108" s="242"/>
      <c r="Y108" s="242"/>
      <c r="Z108" s="242"/>
      <c r="AA108" s="242"/>
      <c r="AB108" s="242"/>
      <c r="AC108" s="242"/>
      <c r="AD108" s="242"/>
      <c r="AE108" s="242"/>
      <c r="AF108" s="242"/>
      <c r="AG108" s="242"/>
      <c r="AH108" s="242"/>
      <c r="AI108" s="242"/>
      <c r="AJ108" s="242"/>
      <c r="AK108" s="242"/>
      <c r="AL108" s="242"/>
      <c r="AM108" s="242"/>
      <c r="AN108" s="242"/>
      <c r="AO108" s="242"/>
      <c r="AP108" s="242"/>
      <c r="AQ108" s="242"/>
      <c r="AR108" s="242"/>
      <c r="AS108" s="242"/>
      <c r="AT108" s="242"/>
      <c r="AU108" s="242"/>
      <c r="AV108" s="242"/>
      <c r="AW108" s="242"/>
      <c r="AX108" s="242"/>
      <c r="AY108" s="242"/>
      <c r="AZ108" s="242"/>
      <c r="BA108" s="242"/>
      <c r="BB108" s="242"/>
      <c r="BC108" s="242"/>
      <c r="BD108" s="242"/>
      <c r="BE108" s="242"/>
      <c r="BF108" s="242"/>
      <c r="BG108" s="242"/>
      <c r="BH108" s="242"/>
      <c r="BI108" s="242"/>
      <c r="BJ108" s="242"/>
      <c r="BK108" s="242"/>
      <c r="BL108" s="242"/>
      <c r="BM108" s="242"/>
      <c r="BN108" s="242"/>
      <c r="BO108" s="242"/>
      <c r="BP108" s="242"/>
      <c r="BQ108" s="242"/>
      <c r="BR108" s="242"/>
      <c r="BS108" s="242"/>
      <c r="BT108" s="242"/>
      <c r="BU108" s="242"/>
      <c r="BV108" s="242"/>
      <c r="BW108" s="242"/>
      <c r="BX108" s="242"/>
      <c r="BY108" s="242"/>
      <c r="BZ108" s="242"/>
      <c r="CA108" s="242"/>
      <c r="CB108" s="242"/>
      <c r="CC108" s="242"/>
      <c r="CD108" s="242"/>
    </row>
    <row r="109" spans="1:82" ht="12.75" hidden="1" customHeight="1">
      <c r="A109" s="242"/>
      <c r="B109" s="238"/>
      <c r="C109" s="266" t="s">
        <v>80</v>
      </c>
      <c r="D109" s="295">
        <f t="shared" si="41"/>
        <v>3</v>
      </c>
      <c r="E109" s="295">
        <f t="shared" si="42"/>
        <v>0</v>
      </c>
      <c r="F109" s="295">
        <f t="shared" si="43"/>
        <v>3</v>
      </c>
      <c r="G109" s="295">
        <f t="shared" si="44"/>
        <v>3</v>
      </c>
      <c r="H109" s="295">
        <f t="shared" si="45"/>
        <v>3</v>
      </c>
      <c r="I109" s="295">
        <f t="shared" si="46"/>
        <v>0</v>
      </c>
      <c r="J109" s="295">
        <f t="shared" si="47"/>
        <v>3</v>
      </c>
      <c r="K109" s="295">
        <f t="shared" si="48"/>
        <v>2</v>
      </c>
      <c r="L109" s="295">
        <f t="shared" si="49"/>
        <v>3</v>
      </c>
      <c r="M109" s="295">
        <f t="shared" si="50"/>
        <v>2</v>
      </c>
      <c r="N109" s="295">
        <f t="shared" si="51"/>
        <v>2.2000000000000002</v>
      </c>
      <c r="O109" s="241"/>
      <c r="P109" s="242"/>
      <c r="Q109" s="242"/>
      <c r="R109" s="242"/>
      <c r="S109" s="242"/>
      <c r="T109" s="242"/>
      <c r="U109" s="242"/>
      <c r="V109" s="242"/>
      <c r="W109" s="242"/>
      <c r="X109" s="242"/>
      <c r="Y109" s="242"/>
      <c r="Z109" s="242"/>
      <c r="AA109" s="242"/>
      <c r="AB109" s="242"/>
      <c r="AC109" s="242"/>
      <c r="AD109" s="242"/>
      <c r="AE109" s="242"/>
      <c r="AF109" s="242"/>
      <c r="AG109" s="242"/>
      <c r="AH109" s="242"/>
      <c r="AI109" s="242"/>
      <c r="AJ109" s="242"/>
      <c r="AK109" s="242"/>
      <c r="AL109" s="242"/>
      <c r="AM109" s="242"/>
      <c r="AN109" s="242"/>
      <c r="AO109" s="242"/>
      <c r="AP109" s="242"/>
      <c r="AQ109" s="242"/>
      <c r="AR109" s="242"/>
      <c r="AS109" s="242"/>
      <c r="AT109" s="242"/>
      <c r="AU109" s="242"/>
      <c r="AV109" s="242"/>
      <c r="AW109" s="242"/>
      <c r="AX109" s="242"/>
      <c r="AY109" s="242"/>
      <c r="AZ109" s="242"/>
      <c r="BA109" s="242"/>
      <c r="BB109" s="242"/>
      <c r="BC109" s="242"/>
      <c r="BD109" s="242"/>
      <c r="BE109" s="242"/>
      <c r="BF109" s="242"/>
      <c r="BG109" s="242"/>
      <c r="BH109" s="242"/>
      <c r="BI109" s="242"/>
      <c r="BJ109" s="242"/>
      <c r="BK109" s="242"/>
      <c r="BL109" s="242"/>
      <c r="BM109" s="242"/>
      <c r="BN109" s="242"/>
      <c r="BO109" s="242"/>
      <c r="BP109" s="242"/>
      <c r="BQ109" s="242"/>
      <c r="BR109" s="242"/>
      <c r="BS109" s="242"/>
      <c r="BT109" s="242"/>
      <c r="BU109" s="242"/>
      <c r="BV109" s="242"/>
      <c r="BW109" s="242"/>
      <c r="BX109" s="242"/>
      <c r="BY109" s="242"/>
      <c r="BZ109" s="242"/>
      <c r="CA109" s="242"/>
      <c r="CB109" s="242"/>
      <c r="CC109" s="242"/>
      <c r="CD109" s="242"/>
    </row>
    <row r="110" spans="1:82" ht="12.75" hidden="1" customHeight="1">
      <c r="A110" s="242"/>
      <c r="B110" s="238"/>
      <c r="C110" s="266" t="s">
        <v>70</v>
      </c>
      <c r="D110" s="295">
        <f t="shared" si="41"/>
        <v>0</v>
      </c>
      <c r="E110" s="295">
        <f t="shared" si="42"/>
        <v>0</v>
      </c>
      <c r="F110" s="295">
        <f t="shared" si="43"/>
        <v>0</v>
      </c>
      <c r="G110" s="295">
        <f t="shared" si="44"/>
        <v>0</v>
      </c>
      <c r="H110" s="295">
        <f t="shared" si="45"/>
        <v>0</v>
      </c>
      <c r="I110" s="295">
        <f t="shared" si="46"/>
        <v>3</v>
      </c>
      <c r="J110" s="295">
        <f t="shared" si="47"/>
        <v>3</v>
      </c>
      <c r="K110" s="295">
        <f t="shared" si="48"/>
        <v>0</v>
      </c>
      <c r="L110" s="295">
        <f t="shared" si="49"/>
        <v>0</v>
      </c>
      <c r="M110" s="295">
        <f t="shared" si="50"/>
        <v>2</v>
      </c>
      <c r="N110" s="295">
        <f t="shared" si="51"/>
        <v>0.8</v>
      </c>
      <c r="O110" s="241"/>
      <c r="P110" s="242"/>
      <c r="Q110" s="242"/>
      <c r="R110" s="242"/>
      <c r="S110" s="242"/>
      <c r="T110" s="242"/>
      <c r="U110" s="242"/>
      <c r="V110" s="242"/>
      <c r="W110" s="242"/>
      <c r="X110" s="242"/>
      <c r="Y110" s="242"/>
      <c r="Z110" s="242"/>
      <c r="AA110" s="242"/>
      <c r="AB110" s="242"/>
      <c r="AC110" s="242"/>
      <c r="AD110" s="242"/>
      <c r="AE110" s="242"/>
      <c r="AF110" s="242"/>
      <c r="AG110" s="242"/>
      <c r="AH110" s="242"/>
      <c r="AI110" s="242"/>
      <c r="AJ110" s="242"/>
      <c r="AK110" s="242"/>
      <c r="AL110" s="242"/>
      <c r="AM110" s="242"/>
      <c r="AN110" s="242"/>
      <c r="AO110" s="242"/>
      <c r="AP110" s="242"/>
      <c r="AQ110" s="242"/>
      <c r="AR110" s="242"/>
      <c r="AS110" s="242"/>
      <c r="AT110" s="242"/>
      <c r="AU110" s="242"/>
      <c r="AV110" s="242"/>
      <c r="AW110" s="242"/>
      <c r="AX110" s="242"/>
      <c r="AY110" s="242"/>
      <c r="AZ110" s="242"/>
      <c r="BA110" s="242"/>
      <c r="BB110" s="242"/>
      <c r="BC110" s="242"/>
      <c r="BD110" s="242"/>
      <c r="BE110" s="242"/>
      <c r="BF110" s="242"/>
      <c r="BG110" s="242"/>
      <c r="BH110" s="242"/>
      <c r="BI110" s="242"/>
      <c r="BJ110" s="242"/>
      <c r="BK110" s="242"/>
      <c r="BL110" s="242"/>
      <c r="BM110" s="242"/>
      <c r="BN110" s="242"/>
      <c r="BO110" s="242"/>
      <c r="BP110" s="242"/>
      <c r="BQ110" s="242"/>
      <c r="BR110" s="242"/>
      <c r="BS110" s="242"/>
      <c r="BT110" s="242"/>
      <c r="BU110" s="242"/>
      <c r="BV110" s="242"/>
      <c r="BW110" s="242"/>
      <c r="BX110" s="242"/>
      <c r="BY110" s="242"/>
      <c r="BZ110" s="242"/>
      <c r="CA110" s="242"/>
      <c r="CB110" s="242"/>
      <c r="CC110" s="242"/>
      <c r="CD110" s="242"/>
    </row>
    <row r="111" spans="1:82" ht="12.75" hidden="1" customHeight="1">
      <c r="A111" s="242"/>
      <c r="B111" s="238"/>
      <c r="C111" s="266" t="s">
        <v>71</v>
      </c>
      <c r="D111" s="295">
        <f t="shared" si="41"/>
        <v>0</v>
      </c>
      <c r="E111" s="295">
        <f t="shared" si="42"/>
        <v>0</v>
      </c>
      <c r="F111" s="295">
        <f t="shared" si="43"/>
        <v>0</v>
      </c>
      <c r="G111" s="295">
        <f t="shared" si="44"/>
        <v>3</v>
      </c>
      <c r="H111" s="295">
        <f t="shared" si="45"/>
        <v>3</v>
      </c>
      <c r="I111" s="295">
        <f t="shared" si="46"/>
        <v>0</v>
      </c>
      <c r="J111" s="295">
        <f t="shared" si="47"/>
        <v>3</v>
      </c>
      <c r="K111" s="295">
        <f t="shared" si="48"/>
        <v>0</v>
      </c>
      <c r="L111" s="295">
        <f t="shared" si="49"/>
        <v>0</v>
      </c>
      <c r="M111" s="295">
        <f t="shared" si="50"/>
        <v>2</v>
      </c>
      <c r="N111" s="295">
        <f t="shared" si="51"/>
        <v>1.1000000000000001</v>
      </c>
      <c r="O111" s="241"/>
      <c r="P111" s="242"/>
      <c r="Q111" s="242"/>
      <c r="R111" s="242"/>
      <c r="S111" s="242"/>
      <c r="T111" s="242"/>
      <c r="U111" s="242"/>
      <c r="V111" s="242"/>
      <c r="W111" s="242"/>
      <c r="X111" s="242"/>
      <c r="Y111" s="242"/>
      <c r="Z111" s="242"/>
      <c r="AA111" s="242"/>
      <c r="AB111" s="242"/>
      <c r="AC111" s="242"/>
      <c r="AD111" s="242"/>
      <c r="AE111" s="242"/>
      <c r="AF111" s="242"/>
      <c r="AG111" s="242"/>
      <c r="AH111" s="242"/>
      <c r="AI111" s="242"/>
      <c r="AJ111" s="242"/>
      <c r="AK111" s="242"/>
      <c r="AL111" s="242"/>
      <c r="AM111" s="242"/>
      <c r="AN111" s="242"/>
      <c r="AO111" s="242"/>
      <c r="AP111" s="242"/>
      <c r="AQ111" s="242"/>
      <c r="AR111" s="242"/>
      <c r="AS111" s="242"/>
      <c r="AT111" s="242"/>
      <c r="AU111" s="242"/>
      <c r="AV111" s="242"/>
      <c r="AW111" s="242"/>
      <c r="AX111" s="242"/>
      <c r="AY111" s="242"/>
      <c r="AZ111" s="242"/>
      <c r="BA111" s="242"/>
      <c r="BB111" s="242"/>
      <c r="BC111" s="242"/>
      <c r="BD111" s="242"/>
      <c r="BE111" s="242"/>
      <c r="BF111" s="242"/>
      <c r="BG111" s="242"/>
      <c r="BH111" s="242"/>
      <c r="BI111" s="242"/>
      <c r="BJ111" s="242"/>
      <c r="BK111" s="242"/>
      <c r="BL111" s="242"/>
      <c r="BM111" s="242"/>
      <c r="BN111" s="242"/>
      <c r="BO111" s="242"/>
      <c r="BP111" s="242"/>
      <c r="BQ111" s="242"/>
      <c r="BR111" s="242"/>
      <c r="BS111" s="242"/>
      <c r="BT111" s="242"/>
      <c r="BU111" s="242"/>
      <c r="BV111" s="242"/>
      <c r="BW111" s="242"/>
      <c r="BX111" s="242"/>
      <c r="BY111" s="242"/>
      <c r="BZ111" s="242"/>
      <c r="CA111" s="242"/>
      <c r="CB111" s="242"/>
      <c r="CC111" s="242"/>
      <c r="CD111" s="242"/>
    </row>
    <row r="112" spans="1:82" ht="12.75" hidden="1" customHeight="1">
      <c r="A112" s="242"/>
      <c r="B112" s="238"/>
      <c r="C112" s="266" t="s">
        <v>73</v>
      </c>
      <c r="D112" s="295">
        <f t="shared" si="41"/>
        <v>2</v>
      </c>
      <c r="E112" s="295">
        <f t="shared" si="42"/>
        <v>3</v>
      </c>
      <c r="F112" s="295">
        <f t="shared" si="43"/>
        <v>0</v>
      </c>
      <c r="G112" s="295">
        <f t="shared" si="44"/>
        <v>3</v>
      </c>
      <c r="H112" s="295">
        <f t="shared" si="45"/>
        <v>3</v>
      </c>
      <c r="I112" s="295">
        <f t="shared" si="46"/>
        <v>0</v>
      </c>
      <c r="J112" s="295">
        <f t="shared" si="47"/>
        <v>0</v>
      </c>
      <c r="K112" s="295">
        <f t="shared" si="48"/>
        <v>0</v>
      </c>
      <c r="L112" s="295">
        <f t="shared" si="49"/>
        <v>0</v>
      </c>
      <c r="M112" s="295">
        <f t="shared" si="50"/>
        <v>2</v>
      </c>
      <c r="N112" s="295">
        <f t="shared" si="51"/>
        <v>1.3</v>
      </c>
      <c r="O112" s="241"/>
      <c r="P112" s="242"/>
      <c r="Q112" s="242"/>
      <c r="R112" s="242"/>
      <c r="S112" s="242"/>
      <c r="T112" s="242"/>
      <c r="U112" s="242"/>
      <c r="V112" s="242"/>
      <c r="W112" s="242"/>
      <c r="X112" s="242"/>
      <c r="Y112" s="242"/>
      <c r="Z112" s="242"/>
      <c r="AA112" s="242"/>
      <c r="AB112" s="242"/>
      <c r="AC112" s="242"/>
      <c r="AD112" s="242"/>
      <c r="AE112" s="242"/>
      <c r="AF112" s="242"/>
      <c r="AG112" s="242"/>
      <c r="AH112" s="242"/>
      <c r="AI112" s="242"/>
      <c r="AJ112" s="242"/>
      <c r="AK112" s="242"/>
      <c r="AL112" s="242"/>
      <c r="AM112" s="242"/>
      <c r="AN112" s="242"/>
      <c r="AO112" s="242"/>
      <c r="AP112" s="242"/>
      <c r="AQ112" s="242"/>
      <c r="AR112" s="242"/>
      <c r="AS112" s="242"/>
      <c r="AT112" s="242"/>
      <c r="AU112" s="242"/>
      <c r="AV112" s="242"/>
      <c r="AW112" s="242"/>
      <c r="AX112" s="242"/>
      <c r="AY112" s="242"/>
      <c r="AZ112" s="242"/>
      <c r="BA112" s="242"/>
      <c r="BB112" s="242"/>
      <c r="BC112" s="242"/>
      <c r="BD112" s="242"/>
      <c r="BE112" s="242"/>
      <c r="BF112" s="242"/>
      <c r="BG112" s="242"/>
      <c r="BH112" s="242"/>
      <c r="BI112" s="242"/>
      <c r="BJ112" s="242"/>
      <c r="BK112" s="242"/>
      <c r="BL112" s="242"/>
      <c r="BM112" s="242"/>
      <c r="BN112" s="242"/>
      <c r="BO112" s="242"/>
      <c r="BP112" s="242"/>
      <c r="BQ112" s="242"/>
      <c r="BR112" s="242"/>
      <c r="BS112" s="242"/>
      <c r="BT112" s="242"/>
      <c r="BU112" s="242"/>
      <c r="BV112" s="242"/>
      <c r="BW112" s="242"/>
      <c r="BX112" s="242"/>
      <c r="BY112" s="242"/>
      <c r="BZ112" s="242"/>
      <c r="CA112" s="242"/>
      <c r="CB112" s="242"/>
      <c r="CC112" s="242"/>
      <c r="CD112" s="242"/>
    </row>
    <row r="113" spans="1:82" ht="12.75" hidden="1" customHeight="1">
      <c r="A113" s="242"/>
      <c r="B113" s="238"/>
      <c r="C113" s="266" t="s">
        <v>74</v>
      </c>
      <c r="D113" s="295">
        <f t="shared" si="41"/>
        <v>3</v>
      </c>
      <c r="E113" s="295">
        <f t="shared" si="42"/>
        <v>0</v>
      </c>
      <c r="F113" s="295">
        <f t="shared" si="43"/>
        <v>0</v>
      </c>
      <c r="G113" s="295">
        <f t="shared" si="44"/>
        <v>3</v>
      </c>
      <c r="H113" s="295">
        <f t="shared" si="45"/>
        <v>3</v>
      </c>
      <c r="I113" s="295">
        <f t="shared" si="46"/>
        <v>0</v>
      </c>
      <c r="J113" s="295">
        <f t="shared" si="47"/>
        <v>3</v>
      </c>
      <c r="K113" s="295">
        <f t="shared" si="48"/>
        <v>0</v>
      </c>
      <c r="L113" s="295">
        <f t="shared" si="49"/>
        <v>0</v>
      </c>
      <c r="M113" s="295">
        <f t="shared" si="50"/>
        <v>2</v>
      </c>
      <c r="N113" s="295">
        <f t="shared" si="51"/>
        <v>1.4</v>
      </c>
      <c r="O113" s="241"/>
      <c r="P113" s="242"/>
      <c r="Q113" s="242"/>
      <c r="R113" s="242"/>
      <c r="S113" s="242"/>
      <c r="T113" s="242"/>
      <c r="U113" s="242"/>
      <c r="V113" s="242"/>
      <c r="W113" s="242"/>
      <c r="X113" s="242"/>
      <c r="Y113" s="242"/>
      <c r="Z113" s="242"/>
      <c r="AA113" s="242"/>
      <c r="AB113" s="242"/>
      <c r="AC113" s="242"/>
      <c r="AD113" s="242"/>
      <c r="AE113" s="242"/>
      <c r="AF113" s="242"/>
      <c r="AG113" s="242"/>
      <c r="AH113" s="242"/>
      <c r="AI113" s="242"/>
      <c r="AJ113" s="242"/>
      <c r="AK113" s="242"/>
      <c r="AL113" s="242"/>
      <c r="AM113" s="242"/>
      <c r="AN113" s="242"/>
      <c r="AO113" s="242"/>
      <c r="AP113" s="242"/>
      <c r="AQ113" s="242"/>
      <c r="AR113" s="242"/>
      <c r="AS113" s="242"/>
      <c r="AT113" s="242"/>
      <c r="AU113" s="242"/>
      <c r="AV113" s="242"/>
      <c r="AW113" s="242"/>
      <c r="AX113" s="242"/>
      <c r="AY113" s="242"/>
      <c r="AZ113" s="242"/>
      <c r="BA113" s="242"/>
      <c r="BB113" s="242"/>
      <c r="BC113" s="242"/>
      <c r="BD113" s="242"/>
      <c r="BE113" s="242"/>
      <c r="BF113" s="242"/>
      <c r="BG113" s="242"/>
      <c r="BH113" s="242"/>
      <c r="BI113" s="242"/>
      <c r="BJ113" s="242"/>
      <c r="BK113" s="242"/>
      <c r="BL113" s="242"/>
      <c r="BM113" s="242"/>
      <c r="BN113" s="242"/>
      <c r="BO113" s="242"/>
      <c r="BP113" s="242"/>
      <c r="BQ113" s="242"/>
      <c r="BR113" s="242"/>
      <c r="BS113" s="242"/>
      <c r="BT113" s="242"/>
      <c r="BU113" s="242"/>
      <c r="BV113" s="242"/>
      <c r="BW113" s="242"/>
      <c r="BX113" s="242"/>
      <c r="BY113" s="242"/>
      <c r="BZ113" s="242"/>
      <c r="CA113" s="242"/>
      <c r="CB113" s="242"/>
      <c r="CC113" s="242"/>
      <c r="CD113" s="242"/>
    </row>
    <row r="114" spans="1:82" ht="12.75" hidden="1" customHeight="1">
      <c r="A114" s="242"/>
      <c r="B114" s="238"/>
      <c r="C114" s="266" t="s">
        <v>75</v>
      </c>
      <c r="D114" s="295">
        <f t="shared" si="41"/>
        <v>0</v>
      </c>
      <c r="E114" s="295">
        <f t="shared" si="42"/>
        <v>0</v>
      </c>
      <c r="F114" s="295">
        <f t="shared" si="43"/>
        <v>0</v>
      </c>
      <c r="G114" s="295">
        <f t="shared" si="44"/>
        <v>3</v>
      </c>
      <c r="H114" s="295">
        <f t="shared" si="45"/>
        <v>3</v>
      </c>
      <c r="I114" s="295">
        <f t="shared" si="46"/>
        <v>0</v>
      </c>
      <c r="J114" s="295">
        <f t="shared" si="47"/>
        <v>3</v>
      </c>
      <c r="K114" s="295">
        <f t="shared" si="48"/>
        <v>3</v>
      </c>
      <c r="L114" s="295">
        <f t="shared" si="49"/>
        <v>0</v>
      </c>
      <c r="M114" s="295">
        <f t="shared" si="50"/>
        <v>2</v>
      </c>
      <c r="N114" s="295">
        <f t="shared" si="51"/>
        <v>1.4</v>
      </c>
      <c r="O114" s="241"/>
      <c r="P114" s="242"/>
      <c r="Q114" s="242"/>
      <c r="R114" s="242"/>
      <c r="S114" s="242"/>
      <c r="T114" s="242"/>
      <c r="U114" s="242"/>
      <c r="V114" s="242"/>
      <c r="W114" s="242"/>
      <c r="X114" s="242"/>
      <c r="Y114" s="242"/>
      <c r="Z114" s="242"/>
      <c r="AA114" s="242"/>
      <c r="AB114" s="242"/>
      <c r="AC114" s="242"/>
      <c r="AD114" s="242"/>
      <c r="AE114" s="242"/>
      <c r="AF114" s="242"/>
      <c r="AG114" s="242"/>
      <c r="AH114" s="242"/>
      <c r="AI114" s="242"/>
      <c r="AJ114" s="242"/>
      <c r="AK114" s="242"/>
      <c r="AL114" s="242"/>
      <c r="AM114" s="242"/>
      <c r="AN114" s="242"/>
      <c r="AO114" s="242"/>
      <c r="AP114" s="242"/>
      <c r="AQ114" s="242"/>
      <c r="AR114" s="242"/>
      <c r="AS114" s="242"/>
      <c r="AT114" s="242"/>
      <c r="AU114" s="242"/>
      <c r="AV114" s="242"/>
      <c r="AW114" s="242"/>
      <c r="AX114" s="242"/>
      <c r="AY114" s="242"/>
      <c r="AZ114" s="242"/>
      <c r="BA114" s="242"/>
      <c r="BB114" s="242"/>
      <c r="BC114" s="242"/>
      <c r="BD114" s="242"/>
      <c r="BE114" s="242"/>
      <c r="BF114" s="242"/>
      <c r="BG114" s="242"/>
      <c r="BH114" s="242"/>
      <c r="BI114" s="242"/>
      <c r="BJ114" s="242"/>
      <c r="BK114" s="242"/>
      <c r="BL114" s="242"/>
      <c r="BM114" s="242"/>
      <c r="BN114" s="242"/>
      <c r="BO114" s="242"/>
      <c r="BP114" s="242"/>
      <c r="BQ114" s="242"/>
      <c r="BR114" s="242"/>
      <c r="BS114" s="242"/>
      <c r="BT114" s="242"/>
      <c r="BU114" s="242"/>
      <c r="BV114" s="242"/>
      <c r="BW114" s="242"/>
      <c r="BX114" s="242"/>
      <c r="BY114" s="242"/>
      <c r="BZ114" s="242"/>
      <c r="CA114" s="242"/>
      <c r="CB114" s="242"/>
      <c r="CC114" s="242"/>
      <c r="CD114" s="242"/>
    </row>
    <row r="115" spans="1:82" ht="12.75" hidden="1" customHeight="1">
      <c r="A115" s="242"/>
      <c r="B115" s="238"/>
      <c r="C115" s="266" t="s">
        <v>76</v>
      </c>
      <c r="D115" s="295">
        <f t="shared" si="41"/>
        <v>0</v>
      </c>
      <c r="E115" s="295">
        <f t="shared" si="42"/>
        <v>3</v>
      </c>
      <c r="F115" s="295">
        <f t="shared" si="43"/>
        <v>0</v>
      </c>
      <c r="G115" s="295">
        <f t="shared" si="44"/>
        <v>0</v>
      </c>
      <c r="H115" s="295">
        <f t="shared" si="45"/>
        <v>0</v>
      </c>
      <c r="I115" s="295">
        <f t="shared" si="46"/>
        <v>0</v>
      </c>
      <c r="J115" s="295">
        <f t="shared" si="47"/>
        <v>3</v>
      </c>
      <c r="K115" s="295">
        <f t="shared" si="48"/>
        <v>0</v>
      </c>
      <c r="L115" s="295">
        <f t="shared" si="49"/>
        <v>0</v>
      </c>
      <c r="M115" s="295">
        <f t="shared" si="50"/>
        <v>2</v>
      </c>
      <c r="N115" s="295">
        <f t="shared" si="51"/>
        <v>0.8</v>
      </c>
      <c r="O115" s="241"/>
      <c r="P115" s="242"/>
      <c r="Q115" s="242"/>
      <c r="R115" s="242"/>
      <c r="S115" s="242"/>
      <c r="T115" s="242"/>
      <c r="U115" s="242"/>
      <c r="V115" s="242"/>
      <c r="W115" s="242"/>
      <c r="X115" s="242"/>
      <c r="Y115" s="242"/>
      <c r="Z115" s="242"/>
      <c r="AA115" s="242"/>
      <c r="AB115" s="242"/>
      <c r="AC115" s="242"/>
      <c r="AD115" s="242"/>
      <c r="AE115" s="242"/>
      <c r="AF115" s="242"/>
      <c r="AG115" s="242"/>
      <c r="AH115" s="242"/>
      <c r="AI115" s="242"/>
      <c r="AJ115" s="242"/>
      <c r="AK115" s="242"/>
      <c r="AL115" s="242"/>
      <c r="AM115" s="242"/>
      <c r="AN115" s="242"/>
      <c r="AO115" s="242"/>
      <c r="AP115" s="242"/>
      <c r="AQ115" s="242"/>
      <c r="AR115" s="242"/>
      <c r="AS115" s="242"/>
      <c r="AT115" s="242"/>
      <c r="AU115" s="242"/>
      <c r="AV115" s="242"/>
      <c r="AW115" s="242"/>
      <c r="AX115" s="242"/>
      <c r="AY115" s="242"/>
      <c r="AZ115" s="242"/>
      <c r="BA115" s="242"/>
      <c r="BB115" s="242"/>
      <c r="BC115" s="242"/>
      <c r="BD115" s="242"/>
      <c r="BE115" s="242"/>
      <c r="BF115" s="242"/>
      <c r="BG115" s="242"/>
      <c r="BH115" s="242"/>
      <c r="BI115" s="242"/>
      <c r="BJ115" s="242"/>
      <c r="BK115" s="242"/>
      <c r="BL115" s="242"/>
      <c r="BM115" s="242"/>
      <c r="BN115" s="242"/>
      <c r="BO115" s="242"/>
      <c r="BP115" s="242"/>
      <c r="BQ115" s="242"/>
      <c r="BR115" s="242"/>
      <c r="BS115" s="242"/>
      <c r="BT115" s="242"/>
      <c r="BU115" s="242"/>
      <c r="BV115" s="242"/>
      <c r="BW115" s="242"/>
      <c r="BX115" s="242"/>
      <c r="BY115" s="242"/>
      <c r="BZ115" s="242"/>
      <c r="CA115" s="242"/>
      <c r="CB115" s="242"/>
      <c r="CC115" s="242"/>
      <c r="CD115" s="242"/>
    </row>
    <row r="116" spans="1:82" ht="12.75" hidden="1" customHeight="1">
      <c r="A116" s="242"/>
      <c r="B116" s="238"/>
      <c r="C116" s="266" t="s">
        <v>77</v>
      </c>
      <c r="D116" s="295">
        <f t="shared" si="41"/>
        <v>0</v>
      </c>
      <c r="E116" s="295">
        <f t="shared" si="42"/>
        <v>0</v>
      </c>
      <c r="F116" s="295">
        <f t="shared" si="43"/>
        <v>0</v>
      </c>
      <c r="G116" s="295">
        <f t="shared" si="44"/>
        <v>0</v>
      </c>
      <c r="H116" s="295">
        <f t="shared" si="45"/>
        <v>0</v>
      </c>
      <c r="I116" s="295">
        <f t="shared" si="46"/>
        <v>0</v>
      </c>
      <c r="J116" s="295">
        <f t="shared" si="47"/>
        <v>3</v>
      </c>
      <c r="K116" s="295">
        <f t="shared" si="48"/>
        <v>0</v>
      </c>
      <c r="L116" s="295">
        <f t="shared" si="49"/>
        <v>0</v>
      </c>
      <c r="M116" s="295">
        <f t="shared" si="50"/>
        <v>2</v>
      </c>
      <c r="N116" s="295">
        <f t="shared" si="51"/>
        <v>0.5</v>
      </c>
      <c r="O116" s="241"/>
      <c r="P116" s="242"/>
      <c r="Q116" s="242"/>
      <c r="R116" s="242"/>
      <c r="S116" s="242"/>
      <c r="T116" s="242"/>
      <c r="U116" s="242"/>
      <c r="V116" s="242"/>
      <c r="W116" s="242"/>
      <c r="X116" s="242"/>
      <c r="Y116" s="242"/>
      <c r="Z116" s="242"/>
      <c r="AA116" s="242"/>
      <c r="AB116" s="242"/>
      <c r="AC116" s="242"/>
      <c r="AD116" s="242"/>
      <c r="AE116" s="242"/>
      <c r="AF116" s="242"/>
      <c r="AG116" s="242"/>
      <c r="AH116" s="242"/>
      <c r="AI116" s="242"/>
      <c r="AJ116" s="242"/>
      <c r="AK116" s="242"/>
      <c r="AL116" s="242"/>
      <c r="AM116" s="242"/>
      <c r="AN116" s="242"/>
      <c r="AO116" s="242"/>
      <c r="AP116" s="242"/>
      <c r="AQ116" s="242"/>
      <c r="AR116" s="242"/>
      <c r="AS116" s="242"/>
      <c r="AT116" s="242"/>
      <c r="AU116" s="242"/>
      <c r="AV116" s="242"/>
      <c r="AW116" s="242"/>
      <c r="AX116" s="242"/>
      <c r="AY116" s="242"/>
      <c r="AZ116" s="242"/>
      <c r="BA116" s="242"/>
      <c r="BB116" s="242"/>
      <c r="BC116" s="242"/>
      <c r="BD116" s="242"/>
      <c r="BE116" s="242"/>
      <c r="BF116" s="242"/>
      <c r="BG116" s="242"/>
      <c r="BH116" s="242"/>
      <c r="BI116" s="242"/>
      <c r="BJ116" s="242"/>
      <c r="BK116" s="242"/>
      <c r="BL116" s="242"/>
      <c r="BM116" s="242"/>
      <c r="BN116" s="242"/>
      <c r="BO116" s="242"/>
      <c r="BP116" s="242"/>
      <c r="BQ116" s="242"/>
      <c r="BR116" s="242"/>
      <c r="BS116" s="242"/>
      <c r="BT116" s="242"/>
      <c r="BU116" s="242"/>
      <c r="BV116" s="242"/>
      <c r="BW116" s="242"/>
      <c r="BX116" s="242"/>
      <c r="BY116" s="242"/>
      <c r="BZ116" s="242"/>
      <c r="CA116" s="242"/>
      <c r="CB116" s="242"/>
      <c r="CC116" s="242"/>
      <c r="CD116" s="242"/>
    </row>
    <row r="117" spans="1:82" ht="12.75" hidden="1" customHeight="1">
      <c r="A117" s="242"/>
      <c r="B117" s="238"/>
      <c r="C117" s="266" t="s">
        <v>78</v>
      </c>
      <c r="D117" s="295">
        <f t="shared" si="41"/>
        <v>0</v>
      </c>
      <c r="E117" s="295">
        <f t="shared" si="42"/>
        <v>3</v>
      </c>
      <c r="F117" s="295">
        <f t="shared" si="43"/>
        <v>3</v>
      </c>
      <c r="G117" s="295">
        <f t="shared" si="44"/>
        <v>0</v>
      </c>
      <c r="H117" s="295">
        <f t="shared" si="45"/>
        <v>0</v>
      </c>
      <c r="I117" s="295">
        <f t="shared" si="46"/>
        <v>0</v>
      </c>
      <c r="J117" s="295">
        <f t="shared" si="47"/>
        <v>3</v>
      </c>
      <c r="K117" s="295">
        <f t="shared" si="48"/>
        <v>0</v>
      </c>
      <c r="L117" s="295">
        <f t="shared" si="49"/>
        <v>0</v>
      </c>
      <c r="M117" s="295">
        <f t="shared" si="50"/>
        <v>2</v>
      </c>
      <c r="N117" s="295">
        <f t="shared" si="51"/>
        <v>1.1000000000000001</v>
      </c>
      <c r="O117" s="241"/>
      <c r="P117" s="242"/>
      <c r="Q117" s="242"/>
      <c r="R117" s="242"/>
      <c r="S117" s="242"/>
      <c r="T117" s="242"/>
      <c r="U117" s="242"/>
      <c r="V117" s="242"/>
      <c r="W117" s="242"/>
      <c r="X117" s="242"/>
      <c r="Y117" s="242"/>
      <c r="Z117" s="242"/>
      <c r="AA117" s="242"/>
      <c r="AB117" s="242"/>
      <c r="AC117" s="242"/>
      <c r="AD117" s="242"/>
      <c r="AE117" s="242"/>
      <c r="AF117" s="242"/>
      <c r="AG117" s="242"/>
      <c r="AH117" s="242"/>
      <c r="AI117" s="242"/>
      <c r="AJ117" s="242"/>
      <c r="AK117" s="242"/>
      <c r="AL117" s="242"/>
      <c r="AM117" s="242"/>
      <c r="AN117" s="242"/>
      <c r="AO117" s="242"/>
      <c r="AP117" s="242"/>
      <c r="AQ117" s="242"/>
      <c r="AR117" s="242"/>
      <c r="AS117" s="242"/>
      <c r="AT117" s="242"/>
      <c r="AU117" s="242"/>
      <c r="AV117" s="242"/>
      <c r="AW117" s="242"/>
      <c r="AX117" s="242"/>
      <c r="AY117" s="242"/>
      <c r="AZ117" s="242"/>
      <c r="BA117" s="242"/>
      <c r="BB117" s="242"/>
      <c r="BC117" s="242"/>
      <c r="BD117" s="242"/>
      <c r="BE117" s="242"/>
      <c r="BF117" s="242"/>
      <c r="BG117" s="242"/>
      <c r="BH117" s="242"/>
      <c r="BI117" s="242"/>
      <c r="BJ117" s="242"/>
      <c r="BK117" s="242"/>
      <c r="BL117" s="242"/>
      <c r="BM117" s="242"/>
      <c r="BN117" s="242"/>
      <c r="BO117" s="242"/>
      <c r="BP117" s="242"/>
      <c r="BQ117" s="242"/>
      <c r="BR117" s="242"/>
      <c r="BS117" s="242"/>
      <c r="BT117" s="242"/>
      <c r="BU117" s="242"/>
      <c r="BV117" s="242"/>
      <c r="BW117" s="242"/>
      <c r="BX117" s="242"/>
      <c r="BY117" s="242"/>
      <c r="BZ117" s="242"/>
      <c r="CA117" s="242"/>
      <c r="CB117" s="242"/>
      <c r="CC117" s="242"/>
      <c r="CD117" s="242"/>
    </row>
    <row r="118" spans="1:82" ht="12.75" hidden="1" customHeight="1">
      <c r="A118" s="242"/>
      <c r="B118" s="238"/>
      <c r="C118" s="266" t="s">
        <v>79</v>
      </c>
      <c r="D118" s="295">
        <f t="shared" si="41"/>
        <v>0</v>
      </c>
      <c r="E118" s="295">
        <f t="shared" si="42"/>
        <v>0</v>
      </c>
      <c r="F118" s="295">
        <f t="shared" si="43"/>
        <v>0</v>
      </c>
      <c r="G118" s="295">
        <f t="shared" si="44"/>
        <v>0</v>
      </c>
      <c r="H118" s="295">
        <f t="shared" si="45"/>
        <v>0</v>
      </c>
      <c r="I118" s="295">
        <f t="shared" si="46"/>
        <v>0</v>
      </c>
      <c r="J118" s="295">
        <f t="shared" si="47"/>
        <v>3</v>
      </c>
      <c r="K118" s="295">
        <f t="shared" si="48"/>
        <v>0</v>
      </c>
      <c r="L118" s="295">
        <f t="shared" si="49"/>
        <v>0</v>
      </c>
      <c r="M118" s="295">
        <f t="shared" si="50"/>
        <v>2</v>
      </c>
      <c r="N118" s="295">
        <f t="shared" si="51"/>
        <v>0.5</v>
      </c>
      <c r="O118" s="241"/>
      <c r="P118" s="242"/>
      <c r="Q118" s="242"/>
      <c r="R118" s="242"/>
      <c r="S118" s="242"/>
      <c r="T118" s="242"/>
      <c r="U118" s="242"/>
      <c r="V118" s="242"/>
      <c r="W118" s="242"/>
      <c r="X118" s="242"/>
      <c r="Y118" s="242"/>
      <c r="Z118" s="242"/>
      <c r="AA118" s="242"/>
      <c r="AB118" s="242"/>
      <c r="AC118" s="242"/>
      <c r="AD118" s="242"/>
      <c r="AE118" s="242"/>
      <c r="AF118" s="242"/>
      <c r="AG118" s="242"/>
      <c r="AH118" s="242"/>
      <c r="AI118" s="242"/>
      <c r="AJ118" s="242"/>
      <c r="AK118" s="242"/>
      <c r="AL118" s="242"/>
      <c r="AM118" s="242"/>
      <c r="AN118" s="242"/>
      <c r="AO118" s="242"/>
      <c r="AP118" s="242"/>
      <c r="AQ118" s="242"/>
      <c r="AR118" s="242"/>
      <c r="AS118" s="242"/>
      <c r="AT118" s="242"/>
      <c r="AU118" s="242"/>
      <c r="AV118" s="242"/>
      <c r="AW118" s="242"/>
      <c r="AX118" s="242"/>
      <c r="AY118" s="242"/>
      <c r="AZ118" s="242"/>
      <c r="BA118" s="242"/>
      <c r="BB118" s="242"/>
      <c r="BC118" s="242"/>
      <c r="BD118" s="242"/>
      <c r="BE118" s="242"/>
      <c r="BF118" s="242"/>
      <c r="BG118" s="242"/>
      <c r="BH118" s="242"/>
      <c r="BI118" s="242"/>
      <c r="BJ118" s="242"/>
      <c r="BK118" s="242"/>
      <c r="BL118" s="242"/>
      <c r="BM118" s="242"/>
      <c r="BN118" s="242"/>
      <c r="BO118" s="242"/>
      <c r="BP118" s="242"/>
      <c r="BQ118" s="242"/>
      <c r="BR118" s="242"/>
      <c r="BS118" s="242"/>
      <c r="BT118" s="242"/>
      <c r="BU118" s="242"/>
      <c r="BV118" s="242"/>
      <c r="BW118" s="242"/>
      <c r="BX118" s="242"/>
      <c r="BY118" s="242"/>
      <c r="BZ118" s="242"/>
      <c r="CA118" s="242"/>
      <c r="CB118" s="242"/>
      <c r="CC118" s="242"/>
      <c r="CD118" s="242"/>
    </row>
    <row r="119" spans="1:82" ht="12.75" hidden="1" customHeight="1">
      <c r="A119" s="242"/>
      <c r="B119" s="238"/>
      <c r="C119" s="266" t="s">
        <v>81</v>
      </c>
      <c r="D119" s="295">
        <f t="shared" si="41"/>
        <v>0</v>
      </c>
      <c r="E119" s="295">
        <f t="shared" si="42"/>
        <v>0</v>
      </c>
      <c r="F119" s="295">
        <f t="shared" si="43"/>
        <v>0</v>
      </c>
      <c r="G119" s="295">
        <f t="shared" si="44"/>
        <v>0</v>
      </c>
      <c r="H119" s="295">
        <f t="shared" si="45"/>
        <v>0</v>
      </c>
      <c r="I119" s="295">
        <f t="shared" si="46"/>
        <v>0</v>
      </c>
      <c r="J119" s="295">
        <f t="shared" si="47"/>
        <v>3</v>
      </c>
      <c r="K119" s="295">
        <f t="shared" si="48"/>
        <v>3</v>
      </c>
      <c r="L119" s="295">
        <f t="shared" si="49"/>
        <v>0</v>
      </c>
      <c r="M119" s="295">
        <f t="shared" si="50"/>
        <v>2</v>
      </c>
      <c r="N119" s="295">
        <f t="shared" si="51"/>
        <v>0.8</v>
      </c>
      <c r="O119" s="241"/>
      <c r="P119" s="242"/>
      <c r="Q119" s="242"/>
      <c r="R119" s="242"/>
      <c r="S119" s="242"/>
      <c r="T119" s="242"/>
      <c r="U119" s="242"/>
      <c r="V119" s="242"/>
      <c r="W119" s="242"/>
      <c r="X119" s="242"/>
      <c r="Y119" s="242"/>
      <c r="Z119" s="242"/>
      <c r="AA119" s="242"/>
      <c r="AB119" s="242"/>
      <c r="AC119" s="242"/>
      <c r="AD119" s="242"/>
      <c r="AE119" s="242"/>
      <c r="AF119" s="242"/>
      <c r="AG119" s="242"/>
      <c r="AH119" s="242"/>
      <c r="AI119" s="242"/>
      <c r="AJ119" s="242"/>
      <c r="AK119" s="242"/>
      <c r="AL119" s="242"/>
      <c r="AM119" s="242"/>
      <c r="AN119" s="242"/>
      <c r="AO119" s="242"/>
      <c r="AP119" s="242"/>
      <c r="AQ119" s="242"/>
      <c r="AR119" s="242"/>
      <c r="AS119" s="242"/>
      <c r="AT119" s="242"/>
      <c r="AU119" s="242"/>
      <c r="AV119" s="242"/>
      <c r="AW119" s="242"/>
      <c r="AX119" s="242"/>
      <c r="AY119" s="242"/>
      <c r="AZ119" s="242"/>
      <c r="BA119" s="242"/>
      <c r="BB119" s="242"/>
      <c r="BC119" s="242"/>
      <c r="BD119" s="242"/>
      <c r="BE119" s="242"/>
      <c r="BF119" s="242"/>
      <c r="BG119" s="242"/>
      <c r="BH119" s="242"/>
      <c r="BI119" s="242"/>
      <c r="BJ119" s="242"/>
      <c r="BK119" s="242"/>
      <c r="BL119" s="242"/>
      <c r="BM119" s="242"/>
      <c r="BN119" s="242"/>
      <c r="BO119" s="242"/>
      <c r="BP119" s="242"/>
      <c r="BQ119" s="242"/>
      <c r="BR119" s="242"/>
      <c r="BS119" s="242"/>
      <c r="BT119" s="242"/>
      <c r="BU119" s="242"/>
      <c r="BV119" s="242"/>
      <c r="BW119" s="242"/>
      <c r="BX119" s="242"/>
      <c r="BY119" s="242"/>
      <c r="BZ119" s="242"/>
      <c r="CA119" s="242"/>
      <c r="CB119" s="242"/>
      <c r="CC119" s="242"/>
      <c r="CD119" s="242"/>
    </row>
    <row r="120" spans="1:82" ht="12.75" hidden="1" customHeight="1">
      <c r="A120" s="242"/>
      <c r="B120" s="238"/>
      <c r="C120" s="266" t="s">
        <v>82</v>
      </c>
      <c r="D120" s="295">
        <f t="shared" si="41"/>
        <v>0</v>
      </c>
      <c r="E120" s="295">
        <f t="shared" si="42"/>
        <v>0</v>
      </c>
      <c r="F120" s="295">
        <f t="shared" si="43"/>
        <v>0</v>
      </c>
      <c r="G120" s="295">
        <f t="shared" si="44"/>
        <v>0</v>
      </c>
      <c r="H120" s="295">
        <f t="shared" si="45"/>
        <v>3</v>
      </c>
      <c r="I120" s="295">
        <f t="shared" si="46"/>
        <v>0</v>
      </c>
      <c r="J120" s="295">
        <f t="shared" si="47"/>
        <v>0</v>
      </c>
      <c r="K120" s="295">
        <f t="shared" si="48"/>
        <v>0</v>
      </c>
      <c r="L120" s="295">
        <f t="shared" si="49"/>
        <v>0</v>
      </c>
      <c r="M120" s="295">
        <f t="shared" si="50"/>
        <v>2</v>
      </c>
      <c r="N120" s="295">
        <f t="shared" si="51"/>
        <v>0.5</v>
      </c>
      <c r="O120" s="241"/>
      <c r="P120" s="242"/>
      <c r="Q120" s="242"/>
      <c r="R120" s="242"/>
      <c r="S120" s="242"/>
      <c r="T120" s="242"/>
      <c r="U120" s="242"/>
      <c r="V120" s="242"/>
      <c r="W120" s="242"/>
      <c r="X120" s="242"/>
      <c r="Y120" s="242"/>
      <c r="Z120" s="242"/>
      <c r="AA120" s="242"/>
      <c r="AB120" s="242"/>
      <c r="AC120" s="242"/>
      <c r="AD120" s="242"/>
      <c r="AE120" s="242"/>
      <c r="AF120" s="242"/>
      <c r="AG120" s="242"/>
      <c r="AH120" s="242"/>
      <c r="AI120" s="242"/>
      <c r="AJ120" s="242"/>
      <c r="AK120" s="242"/>
      <c r="AL120" s="242"/>
      <c r="AM120" s="242"/>
      <c r="AN120" s="242"/>
      <c r="AO120" s="242"/>
      <c r="AP120" s="242"/>
      <c r="AQ120" s="242"/>
      <c r="AR120" s="242"/>
      <c r="AS120" s="242"/>
      <c r="AT120" s="242"/>
      <c r="AU120" s="242"/>
      <c r="AV120" s="242"/>
      <c r="AW120" s="242"/>
      <c r="AX120" s="242"/>
      <c r="AY120" s="242"/>
      <c r="AZ120" s="242"/>
      <c r="BA120" s="242"/>
      <c r="BB120" s="242"/>
      <c r="BC120" s="242"/>
      <c r="BD120" s="242"/>
      <c r="BE120" s="242"/>
      <c r="BF120" s="242"/>
      <c r="BG120" s="242"/>
      <c r="BH120" s="242"/>
      <c r="BI120" s="242"/>
      <c r="BJ120" s="242"/>
      <c r="BK120" s="242"/>
      <c r="BL120" s="242"/>
      <c r="BM120" s="242"/>
      <c r="BN120" s="242"/>
      <c r="BO120" s="242"/>
      <c r="BP120" s="242"/>
      <c r="BQ120" s="242"/>
      <c r="BR120" s="242"/>
      <c r="BS120" s="242"/>
      <c r="BT120" s="242"/>
      <c r="BU120" s="242"/>
      <c r="BV120" s="242"/>
      <c r="BW120" s="242"/>
      <c r="BX120" s="242"/>
      <c r="BY120" s="242"/>
      <c r="BZ120" s="242"/>
      <c r="CA120" s="242"/>
      <c r="CB120" s="242"/>
      <c r="CC120" s="242"/>
      <c r="CD120" s="242"/>
    </row>
    <row r="121" spans="1:82" ht="12.75" hidden="1" customHeight="1">
      <c r="A121" s="242"/>
      <c r="B121" s="238"/>
      <c r="C121" s="266" t="s">
        <v>83</v>
      </c>
      <c r="D121" s="255" t="s">
        <v>19</v>
      </c>
      <c r="E121" s="255" t="s">
        <v>19</v>
      </c>
      <c r="F121" s="255" t="s">
        <v>19</v>
      </c>
      <c r="G121" s="255" t="s">
        <v>19</v>
      </c>
      <c r="H121" s="255" t="s">
        <v>19</v>
      </c>
      <c r="I121" s="255" t="s">
        <v>19</v>
      </c>
      <c r="J121" s="255" t="s">
        <v>19</v>
      </c>
      <c r="K121" s="255" t="s">
        <v>19</v>
      </c>
      <c r="L121" s="295">
        <f t="shared" si="49"/>
        <v>3</v>
      </c>
      <c r="M121" s="295">
        <f t="shared" si="50"/>
        <v>2</v>
      </c>
      <c r="N121" s="255" t="s">
        <v>19</v>
      </c>
      <c r="O121" s="241"/>
      <c r="P121" s="242"/>
      <c r="Q121" s="242"/>
      <c r="R121" s="242"/>
      <c r="S121" s="242"/>
      <c r="T121" s="242"/>
      <c r="U121" s="242"/>
      <c r="V121" s="242"/>
      <c r="W121" s="242"/>
      <c r="X121" s="242"/>
      <c r="Y121" s="242"/>
      <c r="Z121" s="242"/>
      <c r="AA121" s="242"/>
      <c r="AB121" s="242"/>
      <c r="AC121" s="242"/>
      <c r="AD121" s="242"/>
      <c r="AE121" s="242"/>
      <c r="AF121" s="242"/>
      <c r="AG121" s="242"/>
      <c r="AH121" s="242"/>
      <c r="AI121" s="242"/>
      <c r="AJ121" s="242"/>
      <c r="AK121" s="242"/>
      <c r="AL121" s="242"/>
      <c r="AM121" s="242"/>
      <c r="AN121" s="242"/>
      <c r="AO121" s="242"/>
      <c r="AP121" s="242"/>
      <c r="AQ121" s="242"/>
      <c r="AR121" s="242"/>
      <c r="AS121" s="242"/>
      <c r="AT121" s="242"/>
      <c r="AU121" s="242"/>
      <c r="AV121" s="242"/>
      <c r="AW121" s="242"/>
      <c r="AX121" s="242"/>
      <c r="AY121" s="242"/>
      <c r="AZ121" s="242"/>
      <c r="BA121" s="242"/>
      <c r="BB121" s="242"/>
      <c r="BC121" s="242"/>
      <c r="BD121" s="242"/>
      <c r="BE121" s="242"/>
      <c r="BF121" s="242"/>
      <c r="BG121" s="242"/>
      <c r="BH121" s="242"/>
      <c r="BI121" s="242"/>
      <c r="BJ121" s="242"/>
      <c r="BK121" s="242"/>
      <c r="BL121" s="242"/>
      <c r="BM121" s="242"/>
      <c r="BN121" s="242"/>
      <c r="BO121" s="242"/>
      <c r="BP121" s="242"/>
      <c r="BQ121" s="242"/>
      <c r="BR121" s="242"/>
      <c r="BS121" s="242"/>
      <c r="BT121" s="242"/>
      <c r="BU121" s="242"/>
      <c r="BV121" s="242"/>
      <c r="BW121" s="242"/>
      <c r="BX121" s="242"/>
      <c r="BY121" s="242"/>
      <c r="BZ121" s="242"/>
      <c r="CA121" s="242"/>
      <c r="CB121" s="242"/>
      <c r="CC121" s="242"/>
      <c r="CD121" s="242"/>
    </row>
    <row r="122" spans="1:82" ht="12.75" hidden="1" customHeight="1">
      <c r="A122" s="242"/>
      <c r="B122" s="238"/>
      <c r="C122" s="266" t="s">
        <v>84</v>
      </c>
      <c r="D122" s="295">
        <f>IF(D84/N84&lt;$AN$267,0,IF(D84/N84&lt;$AM$267,1,IF(D84/N84&lt;$AL$267,2,3)))</f>
        <v>0</v>
      </c>
      <c r="E122" s="295">
        <f>IF(E84/N84&lt;$AN$268,0,IF(E84/N84&lt;$AM$268,1,IF(E84/N84&lt;$AL$268,2,3)))</f>
        <v>0</v>
      </c>
      <c r="F122" s="295">
        <f>IF(F84/N84&lt;$AN$269,0,IF(F84/N84&lt;$AM$269,1,IF(F84/N84&lt;$AL$269,2,3)))</f>
        <v>0</v>
      </c>
      <c r="G122" s="295">
        <f>IF(G84/N84&lt;$AN$270,0,IF(G84/N84&lt;$AM$270,1,IF(G84/N84&lt;$AL$270,2,3)))</f>
        <v>0</v>
      </c>
      <c r="H122" s="295">
        <f>IF(H84/N84&lt;$AN$271,0,IF(H84/N84&lt;$AM$271,1,IF(H84/N84&lt;$AL$271,2,3)))</f>
        <v>3</v>
      </c>
      <c r="I122" s="295">
        <f>IF(I84/N84&lt;$AN$272,0,IF(I84/N84&lt;$AM$272,1,IF(I84/N84&lt;$AL$272,2,3)))</f>
        <v>0</v>
      </c>
      <c r="J122" s="295">
        <f>IF(J84/N84&lt;$AN$273,0,IF(J84/N84&lt;$AM$273,1,IF(J84/N84&lt;$AL$273,2,3)))</f>
        <v>0</v>
      </c>
      <c r="K122" s="295">
        <f>IF(K84/N84&lt;$AN$274,0,IF(K84/N84&lt;$AM$274,1,IF(K84/N84&lt;$AL$274,2,3)))</f>
        <v>0</v>
      </c>
      <c r="L122" s="295">
        <f t="shared" si="49"/>
        <v>0</v>
      </c>
      <c r="M122" s="295">
        <f t="shared" si="50"/>
        <v>2</v>
      </c>
      <c r="N122" s="295">
        <f>AVERAGE(D122:M122)</f>
        <v>0.5</v>
      </c>
      <c r="O122" s="241"/>
      <c r="P122" s="242"/>
      <c r="Q122" s="242"/>
      <c r="R122" s="242"/>
      <c r="S122" s="242"/>
      <c r="T122" s="242"/>
      <c r="U122" s="242"/>
      <c r="V122" s="242"/>
      <c r="W122" s="242"/>
      <c r="X122" s="242"/>
      <c r="Y122" s="242"/>
      <c r="Z122" s="242"/>
      <c r="AA122" s="242"/>
      <c r="AB122" s="242"/>
      <c r="AC122" s="242"/>
      <c r="AD122" s="242"/>
      <c r="AE122" s="242"/>
      <c r="AF122" s="242"/>
      <c r="AG122" s="242"/>
      <c r="AH122" s="242"/>
      <c r="AI122" s="242"/>
      <c r="AJ122" s="242"/>
      <c r="AK122" s="242"/>
      <c r="AL122" s="242"/>
      <c r="AM122" s="242"/>
      <c r="AN122" s="242"/>
      <c r="AO122" s="242"/>
      <c r="AP122" s="242"/>
      <c r="AQ122" s="242"/>
      <c r="AR122" s="242"/>
      <c r="AS122" s="242"/>
      <c r="AT122" s="242"/>
      <c r="AU122" s="242"/>
      <c r="AV122" s="242"/>
      <c r="AW122" s="242"/>
      <c r="AX122" s="242"/>
      <c r="AY122" s="242"/>
      <c r="AZ122" s="242"/>
      <c r="BA122" s="242"/>
      <c r="BB122" s="242"/>
      <c r="BC122" s="242"/>
      <c r="BD122" s="242"/>
      <c r="BE122" s="242"/>
      <c r="BF122" s="242"/>
      <c r="BG122" s="242"/>
      <c r="BH122" s="242"/>
      <c r="BI122" s="242"/>
      <c r="BJ122" s="242"/>
      <c r="BK122" s="242"/>
      <c r="BL122" s="242"/>
      <c r="BM122" s="242"/>
      <c r="BN122" s="242"/>
      <c r="BO122" s="242"/>
      <c r="BP122" s="242"/>
      <c r="BQ122" s="242"/>
      <c r="BR122" s="242"/>
      <c r="BS122" s="242"/>
      <c r="BT122" s="242"/>
      <c r="BU122" s="242"/>
      <c r="BV122" s="242"/>
      <c r="BW122" s="242"/>
      <c r="BX122" s="242"/>
      <c r="BY122" s="242"/>
      <c r="BZ122" s="242"/>
      <c r="CA122" s="242"/>
      <c r="CB122" s="242"/>
      <c r="CC122" s="242"/>
      <c r="CD122" s="242"/>
    </row>
    <row r="123" spans="1:82" ht="12.75" hidden="1" customHeight="1">
      <c r="A123" s="242"/>
      <c r="B123" s="238"/>
      <c r="C123" s="266" t="s">
        <v>85</v>
      </c>
      <c r="D123" s="255" t="s">
        <v>19</v>
      </c>
      <c r="E123" s="255" t="s">
        <v>19</v>
      </c>
      <c r="F123" s="255" t="s">
        <v>19</v>
      </c>
      <c r="G123" s="255" t="s">
        <v>19</v>
      </c>
      <c r="H123" s="255" t="s">
        <v>19</v>
      </c>
      <c r="I123" s="255" t="s">
        <v>19</v>
      </c>
      <c r="J123" s="255" t="s">
        <v>19</v>
      </c>
      <c r="K123" s="255" t="s">
        <v>19</v>
      </c>
      <c r="L123" s="295">
        <f t="shared" si="49"/>
        <v>3</v>
      </c>
      <c r="M123" s="295">
        <f t="shared" si="50"/>
        <v>2</v>
      </c>
      <c r="N123" s="255" t="s">
        <v>19</v>
      </c>
      <c r="O123" s="241"/>
      <c r="P123" s="242"/>
      <c r="Q123" s="242"/>
      <c r="R123" s="242"/>
      <c r="S123" s="242"/>
      <c r="T123" s="242"/>
      <c r="U123" s="242"/>
      <c r="V123" s="242"/>
      <c r="W123" s="242"/>
      <c r="X123" s="242"/>
      <c r="Y123" s="242"/>
      <c r="Z123" s="242"/>
      <c r="AA123" s="242"/>
      <c r="AB123" s="242"/>
      <c r="AC123" s="242"/>
      <c r="AD123" s="242"/>
      <c r="AE123" s="242"/>
      <c r="AF123" s="242"/>
      <c r="AG123" s="242"/>
      <c r="AH123" s="242"/>
      <c r="AI123" s="242"/>
      <c r="AJ123" s="242"/>
      <c r="AK123" s="242"/>
      <c r="AL123" s="242"/>
      <c r="AM123" s="242"/>
      <c r="AN123" s="242"/>
      <c r="AO123" s="242"/>
      <c r="AP123" s="242"/>
      <c r="AQ123" s="242"/>
      <c r="AR123" s="242"/>
      <c r="AS123" s="242"/>
      <c r="AT123" s="242"/>
      <c r="AU123" s="242"/>
      <c r="AV123" s="242"/>
      <c r="AW123" s="242"/>
      <c r="AX123" s="242"/>
      <c r="AY123" s="242"/>
      <c r="AZ123" s="242"/>
      <c r="BA123" s="242"/>
      <c r="BB123" s="242"/>
      <c r="BC123" s="242"/>
      <c r="BD123" s="242"/>
      <c r="BE123" s="242"/>
      <c r="BF123" s="242"/>
      <c r="BG123" s="242"/>
      <c r="BH123" s="242"/>
      <c r="BI123" s="242"/>
      <c r="BJ123" s="242"/>
      <c r="BK123" s="242"/>
      <c r="BL123" s="242"/>
      <c r="BM123" s="242"/>
      <c r="BN123" s="242"/>
      <c r="BO123" s="242"/>
      <c r="BP123" s="242"/>
      <c r="BQ123" s="242"/>
      <c r="BR123" s="242"/>
      <c r="BS123" s="242"/>
      <c r="BT123" s="242"/>
      <c r="BU123" s="242"/>
      <c r="BV123" s="242"/>
      <c r="BW123" s="242"/>
      <c r="BX123" s="242"/>
      <c r="BY123" s="242"/>
      <c r="BZ123" s="242"/>
      <c r="CA123" s="242"/>
      <c r="CB123" s="242"/>
      <c r="CC123" s="242"/>
      <c r="CD123" s="242"/>
    </row>
    <row r="124" spans="1:82" ht="12.75" hidden="1" customHeight="1">
      <c r="A124" s="242"/>
      <c r="B124" s="238"/>
      <c r="C124" s="266" t="s">
        <v>86</v>
      </c>
      <c r="D124" s="295">
        <f t="shared" ref="D124:D130" si="52">IF(D86/N86&lt;$AN$267,0,IF(D86/N86&lt;$AM$267,1,IF(D86/N86&lt;$AL$267,2,3)))</f>
        <v>0</v>
      </c>
      <c r="E124" s="295">
        <f t="shared" ref="E124:E130" si="53">IF(E86/N86&lt;$AN$268,0,IF(E86/N86&lt;$AM$268,1,IF(E86/N86&lt;$AL$268,2,3)))</f>
        <v>0</v>
      </c>
      <c r="F124" s="295">
        <f t="shared" ref="F124:F130" si="54">IF(F86/N86&lt;$AN$269,0,IF(F86/N86&lt;$AM$269,1,IF(F86/N86&lt;$AL$269,2,3)))</f>
        <v>0</v>
      </c>
      <c r="G124" s="295">
        <f t="shared" ref="G124:G130" si="55">IF(G86/N86&lt;$AN$270,0,IF(G86/N86&lt;$AM$270,1,IF(G86/N86&lt;$AL$270,2,3)))</f>
        <v>0</v>
      </c>
      <c r="H124" s="295">
        <f t="shared" ref="H124:H130" si="56">IF(H86/N86&lt;$AN$271,0,IF(H86/N86&lt;$AM$271,1,IF(H86/N86&lt;$AL$271,2,3)))</f>
        <v>0</v>
      </c>
      <c r="I124" s="295">
        <f t="shared" ref="I124:I130" si="57">IF(I86/N86&lt;$AN$272,0,IF(I86/N86&lt;$AM$272,1,IF(I86/N86&lt;$AL$272,2,3)))</f>
        <v>0</v>
      </c>
      <c r="J124" s="295">
        <f t="shared" ref="J124:J130" si="58">IF(J86/N86&lt;$AN$273,0,IF(J86/N86&lt;$AM$273,1,IF(J86/N86&lt;$AL$273,2,3)))</f>
        <v>0</v>
      </c>
      <c r="K124" s="295">
        <f t="shared" ref="K124:K130" si="59">IF(K86/N86&lt;$AN$274,0,IF(K86/N86&lt;$AM$274,1,IF(K86/N86&lt;$AL$274,2,3)))</f>
        <v>0</v>
      </c>
      <c r="L124" s="295">
        <f t="shared" si="49"/>
        <v>0</v>
      </c>
      <c r="M124" s="295">
        <f t="shared" si="50"/>
        <v>2</v>
      </c>
      <c r="N124" s="295">
        <f t="shared" ref="N124:N130" si="60">AVERAGE(D124:M124)</f>
        <v>0.2</v>
      </c>
      <c r="O124" s="241"/>
      <c r="P124" s="242"/>
      <c r="Q124" s="242"/>
      <c r="R124" s="242"/>
      <c r="S124" s="242"/>
      <c r="T124" s="242"/>
      <c r="U124" s="242"/>
      <c r="V124" s="242"/>
      <c r="W124" s="242"/>
      <c r="X124" s="242"/>
      <c r="Y124" s="242"/>
      <c r="Z124" s="242"/>
      <c r="AA124" s="242"/>
      <c r="AB124" s="242"/>
      <c r="AC124" s="242"/>
      <c r="AD124" s="242"/>
      <c r="AE124" s="242"/>
      <c r="AF124" s="242"/>
      <c r="AG124" s="242"/>
      <c r="AH124" s="242"/>
      <c r="AI124" s="242"/>
      <c r="AJ124" s="242"/>
      <c r="AK124" s="242"/>
      <c r="AL124" s="242"/>
      <c r="AM124" s="242"/>
      <c r="AN124" s="242"/>
      <c r="AO124" s="242"/>
      <c r="AP124" s="242"/>
      <c r="AQ124" s="242"/>
      <c r="AR124" s="242"/>
      <c r="AS124" s="242"/>
      <c r="AT124" s="242"/>
      <c r="AU124" s="242"/>
      <c r="AV124" s="242"/>
      <c r="AW124" s="242"/>
      <c r="AX124" s="242"/>
      <c r="AY124" s="242"/>
      <c r="AZ124" s="242"/>
      <c r="BA124" s="242"/>
      <c r="BB124" s="242"/>
      <c r="BC124" s="242"/>
      <c r="BD124" s="242"/>
      <c r="BE124" s="242"/>
      <c r="BF124" s="242"/>
      <c r="BG124" s="242"/>
      <c r="BH124" s="242"/>
      <c r="BI124" s="242"/>
      <c r="BJ124" s="242"/>
      <c r="BK124" s="242"/>
      <c r="BL124" s="242"/>
      <c r="BM124" s="242"/>
      <c r="BN124" s="242"/>
      <c r="BO124" s="242"/>
      <c r="BP124" s="242"/>
      <c r="BQ124" s="242"/>
      <c r="BR124" s="242"/>
      <c r="BS124" s="242"/>
      <c r="BT124" s="242"/>
      <c r="BU124" s="242"/>
      <c r="BV124" s="242"/>
      <c r="BW124" s="242"/>
      <c r="BX124" s="242"/>
      <c r="BY124" s="242"/>
      <c r="BZ124" s="242"/>
      <c r="CA124" s="242"/>
      <c r="CB124" s="242"/>
      <c r="CC124" s="242"/>
      <c r="CD124" s="242"/>
    </row>
    <row r="125" spans="1:82" ht="12.75" hidden="1" customHeight="1">
      <c r="A125" s="290"/>
      <c r="B125" s="291"/>
      <c r="C125" s="266" t="s">
        <v>87</v>
      </c>
      <c r="D125" s="295">
        <f t="shared" si="52"/>
        <v>0</v>
      </c>
      <c r="E125" s="295">
        <f t="shared" si="53"/>
        <v>0</v>
      </c>
      <c r="F125" s="295">
        <f t="shared" si="54"/>
        <v>0</v>
      </c>
      <c r="G125" s="295">
        <f t="shared" si="55"/>
        <v>3</v>
      </c>
      <c r="H125" s="295">
        <f t="shared" si="56"/>
        <v>3</v>
      </c>
      <c r="I125" s="295">
        <f t="shared" si="57"/>
        <v>0</v>
      </c>
      <c r="J125" s="295">
        <f t="shared" si="58"/>
        <v>3</v>
      </c>
      <c r="K125" s="295">
        <f t="shared" si="59"/>
        <v>0</v>
      </c>
      <c r="L125" s="295">
        <f t="shared" si="49"/>
        <v>3</v>
      </c>
      <c r="M125" s="295">
        <f t="shared" si="50"/>
        <v>2</v>
      </c>
      <c r="N125" s="295">
        <f t="shared" si="60"/>
        <v>1.4</v>
      </c>
      <c r="O125" s="241"/>
      <c r="P125" s="242"/>
      <c r="Q125" s="242"/>
      <c r="R125" s="242"/>
      <c r="S125" s="242"/>
      <c r="T125" s="242"/>
      <c r="U125" s="242"/>
      <c r="V125" s="242"/>
      <c r="W125" s="242"/>
      <c r="X125" s="242"/>
      <c r="Y125" s="242"/>
      <c r="Z125" s="242"/>
      <c r="AA125" s="242"/>
      <c r="AB125" s="242"/>
      <c r="AC125" s="242"/>
      <c r="AD125" s="242"/>
      <c r="AE125" s="242"/>
      <c r="AF125" s="242"/>
      <c r="AG125" s="242"/>
      <c r="AH125" s="242"/>
      <c r="AI125" s="242"/>
      <c r="AJ125" s="242"/>
      <c r="AK125" s="242"/>
      <c r="AL125" s="242"/>
      <c r="AM125" s="242"/>
      <c r="AN125" s="242"/>
      <c r="AO125" s="242"/>
      <c r="AP125" s="242"/>
      <c r="AQ125" s="242"/>
      <c r="AR125" s="242"/>
      <c r="AS125" s="242"/>
      <c r="AT125" s="242"/>
      <c r="AU125" s="242"/>
      <c r="AV125" s="242"/>
      <c r="AW125" s="242"/>
      <c r="AX125" s="242"/>
      <c r="AY125" s="242"/>
      <c r="AZ125" s="242"/>
      <c r="BA125" s="242"/>
      <c r="BB125" s="242"/>
      <c r="BC125" s="242"/>
      <c r="BD125" s="242"/>
      <c r="BE125" s="242"/>
      <c r="BF125" s="242"/>
      <c r="BG125" s="242"/>
      <c r="BH125" s="242"/>
      <c r="BI125" s="242"/>
      <c r="BJ125" s="242"/>
      <c r="BK125" s="242"/>
      <c r="BL125" s="242"/>
      <c r="BM125" s="242"/>
      <c r="BN125" s="242"/>
      <c r="BO125" s="242"/>
      <c r="BP125" s="242"/>
      <c r="BQ125" s="242"/>
      <c r="BR125" s="242"/>
      <c r="BS125" s="242"/>
      <c r="BT125" s="242"/>
      <c r="BU125" s="242"/>
      <c r="BV125" s="242"/>
      <c r="BW125" s="242"/>
      <c r="BX125" s="242"/>
      <c r="BY125" s="242"/>
      <c r="BZ125" s="242"/>
      <c r="CA125" s="242"/>
      <c r="CB125" s="242"/>
      <c r="CC125" s="242"/>
      <c r="CD125" s="242"/>
    </row>
    <row r="126" spans="1:82" ht="12.75" hidden="1" customHeight="1">
      <c r="A126" s="290"/>
      <c r="B126" s="291"/>
      <c r="C126" s="266" t="s">
        <v>88</v>
      </c>
      <c r="D126" s="295">
        <f t="shared" si="52"/>
        <v>3</v>
      </c>
      <c r="E126" s="295">
        <f t="shared" si="53"/>
        <v>3</v>
      </c>
      <c r="F126" s="295">
        <f t="shared" si="54"/>
        <v>2</v>
      </c>
      <c r="G126" s="295">
        <f t="shared" si="55"/>
        <v>3</v>
      </c>
      <c r="H126" s="295">
        <f t="shared" si="56"/>
        <v>3</v>
      </c>
      <c r="I126" s="295">
        <f t="shared" si="57"/>
        <v>0</v>
      </c>
      <c r="J126" s="295">
        <f t="shared" si="58"/>
        <v>3</v>
      </c>
      <c r="K126" s="295">
        <f t="shared" si="59"/>
        <v>2</v>
      </c>
      <c r="L126" s="295">
        <f t="shared" si="49"/>
        <v>3</v>
      </c>
      <c r="M126" s="295">
        <f t="shared" si="50"/>
        <v>2</v>
      </c>
      <c r="N126" s="295">
        <f t="shared" si="60"/>
        <v>2.4</v>
      </c>
      <c r="O126" s="241"/>
      <c r="P126" s="242"/>
      <c r="Q126" s="242"/>
      <c r="R126" s="242"/>
      <c r="S126" s="242"/>
      <c r="T126" s="242"/>
      <c r="U126" s="242"/>
      <c r="V126" s="242"/>
      <c r="W126" s="242"/>
      <c r="X126" s="242"/>
      <c r="Y126" s="242"/>
      <c r="Z126" s="242"/>
      <c r="AA126" s="242"/>
      <c r="AB126" s="242"/>
      <c r="AC126" s="242"/>
      <c r="AD126" s="242"/>
      <c r="AE126" s="242"/>
      <c r="AF126" s="242"/>
      <c r="AG126" s="242"/>
      <c r="AH126" s="242"/>
      <c r="AI126" s="242"/>
      <c r="AJ126" s="242"/>
      <c r="AK126" s="242"/>
      <c r="AL126" s="242"/>
      <c r="AM126" s="242"/>
      <c r="AN126" s="242"/>
      <c r="AO126" s="242"/>
      <c r="AP126" s="242"/>
      <c r="AQ126" s="242"/>
      <c r="AR126" s="242"/>
      <c r="AS126" s="242"/>
      <c r="AT126" s="242"/>
      <c r="AU126" s="242"/>
      <c r="AV126" s="242"/>
      <c r="AW126" s="242"/>
      <c r="AX126" s="242"/>
      <c r="AY126" s="242"/>
      <c r="AZ126" s="242"/>
      <c r="BA126" s="242"/>
      <c r="BB126" s="242"/>
      <c r="BC126" s="242"/>
      <c r="BD126" s="242"/>
      <c r="BE126" s="242"/>
      <c r="BF126" s="242"/>
      <c r="BG126" s="242"/>
      <c r="BH126" s="242"/>
      <c r="BI126" s="242"/>
      <c r="BJ126" s="242"/>
      <c r="BK126" s="242"/>
      <c r="BL126" s="242"/>
      <c r="BM126" s="242"/>
      <c r="BN126" s="242"/>
      <c r="BO126" s="242"/>
      <c r="BP126" s="242"/>
      <c r="BQ126" s="242"/>
      <c r="BR126" s="242"/>
      <c r="BS126" s="242"/>
      <c r="BT126" s="242"/>
      <c r="BU126" s="242"/>
      <c r="BV126" s="242"/>
      <c r="BW126" s="242"/>
      <c r="BX126" s="242"/>
      <c r="BY126" s="242"/>
      <c r="BZ126" s="242"/>
      <c r="CA126" s="242"/>
      <c r="CB126" s="242"/>
      <c r="CC126" s="242"/>
      <c r="CD126" s="242"/>
    </row>
    <row r="127" spans="1:82" ht="12.75" hidden="1" customHeight="1">
      <c r="A127" s="290"/>
      <c r="B127" s="291"/>
      <c r="C127" s="261" t="s">
        <v>89</v>
      </c>
      <c r="D127" s="295">
        <f t="shared" si="52"/>
        <v>3</v>
      </c>
      <c r="E127" s="295">
        <f t="shared" si="53"/>
        <v>3</v>
      </c>
      <c r="F127" s="295">
        <f t="shared" si="54"/>
        <v>2</v>
      </c>
      <c r="G127" s="295">
        <f t="shared" si="55"/>
        <v>3</v>
      </c>
      <c r="H127" s="295">
        <f t="shared" si="56"/>
        <v>3</v>
      </c>
      <c r="I127" s="295">
        <f t="shared" si="57"/>
        <v>0</v>
      </c>
      <c r="J127" s="295">
        <f t="shared" si="58"/>
        <v>3</v>
      </c>
      <c r="K127" s="295">
        <f t="shared" si="59"/>
        <v>2</v>
      </c>
      <c r="L127" s="295">
        <f t="shared" si="49"/>
        <v>3</v>
      </c>
      <c r="M127" s="295">
        <f t="shared" si="50"/>
        <v>2</v>
      </c>
      <c r="N127" s="295">
        <f t="shared" si="60"/>
        <v>2.4</v>
      </c>
      <c r="O127" s="241"/>
      <c r="P127" s="242"/>
      <c r="Q127" s="242"/>
      <c r="R127" s="242"/>
      <c r="S127" s="242"/>
      <c r="T127" s="242"/>
      <c r="U127" s="242"/>
      <c r="V127" s="242"/>
      <c r="W127" s="242"/>
      <c r="X127" s="242"/>
      <c r="Y127" s="242"/>
      <c r="Z127" s="242"/>
      <c r="AA127" s="242"/>
      <c r="AB127" s="242"/>
      <c r="AC127" s="242"/>
      <c r="AD127" s="242"/>
      <c r="AE127" s="242"/>
      <c r="AF127" s="242"/>
      <c r="AG127" s="242"/>
      <c r="AH127" s="242"/>
      <c r="AI127" s="242"/>
      <c r="AJ127" s="242"/>
      <c r="AK127" s="242"/>
      <c r="AL127" s="242"/>
      <c r="AM127" s="242"/>
      <c r="AN127" s="242"/>
      <c r="AO127" s="242"/>
      <c r="AP127" s="242"/>
      <c r="AQ127" s="242"/>
      <c r="AR127" s="242"/>
      <c r="AS127" s="242"/>
      <c r="AT127" s="242"/>
      <c r="AU127" s="242"/>
      <c r="AV127" s="242"/>
      <c r="AW127" s="242"/>
      <c r="AX127" s="242"/>
      <c r="AY127" s="242"/>
      <c r="AZ127" s="242"/>
      <c r="BA127" s="242"/>
      <c r="BB127" s="242"/>
      <c r="BC127" s="242"/>
      <c r="BD127" s="242"/>
      <c r="BE127" s="242"/>
      <c r="BF127" s="242"/>
      <c r="BG127" s="242"/>
      <c r="BH127" s="242"/>
      <c r="BI127" s="242"/>
      <c r="BJ127" s="242"/>
      <c r="BK127" s="242"/>
      <c r="BL127" s="242"/>
      <c r="BM127" s="242"/>
      <c r="BN127" s="242"/>
      <c r="BO127" s="242"/>
      <c r="BP127" s="242"/>
      <c r="BQ127" s="242"/>
      <c r="BR127" s="242"/>
      <c r="BS127" s="242"/>
      <c r="BT127" s="242"/>
      <c r="BU127" s="242"/>
      <c r="BV127" s="242"/>
      <c r="BW127" s="242"/>
      <c r="BX127" s="242"/>
      <c r="BY127" s="242"/>
      <c r="BZ127" s="242"/>
      <c r="CA127" s="242"/>
      <c r="CB127" s="242"/>
      <c r="CC127" s="242"/>
      <c r="CD127" s="242"/>
    </row>
    <row r="128" spans="1:82" ht="12.75" hidden="1" customHeight="1">
      <c r="A128" s="290"/>
      <c r="B128" s="291"/>
      <c r="C128" s="261" t="s">
        <v>90</v>
      </c>
      <c r="D128" s="295">
        <f t="shared" si="52"/>
        <v>0</v>
      </c>
      <c r="E128" s="295">
        <f t="shared" si="53"/>
        <v>0</v>
      </c>
      <c r="F128" s="295">
        <f t="shared" si="54"/>
        <v>0</v>
      </c>
      <c r="G128" s="295">
        <f t="shared" si="55"/>
        <v>0</v>
      </c>
      <c r="H128" s="295">
        <f t="shared" si="56"/>
        <v>0</v>
      </c>
      <c r="I128" s="295">
        <f t="shared" si="57"/>
        <v>0</v>
      </c>
      <c r="J128" s="295">
        <f t="shared" si="58"/>
        <v>3</v>
      </c>
      <c r="K128" s="295">
        <f t="shared" si="59"/>
        <v>0</v>
      </c>
      <c r="L128" s="295">
        <f t="shared" si="49"/>
        <v>0</v>
      </c>
      <c r="M128" s="295">
        <f t="shared" si="50"/>
        <v>2</v>
      </c>
      <c r="N128" s="295">
        <f t="shared" si="60"/>
        <v>0.5</v>
      </c>
      <c r="O128" s="241"/>
      <c r="P128" s="242"/>
      <c r="Q128" s="242"/>
      <c r="R128" s="242"/>
      <c r="S128" s="242"/>
      <c r="T128" s="242"/>
      <c r="U128" s="242"/>
      <c r="V128" s="242"/>
      <c r="W128" s="242"/>
      <c r="X128" s="242"/>
      <c r="Y128" s="242"/>
      <c r="Z128" s="242"/>
      <c r="AA128" s="242"/>
      <c r="AB128" s="242"/>
      <c r="AC128" s="242"/>
      <c r="AD128" s="242"/>
      <c r="AE128" s="242"/>
      <c r="AF128" s="242"/>
      <c r="AG128" s="242"/>
      <c r="AH128" s="242"/>
      <c r="AI128" s="242"/>
      <c r="AJ128" s="242"/>
      <c r="AK128" s="242"/>
      <c r="AL128" s="242"/>
      <c r="AM128" s="242"/>
      <c r="AN128" s="242"/>
      <c r="AO128" s="242"/>
      <c r="AP128" s="242"/>
      <c r="AQ128" s="242"/>
      <c r="AR128" s="242"/>
      <c r="AS128" s="242"/>
      <c r="AT128" s="242"/>
      <c r="AU128" s="242"/>
      <c r="AV128" s="242"/>
      <c r="AW128" s="242"/>
      <c r="AX128" s="242"/>
      <c r="AY128" s="242"/>
      <c r="AZ128" s="242"/>
      <c r="BA128" s="242"/>
      <c r="BB128" s="242"/>
      <c r="BC128" s="242"/>
      <c r="BD128" s="242"/>
      <c r="BE128" s="242"/>
      <c r="BF128" s="242"/>
      <c r="BG128" s="242"/>
      <c r="BH128" s="242"/>
      <c r="BI128" s="242"/>
      <c r="BJ128" s="242"/>
      <c r="BK128" s="242"/>
      <c r="BL128" s="242"/>
      <c r="BM128" s="242"/>
      <c r="BN128" s="242"/>
      <c r="BO128" s="242"/>
      <c r="BP128" s="242"/>
      <c r="BQ128" s="242"/>
      <c r="BR128" s="242"/>
      <c r="BS128" s="242"/>
      <c r="BT128" s="242"/>
      <c r="BU128" s="242"/>
      <c r="BV128" s="242"/>
      <c r="BW128" s="242"/>
      <c r="BX128" s="242"/>
      <c r="BY128" s="242"/>
      <c r="BZ128" s="242"/>
      <c r="CA128" s="242"/>
      <c r="CB128" s="242"/>
      <c r="CC128" s="242"/>
      <c r="CD128" s="242"/>
    </row>
    <row r="129" spans="1:82" ht="12.75" hidden="1" customHeight="1">
      <c r="A129" s="242"/>
      <c r="B129" s="238"/>
      <c r="C129" s="261" t="s">
        <v>91</v>
      </c>
      <c r="D129" s="295">
        <f t="shared" si="52"/>
        <v>0</v>
      </c>
      <c r="E129" s="295">
        <f t="shared" si="53"/>
        <v>3</v>
      </c>
      <c r="F129" s="295">
        <f t="shared" si="54"/>
        <v>3</v>
      </c>
      <c r="G129" s="295">
        <f t="shared" si="55"/>
        <v>0</v>
      </c>
      <c r="H129" s="295">
        <f t="shared" si="56"/>
        <v>0</v>
      </c>
      <c r="I129" s="295">
        <f t="shared" si="57"/>
        <v>0</v>
      </c>
      <c r="J129" s="295">
        <f t="shared" si="58"/>
        <v>3</v>
      </c>
      <c r="K129" s="295">
        <f t="shared" si="59"/>
        <v>0</v>
      </c>
      <c r="L129" s="295">
        <f t="shared" si="49"/>
        <v>0</v>
      </c>
      <c r="M129" s="295">
        <f t="shared" si="50"/>
        <v>2</v>
      </c>
      <c r="N129" s="295">
        <f t="shared" si="60"/>
        <v>1.1000000000000001</v>
      </c>
      <c r="O129" s="241"/>
      <c r="P129" s="242"/>
      <c r="Q129" s="242"/>
      <c r="R129" s="242"/>
      <c r="S129" s="242"/>
      <c r="T129" s="242"/>
      <c r="U129" s="242"/>
      <c r="V129" s="242"/>
      <c r="W129" s="242"/>
      <c r="X129" s="242"/>
      <c r="Y129" s="242"/>
      <c r="Z129" s="242"/>
      <c r="AA129" s="242"/>
      <c r="AB129" s="242"/>
      <c r="AC129" s="242"/>
      <c r="AD129" s="242"/>
      <c r="AE129" s="242"/>
      <c r="AF129" s="242"/>
      <c r="AG129" s="242"/>
      <c r="AH129" s="242"/>
      <c r="AI129" s="242"/>
      <c r="AJ129" s="242"/>
      <c r="AK129" s="242"/>
      <c r="AL129" s="242"/>
      <c r="AM129" s="242"/>
      <c r="AN129" s="242"/>
      <c r="AO129" s="242"/>
      <c r="AP129" s="242"/>
      <c r="AQ129" s="242"/>
      <c r="AR129" s="242"/>
      <c r="AS129" s="242"/>
      <c r="AT129" s="242"/>
      <c r="AU129" s="242"/>
      <c r="AV129" s="242"/>
      <c r="AW129" s="242"/>
      <c r="AX129" s="242"/>
      <c r="AY129" s="242"/>
      <c r="AZ129" s="242"/>
      <c r="BA129" s="242"/>
      <c r="BB129" s="242"/>
      <c r="BC129" s="242"/>
      <c r="BD129" s="242"/>
      <c r="BE129" s="242"/>
      <c r="BF129" s="242"/>
      <c r="BG129" s="242"/>
      <c r="BH129" s="242"/>
      <c r="BI129" s="242"/>
      <c r="BJ129" s="242"/>
      <c r="BK129" s="242"/>
      <c r="BL129" s="242"/>
      <c r="BM129" s="242"/>
      <c r="BN129" s="242"/>
      <c r="BO129" s="242"/>
      <c r="BP129" s="242"/>
      <c r="BQ129" s="242"/>
      <c r="BR129" s="242"/>
      <c r="BS129" s="242"/>
      <c r="BT129" s="242"/>
      <c r="BU129" s="242"/>
      <c r="BV129" s="242"/>
      <c r="BW129" s="242"/>
      <c r="BX129" s="242"/>
      <c r="BY129" s="242"/>
      <c r="BZ129" s="242"/>
      <c r="CA129" s="242"/>
      <c r="CB129" s="242"/>
      <c r="CC129" s="242"/>
      <c r="CD129" s="242"/>
    </row>
    <row r="130" spans="1:82" ht="12.75" hidden="1" customHeight="1">
      <c r="A130" s="242"/>
      <c r="B130" s="238"/>
      <c r="C130" s="261" t="s">
        <v>93</v>
      </c>
      <c r="D130" s="295">
        <f t="shared" si="52"/>
        <v>0</v>
      </c>
      <c r="E130" s="295">
        <f t="shared" si="53"/>
        <v>3</v>
      </c>
      <c r="F130" s="295">
        <f t="shared" si="54"/>
        <v>0</v>
      </c>
      <c r="G130" s="295">
        <f t="shared" si="55"/>
        <v>0</v>
      </c>
      <c r="H130" s="295">
        <f t="shared" si="56"/>
        <v>0</v>
      </c>
      <c r="I130" s="295">
        <f t="shared" si="57"/>
        <v>3</v>
      </c>
      <c r="J130" s="295">
        <f t="shared" si="58"/>
        <v>3</v>
      </c>
      <c r="K130" s="295">
        <f t="shared" si="59"/>
        <v>0</v>
      </c>
      <c r="L130" s="295">
        <f t="shared" si="49"/>
        <v>0</v>
      </c>
      <c r="M130" s="295">
        <f t="shared" si="50"/>
        <v>2</v>
      </c>
      <c r="N130" s="295">
        <f t="shared" si="60"/>
        <v>1.1000000000000001</v>
      </c>
      <c r="O130" s="241"/>
      <c r="P130" s="242"/>
      <c r="Q130" s="242"/>
      <c r="R130" s="242"/>
      <c r="S130" s="242"/>
      <c r="T130" s="242"/>
      <c r="U130" s="242"/>
      <c r="V130" s="242"/>
      <c r="W130" s="242"/>
      <c r="X130" s="242"/>
      <c r="Y130" s="242"/>
      <c r="Z130" s="242"/>
      <c r="AA130" s="242"/>
      <c r="AB130" s="242"/>
      <c r="AC130" s="242"/>
      <c r="AD130" s="242"/>
      <c r="AE130" s="242"/>
      <c r="AF130" s="242"/>
      <c r="AG130" s="242"/>
      <c r="AH130" s="242"/>
      <c r="AI130" s="242"/>
      <c r="AJ130" s="242"/>
      <c r="AK130" s="242"/>
      <c r="AL130" s="242"/>
      <c r="AM130" s="242"/>
      <c r="AN130" s="242"/>
      <c r="AO130" s="242"/>
      <c r="AP130" s="242"/>
      <c r="AQ130" s="242"/>
      <c r="AR130" s="242"/>
      <c r="AS130" s="242"/>
      <c r="AT130" s="242"/>
      <c r="AU130" s="242"/>
      <c r="AV130" s="242"/>
      <c r="AW130" s="242"/>
      <c r="AX130" s="242"/>
      <c r="AY130" s="242"/>
      <c r="AZ130" s="242"/>
      <c r="BA130" s="242"/>
      <c r="BB130" s="242"/>
      <c r="BC130" s="242"/>
      <c r="BD130" s="242"/>
      <c r="BE130" s="242"/>
      <c r="BF130" s="242"/>
      <c r="BG130" s="242"/>
      <c r="BH130" s="242"/>
      <c r="BI130" s="242"/>
      <c r="BJ130" s="242"/>
      <c r="BK130" s="242"/>
      <c r="BL130" s="242"/>
      <c r="BM130" s="242"/>
      <c r="BN130" s="242"/>
      <c r="BO130" s="242"/>
      <c r="BP130" s="242"/>
      <c r="BQ130" s="242"/>
      <c r="BR130" s="242"/>
      <c r="BS130" s="242"/>
      <c r="BT130" s="242"/>
      <c r="BU130" s="242"/>
      <c r="BV130" s="242"/>
      <c r="BW130" s="242"/>
      <c r="BX130" s="242"/>
      <c r="BY130" s="242"/>
      <c r="BZ130" s="242"/>
      <c r="CA130" s="242"/>
      <c r="CB130" s="242"/>
      <c r="CC130" s="242"/>
      <c r="CD130" s="242"/>
    </row>
    <row r="131" spans="1:82" ht="12.75" hidden="1" customHeight="1">
      <c r="A131" s="242"/>
      <c r="B131" s="242"/>
      <c r="C131" s="294"/>
      <c r="D131" s="294"/>
      <c r="E131" s="294"/>
      <c r="F131" s="294"/>
      <c r="G131" s="294"/>
      <c r="H131" s="285"/>
      <c r="I131" s="285"/>
      <c r="J131" s="294"/>
      <c r="K131" s="294"/>
      <c r="L131" s="294"/>
      <c r="M131" s="294"/>
      <c r="N131" s="294"/>
      <c r="O131" s="242"/>
      <c r="P131" s="242"/>
      <c r="Q131" s="242"/>
      <c r="R131" s="242"/>
      <c r="S131" s="242"/>
      <c r="T131" s="242"/>
      <c r="U131" s="242"/>
      <c r="V131" s="242"/>
      <c r="W131" s="242"/>
      <c r="X131" s="242"/>
      <c r="Y131" s="242"/>
      <c r="Z131" s="242"/>
      <c r="AA131" s="242"/>
      <c r="AB131" s="242"/>
      <c r="AC131" s="242"/>
      <c r="AD131" s="242"/>
      <c r="AE131" s="242"/>
      <c r="AF131" s="242"/>
      <c r="AG131" s="242"/>
      <c r="AH131" s="242"/>
      <c r="AI131" s="242"/>
      <c r="AJ131" s="242"/>
      <c r="AK131" s="242"/>
      <c r="AL131" s="242"/>
      <c r="AM131" s="242"/>
      <c r="AN131" s="242"/>
      <c r="AO131" s="242"/>
      <c r="AP131" s="242"/>
      <c r="AQ131" s="242"/>
      <c r="AR131" s="242"/>
      <c r="AS131" s="242"/>
      <c r="AT131" s="242"/>
      <c r="AU131" s="242"/>
      <c r="AV131" s="242"/>
      <c r="AW131" s="242"/>
      <c r="AX131" s="242"/>
      <c r="AY131" s="242"/>
      <c r="AZ131" s="242"/>
      <c r="BA131" s="242"/>
      <c r="BB131" s="242"/>
      <c r="BC131" s="242"/>
      <c r="BD131" s="242"/>
      <c r="BE131" s="242"/>
      <c r="BF131" s="242"/>
      <c r="BG131" s="242"/>
      <c r="BH131" s="242"/>
      <c r="BI131" s="242"/>
      <c r="BJ131" s="242"/>
      <c r="BK131" s="242"/>
      <c r="BL131" s="242"/>
      <c r="BM131" s="242"/>
      <c r="BN131" s="242"/>
      <c r="BO131" s="242"/>
      <c r="BP131" s="242"/>
      <c r="BQ131" s="242"/>
      <c r="BR131" s="242"/>
      <c r="BS131" s="242"/>
      <c r="BT131" s="242"/>
      <c r="BU131" s="242"/>
      <c r="BV131" s="242"/>
      <c r="BW131" s="242"/>
      <c r="BX131" s="242"/>
      <c r="BY131" s="242"/>
      <c r="BZ131" s="242"/>
      <c r="CA131" s="242"/>
      <c r="CB131" s="242"/>
      <c r="CC131" s="242"/>
      <c r="CD131" s="242"/>
    </row>
    <row r="132" spans="1:82" ht="12.75" hidden="1" customHeight="1">
      <c r="A132" s="242"/>
      <c r="B132" s="242"/>
      <c r="C132" s="296" t="s">
        <v>1959</v>
      </c>
      <c r="D132" s="294"/>
      <c r="E132" s="294"/>
      <c r="F132" s="294"/>
      <c r="G132" s="294"/>
      <c r="H132" s="285"/>
      <c r="I132" s="285"/>
      <c r="J132" s="294"/>
      <c r="K132" s="294"/>
      <c r="L132" s="294"/>
      <c r="M132" s="294"/>
      <c r="N132" s="294"/>
      <c r="O132" s="242"/>
      <c r="P132" s="242"/>
      <c r="Q132" s="242"/>
      <c r="R132" s="242"/>
      <c r="S132" s="242"/>
      <c r="T132" s="242"/>
      <c r="U132" s="242"/>
      <c r="V132" s="242"/>
      <c r="W132" s="242"/>
      <c r="X132" s="242"/>
      <c r="Y132" s="242"/>
      <c r="Z132" s="242"/>
      <c r="AA132" s="242"/>
      <c r="AB132" s="242"/>
      <c r="AC132" s="242"/>
      <c r="AD132" s="242"/>
      <c r="AE132" s="242"/>
      <c r="AF132" s="242"/>
      <c r="AG132" s="242"/>
      <c r="AH132" s="242"/>
      <c r="AI132" s="242"/>
      <c r="AJ132" s="242"/>
      <c r="AK132" s="242"/>
      <c r="AL132" s="242"/>
      <c r="AM132" s="242"/>
      <c r="AN132" s="242"/>
      <c r="AO132" s="242"/>
      <c r="AP132" s="242"/>
      <c r="AQ132" s="242"/>
      <c r="AR132" s="242"/>
      <c r="AS132" s="242"/>
      <c r="AT132" s="242"/>
      <c r="AU132" s="242"/>
      <c r="AV132" s="242"/>
      <c r="AW132" s="242"/>
      <c r="AX132" s="242"/>
      <c r="AY132" s="242"/>
      <c r="AZ132" s="242"/>
      <c r="BA132" s="242"/>
      <c r="BB132" s="242"/>
      <c r="BC132" s="242"/>
      <c r="BD132" s="242"/>
      <c r="BE132" s="242"/>
      <c r="BF132" s="242"/>
      <c r="BG132" s="242"/>
      <c r="BH132" s="242"/>
      <c r="BI132" s="242"/>
      <c r="BJ132" s="242"/>
      <c r="BK132" s="242"/>
      <c r="BL132" s="242"/>
      <c r="BM132" s="242"/>
      <c r="BN132" s="242"/>
      <c r="BO132" s="242"/>
      <c r="BP132" s="242"/>
      <c r="BQ132" s="242"/>
      <c r="BR132" s="242"/>
      <c r="BS132" s="242"/>
      <c r="BT132" s="242"/>
      <c r="BU132" s="242"/>
      <c r="BV132" s="242"/>
      <c r="BW132" s="242"/>
      <c r="BX132" s="242"/>
      <c r="BY132" s="242"/>
      <c r="BZ132" s="242"/>
      <c r="CA132" s="242"/>
      <c r="CB132" s="242"/>
      <c r="CC132" s="242"/>
      <c r="CD132" s="242"/>
    </row>
    <row r="133" spans="1:82" ht="27" customHeight="1">
      <c r="A133" s="242"/>
      <c r="B133" s="238"/>
      <c r="C133" s="543" t="s">
        <v>1938</v>
      </c>
      <c r="D133" s="544" t="s">
        <v>1960</v>
      </c>
      <c r="E133" s="503"/>
      <c r="F133" s="504"/>
      <c r="G133" s="504"/>
      <c r="H133" s="504"/>
      <c r="I133" s="504"/>
      <c r="J133" s="504"/>
      <c r="K133" s="504"/>
      <c r="L133" s="504"/>
      <c r="M133" s="505"/>
      <c r="N133" s="543" t="s">
        <v>1961</v>
      </c>
      <c r="O133" s="241"/>
      <c r="P133" s="242"/>
      <c r="Q133" s="242"/>
      <c r="R133" s="242"/>
      <c r="S133" s="242"/>
      <c r="T133" s="242"/>
      <c r="U133" s="242"/>
      <c r="V133" s="242"/>
      <c r="W133" s="242"/>
      <c r="X133" s="242"/>
      <c r="Y133" s="242"/>
      <c r="Z133" s="242"/>
      <c r="AA133" s="242"/>
      <c r="AB133" s="242"/>
      <c r="AC133" s="242"/>
      <c r="AD133" s="242"/>
      <c r="AE133" s="242"/>
      <c r="AF133" s="242"/>
      <c r="AG133" s="242"/>
      <c r="AH133" s="242"/>
      <c r="AI133" s="242"/>
      <c r="AJ133" s="242"/>
      <c r="AK133" s="242"/>
      <c r="AL133" s="242"/>
      <c r="AM133" s="242"/>
      <c r="AN133" s="242"/>
      <c r="AO133" s="242"/>
      <c r="AP133" s="242"/>
      <c r="AQ133" s="242"/>
      <c r="AR133" s="242"/>
      <c r="AS133" s="242"/>
      <c r="AT133" s="242"/>
      <c r="AU133" s="242"/>
      <c r="AV133" s="242"/>
      <c r="AW133" s="242"/>
      <c r="AX133" s="242"/>
      <c r="AY133" s="242"/>
      <c r="AZ133" s="242"/>
      <c r="BA133" s="242"/>
      <c r="BB133" s="242"/>
      <c r="BC133" s="242"/>
      <c r="BD133" s="242"/>
      <c r="BE133" s="242"/>
      <c r="BF133" s="242"/>
      <c r="BG133" s="242"/>
      <c r="BH133" s="242"/>
      <c r="BI133" s="242"/>
      <c r="BJ133" s="242"/>
      <c r="BK133" s="242"/>
      <c r="BL133" s="242"/>
      <c r="BM133" s="242"/>
      <c r="BN133" s="242"/>
      <c r="BO133" s="242"/>
      <c r="BP133" s="242"/>
      <c r="BQ133" s="242"/>
      <c r="BR133" s="242"/>
      <c r="BS133" s="242"/>
      <c r="BT133" s="242"/>
      <c r="BU133" s="242"/>
      <c r="BV133" s="242"/>
      <c r="BW133" s="242"/>
      <c r="BX133" s="242"/>
      <c r="BY133" s="242"/>
      <c r="BZ133" s="242"/>
      <c r="CA133" s="242"/>
      <c r="CB133" s="242"/>
      <c r="CC133" s="242"/>
      <c r="CD133" s="242"/>
    </row>
    <row r="134" spans="1:82" ht="42.75" customHeight="1">
      <c r="A134" s="242"/>
      <c r="B134" s="238"/>
      <c r="C134" s="521"/>
      <c r="D134" s="240" t="s">
        <v>1941</v>
      </c>
      <c r="E134" s="240" t="s">
        <v>1942</v>
      </c>
      <c r="F134" s="240" t="s">
        <v>1943</v>
      </c>
      <c r="G134" s="240" t="s">
        <v>1944</v>
      </c>
      <c r="H134" s="240" t="s">
        <v>1945</v>
      </c>
      <c r="I134" s="240" t="s">
        <v>1946</v>
      </c>
      <c r="J134" s="240" t="s">
        <v>1947</v>
      </c>
      <c r="K134" s="240" t="s">
        <v>1948</v>
      </c>
      <c r="L134" s="240" t="s">
        <v>1949</v>
      </c>
      <c r="M134" s="240" t="s">
        <v>1950</v>
      </c>
      <c r="N134" s="521"/>
      <c r="O134" s="241"/>
      <c r="P134" s="242"/>
      <c r="Q134" s="242"/>
      <c r="R134" s="242"/>
      <c r="S134" s="242"/>
      <c r="T134" s="242"/>
      <c r="U134" s="242"/>
      <c r="V134" s="242"/>
      <c r="W134" s="242"/>
      <c r="X134" s="242"/>
      <c r="Y134" s="242"/>
      <c r="Z134" s="242"/>
      <c r="AA134" s="242"/>
      <c r="AB134" s="242"/>
      <c r="AC134" s="242"/>
      <c r="AD134" s="242"/>
      <c r="AE134" s="242"/>
      <c r="AF134" s="242"/>
      <c r="AG134" s="242"/>
      <c r="AH134" s="242"/>
      <c r="AI134" s="242"/>
      <c r="AJ134" s="242"/>
      <c r="AK134" s="242"/>
      <c r="AL134" s="242"/>
      <c r="AM134" s="242"/>
      <c r="AN134" s="242"/>
      <c r="AO134" s="242"/>
      <c r="AP134" s="242"/>
      <c r="AQ134" s="242"/>
      <c r="AR134" s="242"/>
      <c r="AS134" s="242"/>
      <c r="AT134" s="242"/>
      <c r="AU134" s="242"/>
      <c r="AV134" s="242"/>
      <c r="AW134" s="242"/>
      <c r="AX134" s="242"/>
      <c r="AY134" s="242"/>
      <c r="AZ134" s="242"/>
      <c r="BA134" s="242"/>
      <c r="BB134" s="242"/>
      <c r="BC134" s="242"/>
      <c r="BD134" s="242"/>
      <c r="BE134" s="242"/>
      <c r="BF134" s="242"/>
      <c r="BG134" s="242"/>
      <c r="BH134" s="242"/>
      <c r="BI134" s="242"/>
      <c r="BJ134" s="242"/>
      <c r="BK134" s="242"/>
      <c r="BL134" s="242"/>
      <c r="BM134" s="242"/>
      <c r="BN134" s="242"/>
      <c r="BO134" s="242"/>
      <c r="BP134" s="242"/>
      <c r="BQ134" s="242"/>
      <c r="BR134" s="242"/>
      <c r="BS134" s="242"/>
      <c r="BT134" s="242"/>
      <c r="BU134" s="242"/>
      <c r="BV134" s="242"/>
      <c r="BW134" s="242"/>
      <c r="BX134" s="242"/>
      <c r="BY134" s="242"/>
      <c r="BZ134" s="242"/>
      <c r="CA134" s="242"/>
      <c r="CB134" s="242"/>
      <c r="CC134" s="242"/>
      <c r="CD134" s="242"/>
    </row>
    <row r="135" spans="1:82" ht="12.75" hidden="1" customHeight="1">
      <c r="A135" s="242"/>
      <c r="B135" s="238"/>
      <c r="C135" s="297" t="s">
        <v>44</v>
      </c>
      <c r="D135" s="298">
        <f t="shared" ref="D135:L135" si="61">SUM(D148:D166)</f>
        <v>171</v>
      </c>
      <c r="E135" s="298">
        <f t="shared" si="61"/>
        <v>919</v>
      </c>
      <c r="F135" s="298">
        <f t="shared" si="61"/>
        <v>162</v>
      </c>
      <c r="G135" s="298">
        <f t="shared" si="61"/>
        <v>162</v>
      </c>
      <c r="H135" s="298">
        <f t="shared" si="61"/>
        <v>244</v>
      </c>
      <c r="I135" s="298">
        <f t="shared" si="61"/>
        <v>16</v>
      </c>
      <c r="J135" s="298">
        <f t="shared" si="61"/>
        <v>1240</v>
      </c>
      <c r="K135" s="298">
        <f t="shared" si="61"/>
        <v>130</v>
      </c>
      <c r="L135" s="298">
        <f t="shared" si="61"/>
        <v>966</v>
      </c>
      <c r="M135" s="299">
        <v>12</v>
      </c>
      <c r="N135" s="300"/>
      <c r="O135" s="301"/>
      <c r="P135" s="242"/>
      <c r="Q135" s="242"/>
      <c r="R135" s="242"/>
      <c r="S135" s="242"/>
      <c r="T135" s="242"/>
      <c r="U135" s="242"/>
      <c r="V135" s="242"/>
      <c r="W135" s="242"/>
      <c r="X135" s="242"/>
      <c r="Y135" s="242"/>
      <c r="Z135" s="242"/>
      <c r="AA135" s="242"/>
      <c r="AB135" s="242"/>
      <c r="AC135" s="242"/>
      <c r="AD135" s="242"/>
      <c r="AE135" s="242"/>
      <c r="AF135" s="242"/>
      <c r="AG135" s="242"/>
      <c r="AH135" s="242"/>
      <c r="AI135" s="242"/>
      <c r="AJ135" s="242"/>
      <c r="AK135" s="242"/>
      <c r="AL135" s="242"/>
      <c r="AM135" s="242"/>
      <c r="AN135" s="242"/>
      <c r="AO135" s="242"/>
      <c r="AP135" s="242"/>
      <c r="AQ135" s="242"/>
      <c r="AR135" s="242"/>
      <c r="AS135" s="242"/>
      <c r="AT135" s="242"/>
      <c r="AU135" s="242"/>
      <c r="AV135" s="242"/>
      <c r="AW135" s="242"/>
      <c r="AX135" s="242"/>
      <c r="AY135" s="242"/>
      <c r="AZ135" s="242"/>
      <c r="BA135" s="242"/>
      <c r="BB135" s="242"/>
      <c r="BC135" s="242"/>
      <c r="BD135" s="242"/>
      <c r="BE135" s="242"/>
      <c r="BF135" s="242"/>
      <c r="BG135" s="242"/>
      <c r="BH135" s="242"/>
      <c r="BI135" s="242"/>
      <c r="BJ135" s="242"/>
      <c r="BK135" s="242"/>
      <c r="BL135" s="242"/>
      <c r="BM135" s="242"/>
      <c r="BN135" s="242"/>
      <c r="BO135" s="242"/>
      <c r="BP135" s="242"/>
      <c r="BQ135" s="242"/>
      <c r="BR135" s="242"/>
      <c r="BS135" s="242"/>
      <c r="BT135" s="242"/>
      <c r="BU135" s="242"/>
      <c r="BV135" s="242"/>
      <c r="BW135" s="242"/>
      <c r="BX135" s="242"/>
      <c r="BY135" s="242"/>
      <c r="BZ135" s="242"/>
      <c r="CA135" s="242"/>
      <c r="CB135" s="242"/>
      <c r="CC135" s="242"/>
      <c r="CD135" s="242"/>
    </row>
    <row r="136" spans="1:82" ht="12.75" hidden="1" customHeight="1">
      <c r="A136" s="242"/>
      <c r="B136" s="238"/>
      <c r="C136" s="247" t="s">
        <v>49</v>
      </c>
      <c r="D136" s="298">
        <f t="shared" ref="D136:L136" si="62">SUM(D148:D166)</f>
        <v>171</v>
      </c>
      <c r="E136" s="298">
        <f t="shared" si="62"/>
        <v>919</v>
      </c>
      <c r="F136" s="298">
        <f t="shared" si="62"/>
        <v>162</v>
      </c>
      <c r="G136" s="298">
        <f t="shared" si="62"/>
        <v>162</v>
      </c>
      <c r="H136" s="298">
        <f t="shared" si="62"/>
        <v>244</v>
      </c>
      <c r="I136" s="298">
        <f t="shared" si="62"/>
        <v>16</v>
      </c>
      <c r="J136" s="298">
        <f t="shared" si="62"/>
        <v>1240</v>
      </c>
      <c r="K136" s="298">
        <f t="shared" si="62"/>
        <v>130</v>
      </c>
      <c r="L136" s="298">
        <f t="shared" si="62"/>
        <v>966</v>
      </c>
      <c r="M136" s="299">
        <v>12</v>
      </c>
      <c r="N136" s="300">
        <v>5019</v>
      </c>
      <c r="O136" s="241"/>
      <c r="P136" s="242"/>
      <c r="Q136" s="242"/>
      <c r="R136" s="242"/>
      <c r="S136" s="242"/>
      <c r="T136" s="242"/>
      <c r="U136" s="242"/>
      <c r="V136" s="242"/>
      <c r="W136" s="242"/>
      <c r="X136" s="242"/>
      <c r="Y136" s="242"/>
      <c r="Z136" s="242"/>
      <c r="AA136" s="242"/>
      <c r="AB136" s="242"/>
      <c r="AC136" s="242"/>
      <c r="AD136" s="242"/>
      <c r="AE136" s="242"/>
      <c r="AF136" s="242"/>
      <c r="AG136" s="242"/>
      <c r="AH136" s="242"/>
      <c r="AI136" s="242"/>
      <c r="AJ136" s="242"/>
      <c r="AK136" s="242"/>
      <c r="AL136" s="242"/>
      <c r="AM136" s="242"/>
      <c r="AN136" s="242"/>
      <c r="AO136" s="242"/>
      <c r="AP136" s="242"/>
      <c r="AQ136" s="242"/>
      <c r="AR136" s="242"/>
      <c r="AS136" s="242"/>
      <c r="AT136" s="242"/>
      <c r="AU136" s="242"/>
      <c r="AV136" s="242"/>
      <c r="AW136" s="242"/>
      <c r="AX136" s="242"/>
      <c r="AY136" s="242"/>
      <c r="AZ136" s="242"/>
      <c r="BA136" s="242"/>
      <c r="BB136" s="242"/>
      <c r="BC136" s="242"/>
      <c r="BD136" s="242"/>
      <c r="BE136" s="242"/>
      <c r="BF136" s="242"/>
      <c r="BG136" s="242"/>
      <c r="BH136" s="242"/>
      <c r="BI136" s="242"/>
      <c r="BJ136" s="242"/>
      <c r="BK136" s="242"/>
      <c r="BL136" s="242"/>
      <c r="BM136" s="242"/>
      <c r="BN136" s="242"/>
      <c r="BO136" s="242"/>
      <c r="BP136" s="242"/>
      <c r="BQ136" s="242"/>
      <c r="BR136" s="242"/>
      <c r="BS136" s="242"/>
      <c r="BT136" s="242"/>
      <c r="BU136" s="242"/>
      <c r="BV136" s="242"/>
      <c r="BW136" s="242"/>
      <c r="BX136" s="242"/>
      <c r="BY136" s="242"/>
      <c r="BZ136" s="242"/>
      <c r="CA136" s="242"/>
      <c r="CB136" s="242"/>
      <c r="CC136" s="242"/>
      <c r="CD136" s="242"/>
    </row>
    <row r="137" spans="1:82" ht="12.75" hidden="1" customHeight="1">
      <c r="A137" s="242"/>
      <c r="B137" s="238"/>
      <c r="C137" s="247" t="s">
        <v>51</v>
      </c>
      <c r="D137" s="298">
        <f t="shared" ref="D137:L137" si="63">SUM(D148:D166)</f>
        <v>171</v>
      </c>
      <c r="E137" s="298">
        <f t="shared" si="63"/>
        <v>919</v>
      </c>
      <c r="F137" s="298">
        <f t="shared" si="63"/>
        <v>162</v>
      </c>
      <c r="G137" s="298">
        <f t="shared" si="63"/>
        <v>162</v>
      </c>
      <c r="H137" s="298">
        <f t="shared" si="63"/>
        <v>244</v>
      </c>
      <c r="I137" s="298">
        <f t="shared" si="63"/>
        <v>16</v>
      </c>
      <c r="J137" s="298">
        <f t="shared" si="63"/>
        <v>1240</v>
      </c>
      <c r="K137" s="298">
        <f t="shared" si="63"/>
        <v>130</v>
      </c>
      <c r="L137" s="298">
        <f t="shared" si="63"/>
        <v>966</v>
      </c>
      <c r="M137" s="299">
        <v>12</v>
      </c>
      <c r="N137" s="300"/>
      <c r="O137" s="241"/>
      <c r="P137" s="242"/>
      <c r="Q137" s="242"/>
      <c r="R137" s="242"/>
      <c r="S137" s="242"/>
      <c r="T137" s="242"/>
      <c r="U137" s="242"/>
      <c r="V137" s="242"/>
      <c r="W137" s="242"/>
      <c r="X137" s="242"/>
      <c r="Y137" s="242"/>
      <c r="Z137" s="242"/>
      <c r="AA137" s="242"/>
      <c r="AB137" s="242"/>
      <c r="AC137" s="242"/>
      <c r="AD137" s="242"/>
      <c r="AE137" s="242"/>
      <c r="AF137" s="242"/>
      <c r="AG137" s="242"/>
      <c r="AH137" s="242"/>
      <c r="AI137" s="242"/>
      <c r="AJ137" s="242"/>
      <c r="AK137" s="242"/>
      <c r="AL137" s="242"/>
      <c r="AM137" s="242"/>
      <c r="AN137" s="242"/>
      <c r="AO137" s="242"/>
      <c r="AP137" s="242"/>
      <c r="AQ137" s="242"/>
      <c r="AR137" s="242"/>
      <c r="AS137" s="242"/>
      <c r="AT137" s="242"/>
      <c r="AU137" s="242"/>
      <c r="AV137" s="242"/>
      <c r="AW137" s="242"/>
      <c r="AX137" s="242"/>
      <c r="AY137" s="242"/>
      <c r="AZ137" s="242"/>
      <c r="BA137" s="242"/>
      <c r="BB137" s="242"/>
      <c r="BC137" s="242"/>
      <c r="BD137" s="242"/>
      <c r="BE137" s="242"/>
      <c r="BF137" s="242"/>
      <c r="BG137" s="242"/>
      <c r="BH137" s="242"/>
      <c r="BI137" s="242"/>
      <c r="BJ137" s="242"/>
      <c r="BK137" s="242"/>
      <c r="BL137" s="242"/>
      <c r="BM137" s="242"/>
      <c r="BN137" s="242"/>
      <c r="BO137" s="242"/>
      <c r="BP137" s="242"/>
      <c r="BQ137" s="242"/>
      <c r="BR137" s="242"/>
      <c r="BS137" s="242"/>
      <c r="BT137" s="242"/>
      <c r="BU137" s="242"/>
      <c r="BV137" s="242"/>
      <c r="BW137" s="242"/>
      <c r="BX137" s="242"/>
      <c r="BY137" s="242"/>
      <c r="BZ137" s="242"/>
      <c r="CA137" s="242"/>
      <c r="CB137" s="242"/>
      <c r="CC137" s="242"/>
      <c r="CD137" s="242"/>
    </row>
    <row r="138" spans="1:82" ht="12.75" hidden="1" customHeight="1">
      <c r="A138" s="242"/>
      <c r="B138" s="238"/>
      <c r="C138" s="247" t="s">
        <v>50</v>
      </c>
      <c r="D138" s="298">
        <f t="shared" ref="D138:L138" si="64">SUM(D148:D166)</f>
        <v>171</v>
      </c>
      <c r="E138" s="298">
        <f t="shared" si="64"/>
        <v>919</v>
      </c>
      <c r="F138" s="298">
        <f t="shared" si="64"/>
        <v>162</v>
      </c>
      <c r="G138" s="298">
        <f t="shared" si="64"/>
        <v>162</v>
      </c>
      <c r="H138" s="298">
        <f t="shared" si="64"/>
        <v>244</v>
      </c>
      <c r="I138" s="298">
        <f t="shared" si="64"/>
        <v>16</v>
      </c>
      <c r="J138" s="298">
        <f t="shared" si="64"/>
        <v>1240</v>
      </c>
      <c r="K138" s="298">
        <f t="shared" si="64"/>
        <v>130</v>
      </c>
      <c r="L138" s="298">
        <f t="shared" si="64"/>
        <v>966</v>
      </c>
      <c r="M138" s="299">
        <v>12</v>
      </c>
      <c r="N138" s="300"/>
      <c r="O138" s="241"/>
      <c r="P138" s="242"/>
      <c r="Q138" s="242"/>
      <c r="R138" s="242"/>
      <c r="S138" s="242"/>
      <c r="T138" s="242"/>
      <c r="U138" s="242"/>
      <c r="V138" s="242"/>
      <c r="W138" s="242"/>
      <c r="X138" s="242"/>
      <c r="Y138" s="242"/>
      <c r="Z138" s="242"/>
      <c r="AA138" s="242"/>
      <c r="AB138" s="242"/>
      <c r="AC138" s="242"/>
      <c r="AD138" s="242"/>
      <c r="AE138" s="242"/>
      <c r="AF138" s="242"/>
      <c r="AG138" s="242"/>
      <c r="AH138" s="242"/>
      <c r="AI138" s="242"/>
      <c r="AJ138" s="242"/>
      <c r="AK138" s="242"/>
      <c r="AL138" s="242"/>
      <c r="AM138" s="242"/>
      <c r="AN138" s="242"/>
      <c r="AO138" s="242"/>
      <c r="AP138" s="242"/>
      <c r="AQ138" s="242"/>
      <c r="AR138" s="242"/>
      <c r="AS138" s="242"/>
      <c r="AT138" s="242"/>
      <c r="AU138" s="242"/>
      <c r="AV138" s="242"/>
      <c r="AW138" s="242"/>
      <c r="AX138" s="242"/>
      <c r="AY138" s="242"/>
      <c r="AZ138" s="242"/>
      <c r="BA138" s="242"/>
      <c r="BB138" s="242"/>
      <c r="BC138" s="242"/>
      <c r="BD138" s="242"/>
      <c r="BE138" s="242"/>
      <c r="BF138" s="242"/>
      <c r="BG138" s="242"/>
      <c r="BH138" s="242"/>
      <c r="BI138" s="242"/>
      <c r="BJ138" s="242"/>
      <c r="BK138" s="242"/>
      <c r="BL138" s="242"/>
      <c r="BM138" s="242"/>
      <c r="BN138" s="242"/>
      <c r="BO138" s="242"/>
      <c r="BP138" s="242"/>
      <c r="BQ138" s="242"/>
      <c r="BR138" s="242"/>
      <c r="BS138" s="242"/>
      <c r="BT138" s="242"/>
      <c r="BU138" s="242"/>
      <c r="BV138" s="242"/>
      <c r="BW138" s="242"/>
      <c r="BX138" s="242"/>
      <c r="BY138" s="242"/>
      <c r="BZ138" s="242"/>
      <c r="CA138" s="242"/>
      <c r="CB138" s="242"/>
      <c r="CC138" s="242"/>
      <c r="CD138" s="242"/>
    </row>
    <row r="139" spans="1:82" ht="12.75" hidden="1" customHeight="1">
      <c r="A139" s="242"/>
      <c r="B139" s="238"/>
      <c r="C139" s="247" t="s">
        <v>119</v>
      </c>
      <c r="D139" s="302">
        <f t="shared" ref="D139:L139" si="65">SUM(D156,D157,D160,D148,D163)</f>
        <v>10</v>
      </c>
      <c r="E139" s="302">
        <f t="shared" si="65"/>
        <v>471</v>
      </c>
      <c r="F139" s="302">
        <f t="shared" si="65"/>
        <v>77</v>
      </c>
      <c r="G139" s="302">
        <f t="shared" si="65"/>
        <v>31</v>
      </c>
      <c r="H139" s="302">
        <f t="shared" si="65"/>
        <v>0</v>
      </c>
      <c r="I139" s="302">
        <f t="shared" si="65"/>
        <v>12</v>
      </c>
      <c r="J139" s="302">
        <f t="shared" si="65"/>
        <v>992</v>
      </c>
      <c r="K139" s="302">
        <f t="shared" si="65"/>
        <v>61</v>
      </c>
      <c r="L139" s="302">
        <f t="shared" si="65"/>
        <v>86</v>
      </c>
      <c r="M139" s="299">
        <v>12</v>
      </c>
      <c r="N139" s="300"/>
      <c r="O139" s="241"/>
      <c r="P139" s="242"/>
      <c r="Q139" s="242"/>
      <c r="R139" s="242"/>
      <c r="S139" s="242"/>
      <c r="T139" s="242"/>
      <c r="U139" s="242"/>
      <c r="V139" s="242"/>
      <c r="W139" s="242"/>
      <c r="X139" s="242"/>
      <c r="Y139" s="242"/>
      <c r="Z139" s="242"/>
      <c r="AA139" s="242"/>
      <c r="AB139" s="242"/>
      <c r="AC139" s="242"/>
      <c r="AD139" s="242"/>
      <c r="AE139" s="242"/>
      <c r="AF139" s="242"/>
      <c r="AG139" s="242"/>
      <c r="AH139" s="242"/>
      <c r="AI139" s="242"/>
      <c r="AJ139" s="242"/>
      <c r="AK139" s="242"/>
      <c r="AL139" s="242"/>
      <c r="AM139" s="242"/>
      <c r="AN139" s="242"/>
      <c r="AO139" s="242"/>
      <c r="AP139" s="242"/>
      <c r="AQ139" s="242"/>
      <c r="AR139" s="242"/>
      <c r="AS139" s="242"/>
      <c r="AT139" s="242"/>
      <c r="AU139" s="242"/>
      <c r="AV139" s="242"/>
      <c r="AW139" s="242"/>
      <c r="AX139" s="242"/>
      <c r="AY139" s="242"/>
      <c r="AZ139" s="242"/>
      <c r="BA139" s="242"/>
      <c r="BB139" s="242"/>
      <c r="BC139" s="242"/>
      <c r="BD139" s="242"/>
      <c r="BE139" s="242"/>
      <c r="BF139" s="242"/>
      <c r="BG139" s="242"/>
      <c r="BH139" s="242"/>
      <c r="BI139" s="242"/>
      <c r="BJ139" s="242"/>
      <c r="BK139" s="242"/>
      <c r="BL139" s="242"/>
      <c r="BM139" s="242"/>
      <c r="BN139" s="242"/>
      <c r="BO139" s="242"/>
      <c r="BP139" s="242"/>
      <c r="BQ139" s="242"/>
      <c r="BR139" s="242"/>
      <c r="BS139" s="242"/>
      <c r="BT139" s="242"/>
      <c r="BU139" s="242"/>
      <c r="BV139" s="242"/>
      <c r="BW139" s="242"/>
      <c r="BX139" s="242"/>
      <c r="BY139" s="242"/>
      <c r="BZ139" s="242"/>
      <c r="CA139" s="242"/>
      <c r="CB139" s="242"/>
      <c r="CC139" s="242"/>
      <c r="CD139" s="242"/>
    </row>
    <row r="140" spans="1:82" ht="12.75" hidden="1" customHeight="1">
      <c r="A140" s="242"/>
      <c r="B140" s="238"/>
      <c r="C140" s="247" t="s">
        <v>120</v>
      </c>
      <c r="D140" s="302">
        <f t="shared" ref="D140:L140" si="66">SUM(D152,D153,D149,D166)</f>
        <v>96</v>
      </c>
      <c r="E140" s="302">
        <f t="shared" si="66"/>
        <v>243</v>
      </c>
      <c r="F140" s="302">
        <f t="shared" si="66"/>
        <v>10</v>
      </c>
      <c r="G140" s="302">
        <f t="shared" si="66"/>
        <v>78</v>
      </c>
      <c r="H140" s="302">
        <f t="shared" si="66"/>
        <v>88</v>
      </c>
      <c r="I140" s="302">
        <f t="shared" si="66"/>
        <v>0</v>
      </c>
      <c r="J140" s="302">
        <f t="shared" si="66"/>
        <v>28</v>
      </c>
      <c r="K140" s="302">
        <f t="shared" si="66"/>
        <v>2</v>
      </c>
      <c r="L140" s="302">
        <f t="shared" si="66"/>
        <v>294</v>
      </c>
      <c r="M140" s="299">
        <v>12</v>
      </c>
      <c r="N140" s="300"/>
      <c r="O140" s="241"/>
      <c r="P140" s="242"/>
      <c r="Q140" s="242"/>
      <c r="R140" s="242"/>
      <c r="S140" s="242"/>
      <c r="T140" s="242"/>
      <c r="U140" s="242"/>
      <c r="V140" s="242"/>
      <c r="W140" s="242"/>
      <c r="X140" s="242"/>
      <c r="Y140" s="242"/>
      <c r="Z140" s="242"/>
      <c r="AA140" s="242"/>
      <c r="AB140" s="242"/>
      <c r="AC140" s="242"/>
      <c r="AD140" s="242"/>
      <c r="AE140" s="242"/>
      <c r="AF140" s="242"/>
      <c r="AG140" s="242"/>
      <c r="AH140" s="242"/>
      <c r="AI140" s="242"/>
      <c r="AJ140" s="242"/>
      <c r="AK140" s="242"/>
      <c r="AL140" s="242"/>
      <c r="AM140" s="242"/>
      <c r="AN140" s="242"/>
      <c r="AO140" s="242"/>
      <c r="AP140" s="242"/>
      <c r="AQ140" s="242"/>
      <c r="AR140" s="242"/>
      <c r="AS140" s="242"/>
      <c r="AT140" s="242"/>
      <c r="AU140" s="242"/>
      <c r="AV140" s="242"/>
      <c r="AW140" s="242"/>
      <c r="AX140" s="242"/>
      <c r="AY140" s="242"/>
      <c r="AZ140" s="242"/>
      <c r="BA140" s="242"/>
      <c r="BB140" s="242"/>
      <c r="BC140" s="242"/>
      <c r="BD140" s="242"/>
      <c r="BE140" s="242"/>
      <c r="BF140" s="242"/>
      <c r="BG140" s="242"/>
      <c r="BH140" s="242"/>
      <c r="BI140" s="242"/>
      <c r="BJ140" s="242"/>
      <c r="BK140" s="242"/>
      <c r="BL140" s="242"/>
      <c r="BM140" s="242"/>
      <c r="BN140" s="242"/>
      <c r="BO140" s="242"/>
      <c r="BP140" s="242"/>
      <c r="BQ140" s="242"/>
      <c r="BR140" s="242"/>
      <c r="BS140" s="242"/>
      <c r="BT140" s="242"/>
      <c r="BU140" s="242"/>
      <c r="BV140" s="242"/>
      <c r="BW140" s="242"/>
      <c r="BX140" s="242"/>
      <c r="BY140" s="242"/>
      <c r="BZ140" s="242"/>
      <c r="CA140" s="242"/>
      <c r="CB140" s="242"/>
      <c r="CC140" s="242"/>
      <c r="CD140" s="242"/>
    </row>
    <row r="141" spans="1:82" ht="12.75" hidden="1" customHeight="1">
      <c r="A141" s="242"/>
      <c r="B141" s="238"/>
      <c r="C141" s="261" t="s">
        <v>1927</v>
      </c>
      <c r="D141" s="303" t="s">
        <v>19</v>
      </c>
      <c r="E141" s="303" t="s">
        <v>19</v>
      </c>
      <c r="F141" s="303" t="s">
        <v>19</v>
      </c>
      <c r="G141" s="303" t="s">
        <v>19</v>
      </c>
      <c r="H141" s="303" t="s">
        <v>19</v>
      </c>
      <c r="I141" s="303" t="s">
        <v>19</v>
      </c>
      <c r="J141" s="303" t="s">
        <v>19</v>
      </c>
      <c r="K141" s="303" t="s">
        <v>19</v>
      </c>
      <c r="L141" s="303" t="s">
        <v>19</v>
      </c>
      <c r="M141" s="303" t="s">
        <v>19</v>
      </c>
      <c r="N141" s="303" t="s">
        <v>19</v>
      </c>
      <c r="O141" s="304"/>
      <c r="P141" s="242"/>
      <c r="Q141" s="242"/>
      <c r="R141" s="242"/>
      <c r="S141" s="242"/>
      <c r="T141" s="242"/>
      <c r="U141" s="242"/>
      <c r="V141" s="242"/>
      <c r="W141" s="242"/>
      <c r="X141" s="242"/>
      <c r="Y141" s="242"/>
      <c r="Z141" s="242"/>
      <c r="AA141" s="242"/>
      <c r="AB141" s="242"/>
      <c r="AC141" s="242"/>
      <c r="AD141" s="242"/>
      <c r="AE141" s="242"/>
      <c r="AF141" s="242"/>
      <c r="AG141" s="242"/>
      <c r="AH141" s="242"/>
      <c r="AI141" s="242"/>
      <c r="AJ141" s="242"/>
      <c r="AK141" s="242"/>
      <c r="AL141" s="242"/>
      <c r="AM141" s="242"/>
      <c r="AN141" s="242"/>
      <c r="AO141" s="242"/>
      <c r="AP141" s="242"/>
      <c r="AQ141" s="242"/>
      <c r="AR141" s="242"/>
      <c r="AS141" s="242"/>
      <c r="AT141" s="242"/>
      <c r="AU141" s="242"/>
      <c r="AV141" s="242"/>
      <c r="AW141" s="242"/>
      <c r="AX141" s="242"/>
      <c r="AY141" s="242"/>
      <c r="AZ141" s="242"/>
      <c r="BA141" s="242"/>
      <c r="BB141" s="242"/>
      <c r="BC141" s="242"/>
      <c r="BD141" s="242"/>
      <c r="BE141" s="242"/>
      <c r="BF141" s="242"/>
      <c r="BG141" s="242"/>
      <c r="BH141" s="242"/>
      <c r="BI141" s="242"/>
      <c r="BJ141" s="242"/>
      <c r="BK141" s="242"/>
      <c r="BL141" s="242"/>
      <c r="BM141" s="242"/>
      <c r="BN141" s="242"/>
      <c r="BO141" s="242"/>
      <c r="BP141" s="242"/>
      <c r="BQ141" s="242"/>
      <c r="BR141" s="242"/>
      <c r="BS141" s="242"/>
      <c r="BT141" s="242"/>
      <c r="BU141" s="242"/>
      <c r="BV141" s="242"/>
      <c r="BW141" s="242"/>
      <c r="BX141" s="242"/>
      <c r="BY141" s="242"/>
      <c r="BZ141" s="242"/>
      <c r="CA141" s="242"/>
      <c r="CB141" s="242"/>
      <c r="CC141" s="242"/>
      <c r="CD141" s="242"/>
    </row>
    <row r="142" spans="1:82" ht="12.75" hidden="1" customHeight="1">
      <c r="A142" s="242"/>
      <c r="B142" s="238"/>
      <c r="C142" s="247" t="s">
        <v>121</v>
      </c>
      <c r="D142" s="302">
        <f t="shared" ref="D142:L142" si="67">SUM(D158,D159,D164)</f>
        <v>4</v>
      </c>
      <c r="E142" s="302">
        <f t="shared" si="67"/>
        <v>45</v>
      </c>
      <c r="F142" s="302">
        <f t="shared" si="67"/>
        <v>0</v>
      </c>
      <c r="G142" s="302">
        <f t="shared" si="67"/>
        <v>0</v>
      </c>
      <c r="H142" s="302">
        <f t="shared" si="67"/>
        <v>0</v>
      </c>
      <c r="I142" s="302">
        <f t="shared" si="67"/>
        <v>0</v>
      </c>
      <c r="J142" s="302">
        <f t="shared" si="67"/>
        <v>43</v>
      </c>
      <c r="K142" s="302">
        <f t="shared" si="67"/>
        <v>44</v>
      </c>
      <c r="L142" s="302">
        <f t="shared" si="67"/>
        <v>0</v>
      </c>
      <c r="M142" s="299">
        <v>12</v>
      </c>
      <c r="N142" s="300"/>
      <c r="O142" s="304"/>
      <c r="P142" s="242"/>
      <c r="Q142" s="242"/>
      <c r="R142" s="242"/>
      <c r="S142" s="242"/>
      <c r="T142" s="242"/>
      <c r="U142" s="242"/>
      <c r="V142" s="242"/>
      <c r="W142" s="242"/>
      <c r="X142" s="242"/>
      <c r="Y142" s="242"/>
      <c r="Z142" s="242"/>
      <c r="AA142" s="242"/>
      <c r="AB142" s="242"/>
      <c r="AC142" s="242"/>
      <c r="AD142" s="242"/>
      <c r="AE142" s="242"/>
      <c r="AF142" s="242"/>
      <c r="AG142" s="242"/>
      <c r="AH142" s="242"/>
      <c r="AI142" s="242"/>
      <c r="AJ142" s="242"/>
      <c r="AK142" s="242"/>
      <c r="AL142" s="242"/>
      <c r="AM142" s="242"/>
      <c r="AN142" s="242"/>
      <c r="AO142" s="242"/>
      <c r="AP142" s="242"/>
      <c r="AQ142" s="242"/>
      <c r="AR142" s="242"/>
      <c r="AS142" s="242"/>
      <c r="AT142" s="242"/>
      <c r="AU142" s="242"/>
      <c r="AV142" s="242"/>
      <c r="AW142" s="242"/>
      <c r="AX142" s="242"/>
      <c r="AY142" s="242"/>
      <c r="AZ142" s="242"/>
      <c r="BA142" s="242"/>
      <c r="BB142" s="242"/>
      <c r="BC142" s="242"/>
      <c r="BD142" s="242"/>
      <c r="BE142" s="242"/>
      <c r="BF142" s="242"/>
      <c r="BG142" s="242"/>
      <c r="BH142" s="242"/>
      <c r="BI142" s="242"/>
      <c r="BJ142" s="242"/>
      <c r="BK142" s="242"/>
      <c r="BL142" s="242"/>
      <c r="BM142" s="242"/>
      <c r="BN142" s="242"/>
      <c r="BO142" s="242"/>
      <c r="BP142" s="242"/>
      <c r="BQ142" s="242"/>
      <c r="BR142" s="242"/>
      <c r="BS142" s="242"/>
      <c r="BT142" s="242"/>
      <c r="BU142" s="242"/>
      <c r="BV142" s="242"/>
      <c r="BW142" s="242"/>
      <c r="BX142" s="242"/>
      <c r="BY142" s="242"/>
      <c r="BZ142" s="242"/>
      <c r="CA142" s="242"/>
      <c r="CB142" s="242"/>
      <c r="CC142" s="242"/>
      <c r="CD142" s="242"/>
    </row>
    <row r="143" spans="1:82" ht="12.75" hidden="1" customHeight="1">
      <c r="A143" s="242"/>
      <c r="B143" s="238"/>
      <c r="C143" s="261" t="s">
        <v>1962</v>
      </c>
      <c r="D143" s="303" t="s">
        <v>19</v>
      </c>
      <c r="E143" s="303" t="s">
        <v>19</v>
      </c>
      <c r="F143" s="303" t="s">
        <v>19</v>
      </c>
      <c r="G143" s="303" t="s">
        <v>19</v>
      </c>
      <c r="H143" s="303" t="s">
        <v>19</v>
      </c>
      <c r="I143" s="303" t="s">
        <v>19</v>
      </c>
      <c r="J143" s="303" t="s">
        <v>19</v>
      </c>
      <c r="K143" s="303" t="s">
        <v>19</v>
      </c>
      <c r="L143" s="303" t="s">
        <v>19</v>
      </c>
      <c r="M143" s="303" t="s">
        <v>19</v>
      </c>
      <c r="N143" s="303" t="s">
        <v>19</v>
      </c>
      <c r="O143" s="241"/>
      <c r="P143" s="242"/>
      <c r="Q143" s="242"/>
      <c r="R143" s="242"/>
      <c r="S143" s="242"/>
      <c r="T143" s="242"/>
      <c r="U143" s="242"/>
      <c r="V143" s="242"/>
      <c r="W143" s="242"/>
      <c r="X143" s="242"/>
      <c r="Y143" s="242"/>
      <c r="Z143" s="242"/>
      <c r="AA143" s="242"/>
      <c r="AB143" s="242"/>
      <c r="AC143" s="242"/>
      <c r="AD143" s="242"/>
      <c r="AE143" s="242"/>
      <c r="AF143" s="242"/>
      <c r="AG143" s="242"/>
      <c r="AH143" s="242"/>
      <c r="AI143" s="242"/>
      <c r="AJ143" s="242"/>
      <c r="AK143" s="242"/>
      <c r="AL143" s="242"/>
      <c r="AM143" s="242"/>
      <c r="AN143" s="242"/>
      <c r="AO143" s="242"/>
      <c r="AP143" s="242"/>
      <c r="AQ143" s="242"/>
      <c r="AR143" s="242"/>
      <c r="AS143" s="242"/>
      <c r="AT143" s="242"/>
      <c r="AU143" s="242"/>
      <c r="AV143" s="242"/>
      <c r="AW143" s="242"/>
      <c r="AX143" s="242"/>
      <c r="AY143" s="242"/>
      <c r="AZ143" s="242"/>
      <c r="BA143" s="242"/>
      <c r="BB143" s="242"/>
      <c r="BC143" s="242"/>
      <c r="BD143" s="242"/>
      <c r="BE143" s="242"/>
      <c r="BF143" s="242"/>
      <c r="BG143" s="242"/>
      <c r="BH143" s="242"/>
      <c r="BI143" s="242"/>
      <c r="BJ143" s="242"/>
      <c r="BK143" s="242"/>
      <c r="BL143" s="242"/>
      <c r="BM143" s="242"/>
      <c r="BN143" s="242"/>
      <c r="BO143" s="242"/>
      <c r="BP143" s="242"/>
      <c r="BQ143" s="242"/>
      <c r="BR143" s="242"/>
      <c r="BS143" s="242"/>
      <c r="BT143" s="242"/>
      <c r="BU143" s="242"/>
      <c r="BV143" s="242"/>
      <c r="BW143" s="242"/>
      <c r="BX143" s="242"/>
      <c r="BY143" s="242"/>
      <c r="BZ143" s="242"/>
      <c r="CA143" s="242"/>
      <c r="CB143" s="242"/>
      <c r="CC143" s="242"/>
      <c r="CD143" s="242"/>
    </row>
    <row r="144" spans="1:82" ht="12.75" hidden="1" customHeight="1">
      <c r="A144" s="242"/>
      <c r="B144" s="238"/>
      <c r="C144" s="247" t="s">
        <v>122</v>
      </c>
      <c r="D144" s="302">
        <f t="shared" ref="D144:L144" si="68">D151</f>
        <v>0</v>
      </c>
      <c r="E144" s="302">
        <f t="shared" si="68"/>
        <v>2</v>
      </c>
      <c r="F144" s="302">
        <f t="shared" si="68"/>
        <v>0</v>
      </c>
      <c r="G144" s="302">
        <f t="shared" si="68"/>
        <v>4</v>
      </c>
      <c r="H144" s="302">
        <f t="shared" si="68"/>
        <v>51</v>
      </c>
      <c r="I144" s="302">
        <f t="shared" si="68"/>
        <v>0</v>
      </c>
      <c r="J144" s="302">
        <f t="shared" si="68"/>
        <v>36</v>
      </c>
      <c r="K144" s="302">
        <f t="shared" si="68"/>
        <v>0</v>
      </c>
      <c r="L144" s="302">
        <f t="shared" si="68"/>
        <v>0</v>
      </c>
      <c r="M144" s="299">
        <v>12</v>
      </c>
      <c r="N144" s="300"/>
      <c r="O144" s="241"/>
      <c r="P144" s="242"/>
      <c r="Q144" s="242"/>
      <c r="R144" s="242"/>
      <c r="S144" s="242"/>
      <c r="T144" s="242"/>
      <c r="U144" s="242"/>
      <c r="V144" s="242"/>
      <c r="W144" s="242"/>
      <c r="X144" s="242"/>
      <c r="Y144" s="242"/>
      <c r="Z144" s="242"/>
      <c r="AA144" s="242"/>
      <c r="AB144" s="242"/>
      <c r="AC144" s="242"/>
      <c r="AD144" s="242"/>
      <c r="AE144" s="242"/>
      <c r="AF144" s="242"/>
      <c r="AG144" s="242"/>
      <c r="AH144" s="242"/>
      <c r="AI144" s="242"/>
      <c r="AJ144" s="242"/>
      <c r="AK144" s="242"/>
      <c r="AL144" s="242"/>
      <c r="AM144" s="242"/>
      <c r="AN144" s="242"/>
      <c r="AO144" s="242"/>
      <c r="AP144" s="242"/>
      <c r="AQ144" s="242"/>
      <c r="AR144" s="242"/>
      <c r="AS144" s="242"/>
      <c r="AT144" s="242"/>
      <c r="AU144" s="242"/>
      <c r="AV144" s="242"/>
      <c r="AW144" s="242"/>
      <c r="AX144" s="242"/>
      <c r="AY144" s="242"/>
      <c r="AZ144" s="242"/>
      <c r="BA144" s="242"/>
      <c r="BB144" s="242"/>
      <c r="BC144" s="242"/>
      <c r="BD144" s="242"/>
      <c r="BE144" s="242"/>
      <c r="BF144" s="242"/>
      <c r="BG144" s="242"/>
      <c r="BH144" s="242"/>
      <c r="BI144" s="242"/>
      <c r="BJ144" s="242"/>
      <c r="BK144" s="242"/>
      <c r="BL144" s="242"/>
      <c r="BM144" s="242"/>
      <c r="BN144" s="242"/>
      <c r="BO144" s="242"/>
      <c r="BP144" s="242"/>
      <c r="BQ144" s="242"/>
      <c r="BR144" s="242"/>
      <c r="BS144" s="242"/>
      <c r="BT144" s="242"/>
      <c r="BU144" s="242"/>
      <c r="BV144" s="242"/>
      <c r="BW144" s="242"/>
      <c r="BX144" s="242"/>
      <c r="BY144" s="242"/>
      <c r="BZ144" s="242"/>
      <c r="CA144" s="242"/>
      <c r="CB144" s="242"/>
      <c r="CC144" s="242"/>
      <c r="CD144" s="242"/>
    </row>
    <row r="145" spans="1:82" ht="12.75" hidden="1" customHeight="1">
      <c r="A145" s="242"/>
      <c r="B145" s="238"/>
      <c r="C145" s="247" t="s">
        <v>123</v>
      </c>
      <c r="D145" s="302">
        <f t="shared" ref="D145:L145" si="69">SUM(D161:D162)</f>
        <v>0</v>
      </c>
      <c r="E145" s="302">
        <f t="shared" si="69"/>
        <v>0</v>
      </c>
      <c r="F145" s="302">
        <f t="shared" si="69"/>
        <v>8</v>
      </c>
      <c r="G145" s="302">
        <f t="shared" si="69"/>
        <v>32</v>
      </c>
      <c r="H145" s="302">
        <f t="shared" si="69"/>
        <v>0</v>
      </c>
      <c r="I145" s="302">
        <f t="shared" si="69"/>
        <v>0</v>
      </c>
      <c r="J145" s="302">
        <f t="shared" si="69"/>
        <v>72</v>
      </c>
      <c r="K145" s="302">
        <f t="shared" si="69"/>
        <v>0</v>
      </c>
      <c r="L145" s="302">
        <f t="shared" si="69"/>
        <v>50</v>
      </c>
      <c r="M145" s="299">
        <v>12</v>
      </c>
      <c r="N145" s="300"/>
      <c r="O145" s="241"/>
      <c r="P145" s="242"/>
      <c r="Q145" s="242"/>
      <c r="R145" s="242"/>
      <c r="S145" s="242"/>
      <c r="T145" s="242"/>
      <c r="U145" s="242"/>
      <c r="V145" s="242"/>
      <c r="W145" s="242"/>
      <c r="X145" s="242"/>
      <c r="Y145" s="242"/>
      <c r="Z145" s="242"/>
      <c r="AA145" s="242"/>
      <c r="AB145" s="242"/>
      <c r="AC145" s="242"/>
      <c r="AD145" s="242"/>
      <c r="AE145" s="242"/>
      <c r="AF145" s="242"/>
      <c r="AG145" s="242"/>
      <c r="AH145" s="242"/>
      <c r="AI145" s="242"/>
      <c r="AJ145" s="242"/>
      <c r="AK145" s="242"/>
      <c r="AL145" s="242"/>
      <c r="AM145" s="242"/>
      <c r="AN145" s="242"/>
      <c r="AO145" s="242"/>
      <c r="AP145" s="242"/>
      <c r="AQ145" s="242"/>
      <c r="AR145" s="242"/>
      <c r="AS145" s="242"/>
      <c r="AT145" s="242"/>
      <c r="AU145" s="242"/>
      <c r="AV145" s="242"/>
      <c r="AW145" s="242"/>
      <c r="AX145" s="242"/>
      <c r="AY145" s="242"/>
      <c r="AZ145" s="242"/>
      <c r="BA145" s="242"/>
      <c r="BB145" s="242"/>
      <c r="BC145" s="242"/>
      <c r="BD145" s="242"/>
      <c r="BE145" s="242"/>
      <c r="BF145" s="242"/>
      <c r="BG145" s="242"/>
      <c r="BH145" s="242"/>
      <c r="BI145" s="242"/>
      <c r="BJ145" s="242"/>
      <c r="BK145" s="242"/>
      <c r="BL145" s="242"/>
      <c r="BM145" s="242"/>
      <c r="BN145" s="242"/>
      <c r="BO145" s="242"/>
      <c r="BP145" s="242"/>
      <c r="BQ145" s="242"/>
      <c r="BR145" s="242"/>
      <c r="BS145" s="242"/>
      <c r="BT145" s="242"/>
      <c r="BU145" s="242"/>
      <c r="BV145" s="242"/>
      <c r="BW145" s="242"/>
      <c r="BX145" s="242"/>
      <c r="BY145" s="242"/>
      <c r="BZ145" s="242"/>
      <c r="CA145" s="242"/>
      <c r="CB145" s="242"/>
      <c r="CC145" s="242"/>
      <c r="CD145" s="242"/>
    </row>
    <row r="146" spans="1:82" ht="12.75" hidden="1" customHeight="1">
      <c r="A146" s="242"/>
      <c r="B146" s="238"/>
      <c r="C146" s="247" t="s">
        <v>124</v>
      </c>
      <c r="D146" s="302">
        <f t="shared" ref="D146:L146" si="70">D165</f>
        <v>27</v>
      </c>
      <c r="E146" s="302">
        <f t="shared" si="70"/>
        <v>25</v>
      </c>
      <c r="F146" s="302">
        <f t="shared" si="70"/>
        <v>67</v>
      </c>
      <c r="G146" s="302">
        <f t="shared" si="70"/>
        <v>7</v>
      </c>
      <c r="H146" s="302">
        <f t="shared" si="70"/>
        <v>84</v>
      </c>
      <c r="I146" s="302">
        <f t="shared" si="70"/>
        <v>0</v>
      </c>
      <c r="J146" s="302">
        <f t="shared" si="70"/>
        <v>9</v>
      </c>
      <c r="K146" s="302">
        <f t="shared" si="70"/>
        <v>2</v>
      </c>
      <c r="L146" s="302">
        <f t="shared" si="70"/>
        <v>288</v>
      </c>
      <c r="M146" s="299">
        <v>12</v>
      </c>
      <c r="N146" s="300"/>
      <c r="O146" s="241"/>
      <c r="P146" s="242"/>
      <c r="Q146" s="242"/>
      <c r="R146" s="242"/>
      <c r="S146" s="242"/>
      <c r="T146" s="242"/>
      <c r="U146" s="242"/>
      <c r="V146" s="242"/>
      <c r="W146" s="242"/>
      <c r="X146" s="242"/>
      <c r="Y146" s="242"/>
      <c r="Z146" s="242"/>
      <c r="AA146" s="242"/>
      <c r="AB146" s="242"/>
      <c r="AC146" s="242"/>
      <c r="AD146" s="242"/>
      <c r="AE146" s="242"/>
      <c r="AF146" s="242"/>
      <c r="AG146" s="242"/>
      <c r="AH146" s="242"/>
      <c r="AI146" s="242"/>
      <c r="AJ146" s="242"/>
      <c r="AK146" s="242"/>
      <c r="AL146" s="242"/>
      <c r="AM146" s="242"/>
      <c r="AN146" s="242"/>
      <c r="AO146" s="242"/>
      <c r="AP146" s="242"/>
      <c r="AQ146" s="242"/>
      <c r="AR146" s="242"/>
      <c r="AS146" s="242"/>
      <c r="AT146" s="242"/>
      <c r="AU146" s="242"/>
      <c r="AV146" s="242"/>
      <c r="AW146" s="242"/>
      <c r="AX146" s="242"/>
      <c r="AY146" s="242"/>
      <c r="AZ146" s="242"/>
      <c r="BA146" s="242"/>
      <c r="BB146" s="242"/>
      <c r="BC146" s="242"/>
      <c r="BD146" s="242"/>
      <c r="BE146" s="242"/>
      <c r="BF146" s="242"/>
      <c r="BG146" s="242"/>
      <c r="BH146" s="242"/>
      <c r="BI146" s="242"/>
      <c r="BJ146" s="242"/>
      <c r="BK146" s="242"/>
      <c r="BL146" s="242"/>
      <c r="BM146" s="242"/>
      <c r="BN146" s="242"/>
      <c r="BO146" s="242"/>
      <c r="BP146" s="242"/>
      <c r="BQ146" s="242"/>
      <c r="BR146" s="242"/>
      <c r="BS146" s="242"/>
      <c r="BT146" s="242"/>
      <c r="BU146" s="242"/>
      <c r="BV146" s="242"/>
      <c r="BW146" s="242"/>
      <c r="BX146" s="242"/>
      <c r="BY146" s="242"/>
      <c r="BZ146" s="242"/>
      <c r="CA146" s="242"/>
      <c r="CB146" s="242"/>
      <c r="CC146" s="242"/>
      <c r="CD146" s="242"/>
    </row>
    <row r="147" spans="1:82" ht="12.75" hidden="1" customHeight="1">
      <c r="A147" s="242"/>
      <c r="B147" s="238"/>
      <c r="C147" s="247" t="s">
        <v>125</v>
      </c>
      <c r="D147" s="302">
        <f t="shared" ref="D147:L147" si="71">SUM(D150,D154,D155)</f>
        <v>34</v>
      </c>
      <c r="E147" s="302">
        <f t="shared" si="71"/>
        <v>133</v>
      </c>
      <c r="F147" s="302">
        <f t="shared" si="71"/>
        <v>0</v>
      </c>
      <c r="G147" s="302">
        <f t="shared" si="71"/>
        <v>10</v>
      </c>
      <c r="H147" s="302">
        <f t="shared" si="71"/>
        <v>21</v>
      </c>
      <c r="I147" s="302">
        <f t="shared" si="71"/>
        <v>4</v>
      </c>
      <c r="J147" s="302">
        <f t="shared" si="71"/>
        <v>60</v>
      </c>
      <c r="K147" s="302">
        <f t="shared" si="71"/>
        <v>21</v>
      </c>
      <c r="L147" s="302">
        <f t="shared" si="71"/>
        <v>248</v>
      </c>
      <c r="M147" s="299">
        <v>12</v>
      </c>
      <c r="N147" s="300"/>
      <c r="O147" s="241"/>
      <c r="P147" s="242"/>
      <c r="Q147" s="242"/>
      <c r="R147" s="242"/>
      <c r="S147" s="242"/>
      <c r="T147" s="242"/>
      <c r="U147" s="242"/>
      <c r="V147" s="242"/>
      <c r="W147" s="242"/>
      <c r="X147" s="242"/>
      <c r="Y147" s="242"/>
      <c r="Z147" s="242"/>
      <c r="AA147" s="242"/>
      <c r="AB147" s="242"/>
      <c r="AC147" s="242"/>
      <c r="AD147" s="242"/>
      <c r="AE147" s="242"/>
      <c r="AF147" s="242"/>
      <c r="AG147" s="242"/>
      <c r="AH147" s="242"/>
      <c r="AI147" s="242"/>
      <c r="AJ147" s="242"/>
      <c r="AK147" s="242"/>
      <c r="AL147" s="242"/>
      <c r="AM147" s="242"/>
      <c r="AN147" s="242"/>
      <c r="AO147" s="242"/>
      <c r="AP147" s="242"/>
      <c r="AQ147" s="242"/>
      <c r="AR147" s="242"/>
      <c r="AS147" s="242"/>
      <c r="AT147" s="242"/>
      <c r="AU147" s="242"/>
      <c r="AV147" s="242"/>
      <c r="AW147" s="242"/>
      <c r="AX147" s="242"/>
      <c r="AY147" s="242"/>
      <c r="AZ147" s="242"/>
      <c r="BA147" s="242"/>
      <c r="BB147" s="242"/>
      <c r="BC147" s="242"/>
      <c r="BD147" s="242"/>
      <c r="BE147" s="242"/>
      <c r="BF147" s="242"/>
      <c r="BG147" s="242"/>
      <c r="BH147" s="242"/>
      <c r="BI147" s="242"/>
      <c r="BJ147" s="242"/>
      <c r="BK147" s="242"/>
      <c r="BL147" s="242"/>
      <c r="BM147" s="242"/>
      <c r="BN147" s="242"/>
      <c r="BO147" s="242"/>
      <c r="BP147" s="242"/>
      <c r="BQ147" s="242"/>
      <c r="BR147" s="242"/>
      <c r="BS147" s="242"/>
      <c r="BT147" s="242"/>
      <c r="BU147" s="242"/>
      <c r="BV147" s="242"/>
      <c r="BW147" s="242"/>
      <c r="BX147" s="242"/>
      <c r="BY147" s="242"/>
      <c r="BZ147" s="242"/>
      <c r="CA147" s="242"/>
      <c r="CB147" s="242"/>
      <c r="CC147" s="242"/>
      <c r="CD147" s="242"/>
    </row>
    <row r="148" spans="1:82" ht="12.75" hidden="1" customHeight="1">
      <c r="A148" s="242"/>
      <c r="B148" s="238"/>
      <c r="C148" s="297" t="s">
        <v>69</v>
      </c>
      <c r="D148" s="305">
        <v>5</v>
      </c>
      <c r="E148" s="305">
        <v>35</v>
      </c>
      <c r="F148" s="305">
        <v>0</v>
      </c>
      <c r="G148" s="305">
        <v>15</v>
      </c>
      <c r="H148" s="305">
        <v>0</v>
      </c>
      <c r="I148" s="305">
        <v>0</v>
      </c>
      <c r="J148" s="306">
        <v>10</v>
      </c>
      <c r="K148" s="307">
        <v>0</v>
      </c>
      <c r="L148" s="305">
        <v>16</v>
      </c>
      <c r="M148" s="299">
        <v>12</v>
      </c>
      <c r="N148" s="300"/>
      <c r="O148" s="241"/>
      <c r="P148" s="242"/>
      <c r="Q148" s="242"/>
      <c r="R148" s="242"/>
      <c r="S148" s="242"/>
      <c r="T148" s="242"/>
      <c r="U148" s="242"/>
      <c r="V148" s="242"/>
      <c r="W148" s="242"/>
      <c r="X148" s="242"/>
      <c r="Y148" s="242"/>
      <c r="Z148" s="242"/>
      <c r="AA148" s="242"/>
      <c r="AB148" s="242"/>
      <c r="AC148" s="242"/>
      <c r="AD148" s="242"/>
      <c r="AE148" s="242"/>
      <c r="AF148" s="242"/>
      <c r="AG148" s="242"/>
      <c r="AH148" s="242"/>
      <c r="AI148" s="242"/>
      <c r="AJ148" s="242"/>
      <c r="AK148" s="242"/>
      <c r="AL148" s="242"/>
      <c r="AM148" s="242"/>
      <c r="AN148" s="242"/>
      <c r="AO148" s="242"/>
      <c r="AP148" s="242"/>
      <c r="AQ148" s="242"/>
      <c r="AR148" s="242"/>
      <c r="AS148" s="242"/>
      <c r="AT148" s="242"/>
      <c r="AU148" s="242"/>
      <c r="AV148" s="242"/>
      <c r="AW148" s="242"/>
      <c r="AX148" s="242"/>
      <c r="AY148" s="242"/>
      <c r="AZ148" s="242"/>
      <c r="BA148" s="242"/>
      <c r="BB148" s="242"/>
      <c r="BC148" s="242"/>
      <c r="BD148" s="242"/>
      <c r="BE148" s="242"/>
      <c r="BF148" s="242"/>
      <c r="BG148" s="242"/>
      <c r="BH148" s="242"/>
      <c r="BI148" s="242"/>
      <c r="BJ148" s="242"/>
      <c r="BK148" s="242"/>
      <c r="BL148" s="242"/>
      <c r="BM148" s="242"/>
      <c r="BN148" s="242"/>
      <c r="BO148" s="242"/>
      <c r="BP148" s="242"/>
      <c r="BQ148" s="242"/>
      <c r="BR148" s="242"/>
      <c r="BS148" s="242"/>
      <c r="BT148" s="242"/>
      <c r="BU148" s="242"/>
      <c r="BV148" s="242"/>
      <c r="BW148" s="242"/>
      <c r="BX148" s="242"/>
      <c r="BY148" s="242"/>
      <c r="BZ148" s="242"/>
      <c r="CA148" s="242"/>
      <c r="CB148" s="242"/>
      <c r="CC148" s="242"/>
      <c r="CD148" s="242"/>
    </row>
    <row r="149" spans="1:82" ht="12.75" hidden="1" customHeight="1">
      <c r="A149" s="242"/>
      <c r="B149" s="238"/>
      <c r="C149" s="297" t="s">
        <v>80</v>
      </c>
      <c r="D149" s="305">
        <v>59</v>
      </c>
      <c r="E149" s="305">
        <v>74</v>
      </c>
      <c r="F149" s="305">
        <v>4</v>
      </c>
      <c r="G149" s="305">
        <v>21</v>
      </c>
      <c r="H149" s="305">
        <v>2</v>
      </c>
      <c r="I149" s="305">
        <v>0</v>
      </c>
      <c r="J149" s="306">
        <v>9</v>
      </c>
      <c r="K149" s="307">
        <v>0</v>
      </c>
      <c r="L149" s="305">
        <v>280</v>
      </c>
      <c r="M149" s="299">
        <v>12</v>
      </c>
      <c r="N149" s="300"/>
      <c r="O149" s="241"/>
      <c r="P149" s="242"/>
      <c r="Q149" s="242"/>
      <c r="R149" s="242"/>
      <c r="S149" s="242"/>
      <c r="T149" s="242"/>
      <c r="U149" s="242"/>
      <c r="V149" s="242"/>
      <c r="W149" s="242"/>
      <c r="X149" s="242"/>
      <c r="Y149" s="242"/>
      <c r="Z149" s="242"/>
      <c r="AA149" s="242"/>
      <c r="AB149" s="242"/>
      <c r="AC149" s="242"/>
      <c r="AD149" s="242"/>
      <c r="AE149" s="242"/>
      <c r="AF149" s="242"/>
      <c r="AG149" s="242"/>
      <c r="AH149" s="242"/>
      <c r="AI149" s="242"/>
      <c r="AJ149" s="242"/>
      <c r="AK149" s="242"/>
      <c r="AL149" s="242"/>
      <c r="AM149" s="242"/>
      <c r="AN149" s="242"/>
      <c r="AO149" s="242"/>
      <c r="AP149" s="242"/>
      <c r="AQ149" s="242"/>
      <c r="AR149" s="242"/>
      <c r="AS149" s="242"/>
      <c r="AT149" s="242"/>
      <c r="AU149" s="242"/>
      <c r="AV149" s="242"/>
      <c r="AW149" s="242"/>
      <c r="AX149" s="242"/>
      <c r="AY149" s="242"/>
      <c r="AZ149" s="242"/>
      <c r="BA149" s="242"/>
      <c r="BB149" s="242"/>
      <c r="BC149" s="242"/>
      <c r="BD149" s="242"/>
      <c r="BE149" s="242"/>
      <c r="BF149" s="242"/>
      <c r="BG149" s="242"/>
      <c r="BH149" s="242"/>
      <c r="BI149" s="242"/>
      <c r="BJ149" s="242"/>
      <c r="BK149" s="242"/>
      <c r="BL149" s="242"/>
      <c r="BM149" s="242"/>
      <c r="BN149" s="242"/>
      <c r="BO149" s="242"/>
      <c r="BP149" s="242"/>
      <c r="BQ149" s="242"/>
      <c r="BR149" s="242"/>
      <c r="BS149" s="242"/>
      <c r="BT149" s="242"/>
      <c r="BU149" s="242"/>
      <c r="BV149" s="242"/>
      <c r="BW149" s="242"/>
      <c r="BX149" s="242"/>
      <c r="BY149" s="242"/>
      <c r="BZ149" s="242"/>
      <c r="CA149" s="242"/>
      <c r="CB149" s="242"/>
      <c r="CC149" s="242"/>
      <c r="CD149" s="242"/>
    </row>
    <row r="150" spans="1:82" ht="12.75" hidden="1" customHeight="1">
      <c r="A150" s="242"/>
      <c r="B150" s="238"/>
      <c r="C150" s="297" t="s">
        <v>70</v>
      </c>
      <c r="D150" s="305">
        <v>1</v>
      </c>
      <c r="E150" s="305">
        <v>103</v>
      </c>
      <c r="F150" s="305">
        <v>0</v>
      </c>
      <c r="G150" s="305">
        <v>0</v>
      </c>
      <c r="H150" s="305">
        <v>0</v>
      </c>
      <c r="I150" s="305">
        <v>0</v>
      </c>
      <c r="J150" s="306">
        <v>36</v>
      </c>
      <c r="K150" s="307">
        <v>0</v>
      </c>
      <c r="L150" s="305">
        <v>40</v>
      </c>
      <c r="M150" s="299">
        <v>12</v>
      </c>
      <c r="N150" s="300"/>
      <c r="O150" s="241"/>
      <c r="P150" s="242"/>
      <c r="Q150" s="242"/>
      <c r="R150" s="242"/>
      <c r="S150" s="242"/>
      <c r="T150" s="242"/>
      <c r="U150" s="242"/>
      <c r="V150" s="242"/>
      <c r="W150" s="242"/>
      <c r="X150" s="242"/>
      <c r="Y150" s="242"/>
      <c r="Z150" s="242"/>
      <c r="AA150" s="242"/>
      <c r="AB150" s="242"/>
      <c r="AC150" s="242"/>
      <c r="AD150" s="242"/>
      <c r="AE150" s="242"/>
      <c r="AF150" s="242"/>
      <c r="AG150" s="242"/>
      <c r="AH150" s="242"/>
      <c r="AI150" s="242"/>
      <c r="AJ150" s="242"/>
      <c r="AK150" s="242"/>
      <c r="AL150" s="242"/>
      <c r="AM150" s="242"/>
      <c r="AN150" s="242"/>
      <c r="AO150" s="242"/>
      <c r="AP150" s="242"/>
      <c r="AQ150" s="242"/>
      <c r="AR150" s="242"/>
      <c r="AS150" s="242"/>
      <c r="AT150" s="242"/>
      <c r="AU150" s="242"/>
      <c r="AV150" s="242"/>
      <c r="AW150" s="242"/>
      <c r="AX150" s="242"/>
      <c r="AY150" s="242"/>
      <c r="AZ150" s="242"/>
      <c r="BA150" s="242"/>
      <c r="BB150" s="242"/>
      <c r="BC150" s="242"/>
      <c r="BD150" s="242"/>
      <c r="BE150" s="242"/>
      <c r="BF150" s="242"/>
      <c r="BG150" s="242"/>
      <c r="BH150" s="242"/>
      <c r="BI150" s="242"/>
      <c r="BJ150" s="242"/>
      <c r="BK150" s="242"/>
      <c r="BL150" s="242"/>
      <c r="BM150" s="242"/>
      <c r="BN150" s="242"/>
      <c r="BO150" s="242"/>
      <c r="BP150" s="242"/>
      <c r="BQ150" s="242"/>
      <c r="BR150" s="242"/>
      <c r="BS150" s="242"/>
      <c r="BT150" s="242"/>
      <c r="BU150" s="242"/>
      <c r="BV150" s="242"/>
      <c r="BW150" s="242"/>
      <c r="BX150" s="242"/>
      <c r="BY150" s="242"/>
      <c r="BZ150" s="242"/>
      <c r="CA150" s="242"/>
      <c r="CB150" s="242"/>
      <c r="CC150" s="242"/>
      <c r="CD150" s="242"/>
    </row>
    <row r="151" spans="1:82" ht="12.75" hidden="1" customHeight="1">
      <c r="A151" s="242"/>
      <c r="B151" s="238"/>
      <c r="C151" s="266" t="s">
        <v>71</v>
      </c>
      <c r="D151" s="305">
        <v>0</v>
      </c>
      <c r="E151" s="305">
        <v>2</v>
      </c>
      <c r="F151" s="305">
        <v>0</v>
      </c>
      <c r="G151" s="305">
        <v>4</v>
      </c>
      <c r="H151" s="305">
        <v>51</v>
      </c>
      <c r="I151" s="305">
        <v>0</v>
      </c>
      <c r="J151" s="306">
        <v>36</v>
      </c>
      <c r="K151" s="307">
        <v>0</v>
      </c>
      <c r="L151" s="305">
        <v>0</v>
      </c>
      <c r="M151" s="299">
        <v>12</v>
      </c>
      <c r="N151" s="300"/>
      <c r="O151" s="241"/>
      <c r="P151" s="242"/>
      <c r="Q151" s="242"/>
      <c r="R151" s="242"/>
      <c r="S151" s="242"/>
      <c r="T151" s="242"/>
      <c r="U151" s="242"/>
      <c r="V151" s="242"/>
      <c r="W151" s="242"/>
      <c r="X151" s="242"/>
      <c r="Y151" s="242"/>
      <c r="Z151" s="242"/>
      <c r="AA151" s="242"/>
      <c r="AB151" s="242"/>
      <c r="AC151" s="242"/>
      <c r="AD151" s="242"/>
      <c r="AE151" s="242"/>
      <c r="AF151" s="242"/>
      <c r="AG151" s="242"/>
      <c r="AH151" s="242"/>
      <c r="AI151" s="242"/>
      <c r="AJ151" s="242"/>
      <c r="AK151" s="242"/>
      <c r="AL151" s="242"/>
      <c r="AM151" s="242"/>
      <c r="AN151" s="242"/>
      <c r="AO151" s="242"/>
      <c r="AP151" s="242"/>
      <c r="AQ151" s="242"/>
      <c r="AR151" s="242"/>
      <c r="AS151" s="242"/>
      <c r="AT151" s="242"/>
      <c r="AU151" s="242"/>
      <c r="AV151" s="242"/>
      <c r="AW151" s="242"/>
      <c r="AX151" s="242"/>
      <c r="AY151" s="242"/>
      <c r="AZ151" s="242"/>
      <c r="BA151" s="242"/>
      <c r="BB151" s="242"/>
      <c r="BC151" s="242"/>
      <c r="BD151" s="242"/>
      <c r="BE151" s="242"/>
      <c r="BF151" s="242"/>
      <c r="BG151" s="242"/>
      <c r="BH151" s="242"/>
      <c r="BI151" s="242"/>
      <c r="BJ151" s="242"/>
      <c r="BK151" s="242"/>
      <c r="BL151" s="242"/>
      <c r="BM151" s="242"/>
      <c r="BN151" s="242"/>
      <c r="BO151" s="242"/>
      <c r="BP151" s="242"/>
      <c r="BQ151" s="242"/>
      <c r="BR151" s="242"/>
      <c r="BS151" s="242"/>
      <c r="BT151" s="242"/>
      <c r="BU151" s="242"/>
      <c r="BV151" s="242"/>
      <c r="BW151" s="242"/>
      <c r="BX151" s="242"/>
      <c r="BY151" s="242"/>
      <c r="BZ151" s="242"/>
      <c r="CA151" s="242"/>
      <c r="CB151" s="242"/>
      <c r="CC151" s="242"/>
      <c r="CD151" s="242"/>
    </row>
    <row r="152" spans="1:82" ht="12.75" hidden="1" customHeight="1">
      <c r="A152" s="242"/>
      <c r="B152" s="238"/>
      <c r="C152" s="297" t="s">
        <v>73</v>
      </c>
      <c r="D152" s="305">
        <v>0</v>
      </c>
      <c r="E152" s="305">
        <v>0</v>
      </c>
      <c r="F152" s="305">
        <v>0</v>
      </c>
      <c r="G152" s="305">
        <v>0</v>
      </c>
      <c r="H152" s="305">
        <v>0</v>
      </c>
      <c r="I152" s="305">
        <v>0</v>
      </c>
      <c r="J152" s="307">
        <v>0</v>
      </c>
      <c r="K152" s="307">
        <v>0</v>
      </c>
      <c r="L152" s="305">
        <v>0</v>
      </c>
      <c r="M152" s="299">
        <v>12</v>
      </c>
      <c r="N152" s="300"/>
      <c r="O152" s="241"/>
      <c r="P152" s="242"/>
      <c r="Q152" s="242"/>
      <c r="R152" s="242"/>
      <c r="S152" s="242"/>
      <c r="T152" s="242"/>
      <c r="U152" s="242"/>
      <c r="V152" s="242"/>
      <c r="W152" s="242"/>
      <c r="X152" s="242"/>
      <c r="Y152" s="242"/>
      <c r="Z152" s="242"/>
      <c r="AA152" s="242"/>
      <c r="AB152" s="242"/>
      <c r="AC152" s="242"/>
      <c r="AD152" s="242"/>
      <c r="AE152" s="242"/>
      <c r="AF152" s="242"/>
      <c r="AG152" s="242"/>
      <c r="AH152" s="242"/>
      <c r="AI152" s="242"/>
      <c r="AJ152" s="242"/>
      <c r="AK152" s="242"/>
      <c r="AL152" s="242"/>
      <c r="AM152" s="242"/>
      <c r="AN152" s="242"/>
      <c r="AO152" s="242"/>
      <c r="AP152" s="242"/>
      <c r="AQ152" s="242"/>
      <c r="AR152" s="242"/>
      <c r="AS152" s="242"/>
      <c r="AT152" s="242"/>
      <c r="AU152" s="242"/>
      <c r="AV152" s="242"/>
      <c r="AW152" s="242"/>
      <c r="AX152" s="242"/>
      <c r="AY152" s="242"/>
      <c r="AZ152" s="242"/>
      <c r="BA152" s="242"/>
      <c r="BB152" s="242"/>
      <c r="BC152" s="242"/>
      <c r="BD152" s="242"/>
      <c r="BE152" s="242"/>
      <c r="BF152" s="242"/>
      <c r="BG152" s="242"/>
      <c r="BH152" s="242"/>
      <c r="BI152" s="242"/>
      <c r="BJ152" s="242"/>
      <c r="BK152" s="242"/>
      <c r="BL152" s="242"/>
      <c r="BM152" s="242"/>
      <c r="BN152" s="242"/>
      <c r="BO152" s="242"/>
      <c r="BP152" s="242"/>
      <c r="BQ152" s="242"/>
      <c r="BR152" s="242"/>
      <c r="BS152" s="242"/>
      <c r="BT152" s="242"/>
      <c r="BU152" s="242"/>
      <c r="BV152" s="242"/>
      <c r="BW152" s="242"/>
      <c r="BX152" s="242"/>
      <c r="BY152" s="242"/>
      <c r="BZ152" s="242"/>
      <c r="CA152" s="242"/>
      <c r="CB152" s="242"/>
      <c r="CC152" s="242"/>
      <c r="CD152" s="242"/>
    </row>
    <row r="153" spans="1:82" ht="12.75" hidden="1" customHeight="1">
      <c r="A153" s="242"/>
      <c r="B153" s="238"/>
      <c r="C153" s="297" t="s">
        <v>74</v>
      </c>
      <c r="D153" s="305">
        <v>23</v>
      </c>
      <c r="E153" s="305">
        <v>64</v>
      </c>
      <c r="F153" s="305">
        <v>0</v>
      </c>
      <c r="G153" s="305">
        <v>7</v>
      </c>
      <c r="H153" s="305">
        <v>10</v>
      </c>
      <c r="I153" s="305">
        <v>0</v>
      </c>
      <c r="J153" s="306">
        <v>9</v>
      </c>
      <c r="K153" s="307">
        <v>0</v>
      </c>
      <c r="L153" s="305">
        <v>0</v>
      </c>
      <c r="M153" s="299">
        <v>12</v>
      </c>
      <c r="N153" s="300"/>
      <c r="O153" s="241"/>
      <c r="P153" s="242"/>
      <c r="Q153" s="242"/>
      <c r="R153" s="242"/>
      <c r="S153" s="242"/>
      <c r="T153" s="242"/>
      <c r="U153" s="242"/>
      <c r="V153" s="242"/>
      <c r="W153" s="242"/>
      <c r="X153" s="242"/>
      <c r="Y153" s="242"/>
      <c r="Z153" s="242"/>
      <c r="AA153" s="242"/>
      <c r="AB153" s="242"/>
      <c r="AC153" s="242"/>
      <c r="AD153" s="242"/>
      <c r="AE153" s="242"/>
      <c r="AF153" s="242"/>
      <c r="AG153" s="242"/>
      <c r="AH153" s="242"/>
      <c r="AI153" s="242"/>
      <c r="AJ153" s="242"/>
      <c r="AK153" s="242"/>
      <c r="AL153" s="242"/>
      <c r="AM153" s="242"/>
      <c r="AN153" s="242"/>
      <c r="AO153" s="242"/>
      <c r="AP153" s="242"/>
      <c r="AQ153" s="242"/>
      <c r="AR153" s="242"/>
      <c r="AS153" s="242"/>
      <c r="AT153" s="242"/>
      <c r="AU153" s="242"/>
      <c r="AV153" s="242"/>
      <c r="AW153" s="242"/>
      <c r="AX153" s="242"/>
      <c r="AY153" s="242"/>
      <c r="AZ153" s="242"/>
      <c r="BA153" s="242"/>
      <c r="BB153" s="242"/>
      <c r="BC153" s="242"/>
      <c r="BD153" s="242"/>
      <c r="BE153" s="242"/>
      <c r="BF153" s="242"/>
      <c r="BG153" s="242"/>
      <c r="BH153" s="242"/>
      <c r="BI153" s="242"/>
      <c r="BJ153" s="242"/>
      <c r="BK153" s="242"/>
      <c r="BL153" s="242"/>
      <c r="BM153" s="242"/>
      <c r="BN153" s="242"/>
      <c r="BO153" s="242"/>
      <c r="BP153" s="242"/>
      <c r="BQ153" s="242"/>
      <c r="BR153" s="242"/>
      <c r="BS153" s="242"/>
      <c r="BT153" s="242"/>
      <c r="BU153" s="242"/>
      <c r="BV153" s="242"/>
      <c r="BW153" s="242"/>
      <c r="BX153" s="242"/>
      <c r="BY153" s="242"/>
      <c r="BZ153" s="242"/>
      <c r="CA153" s="242"/>
      <c r="CB153" s="242"/>
      <c r="CC153" s="242"/>
      <c r="CD153" s="242"/>
    </row>
    <row r="154" spans="1:82" ht="12.75" hidden="1" customHeight="1">
      <c r="A154" s="242"/>
      <c r="B154" s="238"/>
      <c r="C154" s="297" t="s">
        <v>75</v>
      </c>
      <c r="D154" s="305">
        <v>28</v>
      </c>
      <c r="E154" s="305">
        <v>28</v>
      </c>
      <c r="F154" s="305">
        <v>0</v>
      </c>
      <c r="G154" s="305">
        <v>0</v>
      </c>
      <c r="H154" s="305">
        <v>0</v>
      </c>
      <c r="I154" s="305">
        <v>0</v>
      </c>
      <c r="J154" s="306">
        <v>4</v>
      </c>
      <c r="K154" s="307">
        <v>21</v>
      </c>
      <c r="L154" s="305">
        <v>16</v>
      </c>
      <c r="M154" s="299">
        <v>12</v>
      </c>
      <c r="N154" s="300"/>
      <c r="O154" s="241"/>
      <c r="P154" s="242"/>
      <c r="Q154" s="242"/>
      <c r="R154" s="242"/>
      <c r="S154" s="242"/>
      <c r="T154" s="242"/>
      <c r="U154" s="242"/>
      <c r="V154" s="242"/>
      <c r="W154" s="242"/>
      <c r="X154" s="242"/>
      <c r="Y154" s="242"/>
      <c r="Z154" s="242"/>
      <c r="AA154" s="242"/>
      <c r="AB154" s="242"/>
      <c r="AC154" s="242"/>
      <c r="AD154" s="242"/>
      <c r="AE154" s="242"/>
      <c r="AF154" s="242"/>
      <c r="AG154" s="242"/>
      <c r="AH154" s="242"/>
      <c r="AI154" s="242"/>
      <c r="AJ154" s="242"/>
      <c r="AK154" s="242"/>
      <c r="AL154" s="242"/>
      <c r="AM154" s="242"/>
      <c r="AN154" s="242"/>
      <c r="AO154" s="242"/>
      <c r="AP154" s="242"/>
      <c r="AQ154" s="242"/>
      <c r="AR154" s="242"/>
      <c r="AS154" s="242"/>
      <c r="AT154" s="242"/>
      <c r="AU154" s="242"/>
      <c r="AV154" s="242"/>
      <c r="AW154" s="242"/>
      <c r="AX154" s="242"/>
      <c r="AY154" s="242"/>
      <c r="AZ154" s="242"/>
      <c r="BA154" s="242"/>
      <c r="BB154" s="242"/>
      <c r="BC154" s="242"/>
      <c r="BD154" s="242"/>
      <c r="BE154" s="242"/>
      <c r="BF154" s="242"/>
      <c r="BG154" s="242"/>
      <c r="BH154" s="242"/>
      <c r="BI154" s="242"/>
      <c r="BJ154" s="242"/>
      <c r="BK154" s="242"/>
      <c r="BL154" s="242"/>
      <c r="BM154" s="242"/>
      <c r="BN154" s="242"/>
      <c r="BO154" s="242"/>
      <c r="BP154" s="242"/>
      <c r="BQ154" s="242"/>
      <c r="BR154" s="242"/>
      <c r="BS154" s="242"/>
      <c r="BT154" s="242"/>
      <c r="BU154" s="242"/>
      <c r="BV154" s="242"/>
      <c r="BW154" s="242"/>
      <c r="BX154" s="242"/>
      <c r="BY154" s="242"/>
      <c r="BZ154" s="242"/>
      <c r="CA154" s="242"/>
      <c r="CB154" s="242"/>
      <c r="CC154" s="242"/>
      <c r="CD154" s="242"/>
    </row>
    <row r="155" spans="1:82" ht="12.75" hidden="1" customHeight="1">
      <c r="A155" s="242"/>
      <c r="B155" s="238"/>
      <c r="C155" s="297" t="s">
        <v>76</v>
      </c>
      <c r="D155" s="305">
        <v>5</v>
      </c>
      <c r="E155" s="305">
        <v>2</v>
      </c>
      <c r="F155" s="305">
        <v>0</v>
      </c>
      <c r="G155" s="305">
        <v>10</v>
      </c>
      <c r="H155" s="305">
        <v>21</v>
      </c>
      <c r="I155" s="305">
        <v>4</v>
      </c>
      <c r="J155" s="306">
        <v>20</v>
      </c>
      <c r="K155" s="307">
        <v>0</v>
      </c>
      <c r="L155" s="305">
        <v>192</v>
      </c>
      <c r="M155" s="299">
        <v>12</v>
      </c>
      <c r="N155" s="300"/>
      <c r="O155" s="241"/>
      <c r="P155" s="242"/>
      <c r="Q155" s="242"/>
      <c r="R155" s="242"/>
      <c r="S155" s="242"/>
      <c r="T155" s="242"/>
      <c r="U155" s="242"/>
      <c r="V155" s="242"/>
      <c r="W155" s="242"/>
      <c r="X155" s="242"/>
      <c r="Y155" s="242"/>
      <c r="Z155" s="242"/>
      <c r="AA155" s="242"/>
      <c r="AB155" s="242"/>
      <c r="AC155" s="242"/>
      <c r="AD155" s="242"/>
      <c r="AE155" s="242"/>
      <c r="AF155" s="242"/>
      <c r="AG155" s="242"/>
      <c r="AH155" s="242"/>
      <c r="AI155" s="242"/>
      <c r="AJ155" s="242"/>
      <c r="AK155" s="242"/>
      <c r="AL155" s="242"/>
      <c r="AM155" s="242"/>
      <c r="AN155" s="242"/>
      <c r="AO155" s="242"/>
      <c r="AP155" s="242"/>
      <c r="AQ155" s="242"/>
      <c r="AR155" s="242"/>
      <c r="AS155" s="242"/>
      <c r="AT155" s="242"/>
      <c r="AU155" s="242"/>
      <c r="AV155" s="242"/>
      <c r="AW155" s="242"/>
      <c r="AX155" s="242"/>
      <c r="AY155" s="242"/>
      <c r="AZ155" s="242"/>
      <c r="BA155" s="242"/>
      <c r="BB155" s="242"/>
      <c r="BC155" s="242"/>
      <c r="BD155" s="242"/>
      <c r="BE155" s="242"/>
      <c r="BF155" s="242"/>
      <c r="BG155" s="242"/>
      <c r="BH155" s="242"/>
      <c r="BI155" s="242"/>
      <c r="BJ155" s="242"/>
      <c r="BK155" s="242"/>
      <c r="BL155" s="242"/>
      <c r="BM155" s="242"/>
      <c r="BN155" s="242"/>
      <c r="BO155" s="242"/>
      <c r="BP155" s="242"/>
      <c r="BQ155" s="242"/>
      <c r="BR155" s="242"/>
      <c r="BS155" s="242"/>
      <c r="BT155" s="242"/>
      <c r="BU155" s="242"/>
      <c r="BV155" s="242"/>
      <c r="BW155" s="242"/>
      <c r="BX155" s="242"/>
      <c r="BY155" s="242"/>
      <c r="BZ155" s="242"/>
      <c r="CA155" s="242"/>
      <c r="CB155" s="242"/>
      <c r="CC155" s="242"/>
      <c r="CD155" s="242"/>
    </row>
    <row r="156" spans="1:82" ht="12.75" hidden="1" customHeight="1">
      <c r="A156" s="242"/>
      <c r="B156" s="238"/>
      <c r="C156" s="297" t="s">
        <v>77</v>
      </c>
      <c r="D156" s="305">
        <v>5</v>
      </c>
      <c r="E156" s="305">
        <v>67</v>
      </c>
      <c r="F156" s="305">
        <v>0</v>
      </c>
      <c r="G156" s="305">
        <v>0</v>
      </c>
      <c r="H156" s="305">
        <v>0</v>
      </c>
      <c r="I156" s="305">
        <v>0</v>
      </c>
      <c r="J156" s="306">
        <v>154</v>
      </c>
      <c r="K156" s="307">
        <v>0</v>
      </c>
      <c r="L156" s="305">
        <v>10</v>
      </c>
      <c r="M156" s="299">
        <v>12</v>
      </c>
      <c r="N156" s="300"/>
      <c r="O156" s="241"/>
      <c r="P156" s="242"/>
      <c r="Q156" s="242"/>
      <c r="R156" s="242"/>
      <c r="S156" s="242"/>
      <c r="T156" s="242"/>
      <c r="U156" s="242"/>
      <c r="V156" s="242"/>
      <c r="W156" s="242"/>
      <c r="X156" s="242"/>
      <c r="Y156" s="242"/>
      <c r="Z156" s="242"/>
      <c r="AA156" s="242"/>
      <c r="AB156" s="242"/>
      <c r="AC156" s="242"/>
      <c r="AD156" s="242"/>
      <c r="AE156" s="242"/>
      <c r="AF156" s="242"/>
      <c r="AG156" s="242"/>
      <c r="AH156" s="242"/>
      <c r="AI156" s="242"/>
      <c r="AJ156" s="242"/>
      <c r="AK156" s="242"/>
      <c r="AL156" s="242"/>
      <c r="AM156" s="242"/>
      <c r="AN156" s="242"/>
      <c r="AO156" s="242"/>
      <c r="AP156" s="242"/>
      <c r="AQ156" s="242"/>
      <c r="AR156" s="242"/>
      <c r="AS156" s="242"/>
      <c r="AT156" s="242"/>
      <c r="AU156" s="242"/>
      <c r="AV156" s="242"/>
      <c r="AW156" s="242"/>
      <c r="AX156" s="242"/>
      <c r="AY156" s="242"/>
      <c r="AZ156" s="242"/>
      <c r="BA156" s="242"/>
      <c r="BB156" s="242"/>
      <c r="BC156" s="242"/>
      <c r="BD156" s="242"/>
      <c r="BE156" s="242"/>
      <c r="BF156" s="242"/>
      <c r="BG156" s="242"/>
      <c r="BH156" s="242"/>
      <c r="BI156" s="242"/>
      <c r="BJ156" s="242"/>
      <c r="BK156" s="242"/>
      <c r="BL156" s="242"/>
      <c r="BM156" s="242"/>
      <c r="BN156" s="242"/>
      <c r="BO156" s="242"/>
      <c r="BP156" s="242"/>
      <c r="BQ156" s="242"/>
      <c r="BR156" s="242"/>
      <c r="BS156" s="242"/>
      <c r="BT156" s="242"/>
      <c r="BU156" s="242"/>
      <c r="BV156" s="242"/>
      <c r="BW156" s="242"/>
      <c r="BX156" s="242"/>
      <c r="BY156" s="242"/>
      <c r="BZ156" s="242"/>
      <c r="CA156" s="242"/>
      <c r="CB156" s="242"/>
      <c r="CC156" s="242"/>
      <c r="CD156" s="242"/>
    </row>
    <row r="157" spans="1:82" ht="12.75" hidden="1" customHeight="1">
      <c r="A157" s="242"/>
      <c r="B157" s="238"/>
      <c r="C157" s="297" t="s">
        <v>78</v>
      </c>
      <c r="D157" s="305">
        <v>0</v>
      </c>
      <c r="E157" s="305">
        <v>369</v>
      </c>
      <c r="F157" s="305">
        <v>77</v>
      </c>
      <c r="G157" s="305">
        <v>16</v>
      </c>
      <c r="H157" s="305">
        <v>0</v>
      </c>
      <c r="I157" s="305">
        <v>12</v>
      </c>
      <c r="J157" s="306">
        <v>828</v>
      </c>
      <c r="K157" s="307">
        <v>61</v>
      </c>
      <c r="L157" s="305">
        <v>60</v>
      </c>
      <c r="M157" s="299">
        <v>12</v>
      </c>
      <c r="N157" s="300"/>
      <c r="O157" s="241"/>
      <c r="P157" s="242"/>
      <c r="Q157" s="242"/>
      <c r="R157" s="242"/>
      <c r="S157" s="242"/>
      <c r="T157" s="242"/>
      <c r="U157" s="242"/>
      <c r="V157" s="242"/>
      <c r="W157" s="242"/>
      <c r="X157" s="242"/>
      <c r="Y157" s="242"/>
      <c r="Z157" s="242"/>
      <c r="AA157" s="242"/>
      <c r="AB157" s="242"/>
      <c r="AC157" s="242"/>
      <c r="AD157" s="242"/>
      <c r="AE157" s="242"/>
      <c r="AF157" s="242"/>
      <c r="AG157" s="242"/>
      <c r="AH157" s="242"/>
      <c r="AI157" s="242"/>
      <c r="AJ157" s="242"/>
      <c r="AK157" s="242"/>
      <c r="AL157" s="242"/>
      <c r="AM157" s="242"/>
      <c r="AN157" s="242"/>
      <c r="AO157" s="242"/>
      <c r="AP157" s="242"/>
      <c r="AQ157" s="242"/>
      <c r="AR157" s="242"/>
      <c r="AS157" s="242"/>
      <c r="AT157" s="242"/>
      <c r="AU157" s="242"/>
      <c r="AV157" s="242"/>
      <c r="AW157" s="242"/>
      <c r="AX157" s="242"/>
      <c r="AY157" s="242"/>
      <c r="AZ157" s="242"/>
      <c r="BA157" s="242"/>
      <c r="BB157" s="242"/>
      <c r="BC157" s="242"/>
      <c r="BD157" s="242"/>
      <c r="BE157" s="242"/>
      <c r="BF157" s="242"/>
      <c r="BG157" s="242"/>
      <c r="BH157" s="242"/>
      <c r="BI157" s="242"/>
      <c r="BJ157" s="242"/>
      <c r="BK157" s="242"/>
      <c r="BL157" s="242"/>
      <c r="BM157" s="242"/>
      <c r="BN157" s="242"/>
      <c r="BO157" s="242"/>
      <c r="BP157" s="242"/>
      <c r="BQ157" s="242"/>
      <c r="BR157" s="242"/>
      <c r="BS157" s="242"/>
      <c r="BT157" s="242"/>
      <c r="BU157" s="242"/>
      <c r="BV157" s="242"/>
      <c r="BW157" s="242"/>
      <c r="BX157" s="242"/>
      <c r="BY157" s="242"/>
      <c r="BZ157" s="242"/>
      <c r="CA157" s="242"/>
      <c r="CB157" s="242"/>
      <c r="CC157" s="242"/>
      <c r="CD157" s="242"/>
    </row>
    <row r="158" spans="1:82" ht="12.75" hidden="1" customHeight="1">
      <c r="A158" s="242"/>
      <c r="B158" s="238"/>
      <c r="C158" s="297" t="s">
        <v>79</v>
      </c>
      <c r="D158" s="305">
        <v>4</v>
      </c>
      <c r="E158" s="305">
        <v>26</v>
      </c>
      <c r="F158" s="305">
        <v>0</v>
      </c>
      <c r="G158" s="305">
        <v>0</v>
      </c>
      <c r="H158" s="305">
        <v>0</v>
      </c>
      <c r="I158" s="305">
        <v>0</v>
      </c>
      <c r="J158" s="306">
        <v>33</v>
      </c>
      <c r="K158" s="307">
        <v>22</v>
      </c>
      <c r="L158" s="305">
        <v>0</v>
      </c>
      <c r="M158" s="299">
        <v>12</v>
      </c>
      <c r="N158" s="300"/>
      <c r="O158" s="241"/>
      <c r="P158" s="242"/>
      <c r="Q158" s="242"/>
      <c r="R158" s="242"/>
      <c r="S158" s="242"/>
      <c r="T158" s="242"/>
      <c r="U158" s="242"/>
      <c r="V158" s="242"/>
      <c r="W158" s="242"/>
      <c r="X158" s="242"/>
      <c r="Y158" s="242"/>
      <c r="Z158" s="242"/>
      <c r="AA158" s="242"/>
      <c r="AB158" s="242"/>
      <c r="AC158" s="242"/>
      <c r="AD158" s="242"/>
      <c r="AE158" s="242"/>
      <c r="AF158" s="242"/>
      <c r="AG158" s="242"/>
      <c r="AH158" s="242"/>
      <c r="AI158" s="242"/>
      <c r="AJ158" s="242"/>
      <c r="AK158" s="242"/>
      <c r="AL158" s="242"/>
      <c r="AM158" s="242"/>
      <c r="AN158" s="242"/>
      <c r="AO158" s="242"/>
      <c r="AP158" s="242"/>
      <c r="AQ158" s="242"/>
      <c r="AR158" s="242"/>
      <c r="AS158" s="242"/>
      <c r="AT158" s="242"/>
      <c r="AU158" s="242"/>
      <c r="AV158" s="242"/>
      <c r="AW158" s="242"/>
      <c r="AX158" s="242"/>
      <c r="AY158" s="242"/>
      <c r="AZ158" s="242"/>
      <c r="BA158" s="242"/>
      <c r="BB158" s="242"/>
      <c r="BC158" s="242"/>
      <c r="BD158" s="242"/>
      <c r="BE158" s="242"/>
      <c r="BF158" s="242"/>
      <c r="BG158" s="242"/>
      <c r="BH158" s="242"/>
      <c r="BI158" s="242"/>
      <c r="BJ158" s="242"/>
      <c r="BK158" s="242"/>
      <c r="BL158" s="242"/>
      <c r="BM158" s="242"/>
      <c r="BN158" s="242"/>
      <c r="BO158" s="242"/>
      <c r="BP158" s="242"/>
      <c r="BQ158" s="242"/>
      <c r="BR158" s="242"/>
      <c r="BS158" s="242"/>
      <c r="BT158" s="242"/>
      <c r="BU158" s="242"/>
      <c r="BV158" s="242"/>
      <c r="BW158" s="242"/>
      <c r="BX158" s="242"/>
      <c r="BY158" s="242"/>
      <c r="BZ158" s="242"/>
      <c r="CA158" s="242"/>
      <c r="CB158" s="242"/>
      <c r="CC158" s="242"/>
      <c r="CD158" s="242"/>
    </row>
    <row r="159" spans="1:82" ht="12.75" hidden="1" customHeight="1">
      <c r="A159" s="242"/>
      <c r="B159" s="238"/>
      <c r="C159" s="297" t="s">
        <v>81</v>
      </c>
      <c r="D159" s="305">
        <v>0</v>
      </c>
      <c r="E159" s="305">
        <v>19</v>
      </c>
      <c r="F159" s="305">
        <v>0</v>
      </c>
      <c r="G159" s="305">
        <v>0</v>
      </c>
      <c r="H159" s="305">
        <v>0</v>
      </c>
      <c r="I159" s="305">
        <v>0</v>
      </c>
      <c r="J159" s="306">
        <v>10</v>
      </c>
      <c r="K159" s="307">
        <v>22</v>
      </c>
      <c r="L159" s="305">
        <v>0</v>
      </c>
      <c r="M159" s="299">
        <v>12</v>
      </c>
      <c r="N159" s="300"/>
      <c r="O159" s="241"/>
      <c r="P159" s="242"/>
      <c r="Q159" s="242"/>
      <c r="R159" s="242"/>
      <c r="S159" s="242"/>
      <c r="T159" s="242"/>
      <c r="U159" s="242"/>
      <c r="V159" s="242"/>
      <c r="W159" s="242"/>
      <c r="X159" s="242"/>
      <c r="Y159" s="242"/>
      <c r="Z159" s="242"/>
      <c r="AA159" s="242"/>
      <c r="AB159" s="242"/>
      <c r="AC159" s="242"/>
      <c r="AD159" s="242"/>
      <c r="AE159" s="242"/>
      <c r="AF159" s="242"/>
      <c r="AG159" s="242"/>
      <c r="AH159" s="242"/>
      <c r="AI159" s="242"/>
      <c r="AJ159" s="242"/>
      <c r="AK159" s="242"/>
      <c r="AL159" s="242"/>
      <c r="AM159" s="242"/>
      <c r="AN159" s="242"/>
      <c r="AO159" s="242"/>
      <c r="AP159" s="242"/>
      <c r="AQ159" s="242"/>
      <c r="AR159" s="242"/>
      <c r="AS159" s="242"/>
      <c r="AT159" s="242"/>
      <c r="AU159" s="242"/>
      <c r="AV159" s="242"/>
      <c r="AW159" s="242"/>
      <c r="AX159" s="242"/>
      <c r="AY159" s="242"/>
      <c r="AZ159" s="242"/>
      <c r="BA159" s="242"/>
      <c r="BB159" s="242"/>
      <c r="BC159" s="242"/>
      <c r="BD159" s="242"/>
      <c r="BE159" s="242"/>
      <c r="BF159" s="242"/>
      <c r="BG159" s="242"/>
      <c r="BH159" s="242"/>
      <c r="BI159" s="242"/>
      <c r="BJ159" s="242"/>
      <c r="BK159" s="242"/>
      <c r="BL159" s="242"/>
      <c r="BM159" s="242"/>
      <c r="BN159" s="242"/>
      <c r="BO159" s="242"/>
      <c r="BP159" s="242"/>
      <c r="BQ159" s="242"/>
      <c r="BR159" s="242"/>
      <c r="BS159" s="242"/>
      <c r="BT159" s="242"/>
      <c r="BU159" s="242"/>
      <c r="BV159" s="242"/>
      <c r="BW159" s="242"/>
      <c r="BX159" s="242"/>
      <c r="BY159" s="242"/>
      <c r="BZ159" s="242"/>
      <c r="CA159" s="242"/>
      <c r="CB159" s="242"/>
      <c r="CC159" s="242"/>
      <c r="CD159" s="242"/>
    </row>
    <row r="160" spans="1:82" ht="12.75" hidden="1" customHeight="1">
      <c r="A160" s="242"/>
      <c r="B160" s="238"/>
      <c r="C160" s="297" t="s">
        <v>82</v>
      </c>
      <c r="D160" s="305">
        <v>0</v>
      </c>
      <c r="E160" s="305">
        <v>0</v>
      </c>
      <c r="F160" s="305">
        <v>0</v>
      </c>
      <c r="G160" s="305">
        <v>0</v>
      </c>
      <c r="H160" s="305">
        <v>0</v>
      </c>
      <c r="I160" s="305">
        <v>0</v>
      </c>
      <c r="J160" s="307">
        <v>0</v>
      </c>
      <c r="K160" s="307">
        <v>0</v>
      </c>
      <c r="L160" s="305">
        <v>0</v>
      </c>
      <c r="M160" s="299">
        <v>12</v>
      </c>
      <c r="N160" s="300"/>
      <c r="O160" s="241"/>
      <c r="P160" s="242"/>
      <c r="Q160" s="242"/>
      <c r="R160" s="242"/>
      <c r="S160" s="242"/>
      <c r="T160" s="242"/>
      <c r="U160" s="242"/>
      <c r="V160" s="242"/>
      <c r="W160" s="242"/>
      <c r="X160" s="242"/>
      <c r="Y160" s="242"/>
      <c r="Z160" s="242"/>
      <c r="AA160" s="242"/>
      <c r="AB160" s="242"/>
      <c r="AC160" s="242"/>
      <c r="AD160" s="242"/>
      <c r="AE160" s="242"/>
      <c r="AF160" s="242"/>
      <c r="AG160" s="242"/>
      <c r="AH160" s="242"/>
      <c r="AI160" s="242"/>
      <c r="AJ160" s="242"/>
      <c r="AK160" s="242"/>
      <c r="AL160" s="242"/>
      <c r="AM160" s="242"/>
      <c r="AN160" s="242"/>
      <c r="AO160" s="242"/>
      <c r="AP160" s="242"/>
      <c r="AQ160" s="242"/>
      <c r="AR160" s="242"/>
      <c r="AS160" s="242"/>
      <c r="AT160" s="242"/>
      <c r="AU160" s="242"/>
      <c r="AV160" s="242"/>
      <c r="AW160" s="242"/>
      <c r="AX160" s="242"/>
      <c r="AY160" s="242"/>
      <c r="AZ160" s="242"/>
      <c r="BA160" s="242"/>
      <c r="BB160" s="242"/>
      <c r="BC160" s="242"/>
      <c r="BD160" s="242"/>
      <c r="BE160" s="242"/>
      <c r="BF160" s="242"/>
      <c r="BG160" s="242"/>
      <c r="BH160" s="242"/>
      <c r="BI160" s="242"/>
      <c r="BJ160" s="242"/>
      <c r="BK160" s="242"/>
      <c r="BL160" s="242"/>
      <c r="BM160" s="242"/>
      <c r="BN160" s="242"/>
      <c r="BO160" s="242"/>
      <c r="BP160" s="242"/>
      <c r="BQ160" s="242"/>
      <c r="BR160" s="242"/>
      <c r="BS160" s="242"/>
      <c r="BT160" s="242"/>
      <c r="BU160" s="242"/>
      <c r="BV160" s="242"/>
      <c r="BW160" s="242"/>
      <c r="BX160" s="242"/>
      <c r="BY160" s="242"/>
      <c r="BZ160" s="242"/>
      <c r="CA160" s="242"/>
      <c r="CB160" s="242"/>
      <c r="CC160" s="242"/>
      <c r="CD160" s="242"/>
    </row>
    <row r="161" spans="1:82" ht="12.75" hidden="1" customHeight="1">
      <c r="A161" s="242"/>
      <c r="B161" s="238"/>
      <c r="C161" s="266" t="s">
        <v>83</v>
      </c>
      <c r="D161" s="303" t="s">
        <v>19</v>
      </c>
      <c r="E161" s="303" t="s">
        <v>19</v>
      </c>
      <c r="F161" s="303" t="s">
        <v>19</v>
      </c>
      <c r="G161" s="303" t="s">
        <v>19</v>
      </c>
      <c r="H161" s="303" t="s">
        <v>19</v>
      </c>
      <c r="I161" s="303" t="s">
        <v>19</v>
      </c>
      <c r="J161" s="308" t="s">
        <v>19</v>
      </c>
      <c r="K161" s="308" t="s">
        <v>19</v>
      </c>
      <c r="L161" s="303" t="s">
        <v>19</v>
      </c>
      <c r="M161" s="299">
        <v>12</v>
      </c>
      <c r="N161" s="300"/>
      <c r="O161" s="241"/>
      <c r="P161" s="242"/>
      <c r="Q161" s="242"/>
      <c r="R161" s="242"/>
      <c r="S161" s="242"/>
      <c r="T161" s="242"/>
      <c r="U161" s="242"/>
      <c r="V161" s="242"/>
      <c r="W161" s="242"/>
      <c r="X161" s="242"/>
      <c r="Y161" s="242"/>
      <c r="Z161" s="242"/>
      <c r="AA161" s="242"/>
      <c r="AB161" s="242"/>
      <c r="AC161" s="242"/>
      <c r="AD161" s="242"/>
      <c r="AE161" s="242"/>
      <c r="AF161" s="242"/>
      <c r="AG161" s="242"/>
      <c r="AH161" s="242"/>
      <c r="AI161" s="242"/>
      <c r="AJ161" s="242"/>
      <c r="AK161" s="242"/>
      <c r="AL161" s="242"/>
      <c r="AM161" s="242"/>
      <c r="AN161" s="242"/>
      <c r="AO161" s="242"/>
      <c r="AP161" s="242"/>
      <c r="AQ161" s="242"/>
      <c r="AR161" s="242"/>
      <c r="AS161" s="242"/>
      <c r="AT161" s="242"/>
      <c r="AU161" s="242"/>
      <c r="AV161" s="242"/>
      <c r="AW161" s="242"/>
      <c r="AX161" s="242"/>
      <c r="AY161" s="242"/>
      <c r="AZ161" s="242"/>
      <c r="BA161" s="242"/>
      <c r="BB161" s="242"/>
      <c r="BC161" s="242"/>
      <c r="BD161" s="242"/>
      <c r="BE161" s="242"/>
      <c r="BF161" s="242"/>
      <c r="BG161" s="242"/>
      <c r="BH161" s="242"/>
      <c r="BI161" s="242"/>
      <c r="BJ161" s="242"/>
      <c r="BK161" s="242"/>
      <c r="BL161" s="242"/>
      <c r="BM161" s="242"/>
      <c r="BN161" s="242"/>
      <c r="BO161" s="242"/>
      <c r="BP161" s="242"/>
      <c r="BQ161" s="242"/>
      <c r="BR161" s="242"/>
      <c r="BS161" s="242"/>
      <c r="BT161" s="242"/>
      <c r="BU161" s="242"/>
      <c r="BV161" s="242"/>
      <c r="BW161" s="242"/>
      <c r="BX161" s="242"/>
      <c r="BY161" s="242"/>
      <c r="BZ161" s="242"/>
      <c r="CA161" s="242"/>
      <c r="CB161" s="242"/>
      <c r="CC161" s="242"/>
      <c r="CD161" s="242"/>
    </row>
    <row r="162" spans="1:82" ht="12.75" hidden="1" customHeight="1">
      <c r="A162" s="242"/>
      <c r="B162" s="238"/>
      <c r="C162" s="297" t="s">
        <v>84</v>
      </c>
      <c r="D162" s="305">
        <v>0</v>
      </c>
      <c r="E162" s="305">
        <v>0</v>
      </c>
      <c r="F162" s="305">
        <v>8</v>
      </c>
      <c r="G162" s="305">
        <v>32</v>
      </c>
      <c r="H162" s="305">
        <v>0</v>
      </c>
      <c r="I162" s="305">
        <v>0</v>
      </c>
      <c r="J162" s="306">
        <v>72</v>
      </c>
      <c r="K162" s="307">
        <v>0</v>
      </c>
      <c r="L162" s="305">
        <v>50</v>
      </c>
      <c r="M162" s="299">
        <v>12</v>
      </c>
      <c r="N162" s="300"/>
      <c r="O162" s="241"/>
      <c r="P162" s="242"/>
      <c r="Q162" s="242"/>
      <c r="R162" s="242"/>
      <c r="S162" s="242"/>
      <c r="T162" s="242"/>
      <c r="U162" s="242"/>
      <c r="V162" s="242"/>
      <c r="W162" s="242"/>
      <c r="X162" s="242"/>
      <c r="Y162" s="242"/>
      <c r="Z162" s="242"/>
      <c r="AA162" s="242"/>
      <c r="AB162" s="242"/>
      <c r="AC162" s="242"/>
      <c r="AD162" s="242"/>
      <c r="AE162" s="242"/>
      <c r="AF162" s="242"/>
      <c r="AG162" s="242"/>
      <c r="AH162" s="242"/>
      <c r="AI162" s="242"/>
      <c r="AJ162" s="242"/>
      <c r="AK162" s="242"/>
      <c r="AL162" s="242"/>
      <c r="AM162" s="242"/>
      <c r="AN162" s="242"/>
      <c r="AO162" s="242"/>
      <c r="AP162" s="242"/>
      <c r="AQ162" s="242"/>
      <c r="AR162" s="242"/>
      <c r="AS162" s="242"/>
      <c r="AT162" s="242"/>
      <c r="AU162" s="242"/>
      <c r="AV162" s="242"/>
      <c r="AW162" s="242"/>
      <c r="AX162" s="242"/>
      <c r="AY162" s="242"/>
      <c r="AZ162" s="242"/>
      <c r="BA162" s="242"/>
      <c r="BB162" s="242"/>
      <c r="BC162" s="242"/>
      <c r="BD162" s="242"/>
      <c r="BE162" s="242"/>
      <c r="BF162" s="242"/>
      <c r="BG162" s="242"/>
      <c r="BH162" s="242"/>
      <c r="BI162" s="242"/>
      <c r="BJ162" s="242"/>
      <c r="BK162" s="242"/>
      <c r="BL162" s="242"/>
      <c r="BM162" s="242"/>
      <c r="BN162" s="242"/>
      <c r="BO162" s="242"/>
      <c r="BP162" s="242"/>
      <c r="BQ162" s="242"/>
      <c r="BR162" s="242"/>
      <c r="BS162" s="242"/>
      <c r="BT162" s="242"/>
      <c r="BU162" s="242"/>
      <c r="BV162" s="242"/>
      <c r="BW162" s="242"/>
      <c r="BX162" s="242"/>
      <c r="BY162" s="242"/>
      <c r="BZ162" s="242"/>
      <c r="CA162" s="242"/>
      <c r="CB162" s="242"/>
      <c r="CC162" s="242"/>
      <c r="CD162" s="242"/>
    </row>
    <row r="163" spans="1:82" ht="12.75" hidden="1" customHeight="1">
      <c r="A163" s="242"/>
      <c r="B163" s="238"/>
      <c r="C163" s="297" t="s">
        <v>85</v>
      </c>
      <c r="D163" s="303" t="s">
        <v>19</v>
      </c>
      <c r="E163" s="303" t="s">
        <v>19</v>
      </c>
      <c r="F163" s="303" t="s">
        <v>19</v>
      </c>
      <c r="G163" s="303" t="s">
        <v>19</v>
      </c>
      <c r="H163" s="303" t="s">
        <v>19</v>
      </c>
      <c r="I163" s="303" t="s">
        <v>19</v>
      </c>
      <c r="J163" s="308" t="s">
        <v>19</v>
      </c>
      <c r="K163" s="308" t="s">
        <v>19</v>
      </c>
      <c r="L163" s="303" t="s">
        <v>19</v>
      </c>
      <c r="M163" s="299">
        <v>12</v>
      </c>
      <c r="N163" s="300"/>
      <c r="O163" s="241"/>
      <c r="P163" s="242"/>
      <c r="Q163" s="242"/>
      <c r="R163" s="242"/>
      <c r="S163" s="242"/>
      <c r="T163" s="242"/>
      <c r="U163" s="242"/>
      <c r="V163" s="242"/>
      <c r="W163" s="242"/>
      <c r="X163" s="242"/>
      <c r="Y163" s="242"/>
      <c r="Z163" s="242"/>
      <c r="AA163" s="242"/>
      <c r="AB163" s="242"/>
      <c r="AC163" s="242"/>
      <c r="AD163" s="242"/>
      <c r="AE163" s="242"/>
      <c r="AF163" s="242"/>
      <c r="AG163" s="242"/>
      <c r="AH163" s="242"/>
      <c r="AI163" s="242"/>
      <c r="AJ163" s="242"/>
      <c r="AK163" s="242"/>
      <c r="AL163" s="242"/>
      <c r="AM163" s="242"/>
      <c r="AN163" s="242"/>
      <c r="AO163" s="242"/>
      <c r="AP163" s="242"/>
      <c r="AQ163" s="242"/>
      <c r="AR163" s="242"/>
      <c r="AS163" s="242"/>
      <c r="AT163" s="242"/>
      <c r="AU163" s="242"/>
      <c r="AV163" s="242"/>
      <c r="AW163" s="242"/>
      <c r="AX163" s="242"/>
      <c r="AY163" s="242"/>
      <c r="AZ163" s="242"/>
      <c r="BA163" s="242"/>
      <c r="BB163" s="242"/>
      <c r="BC163" s="242"/>
      <c r="BD163" s="242"/>
      <c r="BE163" s="242"/>
      <c r="BF163" s="242"/>
      <c r="BG163" s="242"/>
      <c r="BH163" s="242"/>
      <c r="BI163" s="242"/>
      <c r="BJ163" s="242"/>
      <c r="BK163" s="242"/>
      <c r="BL163" s="242"/>
      <c r="BM163" s="242"/>
      <c r="BN163" s="242"/>
      <c r="BO163" s="242"/>
      <c r="BP163" s="242"/>
      <c r="BQ163" s="242"/>
      <c r="BR163" s="242"/>
      <c r="BS163" s="242"/>
      <c r="BT163" s="242"/>
      <c r="BU163" s="242"/>
      <c r="BV163" s="242"/>
      <c r="BW163" s="242"/>
      <c r="BX163" s="242"/>
      <c r="BY163" s="242"/>
      <c r="BZ163" s="242"/>
      <c r="CA163" s="242"/>
      <c r="CB163" s="242"/>
      <c r="CC163" s="242"/>
      <c r="CD163" s="242"/>
    </row>
    <row r="164" spans="1:82" ht="12.75" hidden="1" customHeight="1">
      <c r="A164" s="242"/>
      <c r="B164" s="238"/>
      <c r="C164" s="297" t="s">
        <v>86</v>
      </c>
      <c r="D164" s="305">
        <v>0</v>
      </c>
      <c r="E164" s="305">
        <v>0</v>
      </c>
      <c r="F164" s="305">
        <v>0</v>
      </c>
      <c r="G164" s="305">
        <v>0</v>
      </c>
      <c r="H164" s="305">
        <v>0</v>
      </c>
      <c r="I164" s="305">
        <v>0</v>
      </c>
      <c r="J164" s="307">
        <v>0</v>
      </c>
      <c r="K164" s="307">
        <v>0</v>
      </c>
      <c r="L164" s="305">
        <v>0</v>
      </c>
      <c r="M164" s="299">
        <v>12</v>
      </c>
      <c r="N164" s="300"/>
      <c r="O164" s="241"/>
      <c r="P164" s="242"/>
      <c r="Q164" s="242"/>
      <c r="R164" s="242"/>
      <c r="S164" s="242"/>
      <c r="T164" s="242"/>
      <c r="U164" s="242"/>
      <c r="V164" s="242"/>
      <c r="W164" s="242"/>
      <c r="X164" s="242"/>
      <c r="Y164" s="242"/>
      <c r="Z164" s="242"/>
      <c r="AA164" s="242"/>
      <c r="AB164" s="242"/>
      <c r="AC164" s="242"/>
      <c r="AD164" s="242"/>
      <c r="AE164" s="242"/>
      <c r="AF164" s="242"/>
      <c r="AG164" s="242"/>
      <c r="AH164" s="242"/>
      <c r="AI164" s="242"/>
      <c r="AJ164" s="242"/>
      <c r="AK164" s="242"/>
      <c r="AL164" s="242"/>
      <c r="AM164" s="242"/>
      <c r="AN164" s="242"/>
      <c r="AO164" s="242"/>
      <c r="AP164" s="242"/>
      <c r="AQ164" s="242"/>
      <c r="AR164" s="242"/>
      <c r="AS164" s="242"/>
      <c r="AT164" s="242"/>
      <c r="AU164" s="242"/>
      <c r="AV164" s="242"/>
      <c r="AW164" s="242"/>
      <c r="AX164" s="242"/>
      <c r="AY164" s="242"/>
      <c r="AZ164" s="242"/>
      <c r="BA164" s="242"/>
      <c r="BB164" s="242"/>
      <c r="BC164" s="242"/>
      <c r="BD164" s="242"/>
      <c r="BE164" s="242"/>
      <c r="BF164" s="242"/>
      <c r="BG164" s="242"/>
      <c r="BH164" s="242"/>
      <c r="BI164" s="242"/>
      <c r="BJ164" s="242"/>
      <c r="BK164" s="242"/>
      <c r="BL164" s="242"/>
      <c r="BM164" s="242"/>
      <c r="BN164" s="242"/>
      <c r="BO164" s="242"/>
      <c r="BP164" s="242"/>
      <c r="BQ164" s="242"/>
      <c r="BR164" s="242"/>
      <c r="BS164" s="242"/>
      <c r="BT164" s="242"/>
      <c r="BU164" s="242"/>
      <c r="BV164" s="242"/>
      <c r="BW164" s="242"/>
      <c r="BX164" s="242"/>
      <c r="BY164" s="242"/>
      <c r="BZ164" s="242"/>
      <c r="CA164" s="242"/>
      <c r="CB164" s="242"/>
      <c r="CC164" s="242"/>
      <c r="CD164" s="242"/>
    </row>
    <row r="165" spans="1:82" ht="12.75" hidden="1" customHeight="1">
      <c r="A165" s="242"/>
      <c r="B165" s="238"/>
      <c r="C165" s="297" t="s">
        <v>87</v>
      </c>
      <c r="D165" s="305">
        <v>27</v>
      </c>
      <c r="E165" s="305">
        <v>25</v>
      </c>
      <c r="F165" s="305">
        <v>67</v>
      </c>
      <c r="G165" s="305">
        <v>7</v>
      </c>
      <c r="H165" s="305">
        <v>84</v>
      </c>
      <c r="I165" s="305">
        <v>0</v>
      </c>
      <c r="J165" s="306">
        <v>9</v>
      </c>
      <c r="K165" s="307">
        <v>2</v>
      </c>
      <c r="L165" s="305">
        <v>288</v>
      </c>
      <c r="M165" s="299">
        <v>12</v>
      </c>
      <c r="N165" s="300"/>
      <c r="O165" s="241"/>
      <c r="P165" s="242"/>
      <c r="Q165" s="242"/>
      <c r="R165" s="242"/>
      <c r="S165" s="242"/>
      <c r="T165" s="242"/>
      <c r="U165" s="242"/>
      <c r="V165" s="242"/>
      <c r="W165" s="242"/>
      <c r="X165" s="242"/>
      <c r="Y165" s="242"/>
      <c r="Z165" s="242"/>
      <c r="AA165" s="242"/>
      <c r="AB165" s="242"/>
      <c r="AC165" s="242"/>
      <c r="AD165" s="242"/>
      <c r="AE165" s="242"/>
      <c r="AF165" s="242"/>
      <c r="AG165" s="242"/>
      <c r="AH165" s="242"/>
      <c r="AI165" s="242"/>
      <c r="AJ165" s="242"/>
      <c r="AK165" s="242"/>
      <c r="AL165" s="242"/>
      <c r="AM165" s="242"/>
      <c r="AN165" s="242"/>
      <c r="AO165" s="242"/>
      <c r="AP165" s="242"/>
      <c r="AQ165" s="242"/>
      <c r="AR165" s="242"/>
      <c r="AS165" s="242"/>
      <c r="AT165" s="242"/>
      <c r="AU165" s="242"/>
      <c r="AV165" s="242"/>
      <c r="AW165" s="242"/>
      <c r="AX165" s="242"/>
      <c r="AY165" s="242"/>
      <c r="AZ165" s="242"/>
      <c r="BA165" s="242"/>
      <c r="BB165" s="242"/>
      <c r="BC165" s="242"/>
      <c r="BD165" s="242"/>
      <c r="BE165" s="242"/>
      <c r="BF165" s="242"/>
      <c r="BG165" s="242"/>
      <c r="BH165" s="242"/>
      <c r="BI165" s="242"/>
      <c r="BJ165" s="242"/>
      <c r="BK165" s="242"/>
      <c r="BL165" s="242"/>
      <c r="BM165" s="242"/>
      <c r="BN165" s="242"/>
      <c r="BO165" s="242"/>
      <c r="BP165" s="242"/>
      <c r="BQ165" s="242"/>
      <c r="BR165" s="242"/>
      <c r="BS165" s="242"/>
      <c r="BT165" s="242"/>
      <c r="BU165" s="242"/>
      <c r="BV165" s="242"/>
      <c r="BW165" s="242"/>
      <c r="BX165" s="242"/>
      <c r="BY165" s="242"/>
      <c r="BZ165" s="242"/>
      <c r="CA165" s="242"/>
      <c r="CB165" s="242"/>
      <c r="CC165" s="242"/>
      <c r="CD165" s="242"/>
    </row>
    <row r="166" spans="1:82" ht="12.75" hidden="1" customHeight="1">
      <c r="A166" s="242"/>
      <c r="B166" s="238"/>
      <c r="C166" s="297" t="s">
        <v>88</v>
      </c>
      <c r="D166" s="305">
        <v>14</v>
      </c>
      <c r="E166" s="305">
        <v>105</v>
      </c>
      <c r="F166" s="305">
        <v>6</v>
      </c>
      <c r="G166" s="305">
        <v>50</v>
      </c>
      <c r="H166" s="305">
        <v>76</v>
      </c>
      <c r="I166" s="305">
        <v>0</v>
      </c>
      <c r="J166" s="306">
        <v>10</v>
      </c>
      <c r="K166" s="307">
        <v>2</v>
      </c>
      <c r="L166" s="305">
        <v>14</v>
      </c>
      <c r="M166" s="299">
        <v>12</v>
      </c>
      <c r="N166" s="300"/>
      <c r="O166" s="241"/>
      <c r="P166" s="242"/>
      <c r="Q166" s="242"/>
      <c r="R166" s="242"/>
      <c r="S166" s="242"/>
      <c r="T166" s="242"/>
      <c r="U166" s="242"/>
      <c r="V166" s="242"/>
      <c r="W166" s="242"/>
      <c r="X166" s="242"/>
      <c r="Y166" s="242"/>
      <c r="Z166" s="242"/>
      <c r="AA166" s="242"/>
      <c r="AB166" s="242"/>
      <c r="AC166" s="242"/>
      <c r="AD166" s="242"/>
      <c r="AE166" s="242"/>
      <c r="AF166" s="242"/>
      <c r="AG166" s="242"/>
      <c r="AH166" s="242"/>
      <c r="AI166" s="242"/>
      <c r="AJ166" s="242"/>
      <c r="AK166" s="242"/>
      <c r="AL166" s="242"/>
      <c r="AM166" s="242"/>
      <c r="AN166" s="242"/>
      <c r="AO166" s="242"/>
      <c r="AP166" s="242"/>
      <c r="AQ166" s="242"/>
      <c r="AR166" s="242"/>
      <c r="AS166" s="242"/>
      <c r="AT166" s="242"/>
      <c r="AU166" s="242"/>
      <c r="AV166" s="242"/>
      <c r="AW166" s="242"/>
      <c r="AX166" s="242"/>
      <c r="AY166" s="242"/>
      <c r="AZ166" s="242"/>
      <c r="BA166" s="242"/>
      <c r="BB166" s="242"/>
      <c r="BC166" s="242"/>
      <c r="BD166" s="242"/>
      <c r="BE166" s="242"/>
      <c r="BF166" s="242"/>
      <c r="BG166" s="242"/>
      <c r="BH166" s="242"/>
      <c r="BI166" s="242"/>
      <c r="BJ166" s="242"/>
      <c r="BK166" s="242"/>
      <c r="BL166" s="242"/>
      <c r="BM166" s="242"/>
      <c r="BN166" s="242"/>
      <c r="BO166" s="242"/>
      <c r="BP166" s="242"/>
      <c r="BQ166" s="242"/>
      <c r="BR166" s="242"/>
      <c r="BS166" s="242"/>
      <c r="BT166" s="242"/>
      <c r="BU166" s="242"/>
      <c r="BV166" s="242"/>
      <c r="BW166" s="242"/>
      <c r="BX166" s="242"/>
      <c r="BY166" s="242"/>
      <c r="BZ166" s="242"/>
      <c r="CA166" s="242"/>
      <c r="CB166" s="242"/>
      <c r="CC166" s="242"/>
      <c r="CD166" s="242"/>
    </row>
    <row r="167" spans="1:82" ht="12.75" hidden="1" customHeight="1">
      <c r="A167" s="242"/>
      <c r="B167" s="238"/>
      <c r="C167" s="261" t="s">
        <v>89</v>
      </c>
      <c r="D167" s="302">
        <f t="shared" ref="D167:L167" si="72">SUM(D166,D152)</f>
        <v>14</v>
      </c>
      <c r="E167" s="302">
        <f t="shared" si="72"/>
        <v>105</v>
      </c>
      <c r="F167" s="302">
        <f t="shared" si="72"/>
        <v>6</v>
      </c>
      <c r="G167" s="302">
        <f t="shared" si="72"/>
        <v>50</v>
      </c>
      <c r="H167" s="302">
        <f t="shared" si="72"/>
        <v>76</v>
      </c>
      <c r="I167" s="302">
        <f t="shared" si="72"/>
        <v>0</v>
      </c>
      <c r="J167" s="302">
        <f t="shared" si="72"/>
        <v>10</v>
      </c>
      <c r="K167" s="302">
        <f t="shared" si="72"/>
        <v>2</v>
      </c>
      <c r="L167" s="302">
        <f t="shared" si="72"/>
        <v>14</v>
      </c>
      <c r="M167" s="299">
        <f>$M$135</f>
        <v>12</v>
      </c>
      <c r="N167" s="300"/>
      <c r="O167" s="241"/>
      <c r="P167" s="242"/>
      <c r="Q167" s="242"/>
      <c r="R167" s="242"/>
      <c r="S167" s="242"/>
      <c r="T167" s="242"/>
      <c r="U167" s="242"/>
      <c r="V167" s="242"/>
      <c r="W167" s="242"/>
      <c r="X167" s="242"/>
      <c r="Y167" s="242"/>
      <c r="Z167" s="242"/>
      <c r="AA167" s="242"/>
      <c r="AB167" s="242"/>
      <c r="AC167" s="242"/>
      <c r="AD167" s="242"/>
      <c r="AE167" s="242"/>
      <c r="AF167" s="242"/>
      <c r="AG167" s="242"/>
      <c r="AH167" s="242"/>
      <c r="AI167" s="242"/>
      <c r="AJ167" s="242"/>
      <c r="AK167" s="242"/>
      <c r="AL167" s="242"/>
      <c r="AM167" s="242"/>
      <c r="AN167" s="242"/>
      <c r="AO167" s="242"/>
      <c r="AP167" s="242"/>
      <c r="AQ167" s="242"/>
      <c r="AR167" s="242"/>
      <c r="AS167" s="242"/>
      <c r="AT167" s="242"/>
      <c r="AU167" s="242"/>
      <c r="AV167" s="242"/>
      <c r="AW167" s="242"/>
      <c r="AX167" s="242"/>
      <c r="AY167" s="242"/>
      <c r="AZ167" s="242"/>
      <c r="BA167" s="242"/>
      <c r="BB167" s="242"/>
      <c r="BC167" s="242"/>
      <c r="BD167" s="242"/>
      <c r="BE167" s="242"/>
      <c r="BF167" s="242"/>
      <c r="BG167" s="242"/>
      <c r="BH167" s="242"/>
      <c r="BI167" s="242"/>
      <c r="BJ167" s="242"/>
      <c r="BK167" s="242"/>
      <c r="BL167" s="242"/>
      <c r="BM167" s="242"/>
      <c r="BN167" s="242"/>
      <c r="BO167" s="242"/>
      <c r="BP167" s="242"/>
      <c r="BQ167" s="242"/>
      <c r="BR167" s="242"/>
      <c r="BS167" s="242"/>
      <c r="BT167" s="242"/>
      <c r="BU167" s="242"/>
      <c r="BV167" s="242"/>
      <c r="BW167" s="242"/>
      <c r="BX167" s="242"/>
      <c r="BY167" s="242"/>
      <c r="BZ167" s="242"/>
      <c r="CA167" s="242"/>
      <c r="CB167" s="242"/>
      <c r="CC167" s="242"/>
      <c r="CD167" s="242"/>
    </row>
    <row r="168" spans="1:82" ht="12.75" hidden="1" customHeight="1">
      <c r="A168" s="242"/>
      <c r="B168" s="238"/>
      <c r="C168" s="261" t="s">
        <v>90</v>
      </c>
      <c r="D168" s="302">
        <f t="shared" ref="D168:L168" si="73">SUM(D158,D164)</f>
        <v>4</v>
      </c>
      <c r="E168" s="302">
        <f t="shared" si="73"/>
        <v>26</v>
      </c>
      <c r="F168" s="302">
        <f t="shared" si="73"/>
        <v>0</v>
      </c>
      <c r="G168" s="302">
        <f t="shared" si="73"/>
        <v>0</v>
      </c>
      <c r="H168" s="302">
        <f t="shared" si="73"/>
        <v>0</v>
      </c>
      <c r="I168" s="302">
        <f t="shared" si="73"/>
        <v>0</v>
      </c>
      <c r="J168" s="302">
        <f t="shared" si="73"/>
        <v>33</v>
      </c>
      <c r="K168" s="302">
        <f t="shared" si="73"/>
        <v>22</v>
      </c>
      <c r="L168" s="302">
        <f t="shared" si="73"/>
        <v>0</v>
      </c>
      <c r="M168" s="299">
        <f>$M$135</f>
        <v>12</v>
      </c>
      <c r="N168" s="300"/>
      <c r="O168" s="241"/>
      <c r="P168" s="242"/>
      <c r="Q168" s="242"/>
      <c r="R168" s="242"/>
      <c r="S168" s="242"/>
      <c r="T168" s="242"/>
      <c r="U168" s="242"/>
      <c r="V168" s="242"/>
      <c r="W168" s="242"/>
      <c r="X168" s="242"/>
      <c r="Y168" s="242"/>
      <c r="Z168" s="242"/>
      <c r="AA168" s="242"/>
      <c r="AB168" s="242"/>
      <c r="AC168" s="242"/>
      <c r="AD168" s="242"/>
      <c r="AE168" s="242"/>
      <c r="AF168" s="242"/>
      <c r="AG168" s="242"/>
      <c r="AH168" s="242"/>
      <c r="AI168" s="242"/>
      <c r="AJ168" s="242"/>
      <c r="AK168" s="242"/>
      <c r="AL168" s="242"/>
      <c r="AM168" s="242"/>
      <c r="AN168" s="242"/>
      <c r="AO168" s="242"/>
      <c r="AP168" s="242"/>
      <c r="AQ168" s="242"/>
      <c r="AR168" s="242"/>
      <c r="AS168" s="242"/>
      <c r="AT168" s="242"/>
      <c r="AU168" s="242"/>
      <c r="AV168" s="242"/>
      <c r="AW168" s="242"/>
      <c r="AX168" s="242"/>
      <c r="AY168" s="242"/>
      <c r="AZ168" s="242"/>
      <c r="BA168" s="242"/>
      <c r="BB168" s="242"/>
      <c r="BC168" s="242"/>
      <c r="BD168" s="242"/>
      <c r="BE168" s="242"/>
      <c r="BF168" s="242"/>
      <c r="BG168" s="242"/>
      <c r="BH168" s="242"/>
      <c r="BI168" s="242"/>
      <c r="BJ168" s="242"/>
      <c r="BK168" s="242"/>
      <c r="BL168" s="242"/>
      <c r="BM168" s="242"/>
      <c r="BN168" s="242"/>
      <c r="BO168" s="242"/>
      <c r="BP168" s="242"/>
      <c r="BQ168" s="242"/>
      <c r="BR168" s="242"/>
      <c r="BS168" s="242"/>
      <c r="BT168" s="242"/>
      <c r="BU168" s="242"/>
      <c r="BV168" s="242"/>
      <c r="BW168" s="242"/>
      <c r="BX168" s="242"/>
      <c r="BY168" s="242"/>
      <c r="BZ168" s="242"/>
      <c r="CA168" s="242"/>
      <c r="CB168" s="242"/>
      <c r="CC168" s="242"/>
      <c r="CD168" s="242"/>
    </row>
    <row r="169" spans="1:82" ht="12.75" hidden="1" customHeight="1">
      <c r="A169" s="242"/>
      <c r="B169" s="238"/>
      <c r="C169" s="261" t="s">
        <v>91</v>
      </c>
      <c r="D169" s="302">
        <f t="shared" ref="D169:L169" si="74">SUM(D156,D157,D160)</f>
        <v>5</v>
      </c>
      <c r="E169" s="302">
        <f t="shared" si="74"/>
        <v>436</v>
      </c>
      <c r="F169" s="302">
        <f t="shared" si="74"/>
        <v>77</v>
      </c>
      <c r="G169" s="302">
        <f t="shared" si="74"/>
        <v>16</v>
      </c>
      <c r="H169" s="302">
        <f t="shared" si="74"/>
        <v>0</v>
      </c>
      <c r="I169" s="302">
        <f t="shared" si="74"/>
        <v>12</v>
      </c>
      <c r="J169" s="302">
        <f t="shared" si="74"/>
        <v>982</v>
      </c>
      <c r="K169" s="302">
        <f t="shared" si="74"/>
        <v>61</v>
      </c>
      <c r="L169" s="302">
        <f t="shared" si="74"/>
        <v>70</v>
      </c>
      <c r="M169" s="299">
        <f>$M$135</f>
        <v>12</v>
      </c>
      <c r="N169" s="300"/>
      <c r="O169" s="241"/>
      <c r="P169" s="242"/>
      <c r="Q169" s="242"/>
      <c r="R169" s="242"/>
      <c r="S169" s="242"/>
      <c r="T169" s="242"/>
      <c r="U169" s="242"/>
      <c r="V169" s="242"/>
      <c r="W169" s="242"/>
      <c r="X169" s="242"/>
      <c r="Y169" s="242"/>
      <c r="Z169" s="242"/>
      <c r="AA169" s="242"/>
      <c r="AB169" s="242"/>
      <c r="AC169" s="242"/>
      <c r="AD169" s="242"/>
      <c r="AE169" s="242"/>
      <c r="AF169" s="242"/>
      <c r="AG169" s="242"/>
      <c r="AH169" s="242"/>
      <c r="AI169" s="242"/>
      <c r="AJ169" s="242"/>
      <c r="AK169" s="242"/>
      <c r="AL169" s="242"/>
      <c r="AM169" s="242"/>
      <c r="AN169" s="242"/>
      <c r="AO169" s="242"/>
      <c r="AP169" s="242"/>
      <c r="AQ169" s="242"/>
      <c r="AR169" s="242"/>
      <c r="AS169" s="242"/>
      <c r="AT169" s="242"/>
      <c r="AU169" s="242"/>
      <c r="AV169" s="242"/>
      <c r="AW169" s="242"/>
      <c r="AX169" s="242"/>
      <c r="AY169" s="242"/>
      <c r="AZ169" s="242"/>
      <c r="BA169" s="242"/>
      <c r="BB169" s="242"/>
      <c r="BC169" s="242"/>
      <c r="BD169" s="242"/>
      <c r="BE169" s="242"/>
      <c r="BF169" s="242"/>
      <c r="BG169" s="242"/>
      <c r="BH169" s="242"/>
      <c r="BI169" s="242"/>
      <c r="BJ169" s="242"/>
      <c r="BK169" s="242"/>
      <c r="BL169" s="242"/>
      <c r="BM169" s="242"/>
      <c r="BN169" s="242"/>
      <c r="BO169" s="242"/>
      <c r="BP169" s="242"/>
      <c r="BQ169" s="242"/>
      <c r="BR169" s="242"/>
      <c r="BS169" s="242"/>
      <c r="BT169" s="242"/>
      <c r="BU169" s="242"/>
      <c r="BV169" s="242"/>
      <c r="BW169" s="242"/>
      <c r="BX169" s="242"/>
      <c r="BY169" s="242"/>
      <c r="BZ169" s="242"/>
      <c r="CA169" s="242"/>
      <c r="CB169" s="242"/>
      <c r="CC169" s="242"/>
      <c r="CD169" s="242"/>
    </row>
    <row r="170" spans="1:82" ht="12.75" hidden="1" customHeight="1">
      <c r="A170" s="242"/>
      <c r="B170" s="238"/>
      <c r="C170" s="261" t="s">
        <v>93</v>
      </c>
      <c r="D170" s="302">
        <f t="shared" ref="D170:L170" si="75">SUM(D155,D150)</f>
        <v>6</v>
      </c>
      <c r="E170" s="302">
        <f t="shared" si="75"/>
        <v>105</v>
      </c>
      <c r="F170" s="302">
        <f t="shared" si="75"/>
        <v>0</v>
      </c>
      <c r="G170" s="302">
        <f t="shared" si="75"/>
        <v>10</v>
      </c>
      <c r="H170" s="302">
        <f t="shared" si="75"/>
        <v>21</v>
      </c>
      <c r="I170" s="302">
        <f t="shared" si="75"/>
        <v>4</v>
      </c>
      <c r="J170" s="302">
        <f t="shared" si="75"/>
        <v>56</v>
      </c>
      <c r="K170" s="302">
        <f t="shared" si="75"/>
        <v>0</v>
      </c>
      <c r="L170" s="302">
        <f t="shared" si="75"/>
        <v>232</v>
      </c>
      <c r="M170" s="299">
        <f>$M$135</f>
        <v>12</v>
      </c>
      <c r="N170" s="300"/>
      <c r="O170" s="241"/>
      <c r="P170" s="242"/>
      <c r="Q170" s="242"/>
      <c r="R170" s="242"/>
      <c r="S170" s="242"/>
      <c r="T170" s="242"/>
      <c r="U170" s="242"/>
      <c r="V170" s="242"/>
      <c r="W170" s="242"/>
      <c r="X170" s="242"/>
      <c r="Y170" s="242"/>
      <c r="Z170" s="242"/>
      <c r="AA170" s="242"/>
      <c r="AB170" s="242"/>
      <c r="AC170" s="242"/>
      <c r="AD170" s="242"/>
      <c r="AE170" s="242"/>
      <c r="AF170" s="242"/>
      <c r="AG170" s="242"/>
      <c r="AH170" s="242"/>
      <c r="AI170" s="242"/>
      <c r="AJ170" s="242"/>
      <c r="AK170" s="242"/>
      <c r="AL170" s="242"/>
      <c r="AM170" s="242"/>
      <c r="AN170" s="242"/>
      <c r="AO170" s="242"/>
      <c r="AP170" s="242"/>
      <c r="AQ170" s="242"/>
      <c r="AR170" s="242"/>
      <c r="AS170" s="242"/>
      <c r="AT170" s="242"/>
      <c r="AU170" s="242"/>
      <c r="AV170" s="242"/>
      <c r="AW170" s="242"/>
      <c r="AX170" s="242"/>
      <c r="AY170" s="242"/>
      <c r="AZ170" s="242"/>
      <c r="BA170" s="242"/>
      <c r="BB170" s="242"/>
      <c r="BC170" s="242"/>
      <c r="BD170" s="242"/>
      <c r="BE170" s="242"/>
      <c r="BF170" s="242"/>
      <c r="BG170" s="242"/>
      <c r="BH170" s="242"/>
      <c r="BI170" s="242"/>
      <c r="BJ170" s="242"/>
      <c r="BK170" s="242"/>
      <c r="BL170" s="242"/>
      <c r="BM170" s="242"/>
      <c r="BN170" s="242"/>
      <c r="BO170" s="242"/>
      <c r="BP170" s="242"/>
      <c r="BQ170" s="242"/>
      <c r="BR170" s="242"/>
      <c r="BS170" s="242"/>
      <c r="BT170" s="242"/>
      <c r="BU170" s="242"/>
      <c r="BV170" s="242"/>
      <c r="BW170" s="242"/>
      <c r="BX170" s="242"/>
      <c r="BY170" s="242"/>
      <c r="BZ170" s="242"/>
      <c r="CA170" s="242"/>
      <c r="CB170" s="242"/>
      <c r="CC170" s="242"/>
      <c r="CD170" s="242"/>
    </row>
    <row r="171" spans="1:82" ht="12.75" hidden="1" customHeight="1">
      <c r="A171" s="242"/>
      <c r="B171" s="242"/>
      <c r="C171" s="309"/>
      <c r="D171" s="310"/>
      <c r="E171" s="310"/>
      <c r="F171" s="310"/>
      <c r="G171" s="310"/>
      <c r="H171" s="311"/>
      <c r="I171" s="311"/>
      <c r="J171" s="310"/>
      <c r="K171" s="310"/>
      <c r="L171" s="310"/>
      <c r="M171" s="310"/>
      <c r="N171" s="310"/>
      <c r="O171" s="312"/>
      <c r="P171" s="242"/>
      <c r="Q171" s="242"/>
      <c r="R171" s="242"/>
      <c r="S171" s="242"/>
      <c r="T171" s="242"/>
      <c r="U171" s="242"/>
      <c r="V171" s="242"/>
      <c r="W171" s="242"/>
      <c r="X171" s="242"/>
      <c r="Y171" s="242"/>
      <c r="Z171" s="242"/>
      <c r="AA171" s="242"/>
      <c r="AB171" s="242"/>
      <c r="AC171" s="242"/>
      <c r="AD171" s="242"/>
      <c r="AE171" s="242"/>
      <c r="AF171" s="242"/>
      <c r="AG171" s="242"/>
      <c r="AH171" s="242"/>
      <c r="AI171" s="242"/>
      <c r="AJ171" s="242"/>
      <c r="AK171" s="242"/>
      <c r="AL171" s="242"/>
      <c r="AM171" s="242"/>
      <c r="AN171" s="242"/>
      <c r="AO171" s="242"/>
      <c r="AP171" s="242"/>
      <c r="AQ171" s="242"/>
      <c r="AR171" s="242"/>
      <c r="AS171" s="242"/>
      <c r="AT171" s="242"/>
      <c r="AU171" s="242"/>
      <c r="AV171" s="242"/>
      <c r="AW171" s="242"/>
      <c r="AX171" s="242"/>
      <c r="AY171" s="242"/>
      <c r="AZ171" s="242"/>
      <c r="BA171" s="242"/>
      <c r="BB171" s="242"/>
      <c r="BC171" s="242"/>
      <c r="BD171" s="242"/>
      <c r="BE171" s="242"/>
      <c r="BF171" s="242"/>
      <c r="BG171" s="242"/>
      <c r="BH171" s="242"/>
      <c r="BI171" s="242"/>
      <c r="BJ171" s="242"/>
      <c r="BK171" s="242"/>
      <c r="BL171" s="242"/>
      <c r="BM171" s="242"/>
      <c r="BN171" s="242"/>
      <c r="BO171" s="242"/>
      <c r="BP171" s="242"/>
      <c r="BQ171" s="242"/>
      <c r="BR171" s="242"/>
      <c r="BS171" s="242"/>
      <c r="BT171" s="242"/>
      <c r="BU171" s="242"/>
      <c r="BV171" s="242"/>
      <c r="BW171" s="242"/>
      <c r="BX171" s="242"/>
      <c r="BY171" s="242"/>
      <c r="BZ171" s="242"/>
      <c r="CA171" s="242"/>
      <c r="CB171" s="242"/>
      <c r="CC171" s="242"/>
      <c r="CD171" s="242"/>
    </row>
    <row r="172" spans="1:82" ht="12.75" hidden="1" customHeight="1">
      <c r="A172" s="242"/>
      <c r="B172" s="242"/>
      <c r="C172" s="309"/>
      <c r="D172" s="310"/>
      <c r="E172" s="310"/>
      <c r="F172" s="310"/>
      <c r="G172" s="310"/>
      <c r="H172" s="311"/>
      <c r="I172" s="311"/>
      <c r="J172" s="310"/>
      <c r="K172" s="310"/>
      <c r="L172" s="310"/>
      <c r="M172" s="310"/>
      <c r="N172" s="310"/>
      <c r="O172" s="312"/>
      <c r="P172" s="242"/>
      <c r="Q172" s="242"/>
      <c r="R172" s="242"/>
      <c r="S172" s="242"/>
      <c r="T172" s="242"/>
      <c r="U172" s="242"/>
      <c r="V172" s="242"/>
      <c r="W172" s="242"/>
      <c r="X172" s="242"/>
      <c r="Y172" s="242"/>
      <c r="Z172" s="242"/>
      <c r="AA172" s="242"/>
      <c r="AB172" s="242"/>
      <c r="AC172" s="242"/>
      <c r="AD172" s="242"/>
      <c r="AE172" s="242"/>
      <c r="AF172" s="242"/>
      <c r="AG172" s="242"/>
      <c r="AH172" s="242"/>
      <c r="AI172" s="242"/>
      <c r="AJ172" s="242"/>
      <c r="AK172" s="242"/>
      <c r="AL172" s="242"/>
      <c r="AM172" s="242"/>
      <c r="AN172" s="242"/>
      <c r="AO172" s="242"/>
      <c r="AP172" s="242"/>
      <c r="AQ172" s="242"/>
      <c r="AR172" s="242"/>
      <c r="AS172" s="242"/>
      <c r="AT172" s="242"/>
      <c r="AU172" s="242"/>
      <c r="AV172" s="242"/>
      <c r="AW172" s="242"/>
      <c r="AX172" s="242"/>
      <c r="AY172" s="242"/>
      <c r="AZ172" s="242"/>
      <c r="BA172" s="242"/>
      <c r="BB172" s="242"/>
      <c r="BC172" s="242"/>
      <c r="BD172" s="242"/>
      <c r="BE172" s="242"/>
      <c r="BF172" s="242"/>
      <c r="BG172" s="242"/>
      <c r="BH172" s="242"/>
      <c r="BI172" s="242"/>
      <c r="BJ172" s="242"/>
      <c r="BK172" s="242"/>
      <c r="BL172" s="242"/>
      <c r="BM172" s="242"/>
      <c r="BN172" s="242"/>
      <c r="BO172" s="242"/>
      <c r="BP172" s="242"/>
      <c r="BQ172" s="242"/>
      <c r="BR172" s="242"/>
      <c r="BS172" s="242"/>
      <c r="BT172" s="242"/>
      <c r="BU172" s="242"/>
      <c r="BV172" s="242"/>
      <c r="BW172" s="242"/>
      <c r="BX172" s="242"/>
      <c r="BY172" s="242"/>
      <c r="BZ172" s="242"/>
      <c r="CA172" s="242"/>
      <c r="CB172" s="242"/>
      <c r="CC172" s="242"/>
      <c r="CD172" s="242"/>
    </row>
    <row r="173" spans="1:82" ht="12.75" hidden="1" customHeight="1">
      <c r="A173" s="242"/>
      <c r="B173" s="242"/>
      <c r="C173" s="309"/>
      <c r="D173" s="310"/>
      <c r="E173" s="310"/>
      <c r="F173" s="310"/>
      <c r="G173" s="310"/>
      <c r="H173" s="311"/>
      <c r="I173" s="311"/>
      <c r="J173" s="310"/>
      <c r="K173" s="310"/>
      <c r="L173" s="310"/>
      <c r="M173" s="310"/>
      <c r="N173" s="310"/>
      <c r="O173" s="312"/>
      <c r="P173" s="242"/>
      <c r="Q173" s="242"/>
      <c r="R173" s="242"/>
      <c r="S173" s="242"/>
      <c r="T173" s="242"/>
      <c r="U173" s="242"/>
      <c r="V173" s="242"/>
      <c r="W173" s="242"/>
      <c r="X173" s="242"/>
      <c r="Y173" s="242"/>
      <c r="Z173" s="242"/>
      <c r="AA173" s="242"/>
      <c r="AB173" s="242"/>
      <c r="AC173" s="242"/>
      <c r="AD173" s="242"/>
      <c r="AE173" s="242"/>
      <c r="AF173" s="242"/>
      <c r="AG173" s="242"/>
      <c r="AH173" s="242"/>
      <c r="AI173" s="242"/>
      <c r="AJ173" s="242"/>
      <c r="AK173" s="242"/>
      <c r="AL173" s="242"/>
      <c r="AM173" s="242"/>
      <c r="AN173" s="242"/>
      <c r="AO173" s="242"/>
      <c r="AP173" s="242"/>
      <c r="AQ173" s="242"/>
      <c r="AR173" s="242"/>
      <c r="AS173" s="242"/>
      <c r="AT173" s="242"/>
      <c r="AU173" s="242"/>
      <c r="AV173" s="242"/>
      <c r="AW173" s="242"/>
      <c r="AX173" s="242"/>
      <c r="AY173" s="242"/>
      <c r="AZ173" s="242"/>
      <c r="BA173" s="242"/>
      <c r="BB173" s="242"/>
      <c r="BC173" s="242"/>
      <c r="BD173" s="242"/>
      <c r="BE173" s="242"/>
      <c r="BF173" s="242"/>
      <c r="BG173" s="242"/>
      <c r="BH173" s="242"/>
      <c r="BI173" s="242"/>
      <c r="BJ173" s="242"/>
      <c r="BK173" s="242"/>
      <c r="BL173" s="242"/>
      <c r="BM173" s="242"/>
      <c r="BN173" s="242"/>
      <c r="BO173" s="242"/>
      <c r="BP173" s="242"/>
      <c r="BQ173" s="242"/>
      <c r="BR173" s="242"/>
      <c r="BS173" s="242"/>
      <c r="BT173" s="242"/>
      <c r="BU173" s="242"/>
      <c r="BV173" s="242"/>
      <c r="BW173" s="242"/>
      <c r="BX173" s="242"/>
      <c r="BY173" s="242"/>
      <c r="BZ173" s="242"/>
      <c r="CA173" s="242"/>
      <c r="CB173" s="242"/>
      <c r="CC173" s="242"/>
      <c r="CD173" s="242"/>
    </row>
    <row r="174" spans="1:82" ht="12.75" hidden="1" customHeight="1">
      <c r="A174" s="242"/>
      <c r="B174" s="242"/>
      <c r="C174" s="309"/>
      <c r="D174" s="310"/>
      <c r="E174" s="310"/>
      <c r="F174" s="310"/>
      <c r="G174" s="310"/>
      <c r="H174" s="311"/>
      <c r="I174" s="311"/>
      <c r="J174" s="310"/>
      <c r="K174" s="310"/>
      <c r="L174" s="310"/>
      <c r="M174" s="310"/>
      <c r="N174" s="310"/>
      <c r="O174" s="312"/>
      <c r="P174" s="242"/>
      <c r="Q174" s="242"/>
      <c r="R174" s="242"/>
      <c r="S174" s="242"/>
      <c r="T174" s="242"/>
      <c r="U174" s="242"/>
      <c r="V174" s="242"/>
      <c r="W174" s="242"/>
      <c r="X174" s="242"/>
      <c r="Y174" s="242"/>
      <c r="Z174" s="242"/>
      <c r="AA174" s="242"/>
      <c r="AB174" s="242"/>
      <c r="AC174" s="242"/>
      <c r="AD174" s="242"/>
      <c r="AE174" s="242"/>
      <c r="AF174" s="242"/>
      <c r="AG174" s="242"/>
      <c r="AH174" s="242"/>
      <c r="AI174" s="242"/>
      <c r="AJ174" s="242"/>
      <c r="AK174" s="242"/>
      <c r="AL174" s="242"/>
      <c r="AM174" s="242"/>
      <c r="AN174" s="242"/>
      <c r="AO174" s="242"/>
      <c r="AP174" s="242"/>
      <c r="AQ174" s="242"/>
      <c r="AR174" s="242"/>
      <c r="AS174" s="242"/>
      <c r="AT174" s="242"/>
      <c r="AU174" s="242"/>
      <c r="AV174" s="242"/>
      <c r="AW174" s="242"/>
      <c r="AX174" s="242"/>
      <c r="AY174" s="242"/>
      <c r="AZ174" s="242"/>
      <c r="BA174" s="242"/>
      <c r="BB174" s="242"/>
      <c r="BC174" s="242"/>
      <c r="BD174" s="242"/>
      <c r="BE174" s="242"/>
      <c r="BF174" s="242"/>
      <c r="BG174" s="242"/>
      <c r="BH174" s="242"/>
      <c r="BI174" s="242"/>
      <c r="BJ174" s="242"/>
      <c r="BK174" s="242"/>
      <c r="BL174" s="242"/>
      <c r="BM174" s="242"/>
      <c r="BN174" s="242"/>
      <c r="BO174" s="242"/>
      <c r="BP174" s="242"/>
      <c r="BQ174" s="242"/>
      <c r="BR174" s="242"/>
      <c r="BS174" s="242"/>
      <c r="BT174" s="242"/>
      <c r="BU174" s="242"/>
      <c r="BV174" s="242"/>
      <c r="BW174" s="242"/>
      <c r="BX174" s="242"/>
      <c r="BY174" s="242"/>
      <c r="BZ174" s="242"/>
      <c r="CA174" s="242"/>
      <c r="CB174" s="242"/>
      <c r="CC174" s="242"/>
      <c r="CD174" s="242"/>
    </row>
    <row r="175" spans="1:82" ht="12.75" hidden="1" customHeight="1">
      <c r="A175" s="242"/>
      <c r="B175" s="242"/>
      <c r="C175" s="309"/>
      <c r="D175" s="310"/>
      <c r="E175" s="310"/>
      <c r="F175" s="310"/>
      <c r="G175" s="310"/>
      <c r="H175" s="311"/>
      <c r="I175" s="311"/>
      <c r="J175" s="310"/>
      <c r="K175" s="310"/>
      <c r="L175" s="310"/>
      <c r="M175" s="310"/>
      <c r="N175" s="310"/>
      <c r="O175" s="312"/>
      <c r="P175" s="242"/>
      <c r="Q175" s="242"/>
      <c r="R175" s="242"/>
      <c r="S175" s="242"/>
      <c r="T175" s="242"/>
      <c r="U175" s="242"/>
      <c r="V175" s="242"/>
      <c r="W175" s="242"/>
      <c r="X175" s="242"/>
      <c r="Y175" s="242"/>
      <c r="Z175" s="242"/>
      <c r="AA175" s="242"/>
      <c r="AB175" s="242"/>
      <c r="AC175" s="242"/>
      <c r="AD175" s="242"/>
      <c r="AE175" s="242"/>
      <c r="AF175" s="242"/>
      <c r="AG175" s="242"/>
      <c r="AH175" s="242"/>
      <c r="AI175" s="242"/>
      <c r="AJ175" s="242"/>
      <c r="AK175" s="242"/>
      <c r="AL175" s="242"/>
      <c r="AM175" s="242"/>
      <c r="AN175" s="242"/>
      <c r="AO175" s="242"/>
      <c r="AP175" s="242"/>
      <c r="AQ175" s="242"/>
      <c r="AR175" s="242"/>
      <c r="AS175" s="242"/>
      <c r="AT175" s="242"/>
      <c r="AU175" s="242"/>
      <c r="AV175" s="242"/>
      <c r="AW175" s="242"/>
      <c r="AX175" s="242"/>
      <c r="AY175" s="242"/>
      <c r="AZ175" s="242"/>
      <c r="BA175" s="242"/>
      <c r="BB175" s="242"/>
      <c r="BC175" s="242"/>
      <c r="BD175" s="242"/>
      <c r="BE175" s="242"/>
      <c r="BF175" s="242"/>
      <c r="BG175" s="242"/>
      <c r="BH175" s="242"/>
      <c r="BI175" s="242"/>
      <c r="BJ175" s="242"/>
      <c r="BK175" s="242"/>
      <c r="BL175" s="242"/>
      <c r="BM175" s="242"/>
      <c r="BN175" s="242"/>
      <c r="BO175" s="242"/>
      <c r="BP175" s="242"/>
      <c r="BQ175" s="242"/>
      <c r="BR175" s="242"/>
      <c r="BS175" s="242"/>
      <c r="BT175" s="242"/>
      <c r="BU175" s="242"/>
      <c r="BV175" s="242"/>
      <c r="BW175" s="242"/>
      <c r="BX175" s="242"/>
      <c r="BY175" s="242"/>
      <c r="BZ175" s="242"/>
      <c r="CA175" s="242"/>
      <c r="CB175" s="242"/>
      <c r="CC175" s="242"/>
      <c r="CD175" s="242"/>
    </row>
    <row r="176" spans="1:82" ht="12.75" hidden="1" customHeight="1">
      <c r="A176" s="242"/>
      <c r="B176" s="242"/>
      <c r="C176" s="294"/>
      <c r="D176" s="294"/>
      <c r="E176" s="294"/>
      <c r="F176" s="294"/>
      <c r="G176" s="294"/>
      <c r="H176" s="285"/>
      <c r="I176" s="285"/>
      <c r="J176" s="294"/>
      <c r="K176" s="294"/>
      <c r="L176" s="294"/>
      <c r="M176" s="294"/>
      <c r="N176" s="294"/>
      <c r="O176" s="242"/>
      <c r="P176" s="242"/>
      <c r="Q176" s="242"/>
      <c r="R176" s="242"/>
      <c r="S176" s="242"/>
      <c r="T176" s="242"/>
      <c r="U176" s="242"/>
      <c r="V176" s="242"/>
      <c r="W176" s="242"/>
      <c r="X176" s="242"/>
      <c r="Y176" s="242"/>
      <c r="Z176" s="242"/>
      <c r="AA176" s="242"/>
      <c r="AB176" s="242"/>
      <c r="AC176" s="242"/>
      <c r="AD176" s="242"/>
      <c r="AE176" s="242"/>
      <c r="AF176" s="242"/>
      <c r="AG176" s="242"/>
      <c r="AH176" s="242"/>
      <c r="AI176" s="242"/>
      <c r="AJ176" s="242"/>
      <c r="AK176" s="242"/>
      <c r="AL176" s="242"/>
      <c r="AM176" s="242"/>
      <c r="AN176" s="242"/>
      <c r="AO176" s="242"/>
      <c r="AP176" s="242"/>
      <c r="AQ176" s="242"/>
      <c r="AR176" s="242"/>
      <c r="AS176" s="242"/>
      <c r="AT176" s="242"/>
      <c r="AU176" s="242"/>
      <c r="AV176" s="242"/>
      <c r="AW176" s="242"/>
      <c r="AX176" s="242"/>
      <c r="AY176" s="242"/>
      <c r="AZ176" s="242"/>
      <c r="BA176" s="242"/>
      <c r="BB176" s="242"/>
      <c r="BC176" s="242"/>
      <c r="BD176" s="242"/>
      <c r="BE176" s="242"/>
      <c r="BF176" s="242"/>
      <c r="BG176" s="242"/>
      <c r="BH176" s="242"/>
      <c r="BI176" s="242"/>
      <c r="BJ176" s="242"/>
      <c r="BK176" s="242"/>
      <c r="BL176" s="242"/>
      <c r="BM176" s="242"/>
      <c r="BN176" s="242"/>
      <c r="BO176" s="242"/>
      <c r="BP176" s="242"/>
      <c r="BQ176" s="242"/>
      <c r="BR176" s="242"/>
      <c r="BS176" s="242"/>
      <c r="BT176" s="242"/>
      <c r="BU176" s="242"/>
      <c r="BV176" s="242"/>
      <c r="BW176" s="242"/>
      <c r="BX176" s="242"/>
      <c r="BY176" s="242"/>
      <c r="BZ176" s="242"/>
      <c r="CA176" s="242"/>
      <c r="CB176" s="242"/>
      <c r="CC176" s="242"/>
      <c r="CD176" s="242"/>
    </row>
    <row r="177" spans="1:82" ht="15" customHeight="1">
      <c r="A177" s="242"/>
      <c r="B177" s="238"/>
      <c r="C177" s="543" t="s">
        <v>1938</v>
      </c>
      <c r="D177" s="544" t="s">
        <v>1963</v>
      </c>
      <c r="E177" s="503"/>
      <c r="F177" s="504"/>
      <c r="G177" s="504"/>
      <c r="H177" s="504"/>
      <c r="I177" s="504"/>
      <c r="J177" s="504"/>
      <c r="K177" s="504"/>
      <c r="L177" s="504"/>
      <c r="M177" s="505"/>
      <c r="N177" s="543" t="s">
        <v>1956</v>
      </c>
      <c r="O177" s="241"/>
      <c r="P177" s="242"/>
      <c r="Q177" s="242"/>
      <c r="R177" s="242"/>
      <c r="S177" s="242"/>
      <c r="T177" s="242"/>
      <c r="U177" s="242"/>
      <c r="V177" s="242"/>
      <c r="W177" s="242"/>
      <c r="X177" s="242"/>
      <c r="Y177" s="242"/>
      <c r="Z177" s="242"/>
      <c r="AA177" s="242"/>
      <c r="AB177" s="242"/>
      <c r="AC177" s="242"/>
      <c r="AD177" s="242"/>
      <c r="AE177" s="242"/>
      <c r="AF177" s="242"/>
      <c r="AG177" s="242"/>
      <c r="AH177" s="242"/>
      <c r="AI177" s="242"/>
      <c r="AJ177" s="242"/>
      <c r="AK177" s="242"/>
      <c r="AL177" s="242"/>
      <c r="AM177" s="242"/>
      <c r="AN177" s="242"/>
      <c r="AO177" s="242"/>
      <c r="AP177" s="242"/>
      <c r="AQ177" s="242"/>
      <c r="AR177" s="242"/>
      <c r="AS177" s="242"/>
      <c r="AT177" s="242"/>
      <c r="AU177" s="242"/>
      <c r="AV177" s="242"/>
      <c r="AW177" s="242"/>
      <c r="AX177" s="242"/>
      <c r="AY177" s="242"/>
      <c r="AZ177" s="242"/>
      <c r="BA177" s="242"/>
      <c r="BB177" s="242"/>
      <c r="BC177" s="242"/>
      <c r="BD177" s="242"/>
      <c r="BE177" s="242"/>
      <c r="BF177" s="242"/>
      <c r="BG177" s="242"/>
      <c r="BH177" s="242"/>
      <c r="BI177" s="242"/>
      <c r="BJ177" s="242"/>
      <c r="BK177" s="242"/>
      <c r="BL177" s="242"/>
      <c r="BM177" s="242"/>
      <c r="BN177" s="242"/>
      <c r="BO177" s="242"/>
      <c r="BP177" s="242"/>
      <c r="BQ177" s="242"/>
      <c r="BR177" s="242"/>
      <c r="BS177" s="242"/>
      <c r="BT177" s="242"/>
      <c r="BU177" s="242"/>
      <c r="BV177" s="242"/>
      <c r="BW177" s="242"/>
      <c r="BX177" s="242"/>
      <c r="BY177" s="242"/>
      <c r="BZ177" s="242"/>
      <c r="CA177" s="242"/>
      <c r="CB177" s="242"/>
      <c r="CC177" s="242"/>
      <c r="CD177" s="242"/>
    </row>
    <row r="178" spans="1:82" ht="27.75" customHeight="1">
      <c r="A178" s="242"/>
      <c r="B178" s="313"/>
      <c r="C178" s="521"/>
      <c r="D178" s="240" t="s">
        <v>1941</v>
      </c>
      <c r="E178" s="240" t="s">
        <v>1942</v>
      </c>
      <c r="F178" s="240" t="s">
        <v>1943</v>
      </c>
      <c r="G178" s="240" t="s">
        <v>1944</v>
      </c>
      <c r="H178" s="240" t="s">
        <v>1945</v>
      </c>
      <c r="I178" s="240" t="s">
        <v>1946</v>
      </c>
      <c r="J178" s="240" t="s">
        <v>1947</v>
      </c>
      <c r="K178" s="240" t="s">
        <v>1948</v>
      </c>
      <c r="L178" s="240" t="s">
        <v>1957</v>
      </c>
      <c r="M178" s="240" t="s">
        <v>1958</v>
      </c>
      <c r="N178" s="521"/>
      <c r="O178" s="241"/>
      <c r="P178" s="242"/>
      <c r="Q178" s="242"/>
      <c r="R178" s="242"/>
      <c r="S178" s="242"/>
      <c r="T178" s="242"/>
      <c r="U178" s="242"/>
      <c r="V178" s="242"/>
      <c r="W178" s="242"/>
      <c r="X178" s="242"/>
      <c r="Y178" s="242"/>
      <c r="Z178" s="242"/>
      <c r="AA178" s="242"/>
      <c r="AB178" s="242"/>
      <c r="AC178" s="242"/>
      <c r="AD178" s="242"/>
      <c r="AE178" s="242"/>
      <c r="AF178" s="242"/>
      <c r="AG178" s="242"/>
      <c r="AH178" s="242"/>
      <c r="AI178" s="242"/>
      <c r="AJ178" s="242"/>
      <c r="AK178" s="242"/>
      <c r="AL178" s="242"/>
      <c r="AM178" s="242"/>
      <c r="AN178" s="242"/>
      <c r="AO178" s="242"/>
      <c r="AP178" s="242"/>
      <c r="AQ178" s="242"/>
      <c r="AR178" s="242"/>
      <c r="AS178" s="242"/>
      <c r="AT178" s="242"/>
      <c r="AU178" s="242"/>
      <c r="AV178" s="242"/>
      <c r="AW178" s="242"/>
      <c r="AX178" s="242"/>
      <c r="AY178" s="242"/>
      <c r="AZ178" s="242"/>
      <c r="BA178" s="242"/>
      <c r="BB178" s="242"/>
      <c r="BC178" s="242"/>
      <c r="BD178" s="242"/>
      <c r="BE178" s="242"/>
      <c r="BF178" s="242"/>
      <c r="BG178" s="242"/>
      <c r="BH178" s="242"/>
      <c r="BI178" s="242"/>
      <c r="BJ178" s="242"/>
      <c r="BK178" s="242"/>
      <c r="BL178" s="242"/>
      <c r="BM178" s="242"/>
      <c r="BN178" s="242"/>
      <c r="BO178" s="242"/>
      <c r="BP178" s="242"/>
      <c r="BQ178" s="242"/>
      <c r="BR178" s="242"/>
      <c r="BS178" s="242"/>
      <c r="BT178" s="242"/>
      <c r="BU178" s="242"/>
      <c r="BV178" s="242"/>
      <c r="BW178" s="242"/>
      <c r="BX178" s="242"/>
      <c r="BY178" s="242"/>
      <c r="BZ178" s="242"/>
      <c r="CA178" s="242"/>
      <c r="CB178" s="242"/>
      <c r="CC178" s="242"/>
      <c r="CD178" s="242"/>
    </row>
    <row r="179" spans="1:82" ht="12.75" hidden="1" customHeight="1">
      <c r="A179" s="242"/>
      <c r="B179" s="314"/>
      <c r="C179" s="297" t="s">
        <v>44</v>
      </c>
      <c r="D179" s="295" t="e">
        <f t="shared" ref="D179:D184" si="76">IF(D135/N135&lt;$AN$267,0,IF(D135/N135&lt;$AM$267,1,IF(D135/N135&lt;$AL$267,2,3)))</f>
        <v>#DIV/0!</v>
      </c>
      <c r="E179" s="295" t="e">
        <f t="shared" ref="E179:E184" si="77">IF(E135/N135&lt;$AN$268,0,IF(E135/N135&lt;$AM$268,1,IF(E135/N135&lt;$AL$268,2,3)))</f>
        <v>#DIV/0!</v>
      </c>
      <c r="F179" s="295" t="e">
        <f t="shared" ref="F179:F184" si="78">IF(F135/N135&lt;$AN$269,0,IF(F135/N135&lt;$AM$269,1,IF(F135/N135&lt;$AL$269,2,3)))</f>
        <v>#DIV/0!</v>
      </c>
      <c r="G179" s="295" t="e">
        <f t="shared" ref="G179:G184" si="79">IF(G135/N135&lt;$AN$270,0,IF(G135/N135&lt;$AM$270,1,IF(G135/N135&lt;$AL$270,2,3)))</f>
        <v>#DIV/0!</v>
      </c>
      <c r="H179" s="295" t="e">
        <f t="shared" ref="H179:H184" si="80">IF(H135/N135&lt;$AN$271,0,IF(H135/N135&lt;$AM$271,1,IF(H135/N135&lt;$AL$271,2,3)))</f>
        <v>#DIV/0!</v>
      </c>
      <c r="I179" s="295" t="e">
        <f t="shared" ref="I179:I184" si="81">IF(I135/N135&lt;$AN$272,0,IF(I135/N135&lt;$AM$272,1,IF(I135/N135&lt;$AL$272,2,3)))</f>
        <v>#DIV/0!</v>
      </c>
      <c r="J179" s="295" t="e">
        <f t="shared" ref="J179:J184" si="82">IF(J135/N135&lt;$AN$273,0,IF(J135/N135&lt;$AM$273,1,IF(J135/N135&lt;$AL$273,2,3)))</f>
        <v>#DIV/0!</v>
      </c>
      <c r="K179" s="295" t="e">
        <f t="shared" ref="K179:K184" si="83">IF(K135/N135&lt;$AN$274,0,IF(K135/N135&lt;$AM$274,1,IF(K135/N135&lt;$AL$274,2,3)))</f>
        <v>#DIV/0!</v>
      </c>
      <c r="L179" s="295">
        <f t="shared" ref="L179:L184" si="84">IF(L135&lt;$AN$275,0,IF(L135=$AM$275,1,IF(L135&lt;$AL$275,2,3)))</f>
        <v>3</v>
      </c>
      <c r="M179" s="295">
        <f t="shared" ref="M179:M184" si="85">IF(M135&lt;$AN$276,0,IF(M135&lt;$AM$276,1,IF(M135&lt;$AL$276,2,3)))</f>
        <v>3</v>
      </c>
      <c r="N179" s="295" t="e">
        <f t="shared" ref="N179:N184" si="86">AVERAGE(D179:M179)</f>
        <v>#DIV/0!</v>
      </c>
      <c r="O179" s="241"/>
      <c r="P179" s="242"/>
      <c r="Q179" s="242"/>
      <c r="R179" s="242"/>
      <c r="S179" s="242"/>
      <c r="T179" s="242"/>
      <c r="U179" s="242"/>
      <c r="V179" s="242"/>
      <c r="W179" s="242"/>
      <c r="X179" s="242"/>
      <c r="Y179" s="242"/>
      <c r="Z179" s="242"/>
      <c r="AA179" s="242"/>
      <c r="AB179" s="242"/>
      <c r="AC179" s="242"/>
      <c r="AD179" s="242"/>
      <c r="AE179" s="242"/>
      <c r="AF179" s="242"/>
      <c r="AG179" s="242"/>
      <c r="AH179" s="242"/>
      <c r="AI179" s="242"/>
      <c r="AJ179" s="242"/>
      <c r="AK179" s="242"/>
      <c r="AL179" s="242"/>
      <c r="AM179" s="242"/>
      <c r="AN179" s="242"/>
      <c r="AO179" s="242"/>
      <c r="AP179" s="242"/>
      <c r="AQ179" s="242"/>
      <c r="AR179" s="242"/>
      <c r="AS179" s="242"/>
      <c r="AT179" s="242"/>
      <c r="AU179" s="242"/>
      <c r="AV179" s="242"/>
      <c r="AW179" s="242"/>
      <c r="AX179" s="242"/>
      <c r="AY179" s="242"/>
      <c r="AZ179" s="242"/>
      <c r="BA179" s="242"/>
      <c r="BB179" s="242"/>
      <c r="BC179" s="242"/>
      <c r="BD179" s="242"/>
      <c r="BE179" s="242"/>
      <c r="BF179" s="242"/>
      <c r="BG179" s="242"/>
      <c r="BH179" s="242"/>
      <c r="BI179" s="242"/>
      <c r="BJ179" s="242"/>
      <c r="BK179" s="242"/>
      <c r="BL179" s="242"/>
      <c r="BM179" s="242"/>
      <c r="BN179" s="242"/>
      <c r="BO179" s="242"/>
      <c r="BP179" s="242"/>
      <c r="BQ179" s="242"/>
      <c r="BR179" s="242"/>
      <c r="BS179" s="242"/>
      <c r="BT179" s="242"/>
      <c r="BU179" s="242"/>
      <c r="BV179" s="242"/>
      <c r="BW179" s="242"/>
      <c r="BX179" s="242"/>
      <c r="BY179" s="242"/>
      <c r="BZ179" s="242"/>
      <c r="CA179" s="242"/>
      <c r="CB179" s="242"/>
      <c r="CC179" s="242"/>
      <c r="CD179" s="242"/>
    </row>
    <row r="180" spans="1:82" ht="12.75" hidden="1" customHeight="1">
      <c r="A180" s="242"/>
      <c r="B180" s="314"/>
      <c r="C180" s="247" t="s">
        <v>49</v>
      </c>
      <c r="D180" s="295">
        <f t="shared" si="76"/>
        <v>3</v>
      </c>
      <c r="E180" s="295">
        <f t="shared" si="77"/>
        <v>3</v>
      </c>
      <c r="F180" s="295">
        <f t="shared" si="78"/>
        <v>3</v>
      </c>
      <c r="G180" s="295">
        <f t="shared" si="79"/>
        <v>3</v>
      </c>
      <c r="H180" s="295">
        <f t="shared" si="80"/>
        <v>3</v>
      </c>
      <c r="I180" s="295">
        <f t="shared" si="81"/>
        <v>1</v>
      </c>
      <c r="J180" s="295">
        <f t="shared" si="82"/>
        <v>3</v>
      </c>
      <c r="K180" s="295">
        <f t="shared" si="83"/>
        <v>3</v>
      </c>
      <c r="L180" s="295">
        <f t="shared" si="84"/>
        <v>3</v>
      </c>
      <c r="M180" s="295">
        <f t="shared" si="85"/>
        <v>3</v>
      </c>
      <c r="N180" s="295">
        <f t="shared" si="86"/>
        <v>2.8</v>
      </c>
      <c r="O180" s="241"/>
      <c r="P180" s="242"/>
      <c r="Q180" s="242"/>
      <c r="R180" s="242"/>
      <c r="S180" s="242"/>
      <c r="T180" s="242"/>
      <c r="U180" s="242"/>
      <c r="V180" s="242"/>
      <c r="W180" s="242"/>
      <c r="X180" s="242"/>
      <c r="Y180" s="242"/>
      <c r="Z180" s="242"/>
      <c r="AA180" s="242"/>
      <c r="AB180" s="242"/>
      <c r="AC180" s="242"/>
      <c r="AD180" s="242"/>
      <c r="AE180" s="242"/>
      <c r="AF180" s="242"/>
      <c r="AG180" s="242"/>
      <c r="AH180" s="242"/>
      <c r="AI180" s="242"/>
      <c r="AJ180" s="242"/>
      <c r="AK180" s="242"/>
      <c r="AL180" s="242"/>
      <c r="AM180" s="242"/>
      <c r="AN180" s="242"/>
      <c r="AO180" s="242"/>
      <c r="AP180" s="242"/>
      <c r="AQ180" s="242"/>
      <c r="AR180" s="242"/>
      <c r="AS180" s="242"/>
      <c r="AT180" s="242"/>
      <c r="AU180" s="242"/>
      <c r="AV180" s="242"/>
      <c r="AW180" s="242"/>
      <c r="AX180" s="242"/>
      <c r="AY180" s="242"/>
      <c r="AZ180" s="242"/>
      <c r="BA180" s="242"/>
      <c r="BB180" s="242"/>
      <c r="BC180" s="242"/>
      <c r="BD180" s="242"/>
      <c r="BE180" s="242"/>
      <c r="BF180" s="242"/>
      <c r="BG180" s="242"/>
      <c r="BH180" s="242"/>
      <c r="BI180" s="242"/>
      <c r="BJ180" s="242"/>
      <c r="BK180" s="242"/>
      <c r="BL180" s="242"/>
      <c r="BM180" s="242"/>
      <c r="BN180" s="242"/>
      <c r="BO180" s="242"/>
      <c r="BP180" s="242"/>
      <c r="BQ180" s="242"/>
      <c r="BR180" s="242"/>
      <c r="BS180" s="242"/>
      <c r="BT180" s="242"/>
      <c r="BU180" s="242"/>
      <c r="BV180" s="242"/>
      <c r="BW180" s="242"/>
      <c r="BX180" s="242"/>
      <c r="BY180" s="242"/>
      <c r="BZ180" s="242"/>
      <c r="CA180" s="242"/>
      <c r="CB180" s="242"/>
      <c r="CC180" s="242"/>
      <c r="CD180" s="242"/>
    </row>
    <row r="181" spans="1:82" ht="12.75" hidden="1" customHeight="1">
      <c r="A181" s="242"/>
      <c r="B181" s="314"/>
      <c r="C181" s="247" t="s">
        <v>51</v>
      </c>
      <c r="D181" s="295" t="e">
        <f t="shared" si="76"/>
        <v>#DIV/0!</v>
      </c>
      <c r="E181" s="295" t="e">
        <f t="shared" si="77"/>
        <v>#DIV/0!</v>
      </c>
      <c r="F181" s="295" t="e">
        <f t="shared" si="78"/>
        <v>#DIV/0!</v>
      </c>
      <c r="G181" s="295" t="e">
        <f t="shared" si="79"/>
        <v>#DIV/0!</v>
      </c>
      <c r="H181" s="295" t="e">
        <f t="shared" si="80"/>
        <v>#DIV/0!</v>
      </c>
      <c r="I181" s="295" t="e">
        <f t="shared" si="81"/>
        <v>#DIV/0!</v>
      </c>
      <c r="J181" s="295" t="e">
        <f t="shared" si="82"/>
        <v>#DIV/0!</v>
      </c>
      <c r="K181" s="295" t="e">
        <f t="shared" si="83"/>
        <v>#DIV/0!</v>
      </c>
      <c r="L181" s="295">
        <f t="shared" si="84"/>
        <v>3</v>
      </c>
      <c r="M181" s="295">
        <f t="shared" si="85"/>
        <v>3</v>
      </c>
      <c r="N181" s="295" t="e">
        <f t="shared" si="86"/>
        <v>#DIV/0!</v>
      </c>
      <c r="O181" s="241"/>
      <c r="P181" s="242"/>
      <c r="Q181" s="242"/>
      <c r="R181" s="242"/>
      <c r="S181" s="242"/>
      <c r="T181" s="242"/>
      <c r="U181" s="242"/>
      <c r="V181" s="242"/>
      <c r="W181" s="242"/>
      <c r="X181" s="242"/>
      <c r="Y181" s="242"/>
      <c r="Z181" s="242"/>
      <c r="AA181" s="242"/>
      <c r="AB181" s="242"/>
      <c r="AC181" s="242"/>
      <c r="AD181" s="242"/>
      <c r="AE181" s="242"/>
      <c r="AF181" s="242"/>
      <c r="AG181" s="242"/>
      <c r="AH181" s="242"/>
      <c r="AI181" s="242"/>
      <c r="AJ181" s="242"/>
      <c r="AK181" s="242"/>
      <c r="AL181" s="242"/>
      <c r="AM181" s="242"/>
      <c r="AN181" s="242"/>
      <c r="AO181" s="242"/>
      <c r="AP181" s="242"/>
      <c r="AQ181" s="242"/>
      <c r="AR181" s="242"/>
      <c r="AS181" s="242"/>
      <c r="AT181" s="242"/>
      <c r="AU181" s="242"/>
      <c r="AV181" s="242"/>
      <c r="AW181" s="242"/>
      <c r="AX181" s="242"/>
      <c r="AY181" s="242"/>
      <c r="AZ181" s="242"/>
      <c r="BA181" s="242"/>
      <c r="BB181" s="242"/>
      <c r="BC181" s="242"/>
      <c r="BD181" s="242"/>
      <c r="BE181" s="242"/>
      <c r="BF181" s="242"/>
      <c r="BG181" s="242"/>
      <c r="BH181" s="242"/>
      <c r="BI181" s="242"/>
      <c r="BJ181" s="242"/>
      <c r="BK181" s="242"/>
      <c r="BL181" s="242"/>
      <c r="BM181" s="242"/>
      <c r="BN181" s="242"/>
      <c r="BO181" s="242"/>
      <c r="BP181" s="242"/>
      <c r="BQ181" s="242"/>
      <c r="BR181" s="242"/>
      <c r="BS181" s="242"/>
      <c r="BT181" s="242"/>
      <c r="BU181" s="242"/>
      <c r="BV181" s="242"/>
      <c r="BW181" s="242"/>
      <c r="BX181" s="242"/>
      <c r="BY181" s="242"/>
      <c r="BZ181" s="242"/>
      <c r="CA181" s="242"/>
      <c r="CB181" s="242"/>
      <c r="CC181" s="242"/>
      <c r="CD181" s="242"/>
    </row>
    <row r="182" spans="1:82" ht="12.75" hidden="1" customHeight="1">
      <c r="A182" s="242"/>
      <c r="B182" s="314"/>
      <c r="C182" s="247" t="s">
        <v>50</v>
      </c>
      <c r="D182" s="295" t="e">
        <f t="shared" si="76"/>
        <v>#DIV/0!</v>
      </c>
      <c r="E182" s="295" t="e">
        <f t="shared" si="77"/>
        <v>#DIV/0!</v>
      </c>
      <c r="F182" s="295" t="e">
        <f t="shared" si="78"/>
        <v>#DIV/0!</v>
      </c>
      <c r="G182" s="295" t="e">
        <f t="shared" si="79"/>
        <v>#DIV/0!</v>
      </c>
      <c r="H182" s="295" t="e">
        <f t="shared" si="80"/>
        <v>#DIV/0!</v>
      </c>
      <c r="I182" s="295" t="e">
        <f t="shared" si="81"/>
        <v>#DIV/0!</v>
      </c>
      <c r="J182" s="295" t="e">
        <f t="shared" si="82"/>
        <v>#DIV/0!</v>
      </c>
      <c r="K182" s="295" t="e">
        <f t="shared" si="83"/>
        <v>#DIV/0!</v>
      </c>
      <c r="L182" s="295">
        <f t="shared" si="84"/>
        <v>3</v>
      </c>
      <c r="M182" s="295">
        <f t="shared" si="85"/>
        <v>3</v>
      </c>
      <c r="N182" s="295" t="e">
        <f t="shared" si="86"/>
        <v>#DIV/0!</v>
      </c>
      <c r="O182" s="241"/>
      <c r="P182" s="242"/>
      <c r="Q182" s="242"/>
      <c r="R182" s="242"/>
      <c r="S182" s="242"/>
      <c r="T182" s="242"/>
      <c r="U182" s="242"/>
      <c r="V182" s="242"/>
      <c r="W182" s="242"/>
      <c r="X182" s="242"/>
      <c r="Y182" s="242"/>
      <c r="Z182" s="242"/>
      <c r="AA182" s="242"/>
      <c r="AB182" s="242"/>
      <c r="AC182" s="242"/>
      <c r="AD182" s="242"/>
      <c r="AE182" s="242"/>
      <c r="AF182" s="242"/>
      <c r="AG182" s="242"/>
      <c r="AH182" s="242"/>
      <c r="AI182" s="242"/>
      <c r="AJ182" s="242"/>
      <c r="AK182" s="242"/>
      <c r="AL182" s="242"/>
      <c r="AM182" s="242"/>
      <c r="AN182" s="242"/>
      <c r="AO182" s="242"/>
      <c r="AP182" s="242"/>
      <c r="AQ182" s="242"/>
      <c r="AR182" s="242"/>
      <c r="AS182" s="242"/>
      <c r="AT182" s="242"/>
      <c r="AU182" s="242"/>
      <c r="AV182" s="242"/>
      <c r="AW182" s="242"/>
      <c r="AX182" s="242"/>
      <c r="AY182" s="242"/>
      <c r="AZ182" s="242"/>
      <c r="BA182" s="242"/>
      <c r="BB182" s="242"/>
      <c r="BC182" s="242"/>
      <c r="BD182" s="242"/>
      <c r="BE182" s="242"/>
      <c r="BF182" s="242"/>
      <c r="BG182" s="242"/>
      <c r="BH182" s="242"/>
      <c r="BI182" s="242"/>
      <c r="BJ182" s="242"/>
      <c r="BK182" s="242"/>
      <c r="BL182" s="242"/>
      <c r="BM182" s="242"/>
      <c r="BN182" s="242"/>
      <c r="BO182" s="242"/>
      <c r="BP182" s="242"/>
      <c r="BQ182" s="242"/>
      <c r="BR182" s="242"/>
      <c r="BS182" s="242"/>
      <c r="BT182" s="242"/>
      <c r="BU182" s="242"/>
      <c r="BV182" s="242"/>
      <c r="BW182" s="242"/>
      <c r="BX182" s="242"/>
      <c r="BY182" s="242"/>
      <c r="BZ182" s="242"/>
      <c r="CA182" s="242"/>
      <c r="CB182" s="242"/>
      <c r="CC182" s="242"/>
      <c r="CD182" s="242"/>
    </row>
    <row r="183" spans="1:82" ht="12.75" hidden="1" customHeight="1">
      <c r="A183" s="315"/>
      <c r="B183" s="316"/>
      <c r="C183" s="247" t="s">
        <v>119</v>
      </c>
      <c r="D183" s="295" t="e">
        <f t="shared" si="76"/>
        <v>#DIV/0!</v>
      </c>
      <c r="E183" s="295" t="e">
        <f t="shared" si="77"/>
        <v>#DIV/0!</v>
      </c>
      <c r="F183" s="295" t="e">
        <f t="shared" si="78"/>
        <v>#DIV/0!</v>
      </c>
      <c r="G183" s="295" t="e">
        <f t="shared" si="79"/>
        <v>#DIV/0!</v>
      </c>
      <c r="H183" s="295" t="e">
        <f t="shared" si="80"/>
        <v>#DIV/0!</v>
      </c>
      <c r="I183" s="295" t="e">
        <f t="shared" si="81"/>
        <v>#DIV/0!</v>
      </c>
      <c r="J183" s="295" t="e">
        <f t="shared" si="82"/>
        <v>#DIV/0!</v>
      </c>
      <c r="K183" s="295" t="e">
        <f t="shared" si="83"/>
        <v>#DIV/0!</v>
      </c>
      <c r="L183" s="295">
        <f t="shared" si="84"/>
        <v>3</v>
      </c>
      <c r="M183" s="295">
        <f t="shared" si="85"/>
        <v>3</v>
      </c>
      <c r="N183" s="295" t="e">
        <f t="shared" si="86"/>
        <v>#DIV/0!</v>
      </c>
      <c r="O183" s="317"/>
      <c r="P183" s="318"/>
      <c r="Q183" s="318"/>
      <c r="R183" s="318"/>
      <c r="S183" s="318"/>
      <c r="T183" s="318"/>
      <c r="U183" s="318"/>
      <c r="V183" s="318"/>
      <c r="W183" s="318"/>
      <c r="X183" s="318"/>
      <c r="Y183" s="318"/>
      <c r="Z183" s="318"/>
      <c r="AA183" s="318"/>
      <c r="AB183" s="318"/>
      <c r="AC183" s="318"/>
      <c r="AD183" s="318"/>
      <c r="AE183" s="318"/>
      <c r="AF183" s="318"/>
      <c r="AG183" s="318"/>
      <c r="AH183" s="318"/>
      <c r="AI183" s="318"/>
      <c r="AJ183" s="318"/>
      <c r="AK183" s="318"/>
      <c r="AL183" s="318"/>
      <c r="AM183" s="318"/>
      <c r="AN183" s="318"/>
      <c r="AO183" s="318"/>
      <c r="AP183" s="318"/>
      <c r="AQ183" s="318"/>
      <c r="AR183" s="318"/>
      <c r="AS183" s="318"/>
      <c r="AT183" s="318"/>
      <c r="AU183" s="318"/>
      <c r="AV183" s="318"/>
      <c r="AW183" s="318"/>
      <c r="AX183" s="318"/>
      <c r="AY183" s="318"/>
      <c r="AZ183" s="318"/>
      <c r="BA183" s="318"/>
      <c r="BB183" s="318"/>
      <c r="BC183" s="318"/>
      <c r="BD183" s="318"/>
      <c r="BE183" s="318"/>
      <c r="BF183" s="318"/>
      <c r="BG183" s="318"/>
      <c r="BH183" s="318"/>
      <c r="BI183" s="318"/>
      <c r="BJ183" s="318"/>
      <c r="BK183" s="318"/>
      <c r="BL183" s="318"/>
      <c r="BM183" s="318"/>
      <c r="BN183" s="318"/>
      <c r="BO183" s="318"/>
      <c r="BP183" s="318"/>
      <c r="BQ183" s="318"/>
      <c r="BR183" s="318"/>
      <c r="BS183" s="318"/>
      <c r="BT183" s="318"/>
      <c r="BU183" s="318"/>
      <c r="BV183" s="318"/>
      <c r="BW183" s="318"/>
      <c r="BX183" s="318"/>
      <c r="BY183" s="318"/>
      <c r="BZ183" s="318"/>
      <c r="CA183" s="318"/>
      <c r="CB183" s="318"/>
      <c r="CC183" s="318"/>
      <c r="CD183" s="312"/>
    </row>
    <row r="184" spans="1:82" ht="12.75" hidden="1" customHeight="1">
      <c r="A184" s="315"/>
      <c r="B184" s="316"/>
      <c r="C184" s="247" t="s">
        <v>120</v>
      </c>
      <c r="D184" s="295" t="e">
        <f t="shared" si="76"/>
        <v>#DIV/0!</v>
      </c>
      <c r="E184" s="295" t="e">
        <f t="shared" si="77"/>
        <v>#DIV/0!</v>
      </c>
      <c r="F184" s="295" t="e">
        <f t="shared" si="78"/>
        <v>#DIV/0!</v>
      </c>
      <c r="G184" s="295" t="e">
        <f t="shared" si="79"/>
        <v>#DIV/0!</v>
      </c>
      <c r="H184" s="295" t="e">
        <f t="shared" si="80"/>
        <v>#DIV/0!</v>
      </c>
      <c r="I184" s="295" t="e">
        <f t="shared" si="81"/>
        <v>#DIV/0!</v>
      </c>
      <c r="J184" s="295" t="e">
        <f t="shared" si="82"/>
        <v>#DIV/0!</v>
      </c>
      <c r="K184" s="295" t="e">
        <f t="shared" si="83"/>
        <v>#DIV/0!</v>
      </c>
      <c r="L184" s="295">
        <f t="shared" si="84"/>
        <v>3</v>
      </c>
      <c r="M184" s="295">
        <f t="shared" si="85"/>
        <v>3</v>
      </c>
      <c r="N184" s="295" t="e">
        <f t="shared" si="86"/>
        <v>#DIV/0!</v>
      </c>
      <c r="O184" s="317"/>
      <c r="P184" s="318"/>
      <c r="Q184" s="318"/>
      <c r="R184" s="318"/>
      <c r="S184" s="318"/>
      <c r="T184" s="318"/>
      <c r="U184" s="318"/>
      <c r="V184" s="318"/>
      <c r="W184" s="318"/>
      <c r="X184" s="318"/>
      <c r="Y184" s="318"/>
      <c r="Z184" s="318"/>
      <c r="AA184" s="318"/>
      <c r="AB184" s="318"/>
      <c r="AC184" s="318"/>
      <c r="AD184" s="318"/>
      <c r="AE184" s="318"/>
      <c r="AF184" s="318"/>
      <c r="AG184" s="318"/>
      <c r="AH184" s="318"/>
      <c r="AI184" s="318"/>
      <c r="AJ184" s="318"/>
      <c r="AK184" s="318"/>
      <c r="AL184" s="318"/>
      <c r="AM184" s="318"/>
      <c r="AN184" s="318"/>
      <c r="AO184" s="318"/>
      <c r="AP184" s="318"/>
      <c r="AQ184" s="318"/>
      <c r="AR184" s="318"/>
      <c r="AS184" s="318"/>
      <c r="AT184" s="318"/>
      <c r="AU184" s="318"/>
      <c r="AV184" s="318"/>
      <c r="AW184" s="318"/>
      <c r="AX184" s="318"/>
      <c r="AY184" s="318"/>
      <c r="AZ184" s="318"/>
      <c r="BA184" s="318"/>
      <c r="BB184" s="318"/>
      <c r="BC184" s="318"/>
      <c r="BD184" s="318"/>
      <c r="BE184" s="318"/>
      <c r="BF184" s="318"/>
      <c r="BG184" s="318"/>
      <c r="BH184" s="318"/>
      <c r="BI184" s="318"/>
      <c r="BJ184" s="318"/>
      <c r="BK184" s="318"/>
      <c r="BL184" s="318"/>
      <c r="BM184" s="318"/>
      <c r="BN184" s="318"/>
      <c r="BO184" s="318"/>
      <c r="BP184" s="318"/>
      <c r="BQ184" s="318"/>
      <c r="BR184" s="318"/>
      <c r="BS184" s="318"/>
      <c r="BT184" s="318"/>
      <c r="BU184" s="318"/>
      <c r="BV184" s="318"/>
      <c r="BW184" s="318"/>
      <c r="BX184" s="318"/>
      <c r="BY184" s="318"/>
      <c r="BZ184" s="318"/>
      <c r="CA184" s="318"/>
      <c r="CB184" s="318"/>
      <c r="CC184" s="318"/>
      <c r="CD184" s="312"/>
    </row>
    <row r="185" spans="1:82" ht="12.75" hidden="1" customHeight="1">
      <c r="A185" s="315"/>
      <c r="B185" s="316"/>
      <c r="C185" s="261" t="s">
        <v>1927</v>
      </c>
      <c r="D185" s="255" t="s">
        <v>19</v>
      </c>
      <c r="E185" s="255" t="s">
        <v>19</v>
      </c>
      <c r="F185" s="255" t="s">
        <v>19</v>
      </c>
      <c r="G185" s="255" t="s">
        <v>19</v>
      </c>
      <c r="H185" s="255" t="s">
        <v>19</v>
      </c>
      <c r="I185" s="255" t="s">
        <v>19</v>
      </c>
      <c r="J185" s="255" t="s">
        <v>19</v>
      </c>
      <c r="K185" s="255" t="s">
        <v>19</v>
      </c>
      <c r="L185" s="255" t="s">
        <v>19</v>
      </c>
      <c r="M185" s="255" t="s">
        <v>19</v>
      </c>
      <c r="N185" s="255" t="s">
        <v>19</v>
      </c>
      <c r="O185" s="317"/>
      <c r="P185" s="318"/>
      <c r="Q185" s="318"/>
      <c r="R185" s="318"/>
      <c r="S185" s="318"/>
      <c r="T185" s="318"/>
      <c r="U185" s="318"/>
      <c r="V185" s="318"/>
      <c r="W185" s="318"/>
      <c r="X185" s="318"/>
      <c r="Y185" s="318"/>
      <c r="Z185" s="318"/>
      <c r="AA185" s="318"/>
      <c r="AB185" s="318"/>
      <c r="AC185" s="318"/>
      <c r="AD185" s="318"/>
      <c r="AE185" s="318"/>
      <c r="AF185" s="318"/>
      <c r="AG185" s="318"/>
      <c r="AH185" s="318"/>
      <c r="AI185" s="318"/>
      <c r="AJ185" s="318"/>
      <c r="AK185" s="318"/>
      <c r="AL185" s="318"/>
      <c r="AM185" s="318"/>
      <c r="AN185" s="318"/>
      <c r="AO185" s="318"/>
      <c r="AP185" s="318"/>
      <c r="AQ185" s="318"/>
      <c r="AR185" s="318"/>
      <c r="AS185" s="318"/>
      <c r="AT185" s="318"/>
      <c r="AU185" s="318"/>
      <c r="AV185" s="318"/>
      <c r="AW185" s="318"/>
      <c r="AX185" s="318"/>
      <c r="AY185" s="318"/>
      <c r="AZ185" s="318"/>
      <c r="BA185" s="318"/>
      <c r="BB185" s="318"/>
      <c r="BC185" s="318"/>
      <c r="BD185" s="318"/>
      <c r="BE185" s="318"/>
      <c r="BF185" s="318"/>
      <c r="BG185" s="318"/>
      <c r="BH185" s="318"/>
      <c r="BI185" s="318"/>
      <c r="BJ185" s="318"/>
      <c r="BK185" s="318"/>
      <c r="BL185" s="318"/>
      <c r="BM185" s="318"/>
      <c r="BN185" s="318"/>
      <c r="BO185" s="318"/>
      <c r="BP185" s="318"/>
      <c r="BQ185" s="318"/>
      <c r="BR185" s="318"/>
      <c r="BS185" s="318"/>
      <c r="BT185" s="318"/>
      <c r="BU185" s="318"/>
      <c r="BV185" s="318"/>
      <c r="BW185" s="318"/>
      <c r="BX185" s="318"/>
      <c r="BY185" s="318"/>
      <c r="BZ185" s="318"/>
      <c r="CA185" s="318"/>
      <c r="CB185" s="318"/>
      <c r="CC185" s="318"/>
      <c r="CD185" s="312"/>
    </row>
    <row r="186" spans="1:82" ht="12.75" hidden="1" customHeight="1">
      <c r="A186" s="315"/>
      <c r="B186" s="316"/>
      <c r="C186" s="247" t="s">
        <v>121</v>
      </c>
      <c r="D186" s="295" t="e">
        <f>IF(D142/N142&lt;$AN$267,0,IF(D142/N142&lt;$AM$267,1,IF(D142/N142&lt;$AL$267,2,3)))</f>
        <v>#DIV/0!</v>
      </c>
      <c r="E186" s="295" t="e">
        <f>IF(E142/N142&lt;$AN$268,0,IF(E142/N142&lt;$AM$268,1,IF(E142/N142&lt;$AL$268,2,3)))</f>
        <v>#DIV/0!</v>
      </c>
      <c r="F186" s="295" t="e">
        <f>IF(F142/N142&lt;$AN$269,0,IF(F142/N142&lt;$AM$269,1,IF(F142/N142&lt;$AL$269,2,3)))</f>
        <v>#DIV/0!</v>
      </c>
      <c r="G186" s="295" t="e">
        <f>IF(G142/N142&lt;$AN$270,0,IF(G142/N142&lt;$AM$270,1,IF(G142/N142&lt;$AL$270,2,3)))</f>
        <v>#DIV/0!</v>
      </c>
      <c r="H186" s="295" t="e">
        <f>IF(H142/N142&lt;$AN$271,0,IF(H142/N142&lt;$AM$271,1,IF(H142/N142&lt;$AL$271,2,3)))</f>
        <v>#DIV/0!</v>
      </c>
      <c r="I186" s="295" t="e">
        <f>IF(I142/N142&lt;$AN$272,0,IF(I142/N142&lt;$AM$272,1,IF(I142/N142&lt;$AL$272,2,3)))</f>
        <v>#DIV/0!</v>
      </c>
      <c r="J186" s="295" t="e">
        <f>IF(J142/N142&lt;$AN$273,0,IF(J142/N142&lt;$AM$273,1,IF(J142/N142&lt;$AL$273,2,3)))</f>
        <v>#DIV/0!</v>
      </c>
      <c r="K186" s="295" t="e">
        <f>IF(K142/N142&lt;$AN$274,0,IF(K142/N142&lt;$AM$274,1,IF(K142/N142&lt;$AL$274,2,3)))</f>
        <v>#DIV/0!</v>
      </c>
      <c r="L186" s="295">
        <f>IF(L142&lt;$AN$275,0,IF(L142=$AM$275,1,IF(L142&lt;$AL$275,2,3)))</f>
        <v>0</v>
      </c>
      <c r="M186" s="295">
        <f>IF(M142&lt;$AN$276,0,IF(M142&lt;$AM$276,1,IF(M142&lt;$AL$276,2,3)))</f>
        <v>3</v>
      </c>
      <c r="N186" s="295" t="e">
        <f>AVERAGE(D186:M186)</f>
        <v>#DIV/0!</v>
      </c>
      <c r="O186" s="317"/>
      <c r="P186" s="318"/>
      <c r="Q186" s="318"/>
      <c r="R186" s="318"/>
      <c r="S186" s="318"/>
      <c r="T186" s="318"/>
      <c r="U186" s="318"/>
      <c r="V186" s="318"/>
      <c r="W186" s="318"/>
      <c r="X186" s="318"/>
      <c r="Y186" s="318"/>
      <c r="Z186" s="318"/>
      <c r="AA186" s="318"/>
      <c r="AB186" s="318"/>
      <c r="AC186" s="318"/>
      <c r="AD186" s="318"/>
      <c r="AE186" s="318"/>
      <c r="AF186" s="318"/>
      <c r="AG186" s="318"/>
      <c r="AH186" s="318"/>
      <c r="AI186" s="318"/>
      <c r="AJ186" s="318"/>
      <c r="AK186" s="318"/>
      <c r="AL186" s="318"/>
      <c r="AM186" s="318"/>
      <c r="AN186" s="318"/>
      <c r="AO186" s="318"/>
      <c r="AP186" s="318"/>
      <c r="AQ186" s="318"/>
      <c r="AR186" s="318"/>
      <c r="AS186" s="318"/>
      <c r="AT186" s="318"/>
      <c r="AU186" s="318"/>
      <c r="AV186" s="318"/>
      <c r="AW186" s="318"/>
      <c r="AX186" s="318"/>
      <c r="AY186" s="318"/>
      <c r="AZ186" s="318"/>
      <c r="BA186" s="318"/>
      <c r="BB186" s="318"/>
      <c r="BC186" s="318"/>
      <c r="BD186" s="318"/>
      <c r="BE186" s="318"/>
      <c r="BF186" s="318"/>
      <c r="BG186" s="318"/>
      <c r="BH186" s="318"/>
      <c r="BI186" s="318"/>
      <c r="BJ186" s="318"/>
      <c r="BK186" s="318"/>
      <c r="BL186" s="318"/>
      <c r="BM186" s="318"/>
      <c r="BN186" s="318"/>
      <c r="BO186" s="318"/>
      <c r="BP186" s="318"/>
      <c r="BQ186" s="318"/>
      <c r="BR186" s="318"/>
      <c r="BS186" s="318"/>
      <c r="BT186" s="318"/>
      <c r="BU186" s="318"/>
      <c r="BV186" s="318"/>
      <c r="BW186" s="318"/>
      <c r="BX186" s="318"/>
      <c r="BY186" s="318"/>
      <c r="BZ186" s="318"/>
      <c r="CA186" s="318"/>
      <c r="CB186" s="318"/>
      <c r="CC186" s="318"/>
      <c r="CD186" s="312"/>
    </row>
    <row r="187" spans="1:82" ht="12.75" hidden="1" customHeight="1">
      <c r="A187" s="315"/>
      <c r="B187" s="316"/>
      <c r="C187" s="261" t="s">
        <v>1962</v>
      </c>
      <c r="D187" s="255" t="s">
        <v>19</v>
      </c>
      <c r="E187" s="255" t="s">
        <v>19</v>
      </c>
      <c r="F187" s="255" t="s">
        <v>19</v>
      </c>
      <c r="G187" s="255" t="s">
        <v>19</v>
      </c>
      <c r="H187" s="255" t="s">
        <v>19</v>
      </c>
      <c r="I187" s="255" t="s">
        <v>19</v>
      </c>
      <c r="J187" s="255" t="s">
        <v>19</v>
      </c>
      <c r="K187" s="255" t="s">
        <v>19</v>
      </c>
      <c r="L187" s="255" t="s">
        <v>19</v>
      </c>
      <c r="M187" s="255" t="s">
        <v>19</v>
      </c>
      <c r="N187" s="255" t="s">
        <v>19</v>
      </c>
      <c r="O187" s="317"/>
      <c r="P187" s="318"/>
      <c r="Q187" s="318"/>
      <c r="R187" s="318"/>
      <c r="S187" s="318"/>
      <c r="T187" s="318"/>
      <c r="U187" s="318"/>
      <c r="V187" s="318"/>
      <c r="W187" s="318"/>
      <c r="X187" s="318"/>
      <c r="Y187" s="318"/>
      <c r="Z187" s="318"/>
      <c r="AA187" s="318"/>
      <c r="AB187" s="318"/>
      <c r="AC187" s="318"/>
      <c r="AD187" s="318"/>
      <c r="AE187" s="318"/>
      <c r="AF187" s="318"/>
      <c r="AG187" s="318"/>
      <c r="AH187" s="318"/>
      <c r="AI187" s="318"/>
      <c r="AJ187" s="318"/>
      <c r="AK187" s="318"/>
      <c r="AL187" s="318"/>
      <c r="AM187" s="318"/>
      <c r="AN187" s="318"/>
      <c r="AO187" s="318"/>
      <c r="AP187" s="318"/>
      <c r="AQ187" s="318"/>
      <c r="AR187" s="318"/>
      <c r="AS187" s="318"/>
      <c r="AT187" s="318"/>
      <c r="AU187" s="318"/>
      <c r="AV187" s="318"/>
      <c r="AW187" s="318"/>
      <c r="AX187" s="318"/>
      <c r="AY187" s="318"/>
      <c r="AZ187" s="318"/>
      <c r="BA187" s="318"/>
      <c r="BB187" s="318"/>
      <c r="BC187" s="318"/>
      <c r="BD187" s="318"/>
      <c r="BE187" s="318"/>
      <c r="BF187" s="318"/>
      <c r="BG187" s="318"/>
      <c r="BH187" s="318"/>
      <c r="BI187" s="318"/>
      <c r="BJ187" s="318"/>
      <c r="BK187" s="318"/>
      <c r="BL187" s="318"/>
      <c r="BM187" s="318"/>
      <c r="BN187" s="318"/>
      <c r="BO187" s="318"/>
      <c r="BP187" s="318"/>
      <c r="BQ187" s="318"/>
      <c r="BR187" s="318"/>
      <c r="BS187" s="318"/>
      <c r="BT187" s="318"/>
      <c r="BU187" s="318"/>
      <c r="BV187" s="318"/>
      <c r="BW187" s="318"/>
      <c r="BX187" s="318"/>
      <c r="BY187" s="318"/>
      <c r="BZ187" s="318"/>
      <c r="CA187" s="318"/>
      <c r="CB187" s="318"/>
      <c r="CC187" s="318"/>
      <c r="CD187" s="312"/>
    </row>
    <row r="188" spans="1:82" ht="12.75" hidden="1" customHeight="1">
      <c r="A188" s="315"/>
      <c r="B188" s="316"/>
      <c r="C188" s="247" t="s">
        <v>122</v>
      </c>
      <c r="D188" s="295" t="e">
        <f t="shared" ref="D188:D202" si="87">IF(D144/N144&lt;$AN$267,0,IF(D144/N144&lt;$AM$267,1,IF(D144/N144&lt;$AL$267,2,3)))</f>
        <v>#DIV/0!</v>
      </c>
      <c r="E188" s="295" t="e">
        <f t="shared" ref="E188:E202" si="88">IF(E144/N144&lt;$AN$268,0,IF(E144/N144&lt;$AM$268,1,IF(E144/N144&lt;$AL$268,2,3)))</f>
        <v>#DIV/0!</v>
      </c>
      <c r="F188" s="295" t="e">
        <f t="shared" ref="F188:F202" si="89">IF(F144/N144&lt;$AN$269,0,IF(F144/N144&lt;$AM$269,1,IF(F144/N144&lt;$AL$269,2,3)))</f>
        <v>#DIV/0!</v>
      </c>
      <c r="G188" s="295" t="e">
        <f t="shared" ref="G188:G202" si="90">IF(G144/N144&lt;$AN$270,0,IF(G144/N144&lt;$AM$270,1,IF(G144/N144&lt;$AL$270,2,3)))</f>
        <v>#DIV/0!</v>
      </c>
      <c r="H188" s="295" t="e">
        <f t="shared" ref="H188:H202" si="91">IF(H144/N144&lt;$AN$271,0,IF(H144/N144&lt;$AM$271,1,IF(H144/N144&lt;$AL$271,2,3)))</f>
        <v>#DIV/0!</v>
      </c>
      <c r="I188" s="295" t="e">
        <f t="shared" ref="I188:I202" si="92">IF(I144/N144&lt;$AN$272,0,IF(I144/N144&lt;$AM$272,1,IF(I144/N144&lt;$AL$272,2,3)))</f>
        <v>#DIV/0!</v>
      </c>
      <c r="J188" s="295" t="e">
        <f t="shared" ref="J188:J202" si="93">IF(J144/N144&lt;$AN$273,0,IF(J144/N144&lt;$AM$273,1,IF(J144/N144&lt;$AL$273,2,3)))</f>
        <v>#DIV/0!</v>
      </c>
      <c r="K188" s="295" t="e">
        <f t="shared" ref="K188:K202" si="94">IF(K144/N144&lt;$AN$274,0,IF(K144/N144&lt;$AM$274,1,IF(K144/N144&lt;$AL$274,2,3)))</f>
        <v>#DIV/0!</v>
      </c>
      <c r="L188" s="295">
        <f t="shared" ref="L188:L202" si="95">IF(L144&lt;$AN$275,0,IF(L144=$AM$275,1,IF(L144&lt;$AL$275,2,3)))</f>
        <v>0</v>
      </c>
      <c r="M188" s="295">
        <f t="shared" ref="M188:M202" si="96">IF(M144&lt;$AN$276,0,IF(M144&lt;$AM$276,1,IF(M144&lt;$AL$276,2,3)))</f>
        <v>3</v>
      </c>
      <c r="N188" s="295" t="e">
        <f t="shared" ref="N188:N202" si="97">AVERAGE(D188:M188)</f>
        <v>#DIV/0!</v>
      </c>
      <c r="O188" s="317"/>
      <c r="P188" s="318"/>
      <c r="Q188" s="318"/>
      <c r="R188" s="318"/>
      <c r="S188" s="318"/>
      <c r="T188" s="318"/>
      <c r="U188" s="318"/>
      <c r="V188" s="318"/>
      <c r="W188" s="318"/>
      <c r="X188" s="318"/>
      <c r="Y188" s="318"/>
      <c r="Z188" s="318"/>
      <c r="AA188" s="318"/>
      <c r="AB188" s="318"/>
      <c r="AC188" s="318"/>
      <c r="AD188" s="318"/>
      <c r="AE188" s="318"/>
      <c r="AF188" s="318"/>
      <c r="AG188" s="318"/>
      <c r="AH188" s="318"/>
      <c r="AI188" s="318"/>
      <c r="AJ188" s="318"/>
      <c r="AK188" s="318"/>
      <c r="AL188" s="318"/>
      <c r="AM188" s="318"/>
      <c r="AN188" s="318"/>
      <c r="AO188" s="318"/>
      <c r="AP188" s="318"/>
      <c r="AQ188" s="318"/>
      <c r="AR188" s="318"/>
      <c r="AS188" s="318"/>
      <c r="AT188" s="318"/>
      <c r="AU188" s="318"/>
      <c r="AV188" s="318"/>
      <c r="AW188" s="318"/>
      <c r="AX188" s="318"/>
      <c r="AY188" s="318"/>
      <c r="AZ188" s="318"/>
      <c r="BA188" s="318"/>
      <c r="BB188" s="318"/>
      <c r="BC188" s="318"/>
      <c r="BD188" s="318"/>
      <c r="BE188" s="318"/>
      <c r="BF188" s="318"/>
      <c r="BG188" s="318"/>
      <c r="BH188" s="318"/>
      <c r="BI188" s="318"/>
      <c r="BJ188" s="318"/>
      <c r="BK188" s="318"/>
      <c r="BL188" s="318"/>
      <c r="BM188" s="318"/>
      <c r="BN188" s="318"/>
      <c r="BO188" s="318"/>
      <c r="BP188" s="318"/>
      <c r="BQ188" s="318"/>
      <c r="BR188" s="318"/>
      <c r="BS188" s="318"/>
      <c r="BT188" s="318"/>
      <c r="BU188" s="318"/>
      <c r="BV188" s="318"/>
      <c r="BW188" s="318"/>
      <c r="BX188" s="318"/>
      <c r="BY188" s="318"/>
      <c r="BZ188" s="318"/>
      <c r="CA188" s="318"/>
      <c r="CB188" s="318"/>
      <c r="CC188" s="318"/>
      <c r="CD188" s="312"/>
    </row>
    <row r="189" spans="1:82" ht="12.75" hidden="1" customHeight="1">
      <c r="A189" s="315"/>
      <c r="B189" s="316"/>
      <c r="C189" s="247" t="s">
        <v>123</v>
      </c>
      <c r="D189" s="295" t="e">
        <f t="shared" si="87"/>
        <v>#DIV/0!</v>
      </c>
      <c r="E189" s="295" t="e">
        <f t="shared" si="88"/>
        <v>#DIV/0!</v>
      </c>
      <c r="F189" s="295" t="e">
        <f t="shared" si="89"/>
        <v>#DIV/0!</v>
      </c>
      <c r="G189" s="295" t="e">
        <f t="shared" si="90"/>
        <v>#DIV/0!</v>
      </c>
      <c r="H189" s="295" t="e">
        <f t="shared" si="91"/>
        <v>#DIV/0!</v>
      </c>
      <c r="I189" s="295" t="e">
        <f t="shared" si="92"/>
        <v>#DIV/0!</v>
      </c>
      <c r="J189" s="295" t="e">
        <f t="shared" si="93"/>
        <v>#DIV/0!</v>
      </c>
      <c r="K189" s="295" t="e">
        <f t="shared" si="94"/>
        <v>#DIV/0!</v>
      </c>
      <c r="L189" s="295">
        <f t="shared" si="95"/>
        <v>3</v>
      </c>
      <c r="M189" s="295">
        <f t="shared" si="96"/>
        <v>3</v>
      </c>
      <c r="N189" s="295" t="e">
        <f t="shared" si="97"/>
        <v>#DIV/0!</v>
      </c>
      <c r="O189" s="317"/>
      <c r="P189" s="318"/>
      <c r="Q189" s="318"/>
      <c r="R189" s="318"/>
      <c r="S189" s="318"/>
      <c r="T189" s="318"/>
      <c r="U189" s="318"/>
      <c r="V189" s="318"/>
      <c r="W189" s="318"/>
      <c r="X189" s="318"/>
      <c r="Y189" s="318"/>
      <c r="Z189" s="318"/>
      <c r="AA189" s="318"/>
      <c r="AB189" s="318"/>
      <c r="AC189" s="318"/>
      <c r="AD189" s="318"/>
      <c r="AE189" s="318"/>
      <c r="AF189" s="318"/>
      <c r="AG189" s="318"/>
      <c r="AH189" s="318"/>
      <c r="AI189" s="318"/>
      <c r="AJ189" s="318"/>
      <c r="AK189" s="318"/>
      <c r="AL189" s="318"/>
      <c r="AM189" s="318"/>
      <c r="AN189" s="318"/>
      <c r="AO189" s="318"/>
      <c r="AP189" s="318"/>
      <c r="AQ189" s="318"/>
      <c r="AR189" s="318"/>
      <c r="AS189" s="318"/>
      <c r="AT189" s="318"/>
      <c r="AU189" s="318"/>
      <c r="AV189" s="318"/>
      <c r="AW189" s="318"/>
      <c r="AX189" s="318"/>
      <c r="AY189" s="318"/>
      <c r="AZ189" s="318"/>
      <c r="BA189" s="318"/>
      <c r="BB189" s="318"/>
      <c r="BC189" s="318"/>
      <c r="BD189" s="318"/>
      <c r="BE189" s="318"/>
      <c r="BF189" s="318"/>
      <c r="BG189" s="318"/>
      <c r="BH189" s="318"/>
      <c r="BI189" s="318"/>
      <c r="BJ189" s="318"/>
      <c r="BK189" s="318"/>
      <c r="BL189" s="318"/>
      <c r="BM189" s="318"/>
      <c r="BN189" s="318"/>
      <c r="BO189" s="318"/>
      <c r="BP189" s="318"/>
      <c r="BQ189" s="318"/>
      <c r="BR189" s="318"/>
      <c r="BS189" s="318"/>
      <c r="BT189" s="318"/>
      <c r="BU189" s="318"/>
      <c r="BV189" s="318"/>
      <c r="BW189" s="318"/>
      <c r="BX189" s="318"/>
      <c r="BY189" s="318"/>
      <c r="BZ189" s="318"/>
      <c r="CA189" s="318"/>
      <c r="CB189" s="318"/>
      <c r="CC189" s="318"/>
      <c r="CD189" s="312"/>
    </row>
    <row r="190" spans="1:82" ht="12.75" hidden="1" customHeight="1">
      <c r="A190" s="315"/>
      <c r="B190" s="316"/>
      <c r="C190" s="247" t="s">
        <v>124</v>
      </c>
      <c r="D190" s="295" t="e">
        <f t="shared" si="87"/>
        <v>#DIV/0!</v>
      </c>
      <c r="E190" s="295" t="e">
        <f t="shared" si="88"/>
        <v>#DIV/0!</v>
      </c>
      <c r="F190" s="295" t="e">
        <f t="shared" si="89"/>
        <v>#DIV/0!</v>
      </c>
      <c r="G190" s="295" t="e">
        <f t="shared" si="90"/>
        <v>#DIV/0!</v>
      </c>
      <c r="H190" s="295" t="e">
        <f t="shared" si="91"/>
        <v>#DIV/0!</v>
      </c>
      <c r="I190" s="295" t="e">
        <f t="shared" si="92"/>
        <v>#DIV/0!</v>
      </c>
      <c r="J190" s="295" t="e">
        <f t="shared" si="93"/>
        <v>#DIV/0!</v>
      </c>
      <c r="K190" s="295" t="e">
        <f t="shared" si="94"/>
        <v>#DIV/0!</v>
      </c>
      <c r="L190" s="295">
        <f t="shared" si="95"/>
        <v>3</v>
      </c>
      <c r="M190" s="295">
        <f t="shared" si="96"/>
        <v>3</v>
      </c>
      <c r="N190" s="295" t="e">
        <f t="shared" si="97"/>
        <v>#DIV/0!</v>
      </c>
      <c r="O190" s="317"/>
      <c r="P190" s="318"/>
      <c r="Q190" s="318"/>
      <c r="R190" s="318"/>
      <c r="S190" s="318"/>
      <c r="T190" s="318"/>
      <c r="U190" s="318"/>
      <c r="V190" s="318"/>
      <c r="W190" s="318"/>
      <c r="X190" s="318"/>
      <c r="Y190" s="318"/>
      <c r="Z190" s="318"/>
      <c r="AA190" s="318"/>
      <c r="AB190" s="318"/>
      <c r="AC190" s="318"/>
      <c r="AD190" s="318"/>
      <c r="AE190" s="318"/>
      <c r="AF190" s="318"/>
      <c r="AG190" s="318"/>
      <c r="AH190" s="318"/>
      <c r="AI190" s="318"/>
      <c r="AJ190" s="318"/>
      <c r="AK190" s="318"/>
      <c r="AL190" s="318"/>
      <c r="AM190" s="318"/>
      <c r="AN190" s="318"/>
      <c r="AO190" s="318"/>
      <c r="AP190" s="318"/>
      <c r="AQ190" s="318"/>
      <c r="AR190" s="318"/>
      <c r="AS190" s="318"/>
      <c r="AT190" s="318"/>
      <c r="AU190" s="318"/>
      <c r="AV190" s="318"/>
      <c r="AW190" s="318"/>
      <c r="AX190" s="318"/>
      <c r="AY190" s="318"/>
      <c r="AZ190" s="318"/>
      <c r="BA190" s="318"/>
      <c r="BB190" s="318"/>
      <c r="BC190" s="318"/>
      <c r="BD190" s="318"/>
      <c r="BE190" s="318"/>
      <c r="BF190" s="318"/>
      <c r="BG190" s="318"/>
      <c r="BH190" s="318"/>
      <c r="BI190" s="318"/>
      <c r="BJ190" s="318"/>
      <c r="BK190" s="318"/>
      <c r="BL190" s="318"/>
      <c r="BM190" s="318"/>
      <c r="BN190" s="318"/>
      <c r="BO190" s="318"/>
      <c r="BP190" s="318"/>
      <c r="BQ190" s="318"/>
      <c r="BR190" s="318"/>
      <c r="BS190" s="318"/>
      <c r="BT190" s="318"/>
      <c r="BU190" s="318"/>
      <c r="BV190" s="318"/>
      <c r="BW190" s="318"/>
      <c r="BX190" s="318"/>
      <c r="BY190" s="318"/>
      <c r="BZ190" s="318"/>
      <c r="CA190" s="318"/>
      <c r="CB190" s="318"/>
      <c r="CC190" s="318"/>
      <c r="CD190" s="312"/>
    </row>
    <row r="191" spans="1:82" ht="12.75" hidden="1" customHeight="1">
      <c r="A191" s="315"/>
      <c r="B191" s="316"/>
      <c r="C191" s="247" t="s">
        <v>125</v>
      </c>
      <c r="D191" s="295" t="e">
        <f t="shared" si="87"/>
        <v>#DIV/0!</v>
      </c>
      <c r="E191" s="295" t="e">
        <f t="shared" si="88"/>
        <v>#DIV/0!</v>
      </c>
      <c r="F191" s="295" t="e">
        <f t="shared" si="89"/>
        <v>#DIV/0!</v>
      </c>
      <c r="G191" s="295" t="e">
        <f t="shared" si="90"/>
        <v>#DIV/0!</v>
      </c>
      <c r="H191" s="295" t="e">
        <f t="shared" si="91"/>
        <v>#DIV/0!</v>
      </c>
      <c r="I191" s="295" t="e">
        <f t="shared" si="92"/>
        <v>#DIV/0!</v>
      </c>
      <c r="J191" s="295" t="e">
        <f t="shared" si="93"/>
        <v>#DIV/0!</v>
      </c>
      <c r="K191" s="295" t="e">
        <f t="shared" si="94"/>
        <v>#DIV/0!</v>
      </c>
      <c r="L191" s="295">
        <f t="shared" si="95"/>
        <v>3</v>
      </c>
      <c r="M191" s="295">
        <f t="shared" si="96"/>
        <v>3</v>
      </c>
      <c r="N191" s="295" t="e">
        <f t="shared" si="97"/>
        <v>#DIV/0!</v>
      </c>
      <c r="O191" s="317"/>
      <c r="P191" s="318"/>
      <c r="Q191" s="318"/>
      <c r="R191" s="318"/>
      <c r="S191" s="318"/>
      <c r="T191" s="318"/>
      <c r="U191" s="318"/>
      <c r="V191" s="318"/>
      <c r="W191" s="318"/>
      <c r="X191" s="318"/>
      <c r="Y191" s="318"/>
      <c r="Z191" s="318"/>
      <c r="AA191" s="318"/>
      <c r="AB191" s="318"/>
      <c r="AC191" s="318"/>
      <c r="AD191" s="318"/>
      <c r="AE191" s="318"/>
      <c r="AF191" s="318"/>
      <c r="AG191" s="318"/>
      <c r="AH191" s="318"/>
      <c r="AI191" s="318"/>
      <c r="AJ191" s="318"/>
      <c r="AK191" s="318"/>
      <c r="AL191" s="318"/>
      <c r="AM191" s="318"/>
      <c r="AN191" s="318"/>
      <c r="AO191" s="318"/>
      <c r="AP191" s="318"/>
      <c r="AQ191" s="318"/>
      <c r="AR191" s="318"/>
      <c r="AS191" s="318"/>
      <c r="AT191" s="318"/>
      <c r="AU191" s="318"/>
      <c r="AV191" s="318"/>
      <c r="AW191" s="318"/>
      <c r="AX191" s="318"/>
      <c r="AY191" s="318"/>
      <c r="AZ191" s="318"/>
      <c r="BA191" s="318"/>
      <c r="BB191" s="318"/>
      <c r="BC191" s="318"/>
      <c r="BD191" s="318"/>
      <c r="BE191" s="318"/>
      <c r="BF191" s="318"/>
      <c r="BG191" s="318"/>
      <c r="BH191" s="318"/>
      <c r="BI191" s="318"/>
      <c r="BJ191" s="318"/>
      <c r="BK191" s="318"/>
      <c r="BL191" s="318"/>
      <c r="BM191" s="318"/>
      <c r="BN191" s="318"/>
      <c r="BO191" s="318"/>
      <c r="BP191" s="318"/>
      <c r="BQ191" s="318"/>
      <c r="BR191" s="318"/>
      <c r="BS191" s="318"/>
      <c r="BT191" s="318"/>
      <c r="BU191" s="318"/>
      <c r="BV191" s="318"/>
      <c r="BW191" s="318"/>
      <c r="BX191" s="318"/>
      <c r="BY191" s="318"/>
      <c r="BZ191" s="318"/>
      <c r="CA191" s="318"/>
      <c r="CB191" s="318"/>
      <c r="CC191" s="318"/>
      <c r="CD191" s="312"/>
    </row>
    <row r="192" spans="1:82" ht="12.75" hidden="1" customHeight="1">
      <c r="A192" s="319"/>
      <c r="B192" s="320"/>
      <c r="C192" s="297" t="s">
        <v>69</v>
      </c>
      <c r="D192" s="295" t="e">
        <f t="shared" si="87"/>
        <v>#DIV/0!</v>
      </c>
      <c r="E192" s="295" t="e">
        <f t="shared" si="88"/>
        <v>#DIV/0!</v>
      </c>
      <c r="F192" s="295" t="e">
        <f t="shared" si="89"/>
        <v>#DIV/0!</v>
      </c>
      <c r="G192" s="295" t="e">
        <f t="shared" si="90"/>
        <v>#DIV/0!</v>
      </c>
      <c r="H192" s="295" t="e">
        <f t="shared" si="91"/>
        <v>#DIV/0!</v>
      </c>
      <c r="I192" s="295" t="e">
        <f t="shared" si="92"/>
        <v>#DIV/0!</v>
      </c>
      <c r="J192" s="295" t="e">
        <f t="shared" si="93"/>
        <v>#DIV/0!</v>
      </c>
      <c r="K192" s="295" t="e">
        <f t="shared" si="94"/>
        <v>#DIV/0!</v>
      </c>
      <c r="L192" s="295">
        <f t="shared" si="95"/>
        <v>3</v>
      </c>
      <c r="M192" s="295">
        <f t="shared" si="96"/>
        <v>3</v>
      </c>
      <c r="N192" s="295" t="e">
        <f t="shared" si="97"/>
        <v>#DIV/0!</v>
      </c>
      <c r="O192" s="241"/>
      <c r="P192" s="242"/>
      <c r="Q192" s="242"/>
      <c r="R192" s="242"/>
      <c r="S192" s="242"/>
      <c r="T192" s="242"/>
      <c r="U192" s="242"/>
      <c r="V192" s="242"/>
      <c r="W192" s="242"/>
      <c r="X192" s="242"/>
      <c r="Y192" s="242"/>
      <c r="Z192" s="242"/>
      <c r="AA192" s="242"/>
      <c r="AB192" s="242"/>
      <c r="AC192" s="242"/>
      <c r="AD192" s="242"/>
      <c r="AE192" s="242"/>
      <c r="AF192" s="242"/>
      <c r="AG192" s="242"/>
      <c r="AH192" s="242"/>
      <c r="AI192" s="242"/>
      <c r="AJ192" s="242"/>
      <c r="AK192" s="242"/>
      <c r="AL192" s="242"/>
      <c r="AM192" s="242"/>
      <c r="AN192" s="242"/>
      <c r="AO192" s="242"/>
      <c r="AP192" s="242"/>
      <c r="AQ192" s="242"/>
      <c r="AR192" s="242"/>
      <c r="AS192" s="242"/>
      <c r="AT192" s="242"/>
      <c r="AU192" s="242"/>
      <c r="AV192" s="242"/>
      <c r="AW192" s="242"/>
      <c r="AX192" s="242"/>
      <c r="AY192" s="242"/>
      <c r="AZ192" s="242"/>
      <c r="BA192" s="242"/>
      <c r="BB192" s="242"/>
      <c r="BC192" s="242"/>
      <c r="BD192" s="242"/>
      <c r="BE192" s="242"/>
      <c r="BF192" s="242"/>
      <c r="BG192" s="242"/>
      <c r="BH192" s="242"/>
      <c r="BI192" s="242"/>
      <c r="BJ192" s="242"/>
      <c r="BK192" s="242"/>
      <c r="BL192" s="242"/>
      <c r="BM192" s="242"/>
      <c r="BN192" s="242"/>
      <c r="BO192" s="242"/>
      <c r="BP192" s="242"/>
      <c r="BQ192" s="242"/>
      <c r="BR192" s="242"/>
      <c r="BS192" s="242"/>
      <c r="BT192" s="242"/>
      <c r="BU192" s="242"/>
      <c r="BV192" s="242"/>
      <c r="BW192" s="242"/>
      <c r="BX192" s="242"/>
      <c r="BY192" s="242"/>
      <c r="BZ192" s="242"/>
      <c r="CA192" s="242"/>
      <c r="CB192" s="242"/>
      <c r="CC192" s="242"/>
      <c r="CD192" s="242"/>
    </row>
    <row r="193" spans="1:82" ht="12.75" hidden="1" customHeight="1">
      <c r="A193" s="242"/>
      <c r="B193" s="314"/>
      <c r="C193" s="297" t="s">
        <v>80</v>
      </c>
      <c r="D193" s="295" t="e">
        <f t="shared" si="87"/>
        <v>#DIV/0!</v>
      </c>
      <c r="E193" s="295" t="e">
        <f t="shared" si="88"/>
        <v>#DIV/0!</v>
      </c>
      <c r="F193" s="295" t="e">
        <f t="shared" si="89"/>
        <v>#DIV/0!</v>
      </c>
      <c r="G193" s="295" t="e">
        <f t="shared" si="90"/>
        <v>#DIV/0!</v>
      </c>
      <c r="H193" s="295" t="e">
        <f t="shared" si="91"/>
        <v>#DIV/0!</v>
      </c>
      <c r="I193" s="295" t="e">
        <f t="shared" si="92"/>
        <v>#DIV/0!</v>
      </c>
      <c r="J193" s="295" t="e">
        <f t="shared" si="93"/>
        <v>#DIV/0!</v>
      </c>
      <c r="K193" s="295" t="e">
        <f t="shared" si="94"/>
        <v>#DIV/0!</v>
      </c>
      <c r="L193" s="295">
        <f t="shared" si="95"/>
        <v>3</v>
      </c>
      <c r="M193" s="295">
        <f t="shared" si="96"/>
        <v>3</v>
      </c>
      <c r="N193" s="295" t="e">
        <f t="shared" si="97"/>
        <v>#DIV/0!</v>
      </c>
      <c r="O193" s="241"/>
      <c r="P193" s="242"/>
      <c r="Q193" s="242"/>
      <c r="R193" s="242"/>
      <c r="S193" s="242"/>
      <c r="T193" s="242"/>
      <c r="U193" s="242"/>
      <c r="V193" s="242"/>
      <c r="W193" s="242"/>
      <c r="X193" s="242"/>
      <c r="Y193" s="242"/>
      <c r="Z193" s="242"/>
      <c r="AA193" s="242"/>
      <c r="AB193" s="242"/>
      <c r="AC193" s="242"/>
      <c r="AD193" s="242"/>
      <c r="AE193" s="242"/>
      <c r="AF193" s="242"/>
      <c r="AG193" s="242"/>
      <c r="AH193" s="242"/>
      <c r="AI193" s="242"/>
      <c r="AJ193" s="242"/>
      <c r="AK193" s="242"/>
      <c r="AL193" s="242"/>
      <c r="AM193" s="242"/>
      <c r="AN193" s="242"/>
      <c r="AO193" s="242"/>
      <c r="AP193" s="242"/>
      <c r="AQ193" s="242"/>
      <c r="AR193" s="242"/>
      <c r="AS193" s="242"/>
      <c r="AT193" s="242"/>
      <c r="AU193" s="242"/>
      <c r="AV193" s="242"/>
      <c r="AW193" s="242"/>
      <c r="AX193" s="242"/>
      <c r="AY193" s="242"/>
      <c r="AZ193" s="242"/>
      <c r="BA193" s="242"/>
      <c r="BB193" s="242"/>
      <c r="BC193" s="242"/>
      <c r="BD193" s="242"/>
      <c r="BE193" s="242"/>
      <c r="BF193" s="242"/>
      <c r="BG193" s="242"/>
      <c r="BH193" s="242"/>
      <c r="BI193" s="242"/>
      <c r="BJ193" s="242"/>
      <c r="BK193" s="242"/>
      <c r="BL193" s="242"/>
      <c r="BM193" s="242"/>
      <c r="BN193" s="242"/>
      <c r="BO193" s="242"/>
      <c r="BP193" s="242"/>
      <c r="BQ193" s="242"/>
      <c r="BR193" s="242"/>
      <c r="BS193" s="242"/>
      <c r="BT193" s="242"/>
      <c r="BU193" s="242"/>
      <c r="BV193" s="242"/>
      <c r="BW193" s="242"/>
      <c r="BX193" s="242"/>
      <c r="BY193" s="242"/>
      <c r="BZ193" s="242"/>
      <c r="CA193" s="242"/>
      <c r="CB193" s="242"/>
      <c r="CC193" s="242"/>
      <c r="CD193" s="242"/>
    </row>
    <row r="194" spans="1:82" ht="12.75" hidden="1" customHeight="1">
      <c r="A194" s="242"/>
      <c r="B194" s="314"/>
      <c r="C194" s="297" t="s">
        <v>70</v>
      </c>
      <c r="D194" s="295" t="e">
        <f t="shared" si="87"/>
        <v>#DIV/0!</v>
      </c>
      <c r="E194" s="295" t="e">
        <f t="shared" si="88"/>
        <v>#DIV/0!</v>
      </c>
      <c r="F194" s="295" t="e">
        <f t="shared" si="89"/>
        <v>#DIV/0!</v>
      </c>
      <c r="G194" s="295" t="e">
        <f t="shared" si="90"/>
        <v>#DIV/0!</v>
      </c>
      <c r="H194" s="295" t="e">
        <f t="shared" si="91"/>
        <v>#DIV/0!</v>
      </c>
      <c r="I194" s="295" t="e">
        <f t="shared" si="92"/>
        <v>#DIV/0!</v>
      </c>
      <c r="J194" s="295" t="e">
        <f t="shared" si="93"/>
        <v>#DIV/0!</v>
      </c>
      <c r="K194" s="295" t="e">
        <f t="shared" si="94"/>
        <v>#DIV/0!</v>
      </c>
      <c r="L194" s="295">
        <f t="shared" si="95"/>
        <v>3</v>
      </c>
      <c r="M194" s="295">
        <f t="shared" si="96"/>
        <v>3</v>
      </c>
      <c r="N194" s="295" t="e">
        <f t="shared" si="97"/>
        <v>#DIV/0!</v>
      </c>
      <c r="O194" s="241"/>
      <c r="P194" s="242"/>
      <c r="Q194" s="242"/>
      <c r="R194" s="242"/>
      <c r="S194" s="242"/>
      <c r="T194" s="242"/>
      <c r="U194" s="242"/>
      <c r="V194" s="242"/>
      <c r="W194" s="242"/>
      <c r="X194" s="242"/>
      <c r="Y194" s="242"/>
      <c r="Z194" s="242"/>
      <c r="AA194" s="242"/>
      <c r="AB194" s="242"/>
      <c r="AC194" s="242"/>
      <c r="AD194" s="242"/>
      <c r="AE194" s="242"/>
      <c r="AF194" s="242"/>
      <c r="AG194" s="242"/>
      <c r="AH194" s="242"/>
      <c r="AI194" s="242"/>
      <c r="AJ194" s="242"/>
      <c r="AK194" s="242"/>
      <c r="AL194" s="242"/>
      <c r="AM194" s="242"/>
      <c r="AN194" s="242"/>
      <c r="AO194" s="242"/>
      <c r="AP194" s="242"/>
      <c r="AQ194" s="242"/>
      <c r="AR194" s="242"/>
      <c r="AS194" s="242"/>
      <c r="AT194" s="242"/>
      <c r="AU194" s="242"/>
      <c r="AV194" s="242"/>
      <c r="AW194" s="242"/>
      <c r="AX194" s="242"/>
      <c r="AY194" s="242"/>
      <c r="AZ194" s="242"/>
      <c r="BA194" s="242"/>
      <c r="BB194" s="242"/>
      <c r="BC194" s="242"/>
      <c r="BD194" s="242"/>
      <c r="BE194" s="242"/>
      <c r="BF194" s="242"/>
      <c r="BG194" s="242"/>
      <c r="BH194" s="242"/>
      <c r="BI194" s="242"/>
      <c r="BJ194" s="242"/>
      <c r="BK194" s="242"/>
      <c r="BL194" s="242"/>
      <c r="BM194" s="242"/>
      <c r="BN194" s="242"/>
      <c r="BO194" s="242"/>
      <c r="BP194" s="242"/>
      <c r="BQ194" s="242"/>
      <c r="BR194" s="242"/>
      <c r="BS194" s="242"/>
      <c r="BT194" s="242"/>
      <c r="BU194" s="242"/>
      <c r="BV194" s="242"/>
      <c r="BW194" s="242"/>
      <c r="BX194" s="242"/>
      <c r="BY194" s="242"/>
      <c r="BZ194" s="242"/>
      <c r="CA194" s="242"/>
      <c r="CB194" s="242"/>
      <c r="CC194" s="242"/>
      <c r="CD194" s="242"/>
    </row>
    <row r="195" spans="1:82" ht="12.75" hidden="1" customHeight="1">
      <c r="A195" s="242"/>
      <c r="B195" s="314"/>
      <c r="C195" s="297" t="s">
        <v>71</v>
      </c>
      <c r="D195" s="295" t="e">
        <f t="shared" si="87"/>
        <v>#DIV/0!</v>
      </c>
      <c r="E195" s="295" t="e">
        <f t="shared" si="88"/>
        <v>#DIV/0!</v>
      </c>
      <c r="F195" s="295" t="e">
        <f t="shared" si="89"/>
        <v>#DIV/0!</v>
      </c>
      <c r="G195" s="295" t="e">
        <f t="shared" si="90"/>
        <v>#DIV/0!</v>
      </c>
      <c r="H195" s="295" t="e">
        <f t="shared" si="91"/>
        <v>#DIV/0!</v>
      </c>
      <c r="I195" s="295" t="e">
        <f t="shared" si="92"/>
        <v>#DIV/0!</v>
      </c>
      <c r="J195" s="295" t="e">
        <f t="shared" si="93"/>
        <v>#DIV/0!</v>
      </c>
      <c r="K195" s="295" t="e">
        <f t="shared" si="94"/>
        <v>#DIV/0!</v>
      </c>
      <c r="L195" s="295">
        <f t="shared" si="95"/>
        <v>0</v>
      </c>
      <c r="M195" s="295">
        <f t="shared" si="96"/>
        <v>3</v>
      </c>
      <c r="N195" s="295" t="e">
        <f t="shared" si="97"/>
        <v>#DIV/0!</v>
      </c>
      <c r="O195" s="241"/>
      <c r="P195" s="242"/>
      <c r="Q195" s="242"/>
      <c r="R195" s="242"/>
      <c r="S195" s="242"/>
      <c r="T195" s="242"/>
      <c r="U195" s="242"/>
      <c r="V195" s="242"/>
      <c r="W195" s="242"/>
      <c r="X195" s="242"/>
      <c r="Y195" s="242"/>
      <c r="Z195" s="242"/>
      <c r="AA195" s="242"/>
      <c r="AB195" s="242"/>
      <c r="AC195" s="242"/>
      <c r="AD195" s="242"/>
      <c r="AE195" s="242"/>
      <c r="AF195" s="242"/>
      <c r="AG195" s="242"/>
      <c r="AH195" s="242"/>
      <c r="AI195" s="242"/>
      <c r="AJ195" s="242"/>
      <c r="AK195" s="242"/>
      <c r="AL195" s="242"/>
      <c r="AM195" s="242"/>
      <c r="AN195" s="242"/>
      <c r="AO195" s="242"/>
      <c r="AP195" s="242"/>
      <c r="AQ195" s="242"/>
      <c r="AR195" s="242"/>
      <c r="AS195" s="242"/>
      <c r="AT195" s="242"/>
      <c r="AU195" s="242"/>
      <c r="AV195" s="242"/>
      <c r="AW195" s="242"/>
      <c r="AX195" s="242"/>
      <c r="AY195" s="242"/>
      <c r="AZ195" s="242"/>
      <c r="BA195" s="242"/>
      <c r="BB195" s="242"/>
      <c r="BC195" s="242"/>
      <c r="BD195" s="242"/>
      <c r="BE195" s="242"/>
      <c r="BF195" s="242"/>
      <c r="BG195" s="242"/>
      <c r="BH195" s="242"/>
      <c r="BI195" s="242"/>
      <c r="BJ195" s="242"/>
      <c r="BK195" s="242"/>
      <c r="BL195" s="242"/>
      <c r="BM195" s="242"/>
      <c r="BN195" s="242"/>
      <c r="BO195" s="242"/>
      <c r="BP195" s="242"/>
      <c r="BQ195" s="242"/>
      <c r="BR195" s="242"/>
      <c r="BS195" s="242"/>
      <c r="BT195" s="242"/>
      <c r="BU195" s="242"/>
      <c r="BV195" s="242"/>
      <c r="BW195" s="242"/>
      <c r="BX195" s="242"/>
      <c r="BY195" s="242"/>
      <c r="BZ195" s="242"/>
      <c r="CA195" s="242"/>
      <c r="CB195" s="242"/>
      <c r="CC195" s="242"/>
      <c r="CD195" s="242"/>
    </row>
    <row r="196" spans="1:82" ht="12.75" hidden="1" customHeight="1">
      <c r="A196" s="242"/>
      <c r="B196" s="314"/>
      <c r="C196" s="297" t="s">
        <v>73</v>
      </c>
      <c r="D196" s="295" t="e">
        <f t="shared" si="87"/>
        <v>#DIV/0!</v>
      </c>
      <c r="E196" s="295" t="e">
        <f t="shared" si="88"/>
        <v>#DIV/0!</v>
      </c>
      <c r="F196" s="295" t="e">
        <f t="shared" si="89"/>
        <v>#DIV/0!</v>
      </c>
      <c r="G196" s="295" t="e">
        <f t="shared" si="90"/>
        <v>#DIV/0!</v>
      </c>
      <c r="H196" s="295" t="e">
        <f t="shared" si="91"/>
        <v>#DIV/0!</v>
      </c>
      <c r="I196" s="295" t="e">
        <f t="shared" si="92"/>
        <v>#DIV/0!</v>
      </c>
      <c r="J196" s="295" t="e">
        <f t="shared" si="93"/>
        <v>#DIV/0!</v>
      </c>
      <c r="K196" s="295" t="e">
        <f t="shared" si="94"/>
        <v>#DIV/0!</v>
      </c>
      <c r="L196" s="295">
        <f t="shared" si="95"/>
        <v>0</v>
      </c>
      <c r="M196" s="295">
        <f t="shared" si="96"/>
        <v>3</v>
      </c>
      <c r="N196" s="295" t="e">
        <f t="shared" si="97"/>
        <v>#DIV/0!</v>
      </c>
      <c r="O196" s="241"/>
      <c r="P196" s="242"/>
      <c r="Q196" s="242"/>
      <c r="R196" s="242"/>
      <c r="S196" s="242"/>
      <c r="T196" s="242"/>
      <c r="U196" s="242"/>
      <c r="V196" s="242"/>
      <c r="W196" s="242"/>
      <c r="X196" s="242"/>
      <c r="Y196" s="242"/>
      <c r="Z196" s="242"/>
      <c r="AA196" s="242"/>
      <c r="AB196" s="242"/>
      <c r="AC196" s="242"/>
      <c r="AD196" s="242"/>
      <c r="AE196" s="242"/>
      <c r="AF196" s="242"/>
      <c r="AG196" s="242"/>
      <c r="AH196" s="242"/>
      <c r="AI196" s="242"/>
      <c r="AJ196" s="242"/>
      <c r="AK196" s="242"/>
      <c r="AL196" s="242"/>
      <c r="AM196" s="242"/>
      <c r="AN196" s="242"/>
      <c r="AO196" s="242"/>
      <c r="AP196" s="242"/>
      <c r="AQ196" s="242"/>
      <c r="AR196" s="242"/>
      <c r="AS196" s="242"/>
      <c r="AT196" s="242"/>
      <c r="AU196" s="242"/>
      <c r="AV196" s="242"/>
      <c r="AW196" s="242"/>
      <c r="AX196" s="242"/>
      <c r="AY196" s="242"/>
      <c r="AZ196" s="242"/>
      <c r="BA196" s="242"/>
      <c r="BB196" s="242"/>
      <c r="BC196" s="242"/>
      <c r="BD196" s="242"/>
      <c r="BE196" s="242"/>
      <c r="BF196" s="242"/>
      <c r="BG196" s="242"/>
      <c r="BH196" s="242"/>
      <c r="BI196" s="242"/>
      <c r="BJ196" s="242"/>
      <c r="BK196" s="242"/>
      <c r="BL196" s="242"/>
      <c r="BM196" s="242"/>
      <c r="BN196" s="242"/>
      <c r="BO196" s="242"/>
      <c r="BP196" s="242"/>
      <c r="BQ196" s="242"/>
      <c r="BR196" s="242"/>
      <c r="BS196" s="242"/>
      <c r="BT196" s="242"/>
      <c r="BU196" s="242"/>
      <c r="BV196" s="242"/>
      <c r="BW196" s="242"/>
      <c r="BX196" s="242"/>
      <c r="BY196" s="242"/>
      <c r="BZ196" s="242"/>
      <c r="CA196" s="242"/>
      <c r="CB196" s="242"/>
      <c r="CC196" s="242"/>
      <c r="CD196" s="242"/>
    </row>
    <row r="197" spans="1:82" ht="12.75" hidden="1" customHeight="1">
      <c r="A197" s="242"/>
      <c r="B197" s="314"/>
      <c r="C197" s="297" t="s">
        <v>74</v>
      </c>
      <c r="D197" s="295" t="e">
        <f t="shared" si="87"/>
        <v>#DIV/0!</v>
      </c>
      <c r="E197" s="295" t="e">
        <f t="shared" si="88"/>
        <v>#DIV/0!</v>
      </c>
      <c r="F197" s="295" t="e">
        <f t="shared" si="89"/>
        <v>#DIV/0!</v>
      </c>
      <c r="G197" s="295" t="e">
        <f t="shared" si="90"/>
        <v>#DIV/0!</v>
      </c>
      <c r="H197" s="295" t="e">
        <f t="shared" si="91"/>
        <v>#DIV/0!</v>
      </c>
      <c r="I197" s="295" t="e">
        <f t="shared" si="92"/>
        <v>#DIV/0!</v>
      </c>
      <c r="J197" s="295" t="e">
        <f t="shared" si="93"/>
        <v>#DIV/0!</v>
      </c>
      <c r="K197" s="295" t="e">
        <f t="shared" si="94"/>
        <v>#DIV/0!</v>
      </c>
      <c r="L197" s="295">
        <f t="shared" si="95"/>
        <v>0</v>
      </c>
      <c r="M197" s="295">
        <f t="shared" si="96"/>
        <v>3</v>
      </c>
      <c r="N197" s="295" t="e">
        <f t="shared" si="97"/>
        <v>#DIV/0!</v>
      </c>
      <c r="O197" s="241"/>
      <c r="P197" s="242"/>
      <c r="Q197" s="242"/>
      <c r="R197" s="242"/>
      <c r="S197" s="242"/>
      <c r="T197" s="242"/>
      <c r="U197" s="242"/>
      <c r="V197" s="242"/>
      <c r="W197" s="242"/>
      <c r="X197" s="242"/>
      <c r="Y197" s="242"/>
      <c r="Z197" s="242"/>
      <c r="AA197" s="242"/>
      <c r="AB197" s="242"/>
      <c r="AC197" s="242"/>
      <c r="AD197" s="242"/>
      <c r="AE197" s="242"/>
      <c r="AF197" s="242"/>
      <c r="AG197" s="242"/>
      <c r="AH197" s="242"/>
      <c r="AI197" s="242"/>
      <c r="AJ197" s="242"/>
      <c r="AK197" s="242"/>
      <c r="AL197" s="242"/>
      <c r="AM197" s="242"/>
      <c r="AN197" s="242"/>
      <c r="AO197" s="242"/>
      <c r="AP197" s="242"/>
      <c r="AQ197" s="242"/>
      <c r="AR197" s="242"/>
      <c r="AS197" s="242"/>
      <c r="AT197" s="242"/>
      <c r="AU197" s="242"/>
      <c r="AV197" s="242"/>
      <c r="AW197" s="242"/>
      <c r="AX197" s="242"/>
      <c r="AY197" s="242"/>
      <c r="AZ197" s="242"/>
      <c r="BA197" s="242"/>
      <c r="BB197" s="242"/>
      <c r="BC197" s="242"/>
      <c r="BD197" s="242"/>
      <c r="BE197" s="242"/>
      <c r="BF197" s="242"/>
      <c r="BG197" s="242"/>
      <c r="BH197" s="242"/>
      <c r="BI197" s="242"/>
      <c r="BJ197" s="242"/>
      <c r="BK197" s="242"/>
      <c r="BL197" s="242"/>
      <c r="BM197" s="242"/>
      <c r="BN197" s="242"/>
      <c r="BO197" s="242"/>
      <c r="BP197" s="242"/>
      <c r="BQ197" s="242"/>
      <c r="BR197" s="242"/>
      <c r="BS197" s="242"/>
      <c r="BT197" s="242"/>
      <c r="BU197" s="242"/>
      <c r="BV197" s="242"/>
      <c r="BW197" s="242"/>
      <c r="BX197" s="242"/>
      <c r="BY197" s="242"/>
      <c r="BZ197" s="242"/>
      <c r="CA197" s="242"/>
      <c r="CB197" s="242"/>
      <c r="CC197" s="242"/>
      <c r="CD197" s="242"/>
    </row>
    <row r="198" spans="1:82" ht="12.75" hidden="1" customHeight="1">
      <c r="A198" s="242"/>
      <c r="B198" s="314"/>
      <c r="C198" s="297" t="s">
        <v>75</v>
      </c>
      <c r="D198" s="295" t="e">
        <f t="shared" si="87"/>
        <v>#DIV/0!</v>
      </c>
      <c r="E198" s="295" t="e">
        <f t="shared" si="88"/>
        <v>#DIV/0!</v>
      </c>
      <c r="F198" s="295" t="e">
        <f t="shared" si="89"/>
        <v>#DIV/0!</v>
      </c>
      <c r="G198" s="295" t="e">
        <f t="shared" si="90"/>
        <v>#DIV/0!</v>
      </c>
      <c r="H198" s="295" t="e">
        <f t="shared" si="91"/>
        <v>#DIV/0!</v>
      </c>
      <c r="I198" s="295" t="e">
        <f t="shared" si="92"/>
        <v>#DIV/0!</v>
      </c>
      <c r="J198" s="295" t="e">
        <f t="shared" si="93"/>
        <v>#DIV/0!</v>
      </c>
      <c r="K198" s="295" t="e">
        <f t="shared" si="94"/>
        <v>#DIV/0!</v>
      </c>
      <c r="L198" s="295">
        <f t="shared" si="95"/>
        <v>3</v>
      </c>
      <c r="M198" s="295">
        <f t="shared" si="96"/>
        <v>3</v>
      </c>
      <c r="N198" s="295" t="e">
        <f t="shared" si="97"/>
        <v>#DIV/0!</v>
      </c>
      <c r="O198" s="241"/>
      <c r="P198" s="242"/>
      <c r="Q198" s="242"/>
      <c r="R198" s="242"/>
      <c r="S198" s="242"/>
      <c r="T198" s="242"/>
      <c r="U198" s="242"/>
      <c r="V198" s="242"/>
      <c r="W198" s="242"/>
      <c r="X198" s="242"/>
      <c r="Y198" s="242"/>
      <c r="Z198" s="242"/>
      <c r="AA198" s="242"/>
      <c r="AB198" s="242"/>
      <c r="AC198" s="242"/>
      <c r="AD198" s="242"/>
      <c r="AE198" s="242"/>
      <c r="AF198" s="242"/>
      <c r="AG198" s="242"/>
      <c r="AH198" s="242"/>
      <c r="AI198" s="242"/>
      <c r="AJ198" s="242"/>
      <c r="AK198" s="242"/>
      <c r="AL198" s="242"/>
      <c r="AM198" s="242"/>
      <c r="AN198" s="242"/>
      <c r="AO198" s="242"/>
      <c r="AP198" s="242"/>
      <c r="AQ198" s="242"/>
      <c r="AR198" s="242"/>
      <c r="AS198" s="242"/>
      <c r="AT198" s="242"/>
      <c r="AU198" s="242"/>
      <c r="AV198" s="242"/>
      <c r="AW198" s="242"/>
      <c r="AX198" s="242"/>
      <c r="AY198" s="242"/>
      <c r="AZ198" s="242"/>
      <c r="BA198" s="242"/>
      <c r="BB198" s="242"/>
      <c r="BC198" s="242"/>
      <c r="BD198" s="242"/>
      <c r="BE198" s="242"/>
      <c r="BF198" s="242"/>
      <c r="BG198" s="242"/>
      <c r="BH198" s="242"/>
      <c r="BI198" s="242"/>
      <c r="BJ198" s="242"/>
      <c r="BK198" s="242"/>
      <c r="BL198" s="242"/>
      <c r="BM198" s="242"/>
      <c r="BN198" s="242"/>
      <c r="BO198" s="242"/>
      <c r="BP198" s="242"/>
      <c r="BQ198" s="242"/>
      <c r="BR198" s="242"/>
      <c r="BS198" s="242"/>
      <c r="BT198" s="242"/>
      <c r="BU198" s="242"/>
      <c r="BV198" s="242"/>
      <c r="BW198" s="242"/>
      <c r="BX198" s="242"/>
      <c r="BY198" s="242"/>
      <c r="BZ198" s="242"/>
      <c r="CA198" s="242"/>
      <c r="CB198" s="242"/>
      <c r="CC198" s="242"/>
      <c r="CD198" s="242"/>
    </row>
    <row r="199" spans="1:82" ht="12.75" hidden="1" customHeight="1">
      <c r="A199" s="242"/>
      <c r="B199" s="314"/>
      <c r="C199" s="297" t="s">
        <v>76</v>
      </c>
      <c r="D199" s="295" t="e">
        <f t="shared" si="87"/>
        <v>#DIV/0!</v>
      </c>
      <c r="E199" s="295" t="e">
        <f t="shared" si="88"/>
        <v>#DIV/0!</v>
      </c>
      <c r="F199" s="295" t="e">
        <f t="shared" si="89"/>
        <v>#DIV/0!</v>
      </c>
      <c r="G199" s="295" t="e">
        <f t="shared" si="90"/>
        <v>#DIV/0!</v>
      </c>
      <c r="H199" s="295" t="e">
        <f t="shared" si="91"/>
        <v>#DIV/0!</v>
      </c>
      <c r="I199" s="295" t="e">
        <f t="shared" si="92"/>
        <v>#DIV/0!</v>
      </c>
      <c r="J199" s="295" t="e">
        <f t="shared" si="93"/>
        <v>#DIV/0!</v>
      </c>
      <c r="K199" s="295" t="e">
        <f t="shared" si="94"/>
        <v>#DIV/0!</v>
      </c>
      <c r="L199" s="295">
        <f t="shared" si="95"/>
        <v>3</v>
      </c>
      <c r="M199" s="295">
        <f t="shared" si="96"/>
        <v>3</v>
      </c>
      <c r="N199" s="295" t="e">
        <f t="shared" si="97"/>
        <v>#DIV/0!</v>
      </c>
      <c r="O199" s="241"/>
      <c r="P199" s="242"/>
      <c r="Q199" s="242"/>
      <c r="R199" s="242"/>
      <c r="S199" s="242"/>
      <c r="T199" s="242"/>
      <c r="U199" s="242"/>
      <c r="V199" s="242"/>
      <c r="W199" s="242"/>
      <c r="X199" s="242"/>
      <c r="Y199" s="242"/>
      <c r="Z199" s="242"/>
      <c r="AA199" s="242"/>
      <c r="AB199" s="242"/>
      <c r="AC199" s="242"/>
      <c r="AD199" s="242"/>
      <c r="AE199" s="242"/>
      <c r="AF199" s="242"/>
      <c r="AG199" s="242"/>
      <c r="AH199" s="242"/>
      <c r="AI199" s="242"/>
      <c r="AJ199" s="242"/>
      <c r="AK199" s="242"/>
      <c r="AL199" s="242"/>
      <c r="AM199" s="242"/>
      <c r="AN199" s="242"/>
      <c r="AO199" s="242"/>
      <c r="AP199" s="242"/>
      <c r="AQ199" s="242"/>
      <c r="AR199" s="242"/>
      <c r="AS199" s="242"/>
      <c r="AT199" s="242"/>
      <c r="AU199" s="242"/>
      <c r="AV199" s="242"/>
      <c r="AW199" s="242"/>
      <c r="AX199" s="242"/>
      <c r="AY199" s="242"/>
      <c r="AZ199" s="242"/>
      <c r="BA199" s="242"/>
      <c r="BB199" s="242"/>
      <c r="BC199" s="242"/>
      <c r="BD199" s="242"/>
      <c r="BE199" s="242"/>
      <c r="BF199" s="242"/>
      <c r="BG199" s="242"/>
      <c r="BH199" s="242"/>
      <c r="BI199" s="242"/>
      <c r="BJ199" s="242"/>
      <c r="BK199" s="242"/>
      <c r="BL199" s="242"/>
      <c r="BM199" s="242"/>
      <c r="BN199" s="242"/>
      <c r="BO199" s="242"/>
      <c r="BP199" s="242"/>
      <c r="BQ199" s="242"/>
      <c r="BR199" s="242"/>
      <c r="BS199" s="242"/>
      <c r="BT199" s="242"/>
      <c r="BU199" s="242"/>
      <c r="BV199" s="242"/>
      <c r="BW199" s="242"/>
      <c r="BX199" s="242"/>
      <c r="BY199" s="242"/>
      <c r="BZ199" s="242"/>
      <c r="CA199" s="242"/>
      <c r="CB199" s="242"/>
      <c r="CC199" s="242"/>
      <c r="CD199" s="242"/>
    </row>
    <row r="200" spans="1:82" ht="12.75" hidden="1" customHeight="1">
      <c r="A200" s="242"/>
      <c r="B200" s="314"/>
      <c r="C200" s="297" t="s">
        <v>77</v>
      </c>
      <c r="D200" s="295" t="e">
        <f t="shared" si="87"/>
        <v>#DIV/0!</v>
      </c>
      <c r="E200" s="295" t="e">
        <f t="shared" si="88"/>
        <v>#DIV/0!</v>
      </c>
      <c r="F200" s="295" t="e">
        <f t="shared" si="89"/>
        <v>#DIV/0!</v>
      </c>
      <c r="G200" s="295" t="e">
        <f t="shared" si="90"/>
        <v>#DIV/0!</v>
      </c>
      <c r="H200" s="295" t="e">
        <f t="shared" si="91"/>
        <v>#DIV/0!</v>
      </c>
      <c r="I200" s="295" t="e">
        <f t="shared" si="92"/>
        <v>#DIV/0!</v>
      </c>
      <c r="J200" s="295" t="e">
        <f t="shared" si="93"/>
        <v>#DIV/0!</v>
      </c>
      <c r="K200" s="295" t="e">
        <f t="shared" si="94"/>
        <v>#DIV/0!</v>
      </c>
      <c r="L200" s="295">
        <f t="shared" si="95"/>
        <v>3</v>
      </c>
      <c r="M200" s="295">
        <f t="shared" si="96"/>
        <v>3</v>
      </c>
      <c r="N200" s="295" t="e">
        <f t="shared" si="97"/>
        <v>#DIV/0!</v>
      </c>
      <c r="O200" s="241"/>
      <c r="P200" s="242"/>
      <c r="Q200" s="242"/>
      <c r="R200" s="242"/>
      <c r="S200" s="242"/>
      <c r="T200" s="242"/>
      <c r="U200" s="242"/>
      <c r="V200" s="242"/>
      <c r="W200" s="242"/>
      <c r="X200" s="242"/>
      <c r="Y200" s="242"/>
      <c r="Z200" s="242"/>
      <c r="AA200" s="242"/>
      <c r="AB200" s="242"/>
      <c r="AC200" s="242"/>
      <c r="AD200" s="242"/>
      <c r="AE200" s="242"/>
      <c r="AF200" s="242"/>
      <c r="AG200" s="242"/>
      <c r="AH200" s="242"/>
      <c r="AI200" s="242"/>
      <c r="AJ200" s="242"/>
      <c r="AK200" s="242"/>
      <c r="AL200" s="242"/>
      <c r="AM200" s="242"/>
      <c r="AN200" s="242"/>
      <c r="AO200" s="242"/>
      <c r="AP200" s="242"/>
      <c r="AQ200" s="242"/>
      <c r="AR200" s="242"/>
      <c r="AS200" s="242"/>
      <c r="AT200" s="242"/>
      <c r="AU200" s="242"/>
      <c r="AV200" s="242"/>
      <c r="AW200" s="242"/>
      <c r="AX200" s="242"/>
      <c r="AY200" s="242"/>
      <c r="AZ200" s="242"/>
      <c r="BA200" s="242"/>
      <c r="BB200" s="242"/>
      <c r="BC200" s="242"/>
      <c r="BD200" s="242"/>
      <c r="BE200" s="242"/>
      <c r="BF200" s="242"/>
      <c r="BG200" s="242"/>
      <c r="BH200" s="242"/>
      <c r="BI200" s="242"/>
      <c r="BJ200" s="242"/>
      <c r="BK200" s="242"/>
      <c r="BL200" s="242"/>
      <c r="BM200" s="242"/>
      <c r="BN200" s="242"/>
      <c r="BO200" s="242"/>
      <c r="BP200" s="242"/>
      <c r="BQ200" s="242"/>
      <c r="BR200" s="242"/>
      <c r="BS200" s="242"/>
      <c r="BT200" s="242"/>
      <c r="BU200" s="242"/>
      <c r="BV200" s="242"/>
      <c r="BW200" s="242"/>
      <c r="BX200" s="242"/>
      <c r="BY200" s="242"/>
      <c r="BZ200" s="242"/>
      <c r="CA200" s="242"/>
      <c r="CB200" s="242"/>
      <c r="CC200" s="242"/>
      <c r="CD200" s="242"/>
    </row>
    <row r="201" spans="1:82" ht="12.75" hidden="1" customHeight="1">
      <c r="A201" s="242"/>
      <c r="B201" s="314"/>
      <c r="C201" s="297" t="s">
        <v>78</v>
      </c>
      <c r="D201" s="295" t="e">
        <f t="shared" si="87"/>
        <v>#DIV/0!</v>
      </c>
      <c r="E201" s="295" t="e">
        <f t="shared" si="88"/>
        <v>#DIV/0!</v>
      </c>
      <c r="F201" s="295" t="e">
        <f t="shared" si="89"/>
        <v>#DIV/0!</v>
      </c>
      <c r="G201" s="295" t="e">
        <f t="shared" si="90"/>
        <v>#DIV/0!</v>
      </c>
      <c r="H201" s="295" t="e">
        <f t="shared" si="91"/>
        <v>#DIV/0!</v>
      </c>
      <c r="I201" s="295" t="e">
        <f t="shared" si="92"/>
        <v>#DIV/0!</v>
      </c>
      <c r="J201" s="295" t="e">
        <f t="shared" si="93"/>
        <v>#DIV/0!</v>
      </c>
      <c r="K201" s="295" t="e">
        <f t="shared" si="94"/>
        <v>#DIV/0!</v>
      </c>
      <c r="L201" s="295">
        <f t="shared" si="95"/>
        <v>3</v>
      </c>
      <c r="M201" s="295">
        <f t="shared" si="96"/>
        <v>3</v>
      </c>
      <c r="N201" s="295" t="e">
        <f t="shared" si="97"/>
        <v>#DIV/0!</v>
      </c>
      <c r="O201" s="241"/>
      <c r="P201" s="242"/>
      <c r="Q201" s="242"/>
      <c r="R201" s="242"/>
      <c r="S201" s="242"/>
      <c r="T201" s="242"/>
      <c r="U201" s="242"/>
      <c r="V201" s="242"/>
      <c r="W201" s="242"/>
      <c r="X201" s="242"/>
      <c r="Y201" s="242"/>
      <c r="Z201" s="242"/>
      <c r="AA201" s="242"/>
      <c r="AB201" s="242"/>
      <c r="AC201" s="242"/>
      <c r="AD201" s="242"/>
      <c r="AE201" s="242"/>
      <c r="AF201" s="242"/>
      <c r="AG201" s="242"/>
      <c r="AH201" s="242"/>
      <c r="AI201" s="242"/>
      <c r="AJ201" s="242"/>
      <c r="AK201" s="242"/>
      <c r="AL201" s="242"/>
      <c r="AM201" s="242"/>
      <c r="AN201" s="242"/>
      <c r="AO201" s="242"/>
      <c r="AP201" s="242"/>
      <c r="AQ201" s="242"/>
      <c r="AR201" s="242"/>
      <c r="AS201" s="242"/>
      <c r="AT201" s="242"/>
      <c r="AU201" s="242"/>
      <c r="AV201" s="242"/>
      <c r="AW201" s="242"/>
      <c r="AX201" s="242"/>
      <c r="AY201" s="242"/>
      <c r="AZ201" s="242"/>
      <c r="BA201" s="242"/>
      <c r="BB201" s="242"/>
      <c r="BC201" s="242"/>
      <c r="BD201" s="242"/>
      <c r="BE201" s="242"/>
      <c r="BF201" s="242"/>
      <c r="BG201" s="242"/>
      <c r="BH201" s="242"/>
      <c r="BI201" s="242"/>
      <c r="BJ201" s="242"/>
      <c r="BK201" s="242"/>
      <c r="BL201" s="242"/>
      <c r="BM201" s="242"/>
      <c r="BN201" s="242"/>
      <c r="BO201" s="242"/>
      <c r="BP201" s="242"/>
      <c r="BQ201" s="242"/>
      <c r="BR201" s="242"/>
      <c r="BS201" s="242"/>
      <c r="BT201" s="242"/>
      <c r="BU201" s="242"/>
      <c r="BV201" s="242"/>
      <c r="BW201" s="242"/>
      <c r="BX201" s="242"/>
      <c r="BY201" s="242"/>
      <c r="BZ201" s="242"/>
      <c r="CA201" s="242"/>
      <c r="CB201" s="242"/>
      <c r="CC201" s="242"/>
      <c r="CD201" s="242"/>
    </row>
    <row r="202" spans="1:82" ht="12.75" hidden="1" customHeight="1">
      <c r="A202" s="242"/>
      <c r="B202" s="314"/>
      <c r="C202" s="297" t="s">
        <v>79</v>
      </c>
      <c r="D202" s="295" t="e">
        <f t="shared" si="87"/>
        <v>#DIV/0!</v>
      </c>
      <c r="E202" s="295" t="e">
        <f t="shared" si="88"/>
        <v>#DIV/0!</v>
      </c>
      <c r="F202" s="295" t="e">
        <f t="shared" si="89"/>
        <v>#DIV/0!</v>
      </c>
      <c r="G202" s="295" t="e">
        <f t="shared" si="90"/>
        <v>#DIV/0!</v>
      </c>
      <c r="H202" s="295" t="e">
        <f t="shared" si="91"/>
        <v>#DIV/0!</v>
      </c>
      <c r="I202" s="295" t="e">
        <f t="shared" si="92"/>
        <v>#DIV/0!</v>
      </c>
      <c r="J202" s="295" t="e">
        <f t="shared" si="93"/>
        <v>#DIV/0!</v>
      </c>
      <c r="K202" s="295" t="e">
        <f t="shared" si="94"/>
        <v>#DIV/0!</v>
      </c>
      <c r="L202" s="295">
        <f t="shared" si="95"/>
        <v>0</v>
      </c>
      <c r="M202" s="295">
        <f t="shared" si="96"/>
        <v>3</v>
      </c>
      <c r="N202" s="295" t="e">
        <f t="shared" si="97"/>
        <v>#DIV/0!</v>
      </c>
      <c r="O202" s="241"/>
      <c r="P202" s="242"/>
      <c r="Q202" s="242"/>
      <c r="R202" s="242"/>
      <c r="S202" s="242"/>
      <c r="T202" s="242"/>
      <c r="U202" s="242"/>
      <c r="V202" s="242"/>
      <c r="W202" s="242"/>
      <c r="X202" s="242"/>
      <c r="Y202" s="242"/>
      <c r="Z202" s="242"/>
      <c r="AA202" s="242"/>
      <c r="AB202" s="242"/>
      <c r="AC202" s="242"/>
      <c r="AD202" s="242"/>
      <c r="AE202" s="242"/>
      <c r="AF202" s="242"/>
      <c r="AG202" s="242"/>
      <c r="AH202" s="242"/>
      <c r="AI202" s="242"/>
      <c r="AJ202" s="242"/>
      <c r="AK202" s="242"/>
      <c r="AL202" s="242"/>
      <c r="AM202" s="242"/>
      <c r="AN202" s="242"/>
      <c r="AO202" s="242"/>
      <c r="AP202" s="242"/>
      <c r="AQ202" s="242"/>
      <c r="AR202" s="242"/>
      <c r="AS202" s="242"/>
      <c r="AT202" s="242"/>
      <c r="AU202" s="242"/>
      <c r="AV202" s="242"/>
      <c r="AW202" s="242"/>
      <c r="AX202" s="242"/>
      <c r="AY202" s="242"/>
      <c r="AZ202" s="242"/>
      <c r="BA202" s="242"/>
      <c r="BB202" s="242"/>
      <c r="BC202" s="242"/>
      <c r="BD202" s="242"/>
      <c r="BE202" s="242"/>
      <c r="BF202" s="242"/>
      <c r="BG202" s="242"/>
      <c r="BH202" s="242"/>
      <c r="BI202" s="242"/>
      <c r="BJ202" s="242"/>
      <c r="BK202" s="242"/>
      <c r="BL202" s="242"/>
      <c r="BM202" s="242"/>
      <c r="BN202" s="242"/>
      <c r="BO202" s="242"/>
      <c r="BP202" s="242"/>
      <c r="BQ202" s="242"/>
      <c r="BR202" s="242"/>
      <c r="BS202" s="242"/>
      <c r="BT202" s="242"/>
      <c r="BU202" s="242"/>
      <c r="BV202" s="242"/>
      <c r="BW202" s="242"/>
      <c r="BX202" s="242"/>
      <c r="BY202" s="242"/>
      <c r="BZ202" s="242"/>
      <c r="CA202" s="242"/>
      <c r="CB202" s="242"/>
      <c r="CC202" s="242"/>
      <c r="CD202" s="242"/>
    </row>
    <row r="203" spans="1:82" ht="12.75" hidden="1" customHeight="1">
      <c r="A203" s="242"/>
      <c r="B203" s="314"/>
      <c r="C203" s="297" t="s">
        <v>1929</v>
      </c>
      <c r="D203" s="255" t="s">
        <v>19</v>
      </c>
      <c r="E203" s="255" t="s">
        <v>19</v>
      </c>
      <c r="F203" s="255" t="s">
        <v>19</v>
      </c>
      <c r="G203" s="255" t="s">
        <v>19</v>
      </c>
      <c r="H203" s="255" t="s">
        <v>19</v>
      </c>
      <c r="I203" s="255" t="s">
        <v>19</v>
      </c>
      <c r="J203" s="255" t="s">
        <v>19</v>
      </c>
      <c r="K203" s="255" t="s">
        <v>19</v>
      </c>
      <c r="L203" s="255" t="s">
        <v>19</v>
      </c>
      <c r="M203" s="255" t="s">
        <v>19</v>
      </c>
      <c r="N203" s="255" t="s">
        <v>19</v>
      </c>
      <c r="O203" s="241"/>
      <c r="P203" s="242"/>
      <c r="Q203" s="242"/>
      <c r="R203" s="242"/>
      <c r="S203" s="242"/>
      <c r="T203" s="242"/>
      <c r="U203" s="242"/>
      <c r="V203" s="242"/>
      <c r="W203" s="242"/>
      <c r="X203" s="242"/>
      <c r="Y203" s="242"/>
      <c r="Z203" s="242"/>
      <c r="AA203" s="242"/>
      <c r="AB203" s="242"/>
      <c r="AC203" s="242"/>
      <c r="AD203" s="242"/>
      <c r="AE203" s="242"/>
      <c r="AF203" s="242"/>
      <c r="AG203" s="242"/>
      <c r="AH203" s="242"/>
      <c r="AI203" s="242"/>
      <c r="AJ203" s="242"/>
      <c r="AK203" s="242"/>
      <c r="AL203" s="242"/>
      <c r="AM203" s="242"/>
      <c r="AN203" s="242"/>
      <c r="AO203" s="242"/>
      <c r="AP203" s="242"/>
      <c r="AQ203" s="242"/>
      <c r="AR203" s="242"/>
      <c r="AS203" s="242"/>
      <c r="AT203" s="242"/>
      <c r="AU203" s="242"/>
      <c r="AV203" s="242"/>
      <c r="AW203" s="242"/>
      <c r="AX203" s="242"/>
      <c r="AY203" s="242"/>
      <c r="AZ203" s="242"/>
      <c r="BA203" s="242"/>
      <c r="BB203" s="242"/>
      <c r="BC203" s="242"/>
      <c r="BD203" s="242"/>
      <c r="BE203" s="242"/>
      <c r="BF203" s="242"/>
      <c r="BG203" s="242"/>
      <c r="BH203" s="242"/>
      <c r="BI203" s="242"/>
      <c r="BJ203" s="242"/>
      <c r="BK203" s="242"/>
      <c r="BL203" s="242"/>
      <c r="BM203" s="242"/>
      <c r="BN203" s="242"/>
      <c r="BO203" s="242"/>
      <c r="BP203" s="242"/>
      <c r="BQ203" s="242"/>
      <c r="BR203" s="242"/>
      <c r="BS203" s="242"/>
      <c r="BT203" s="242"/>
      <c r="BU203" s="242"/>
      <c r="BV203" s="242"/>
      <c r="BW203" s="242"/>
      <c r="BX203" s="242"/>
      <c r="BY203" s="242"/>
      <c r="BZ203" s="242"/>
      <c r="CA203" s="242"/>
      <c r="CB203" s="242"/>
      <c r="CC203" s="242"/>
      <c r="CD203" s="242"/>
    </row>
    <row r="204" spans="1:82" ht="12.75" hidden="1" customHeight="1">
      <c r="A204" s="242"/>
      <c r="B204" s="314"/>
      <c r="C204" s="297" t="s">
        <v>81</v>
      </c>
      <c r="D204" s="295" t="e">
        <f>IF(D159/N159&lt;$AN$267,0,IF(D159/N159&lt;$AM$267,1,IF(D159/N159&lt;$AL$267,2,3)))</f>
        <v>#DIV/0!</v>
      </c>
      <c r="E204" s="295" t="e">
        <f>IF(E159/N159&lt;$AN$268,0,IF(E159/N159&lt;$AM$268,1,IF(E159/N159&lt;$AL$268,2,3)))</f>
        <v>#DIV/0!</v>
      </c>
      <c r="F204" s="295" t="e">
        <f>IF(F159/N159&lt;$AN$269,0,IF(F159/N159&lt;$AM$269,1,IF(F159/N159&lt;$AL$269,2,3)))</f>
        <v>#DIV/0!</v>
      </c>
      <c r="G204" s="295" t="e">
        <f>IF(G159/N159&lt;$AN$270,0,IF(G159/N159&lt;$AM$270,1,IF(G159/N159&lt;$AL$270,2,3)))</f>
        <v>#DIV/0!</v>
      </c>
      <c r="H204" s="295" t="e">
        <f>IF(H159/N159&lt;$AN$271,0,IF(H159/N159&lt;$AM$271,1,IF(H159/N159&lt;$AL$271,2,3)))</f>
        <v>#DIV/0!</v>
      </c>
      <c r="I204" s="295" t="e">
        <f>IF(I159/N159&lt;$AN$272,0,IF(I159/N159&lt;$AM$272,1,IF(I159/N159&lt;$AL$272,2,3)))</f>
        <v>#DIV/0!</v>
      </c>
      <c r="J204" s="295" t="e">
        <f>IF(J159/N159&lt;$AN$273,0,IF(J159/N159&lt;$AM$273,1,IF(J159/N159&lt;$AL$273,2,3)))</f>
        <v>#DIV/0!</v>
      </c>
      <c r="K204" s="295" t="e">
        <f>IF(K159/N159&lt;$AN$274,0,IF(K159/N159&lt;$AM$274,1,IF(K159/N159&lt;$AL$274,2,3)))</f>
        <v>#DIV/0!</v>
      </c>
      <c r="L204" s="295">
        <f t="shared" ref="L204:L211" si="98">IF(L159&lt;$AN$275,0,IF(L159=$AM$275,1,IF(L159&lt;$AL$275,2,3)))</f>
        <v>0</v>
      </c>
      <c r="M204" s="295">
        <f t="shared" ref="M204:M211" si="99">IF(M159&lt;$AN$276,0,IF(M159&lt;$AM$276,1,IF(M159&lt;$AL$276,2,3)))</f>
        <v>3</v>
      </c>
      <c r="N204" s="295" t="e">
        <f>AVERAGE(D204:M204)</f>
        <v>#DIV/0!</v>
      </c>
      <c r="O204" s="241"/>
      <c r="P204" s="242"/>
      <c r="Q204" s="242"/>
      <c r="R204" s="242"/>
      <c r="S204" s="242"/>
      <c r="T204" s="242"/>
      <c r="U204" s="242"/>
      <c r="V204" s="242"/>
      <c r="W204" s="242"/>
      <c r="X204" s="242"/>
      <c r="Y204" s="242"/>
      <c r="Z204" s="242"/>
      <c r="AA204" s="242"/>
      <c r="AB204" s="242"/>
      <c r="AC204" s="242"/>
      <c r="AD204" s="242"/>
      <c r="AE204" s="242"/>
      <c r="AF204" s="242"/>
      <c r="AG204" s="242"/>
      <c r="AH204" s="242"/>
      <c r="AI204" s="242"/>
      <c r="AJ204" s="242"/>
      <c r="AK204" s="242"/>
      <c r="AL204" s="242"/>
      <c r="AM204" s="242"/>
      <c r="AN204" s="242"/>
      <c r="AO204" s="242"/>
      <c r="AP204" s="242"/>
      <c r="AQ204" s="242"/>
      <c r="AR204" s="242"/>
      <c r="AS204" s="242"/>
      <c r="AT204" s="242"/>
      <c r="AU204" s="242"/>
      <c r="AV204" s="242"/>
      <c r="AW204" s="242"/>
      <c r="AX204" s="242"/>
      <c r="AY204" s="242"/>
      <c r="AZ204" s="242"/>
      <c r="BA204" s="242"/>
      <c r="BB204" s="242"/>
      <c r="BC204" s="242"/>
      <c r="BD204" s="242"/>
      <c r="BE204" s="242"/>
      <c r="BF204" s="242"/>
      <c r="BG204" s="242"/>
      <c r="BH204" s="242"/>
      <c r="BI204" s="242"/>
      <c r="BJ204" s="242"/>
      <c r="BK204" s="242"/>
      <c r="BL204" s="242"/>
      <c r="BM204" s="242"/>
      <c r="BN204" s="242"/>
      <c r="BO204" s="242"/>
      <c r="BP204" s="242"/>
      <c r="BQ204" s="242"/>
      <c r="BR204" s="242"/>
      <c r="BS204" s="242"/>
      <c r="BT204" s="242"/>
      <c r="BU204" s="242"/>
      <c r="BV204" s="242"/>
      <c r="BW204" s="242"/>
      <c r="BX204" s="242"/>
      <c r="BY204" s="242"/>
      <c r="BZ204" s="242"/>
      <c r="CA204" s="242"/>
      <c r="CB204" s="242"/>
      <c r="CC204" s="242"/>
      <c r="CD204" s="242"/>
    </row>
    <row r="205" spans="1:82" ht="12.75" hidden="1" customHeight="1">
      <c r="A205" s="242"/>
      <c r="B205" s="314"/>
      <c r="C205" s="297" t="s">
        <v>82</v>
      </c>
      <c r="D205" s="295" t="e">
        <f>IF(D160/N160&lt;$AN$267,0,IF(D160/N160&lt;$AM$267,1,IF(D160/N160&lt;$AL$267,2,3)))</f>
        <v>#DIV/0!</v>
      </c>
      <c r="E205" s="295" t="e">
        <f>IF(E160/N160&lt;$AN$268,0,IF(E160/N160&lt;$AM$268,1,IF(E160/N160&lt;$AL$268,2,3)))</f>
        <v>#DIV/0!</v>
      </c>
      <c r="F205" s="295" t="e">
        <f>IF(F160/N160&lt;$AN$269,0,IF(F160/N160&lt;$AM$269,1,IF(F160/N160&lt;$AL$269,2,3)))</f>
        <v>#DIV/0!</v>
      </c>
      <c r="G205" s="295" t="e">
        <f>IF(G160/N160&lt;$AN$270,0,IF(G160/N160&lt;$AM$270,1,IF(G160/N160&lt;$AL$270,2,3)))</f>
        <v>#DIV/0!</v>
      </c>
      <c r="H205" s="295" t="e">
        <f>IF(H160/N160&lt;$AN$271,0,IF(H160/N160&lt;$AM$271,1,IF(H160/N160&lt;$AL$271,2,3)))</f>
        <v>#DIV/0!</v>
      </c>
      <c r="I205" s="295" t="e">
        <f>IF(I160/N160&lt;$AN$272,0,IF(I160/N160&lt;$AM$272,1,IF(I160/N160&lt;$AL$272,2,3)))</f>
        <v>#DIV/0!</v>
      </c>
      <c r="J205" s="295" t="e">
        <f>IF(J160/N160&lt;$AN$273,0,IF(J160/N160&lt;$AM$273,1,IF(J160/N160&lt;$AL$273,2,3)))</f>
        <v>#DIV/0!</v>
      </c>
      <c r="K205" s="295" t="e">
        <f>IF(K160/N160&lt;$AN$274,0,IF(K160/N160&lt;$AM$274,1,IF(K160/N160&lt;$AL$274,2,3)))</f>
        <v>#DIV/0!</v>
      </c>
      <c r="L205" s="295">
        <f t="shared" si="98"/>
        <v>0</v>
      </c>
      <c r="M205" s="295">
        <f t="shared" si="99"/>
        <v>3</v>
      </c>
      <c r="N205" s="295" t="e">
        <f>AVERAGE(D205:M205)</f>
        <v>#DIV/0!</v>
      </c>
      <c r="O205" s="241"/>
      <c r="P205" s="242"/>
      <c r="Q205" s="242"/>
      <c r="R205" s="242"/>
      <c r="S205" s="242"/>
      <c r="T205" s="242"/>
      <c r="U205" s="242"/>
      <c r="V205" s="242"/>
      <c r="W205" s="242"/>
      <c r="X205" s="242"/>
      <c r="Y205" s="242"/>
      <c r="Z205" s="242"/>
      <c r="AA205" s="242"/>
      <c r="AB205" s="242"/>
      <c r="AC205" s="242"/>
      <c r="AD205" s="242"/>
      <c r="AE205" s="242"/>
      <c r="AF205" s="242"/>
      <c r="AG205" s="242"/>
      <c r="AH205" s="242"/>
      <c r="AI205" s="242"/>
      <c r="AJ205" s="242"/>
      <c r="AK205" s="242"/>
      <c r="AL205" s="242"/>
      <c r="AM205" s="242"/>
      <c r="AN205" s="242"/>
      <c r="AO205" s="242"/>
      <c r="AP205" s="242"/>
      <c r="AQ205" s="242"/>
      <c r="AR205" s="242"/>
      <c r="AS205" s="242"/>
      <c r="AT205" s="242"/>
      <c r="AU205" s="242"/>
      <c r="AV205" s="242"/>
      <c r="AW205" s="242"/>
      <c r="AX205" s="242"/>
      <c r="AY205" s="242"/>
      <c r="AZ205" s="242"/>
      <c r="BA205" s="242"/>
      <c r="BB205" s="242"/>
      <c r="BC205" s="242"/>
      <c r="BD205" s="242"/>
      <c r="BE205" s="242"/>
      <c r="BF205" s="242"/>
      <c r="BG205" s="242"/>
      <c r="BH205" s="242"/>
      <c r="BI205" s="242"/>
      <c r="BJ205" s="242"/>
      <c r="BK205" s="242"/>
      <c r="BL205" s="242"/>
      <c r="BM205" s="242"/>
      <c r="BN205" s="242"/>
      <c r="BO205" s="242"/>
      <c r="BP205" s="242"/>
      <c r="BQ205" s="242"/>
      <c r="BR205" s="242"/>
      <c r="BS205" s="242"/>
      <c r="BT205" s="242"/>
      <c r="BU205" s="242"/>
      <c r="BV205" s="242"/>
      <c r="BW205" s="242"/>
      <c r="BX205" s="242"/>
      <c r="BY205" s="242"/>
      <c r="BZ205" s="242"/>
      <c r="CA205" s="242"/>
      <c r="CB205" s="242"/>
      <c r="CC205" s="242"/>
      <c r="CD205" s="242"/>
    </row>
    <row r="206" spans="1:82" ht="12.75" hidden="1" customHeight="1">
      <c r="A206" s="242"/>
      <c r="B206" s="314"/>
      <c r="C206" s="297" t="s">
        <v>83</v>
      </c>
      <c r="D206" s="255" t="s">
        <v>19</v>
      </c>
      <c r="E206" s="255" t="s">
        <v>19</v>
      </c>
      <c r="F206" s="255" t="s">
        <v>19</v>
      </c>
      <c r="G206" s="255" t="s">
        <v>19</v>
      </c>
      <c r="H206" s="255" t="s">
        <v>19</v>
      </c>
      <c r="I206" s="255" t="s">
        <v>19</v>
      </c>
      <c r="J206" s="255" t="s">
        <v>19</v>
      </c>
      <c r="K206" s="255" t="s">
        <v>19</v>
      </c>
      <c r="L206" s="295">
        <f t="shared" si="98"/>
        <v>3</v>
      </c>
      <c r="M206" s="295">
        <f t="shared" si="99"/>
        <v>3</v>
      </c>
      <c r="N206" s="255" t="s">
        <v>19</v>
      </c>
      <c r="O206" s="241"/>
      <c r="P206" s="242"/>
      <c r="Q206" s="242"/>
      <c r="R206" s="242"/>
      <c r="S206" s="242"/>
      <c r="T206" s="242"/>
      <c r="U206" s="242"/>
      <c r="V206" s="242"/>
      <c r="W206" s="242"/>
      <c r="X206" s="242"/>
      <c r="Y206" s="242"/>
      <c r="Z206" s="242"/>
      <c r="AA206" s="242"/>
      <c r="AB206" s="242"/>
      <c r="AC206" s="242"/>
      <c r="AD206" s="242"/>
      <c r="AE206" s="242"/>
      <c r="AF206" s="242"/>
      <c r="AG206" s="242"/>
      <c r="AH206" s="242"/>
      <c r="AI206" s="242"/>
      <c r="AJ206" s="242"/>
      <c r="AK206" s="242"/>
      <c r="AL206" s="242"/>
      <c r="AM206" s="242"/>
      <c r="AN206" s="242"/>
      <c r="AO206" s="242"/>
      <c r="AP206" s="242"/>
      <c r="AQ206" s="242"/>
      <c r="AR206" s="242"/>
      <c r="AS206" s="242"/>
      <c r="AT206" s="242"/>
      <c r="AU206" s="242"/>
      <c r="AV206" s="242"/>
      <c r="AW206" s="242"/>
      <c r="AX206" s="242"/>
      <c r="AY206" s="242"/>
      <c r="AZ206" s="242"/>
      <c r="BA206" s="242"/>
      <c r="BB206" s="242"/>
      <c r="BC206" s="242"/>
      <c r="BD206" s="242"/>
      <c r="BE206" s="242"/>
      <c r="BF206" s="242"/>
      <c r="BG206" s="242"/>
      <c r="BH206" s="242"/>
      <c r="BI206" s="242"/>
      <c r="BJ206" s="242"/>
      <c r="BK206" s="242"/>
      <c r="BL206" s="242"/>
      <c r="BM206" s="242"/>
      <c r="BN206" s="242"/>
      <c r="BO206" s="242"/>
      <c r="BP206" s="242"/>
      <c r="BQ206" s="242"/>
      <c r="BR206" s="242"/>
      <c r="BS206" s="242"/>
      <c r="BT206" s="242"/>
      <c r="BU206" s="242"/>
      <c r="BV206" s="242"/>
      <c r="BW206" s="242"/>
      <c r="BX206" s="242"/>
      <c r="BY206" s="242"/>
      <c r="BZ206" s="242"/>
      <c r="CA206" s="242"/>
      <c r="CB206" s="242"/>
      <c r="CC206" s="242"/>
      <c r="CD206" s="242"/>
    </row>
    <row r="207" spans="1:82" ht="12.75" hidden="1" customHeight="1">
      <c r="A207" s="242"/>
      <c r="B207" s="314"/>
      <c r="C207" s="297" t="s">
        <v>84</v>
      </c>
      <c r="D207" s="295" t="e">
        <f>IF(D162/N162&lt;$AN$267,0,IF(D162/N162&lt;$AM$267,1,IF(D162/N162&lt;$AL$267,2,3)))</f>
        <v>#DIV/0!</v>
      </c>
      <c r="E207" s="295" t="e">
        <f>IF(E162/N162&lt;$AN$268,0,IF(E162/N162&lt;$AM$268,1,IF(E162/N162&lt;$AL$268,2,3)))</f>
        <v>#DIV/0!</v>
      </c>
      <c r="F207" s="295" t="e">
        <f>IF(F162/N162&lt;$AN$269,0,IF(F162/N162&lt;$AM$269,1,IF(F162/N162&lt;$AL$269,2,3)))</f>
        <v>#DIV/0!</v>
      </c>
      <c r="G207" s="295" t="e">
        <f>IF(G162/N162&lt;$AN$270,0,IF(G162/N162&lt;$AM$270,1,IF(G162/N162&lt;$AL$270,2,3)))</f>
        <v>#DIV/0!</v>
      </c>
      <c r="H207" s="295" t="e">
        <f>IF(H162/N162&lt;$AN$271,0,IF(H162/N162&lt;$AM$271,1,IF(H162/N162&lt;$AL$271,2,3)))</f>
        <v>#DIV/0!</v>
      </c>
      <c r="I207" s="295" t="e">
        <f>IF(I162/N162&lt;$AN$272,0,IF(I162/N162&lt;$AM$272,1,IF(I162/N162&lt;$AL$272,2,3)))</f>
        <v>#DIV/0!</v>
      </c>
      <c r="J207" s="295" t="e">
        <f>IF(J162/N162&lt;$AN$273,0,IF(J162/N162&lt;$AM$273,1,IF(J162/N162&lt;$AL$273,2,3)))</f>
        <v>#DIV/0!</v>
      </c>
      <c r="K207" s="295" t="e">
        <f>IF(K162/N162&lt;$AN$274,0,IF(K162/N162&lt;$AM$274,1,IF(K162/N162&lt;$AL$274,2,3)))</f>
        <v>#DIV/0!</v>
      </c>
      <c r="L207" s="295">
        <f t="shared" si="98"/>
        <v>3</v>
      </c>
      <c r="M207" s="295">
        <f t="shared" si="99"/>
        <v>3</v>
      </c>
      <c r="N207" s="295" t="e">
        <f>AVERAGE(D207:M207)</f>
        <v>#DIV/0!</v>
      </c>
      <c r="O207" s="241"/>
      <c r="P207" s="242"/>
      <c r="Q207" s="242"/>
      <c r="R207" s="242"/>
      <c r="S207" s="242"/>
      <c r="T207" s="242"/>
      <c r="U207" s="242"/>
      <c r="V207" s="242"/>
      <c r="W207" s="242"/>
      <c r="X207" s="242"/>
      <c r="Y207" s="242"/>
      <c r="Z207" s="242"/>
      <c r="AA207" s="242"/>
      <c r="AB207" s="242"/>
      <c r="AC207" s="242"/>
      <c r="AD207" s="242"/>
      <c r="AE207" s="242"/>
      <c r="AF207" s="242"/>
      <c r="AG207" s="242"/>
      <c r="AH207" s="242"/>
      <c r="AI207" s="242"/>
      <c r="AJ207" s="242"/>
      <c r="AK207" s="242"/>
      <c r="AL207" s="242"/>
      <c r="AM207" s="242"/>
      <c r="AN207" s="242"/>
      <c r="AO207" s="242"/>
      <c r="AP207" s="242"/>
      <c r="AQ207" s="242"/>
      <c r="AR207" s="242"/>
      <c r="AS207" s="242"/>
      <c r="AT207" s="242"/>
      <c r="AU207" s="242"/>
      <c r="AV207" s="242"/>
      <c r="AW207" s="242"/>
      <c r="AX207" s="242"/>
      <c r="AY207" s="242"/>
      <c r="AZ207" s="242"/>
      <c r="BA207" s="242"/>
      <c r="BB207" s="242"/>
      <c r="BC207" s="242"/>
      <c r="BD207" s="242"/>
      <c r="BE207" s="242"/>
      <c r="BF207" s="242"/>
      <c r="BG207" s="242"/>
      <c r="BH207" s="242"/>
      <c r="BI207" s="242"/>
      <c r="BJ207" s="242"/>
      <c r="BK207" s="242"/>
      <c r="BL207" s="242"/>
      <c r="BM207" s="242"/>
      <c r="BN207" s="242"/>
      <c r="BO207" s="242"/>
      <c r="BP207" s="242"/>
      <c r="BQ207" s="242"/>
      <c r="BR207" s="242"/>
      <c r="BS207" s="242"/>
      <c r="BT207" s="242"/>
      <c r="BU207" s="242"/>
      <c r="BV207" s="242"/>
      <c r="BW207" s="242"/>
      <c r="BX207" s="242"/>
      <c r="BY207" s="242"/>
      <c r="BZ207" s="242"/>
      <c r="CA207" s="242"/>
      <c r="CB207" s="242"/>
      <c r="CC207" s="242"/>
      <c r="CD207" s="242"/>
    </row>
    <row r="208" spans="1:82" ht="12.75" hidden="1" customHeight="1">
      <c r="A208" s="242"/>
      <c r="B208" s="314"/>
      <c r="C208" s="297" t="s">
        <v>85</v>
      </c>
      <c r="D208" s="255" t="s">
        <v>19</v>
      </c>
      <c r="E208" s="255" t="s">
        <v>19</v>
      </c>
      <c r="F208" s="255" t="s">
        <v>19</v>
      </c>
      <c r="G208" s="255" t="s">
        <v>19</v>
      </c>
      <c r="H208" s="255" t="s">
        <v>19</v>
      </c>
      <c r="I208" s="255" t="s">
        <v>19</v>
      </c>
      <c r="J208" s="255" t="s">
        <v>19</v>
      </c>
      <c r="K208" s="255" t="s">
        <v>19</v>
      </c>
      <c r="L208" s="295">
        <f t="shared" si="98"/>
        <v>3</v>
      </c>
      <c r="M208" s="295">
        <f t="shared" si="99"/>
        <v>3</v>
      </c>
      <c r="N208" s="255" t="s">
        <v>19</v>
      </c>
      <c r="O208" s="241"/>
      <c r="P208" s="242"/>
      <c r="Q208" s="242"/>
      <c r="R208" s="242"/>
      <c r="S208" s="242"/>
      <c r="T208" s="242"/>
      <c r="U208" s="242"/>
      <c r="V208" s="242"/>
      <c r="W208" s="242"/>
      <c r="X208" s="242"/>
      <c r="Y208" s="242"/>
      <c r="Z208" s="242"/>
      <c r="AA208" s="242"/>
      <c r="AB208" s="242"/>
      <c r="AC208" s="242"/>
      <c r="AD208" s="242"/>
      <c r="AE208" s="242"/>
      <c r="AF208" s="242"/>
      <c r="AG208" s="242"/>
      <c r="AH208" s="242"/>
      <c r="AI208" s="242"/>
      <c r="AJ208" s="242"/>
      <c r="AK208" s="242"/>
      <c r="AL208" s="242"/>
      <c r="AM208" s="242"/>
      <c r="AN208" s="242"/>
      <c r="AO208" s="242"/>
      <c r="AP208" s="242"/>
      <c r="AQ208" s="242"/>
      <c r="AR208" s="242"/>
      <c r="AS208" s="242"/>
      <c r="AT208" s="242"/>
      <c r="AU208" s="242"/>
      <c r="AV208" s="242"/>
      <c r="AW208" s="242"/>
      <c r="AX208" s="242"/>
      <c r="AY208" s="242"/>
      <c r="AZ208" s="242"/>
      <c r="BA208" s="242"/>
      <c r="BB208" s="242"/>
      <c r="BC208" s="242"/>
      <c r="BD208" s="242"/>
      <c r="BE208" s="242"/>
      <c r="BF208" s="242"/>
      <c r="BG208" s="242"/>
      <c r="BH208" s="242"/>
      <c r="BI208" s="242"/>
      <c r="BJ208" s="242"/>
      <c r="BK208" s="242"/>
      <c r="BL208" s="242"/>
      <c r="BM208" s="242"/>
      <c r="BN208" s="242"/>
      <c r="BO208" s="242"/>
      <c r="BP208" s="242"/>
      <c r="BQ208" s="242"/>
      <c r="BR208" s="242"/>
      <c r="BS208" s="242"/>
      <c r="BT208" s="242"/>
      <c r="BU208" s="242"/>
      <c r="BV208" s="242"/>
      <c r="BW208" s="242"/>
      <c r="BX208" s="242"/>
      <c r="BY208" s="242"/>
      <c r="BZ208" s="242"/>
      <c r="CA208" s="242"/>
      <c r="CB208" s="242"/>
      <c r="CC208" s="242"/>
      <c r="CD208" s="242"/>
    </row>
    <row r="209" spans="1:82" ht="12.75" hidden="1" customHeight="1">
      <c r="A209" s="242"/>
      <c r="B209" s="314"/>
      <c r="C209" s="297" t="s">
        <v>86</v>
      </c>
      <c r="D209" s="295" t="e">
        <f>IF(D164/N164&lt;$AN$267,0,IF(D164/N164&lt;$AM$267,1,IF(D164/N164&lt;$AL$267,2,3)))</f>
        <v>#DIV/0!</v>
      </c>
      <c r="E209" s="295" t="e">
        <f>IF(E164/N164&lt;$AN$268,0,IF(E164/N164&lt;$AM$268,1,IF(E164/N164&lt;$AL$268,2,3)))</f>
        <v>#DIV/0!</v>
      </c>
      <c r="F209" s="295" t="e">
        <f>IF(F164/N164&lt;$AN$269,0,IF(F164/N164&lt;$AM$269,1,IF(F164/N164&lt;$AL$269,2,3)))</f>
        <v>#DIV/0!</v>
      </c>
      <c r="G209" s="295" t="e">
        <f>IF(G164/N164&lt;$AN$270,0,IF(G164/N164&lt;$AM$270,1,IF(G164/N164&lt;$AL$270,2,3)))</f>
        <v>#DIV/0!</v>
      </c>
      <c r="H209" s="295" t="e">
        <f>IF(H164/N164&lt;$AN$271,0,IF(H164/N164&lt;$AM$271,1,IF(H164/N164&lt;$AL$271,2,3)))</f>
        <v>#DIV/0!</v>
      </c>
      <c r="I209" s="295" t="e">
        <f>IF(I164/N164&lt;$AN$272,0,IF(I164/N164&lt;$AM$272,1,IF(I164/N164&lt;$AL$272,2,3)))</f>
        <v>#DIV/0!</v>
      </c>
      <c r="J209" s="295" t="e">
        <f>IF(J164/N164&lt;$AN$273,0,IF(J164/N164&lt;$AM$273,1,IF(J164/N164&lt;$AL$273,2,3)))</f>
        <v>#DIV/0!</v>
      </c>
      <c r="K209" s="295" t="e">
        <f>IF(K164/N164&lt;$AN$274,0,IF(K164/N164&lt;$AM$274,1,IF(K164/N164&lt;$AL$274,2,3)))</f>
        <v>#DIV/0!</v>
      </c>
      <c r="L209" s="295">
        <f t="shared" si="98"/>
        <v>0</v>
      </c>
      <c r="M209" s="295">
        <f t="shared" si="99"/>
        <v>3</v>
      </c>
      <c r="N209" s="295" t="e">
        <f>AVERAGE(D209:M209)</f>
        <v>#DIV/0!</v>
      </c>
      <c r="O209" s="241"/>
      <c r="P209" s="242"/>
      <c r="Q209" s="242"/>
      <c r="R209" s="242"/>
      <c r="S209" s="242"/>
      <c r="T209" s="242"/>
      <c r="U209" s="242"/>
      <c r="V209" s="242"/>
      <c r="W209" s="242"/>
      <c r="X209" s="242"/>
      <c r="Y209" s="242"/>
      <c r="Z209" s="242"/>
      <c r="AA209" s="242"/>
      <c r="AB209" s="242"/>
      <c r="AC209" s="242"/>
      <c r="AD209" s="242"/>
      <c r="AE209" s="242"/>
      <c r="AF209" s="242"/>
      <c r="AG209" s="242"/>
      <c r="AH209" s="242"/>
      <c r="AI209" s="242"/>
      <c r="AJ209" s="242"/>
      <c r="AK209" s="242"/>
      <c r="AL209" s="242"/>
      <c r="AM209" s="242"/>
      <c r="AN209" s="242"/>
      <c r="AO209" s="242"/>
      <c r="AP209" s="242"/>
      <c r="AQ209" s="242"/>
      <c r="AR209" s="242"/>
      <c r="AS209" s="242"/>
      <c r="AT209" s="242"/>
      <c r="AU209" s="242"/>
      <c r="AV209" s="242"/>
      <c r="AW209" s="242"/>
      <c r="AX209" s="242"/>
      <c r="AY209" s="242"/>
      <c r="AZ209" s="242"/>
      <c r="BA209" s="242"/>
      <c r="BB209" s="242"/>
      <c r="BC209" s="242"/>
      <c r="BD209" s="242"/>
      <c r="BE209" s="242"/>
      <c r="BF209" s="242"/>
      <c r="BG209" s="242"/>
      <c r="BH209" s="242"/>
      <c r="BI209" s="242"/>
      <c r="BJ209" s="242"/>
      <c r="BK209" s="242"/>
      <c r="BL209" s="242"/>
      <c r="BM209" s="242"/>
      <c r="BN209" s="242"/>
      <c r="BO209" s="242"/>
      <c r="BP209" s="242"/>
      <c r="BQ209" s="242"/>
      <c r="BR209" s="242"/>
      <c r="BS209" s="242"/>
      <c r="BT209" s="242"/>
      <c r="BU209" s="242"/>
      <c r="BV209" s="242"/>
      <c r="BW209" s="242"/>
      <c r="BX209" s="242"/>
      <c r="BY209" s="242"/>
      <c r="BZ209" s="242"/>
      <c r="CA209" s="242"/>
      <c r="CB209" s="242"/>
      <c r="CC209" s="242"/>
      <c r="CD209" s="242"/>
    </row>
    <row r="210" spans="1:82" ht="12.75" hidden="1" customHeight="1">
      <c r="A210" s="242"/>
      <c r="B210" s="314"/>
      <c r="C210" s="297" t="s">
        <v>87</v>
      </c>
      <c r="D210" s="295" t="e">
        <f>IF(D165/N165&lt;$AN$267,0,IF(D165/N165&lt;$AM$267,1,IF(D165/N165&lt;$AL$267,2,3)))</f>
        <v>#DIV/0!</v>
      </c>
      <c r="E210" s="295" t="e">
        <f>IF(E165/N165&lt;$AN$268,0,IF(E165/N165&lt;$AM$268,1,IF(E165/N165&lt;$AL$268,2,3)))</f>
        <v>#DIV/0!</v>
      </c>
      <c r="F210" s="295" t="e">
        <f>IF(F165/N165&lt;$AN$269,0,IF(F165/N165&lt;$AM$269,1,IF(F165/N165&lt;$AL$269,2,3)))</f>
        <v>#DIV/0!</v>
      </c>
      <c r="G210" s="295" t="e">
        <f>IF(G165/N165&lt;$AN$270,0,IF(G165/N165&lt;$AM$270,1,IF(G165/N165&lt;$AL$270,2,3)))</f>
        <v>#DIV/0!</v>
      </c>
      <c r="H210" s="295" t="e">
        <f>IF(H165/N165&lt;$AN$271,0,IF(H165/N165&lt;$AM$271,1,IF(H165/N165&lt;$AL$271,2,3)))</f>
        <v>#DIV/0!</v>
      </c>
      <c r="I210" s="295" t="e">
        <f>IF(I165/N165&lt;$AN$272,0,IF(I165/N165&lt;$AM$272,1,IF(I165/N165&lt;$AL$272,2,3)))</f>
        <v>#DIV/0!</v>
      </c>
      <c r="J210" s="295" t="e">
        <f>IF(J165/N165&lt;$AN$273,0,IF(J165/N165&lt;$AM$273,1,IF(J165/N165&lt;$AL$273,2,3)))</f>
        <v>#DIV/0!</v>
      </c>
      <c r="K210" s="295" t="e">
        <f>IF(K165/N165&lt;$AN$274,0,IF(K165/N165&lt;$AM$274,1,IF(K165/N165&lt;$AL$274,2,3)))</f>
        <v>#DIV/0!</v>
      </c>
      <c r="L210" s="295">
        <f t="shared" si="98"/>
        <v>3</v>
      </c>
      <c r="M210" s="295">
        <f t="shared" si="99"/>
        <v>3</v>
      </c>
      <c r="N210" s="295" t="e">
        <f>AVERAGE(D210:M210)</f>
        <v>#DIV/0!</v>
      </c>
      <c r="O210" s="241"/>
      <c r="P210" s="242"/>
      <c r="Q210" s="242"/>
      <c r="R210" s="242"/>
      <c r="S210" s="242"/>
      <c r="T210" s="242"/>
      <c r="U210" s="242"/>
      <c r="V210" s="242"/>
      <c r="W210" s="242"/>
      <c r="X210" s="242"/>
      <c r="Y210" s="242"/>
      <c r="Z210" s="242"/>
      <c r="AA210" s="242"/>
      <c r="AB210" s="242"/>
      <c r="AC210" s="242"/>
      <c r="AD210" s="242"/>
      <c r="AE210" s="242"/>
      <c r="AF210" s="242"/>
      <c r="AG210" s="242"/>
      <c r="AH210" s="242"/>
      <c r="AI210" s="242"/>
      <c r="AJ210" s="242"/>
      <c r="AK210" s="242"/>
      <c r="AL210" s="242"/>
      <c r="AM210" s="242"/>
      <c r="AN210" s="242"/>
      <c r="AO210" s="242"/>
      <c r="AP210" s="242"/>
      <c r="AQ210" s="242"/>
      <c r="AR210" s="242"/>
      <c r="AS210" s="242"/>
      <c r="AT210" s="242"/>
      <c r="AU210" s="242"/>
      <c r="AV210" s="242"/>
      <c r="AW210" s="242"/>
      <c r="AX210" s="242"/>
      <c r="AY210" s="242"/>
      <c r="AZ210" s="242"/>
      <c r="BA210" s="242"/>
      <c r="BB210" s="242"/>
      <c r="BC210" s="242"/>
      <c r="BD210" s="242"/>
      <c r="BE210" s="242"/>
      <c r="BF210" s="242"/>
      <c r="BG210" s="242"/>
      <c r="BH210" s="242"/>
      <c r="BI210" s="242"/>
      <c r="BJ210" s="242"/>
      <c r="BK210" s="242"/>
      <c r="BL210" s="242"/>
      <c r="BM210" s="242"/>
      <c r="BN210" s="242"/>
      <c r="BO210" s="242"/>
      <c r="BP210" s="242"/>
      <c r="BQ210" s="242"/>
      <c r="BR210" s="242"/>
      <c r="BS210" s="242"/>
      <c r="BT210" s="242"/>
      <c r="BU210" s="242"/>
      <c r="BV210" s="242"/>
      <c r="BW210" s="242"/>
      <c r="BX210" s="242"/>
      <c r="BY210" s="242"/>
      <c r="BZ210" s="242"/>
      <c r="CA210" s="242"/>
      <c r="CB210" s="242"/>
      <c r="CC210" s="242"/>
      <c r="CD210" s="242"/>
    </row>
    <row r="211" spans="1:82" ht="12.75" hidden="1" customHeight="1">
      <c r="A211" s="242"/>
      <c r="B211" s="314"/>
      <c r="C211" s="297" t="s">
        <v>88</v>
      </c>
      <c r="D211" s="295" t="e">
        <f>IF(D166/N166&lt;$AN$267,0,IF(D166/N166&lt;$AM$267,1,IF(D166/N166&lt;$AL$267,2,3)))</f>
        <v>#DIV/0!</v>
      </c>
      <c r="E211" s="295" t="e">
        <f>IF(E166/N166&lt;$AN$268,0,IF(E166/N166&lt;$AM$268,1,IF(E166/N166&lt;$AL$268,2,3)))</f>
        <v>#DIV/0!</v>
      </c>
      <c r="F211" s="295" t="e">
        <f>IF(F166/N166&lt;$AN$269,0,IF(F166/N166&lt;$AM$269,1,IF(F166/N166&lt;$AL$269,2,3)))</f>
        <v>#DIV/0!</v>
      </c>
      <c r="G211" s="295" t="e">
        <f>IF(G166/N166&lt;$AN$270,0,IF(G166/N166&lt;$AM$270,1,IF(G166/N166&lt;$AL$270,2,3)))</f>
        <v>#DIV/0!</v>
      </c>
      <c r="H211" s="295" t="e">
        <f>IF(H166/N166&lt;$AN$271,0,IF(H166/N166&lt;$AM$271,1,IF(H166/N166&lt;$AL$271,2,3)))</f>
        <v>#DIV/0!</v>
      </c>
      <c r="I211" s="295" t="e">
        <f>IF(I166/N166&lt;$AN$272,0,IF(I166/N166&lt;$AM$272,1,IF(I166/N166&lt;$AL$272,2,3)))</f>
        <v>#DIV/0!</v>
      </c>
      <c r="J211" s="295" t="e">
        <f>IF(J166/N166&lt;$AN$273,0,IF(J166/N166&lt;$AM$273,1,IF(J166/N166&lt;$AL$273,2,3)))</f>
        <v>#DIV/0!</v>
      </c>
      <c r="K211" s="295" t="e">
        <f>IF(K166/N166&lt;$AN$274,0,IF(K166/N166&lt;$AM$274,1,IF(K166/N166&lt;$AL$274,2,3)))</f>
        <v>#DIV/0!</v>
      </c>
      <c r="L211" s="295">
        <f t="shared" si="98"/>
        <v>3</v>
      </c>
      <c r="M211" s="295">
        <f t="shared" si="99"/>
        <v>3</v>
      </c>
      <c r="N211" s="295" t="e">
        <f>AVERAGE(D211:M211)</f>
        <v>#DIV/0!</v>
      </c>
      <c r="O211" s="241"/>
      <c r="P211" s="242"/>
      <c r="Q211" s="242"/>
      <c r="R211" s="242"/>
      <c r="S211" s="242"/>
      <c r="T211" s="242"/>
      <c r="U211" s="242"/>
      <c r="V211" s="242"/>
      <c r="W211" s="242"/>
      <c r="X211" s="242"/>
      <c r="Y211" s="242"/>
      <c r="Z211" s="242"/>
      <c r="AA211" s="242"/>
      <c r="AB211" s="242"/>
      <c r="AC211" s="242"/>
      <c r="AD211" s="242"/>
      <c r="AE211" s="242"/>
      <c r="AF211" s="242"/>
      <c r="AG211" s="242"/>
      <c r="AH211" s="242"/>
      <c r="AI211" s="242"/>
      <c r="AJ211" s="242"/>
      <c r="AK211" s="242"/>
      <c r="AL211" s="242"/>
      <c r="AM211" s="242"/>
      <c r="AN211" s="242"/>
      <c r="AO211" s="242"/>
      <c r="AP211" s="242"/>
      <c r="AQ211" s="242"/>
      <c r="AR211" s="242"/>
      <c r="AS211" s="242"/>
      <c r="AT211" s="242"/>
      <c r="AU211" s="242"/>
      <c r="AV211" s="242"/>
      <c r="AW211" s="242"/>
      <c r="AX211" s="242"/>
      <c r="AY211" s="242"/>
      <c r="AZ211" s="242"/>
      <c r="BA211" s="242"/>
      <c r="BB211" s="242"/>
      <c r="BC211" s="242"/>
      <c r="BD211" s="242"/>
      <c r="BE211" s="242"/>
      <c r="BF211" s="242"/>
      <c r="BG211" s="242"/>
      <c r="BH211" s="242"/>
      <c r="BI211" s="242"/>
      <c r="BJ211" s="242"/>
      <c r="BK211" s="242"/>
      <c r="BL211" s="242"/>
      <c r="BM211" s="242"/>
      <c r="BN211" s="242"/>
      <c r="BO211" s="242"/>
      <c r="BP211" s="242"/>
      <c r="BQ211" s="242"/>
      <c r="BR211" s="242"/>
      <c r="BS211" s="242"/>
      <c r="BT211" s="242"/>
      <c r="BU211" s="242"/>
      <c r="BV211" s="242"/>
      <c r="BW211" s="242"/>
      <c r="BX211" s="242"/>
      <c r="BY211" s="242"/>
      <c r="BZ211" s="242"/>
      <c r="CA211" s="242"/>
      <c r="CB211" s="242"/>
      <c r="CC211" s="242"/>
      <c r="CD211" s="242"/>
    </row>
    <row r="212" spans="1:82" ht="12.75" hidden="1" customHeight="1">
      <c r="A212" s="242"/>
      <c r="B212" s="314"/>
      <c r="C212" s="261" t="s">
        <v>1930</v>
      </c>
      <c r="D212" s="255" t="s">
        <v>19</v>
      </c>
      <c r="E212" s="255" t="s">
        <v>19</v>
      </c>
      <c r="F212" s="255" t="s">
        <v>19</v>
      </c>
      <c r="G212" s="255" t="s">
        <v>19</v>
      </c>
      <c r="H212" s="255" t="s">
        <v>19</v>
      </c>
      <c r="I212" s="255" t="s">
        <v>19</v>
      </c>
      <c r="J212" s="255" t="s">
        <v>19</v>
      </c>
      <c r="K212" s="255" t="s">
        <v>19</v>
      </c>
      <c r="L212" s="255" t="s">
        <v>19</v>
      </c>
      <c r="M212" s="255" t="s">
        <v>19</v>
      </c>
      <c r="N212" s="255" t="s">
        <v>19</v>
      </c>
      <c r="O212" s="241"/>
      <c r="P212" s="242"/>
      <c r="Q212" s="242"/>
      <c r="R212" s="242"/>
      <c r="S212" s="242"/>
      <c r="T212" s="242"/>
      <c r="U212" s="242"/>
      <c r="V212" s="242"/>
      <c r="W212" s="242"/>
      <c r="X212" s="242"/>
      <c r="Y212" s="242"/>
      <c r="Z212" s="242"/>
      <c r="AA212" s="242"/>
      <c r="AB212" s="242"/>
      <c r="AC212" s="242"/>
      <c r="AD212" s="242"/>
      <c r="AE212" s="242"/>
      <c r="AF212" s="242"/>
      <c r="AG212" s="242"/>
      <c r="AH212" s="242"/>
      <c r="AI212" s="242"/>
      <c r="AJ212" s="242"/>
      <c r="AK212" s="242"/>
      <c r="AL212" s="242"/>
      <c r="AM212" s="242"/>
      <c r="AN212" s="242"/>
      <c r="AO212" s="242"/>
      <c r="AP212" s="242"/>
      <c r="AQ212" s="242"/>
      <c r="AR212" s="242"/>
      <c r="AS212" s="242"/>
      <c r="AT212" s="242"/>
      <c r="AU212" s="242"/>
      <c r="AV212" s="242"/>
      <c r="AW212" s="242"/>
      <c r="AX212" s="242"/>
      <c r="AY212" s="242"/>
      <c r="AZ212" s="242"/>
      <c r="BA212" s="242"/>
      <c r="BB212" s="242"/>
      <c r="BC212" s="242"/>
      <c r="BD212" s="242"/>
      <c r="BE212" s="242"/>
      <c r="BF212" s="242"/>
      <c r="BG212" s="242"/>
      <c r="BH212" s="242"/>
      <c r="BI212" s="242"/>
      <c r="BJ212" s="242"/>
      <c r="BK212" s="242"/>
      <c r="BL212" s="242"/>
      <c r="BM212" s="242"/>
      <c r="BN212" s="242"/>
      <c r="BO212" s="242"/>
      <c r="BP212" s="242"/>
      <c r="BQ212" s="242"/>
      <c r="BR212" s="242"/>
      <c r="BS212" s="242"/>
      <c r="BT212" s="242"/>
      <c r="BU212" s="242"/>
      <c r="BV212" s="242"/>
      <c r="BW212" s="242"/>
      <c r="BX212" s="242"/>
      <c r="BY212" s="242"/>
      <c r="BZ212" s="242"/>
      <c r="CA212" s="242"/>
      <c r="CB212" s="242"/>
      <c r="CC212" s="242"/>
      <c r="CD212" s="242"/>
    </row>
    <row r="213" spans="1:82" ht="12.75" hidden="1" customHeight="1">
      <c r="A213" s="242"/>
      <c r="B213" s="314"/>
      <c r="C213" s="261" t="s">
        <v>89</v>
      </c>
      <c r="D213" s="295" t="e">
        <f>IF(D167/N167&lt;$AN$267,0,IF(D167/N167&lt;$AM$267,1,IF(D167/N167&lt;$AL$267,2,3)))</f>
        <v>#DIV/0!</v>
      </c>
      <c r="E213" s="295" t="e">
        <f>IF(E167/N167&lt;$AN$268,0,IF(E167/N167&lt;$AM$268,1,IF(E167/N167&lt;$AL$268,2,3)))</f>
        <v>#DIV/0!</v>
      </c>
      <c r="F213" s="295" t="e">
        <f>IF(F167/N167&lt;$AN$269,0,IF(F167/N167&lt;$AM$269,1,IF(F167/N167&lt;$AL$269,2,3)))</f>
        <v>#DIV/0!</v>
      </c>
      <c r="G213" s="295" t="e">
        <f>IF(G167/N167&lt;$AN$270,0,IF(G167/N167&lt;$AM$270,1,IF(G167/N167&lt;$AL$270,2,3)))</f>
        <v>#DIV/0!</v>
      </c>
      <c r="H213" s="295" t="e">
        <f>IF(H167/N167&lt;$AN$271,0,IF(H167/N167&lt;$AM$271,1,IF(H167/N167&lt;$AL$271,2,3)))</f>
        <v>#DIV/0!</v>
      </c>
      <c r="I213" s="295" t="e">
        <f>IF(I167/N167&lt;$AN$272,0,IF(I167/N167&lt;$AM$272,1,IF(I167/N167&lt;$AL$272,2,3)))</f>
        <v>#DIV/0!</v>
      </c>
      <c r="J213" s="295" t="e">
        <f>IF(J167/N167&lt;$AN$273,0,IF(J167/N167&lt;$AM$273,1,IF(J167/N167&lt;$AL$273,2,3)))</f>
        <v>#DIV/0!</v>
      </c>
      <c r="K213" s="295" t="e">
        <f>IF(K167/N167&lt;$AN$274,0,IF(K167/N167&lt;$AM$274,1,IF(K167/N167&lt;$AL$274,2,3)))</f>
        <v>#DIV/0!</v>
      </c>
      <c r="L213" s="295">
        <f>IF(L167&lt;$AN$275,0,IF(L167=$AM$275,1,IF(L167&lt;$AL$275,2,3)))</f>
        <v>3</v>
      </c>
      <c r="M213" s="295">
        <f>IF(M167&lt;$AN$276,0,IF(M167&lt;$AM$276,1,IF(M167&lt;$AL$276,2,3)))</f>
        <v>3</v>
      </c>
      <c r="N213" s="295" t="e">
        <f>AVERAGE(D213:M213)</f>
        <v>#DIV/0!</v>
      </c>
      <c r="O213" s="241"/>
      <c r="P213" s="242"/>
      <c r="Q213" s="242"/>
      <c r="R213" s="242"/>
      <c r="S213" s="242"/>
      <c r="T213" s="242"/>
      <c r="U213" s="242"/>
      <c r="V213" s="242"/>
      <c r="W213" s="242"/>
      <c r="X213" s="242"/>
      <c r="Y213" s="242"/>
      <c r="Z213" s="242"/>
      <c r="AA213" s="242"/>
      <c r="AB213" s="242"/>
      <c r="AC213" s="242"/>
      <c r="AD213" s="242"/>
      <c r="AE213" s="242"/>
      <c r="AF213" s="242"/>
      <c r="AG213" s="242"/>
      <c r="AH213" s="242"/>
      <c r="AI213" s="242"/>
      <c r="AJ213" s="242"/>
      <c r="AK213" s="242"/>
      <c r="AL213" s="242"/>
      <c r="AM213" s="242"/>
      <c r="AN213" s="242"/>
      <c r="AO213" s="242"/>
      <c r="AP213" s="242"/>
      <c r="AQ213" s="242"/>
      <c r="AR213" s="242"/>
      <c r="AS213" s="242"/>
      <c r="AT213" s="242"/>
      <c r="AU213" s="242"/>
      <c r="AV213" s="242"/>
      <c r="AW213" s="242"/>
      <c r="AX213" s="242"/>
      <c r="AY213" s="242"/>
      <c r="AZ213" s="242"/>
      <c r="BA213" s="242"/>
      <c r="BB213" s="242"/>
      <c r="BC213" s="242"/>
      <c r="BD213" s="242"/>
      <c r="BE213" s="242"/>
      <c r="BF213" s="242"/>
      <c r="BG213" s="242"/>
      <c r="BH213" s="242"/>
      <c r="BI213" s="242"/>
      <c r="BJ213" s="242"/>
      <c r="BK213" s="242"/>
      <c r="BL213" s="242"/>
      <c r="BM213" s="242"/>
      <c r="BN213" s="242"/>
      <c r="BO213" s="242"/>
      <c r="BP213" s="242"/>
      <c r="BQ213" s="242"/>
      <c r="BR213" s="242"/>
      <c r="BS213" s="242"/>
      <c r="BT213" s="242"/>
      <c r="BU213" s="242"/>
      <c r="BV213" s="242"/>
      <c r="BW213" s="242"/>
      <c r="BX213" s="242"/>
      <c r="BY213" s="242"/>
      <c r="BZ213" s="242"/>
      <c r="CA213" s="242"/>
      <c r="CB213" s="242"/>
      <c r="CC213" s="242"/>
      <c r="CD213" s="242"/>
    </row>
    <row r="214" spans="1:82" ht="12.75" hidden="1" customHeight="1">
      <c r="A214" s="242"/>
      <c r="B214" s="314"/>
      <c r="C214" s="261" t="s">
        <v>90</v>
      </c>
      <c r="D214" s="295" t="e">
        <f>IF(D168/N168&lt;$AN$267,0,IF(D168/N168&lt;$AM$267,1,IF(D168/N168&lt;$AL$267,2,3)))</f>
        <v>#DIV/0!</v>
      </c>
      <c r="E214" s="295" t="e">
        <f>IF(E168/N168&lt;$AN$268,0,IF(E168/N168&lt;$AM$268,1,IF(E168/N168&lt;$AL$268,2,3)))</f>
        <v>#DIV/0!</v>
      </c>
      <c r="F214" s="295" t="e">
        <f>IF(F168/N168&lt;$AN$269,0,IF(F168/N168&lt;$AM$269,1,IF(F168/N168&lt;$AL$269,2,3)))</f>
        <v>#DIV/0!</v>
      </c>
      <c r="G214" s="295" t="e">
        <f>IF(G168/N168&lt;$AN$270,0,IF(G168/N168&lt;$AM$270,1,IF(G168/N168&lt;$AL$270,2,3)))</f>
        <v>#DIV/0!</v>
      </c>
      <c r="H214" s="295" t="e">
        <f>IF(H168/N168&lt;$AN$271,0,IF(H168/N168&lt;$AM$271,1,IF(H168/N168&lt;$AL$271,2,3)))</f>
        <v>#DIV/0!</v>
      </c>
      <c r="I214" s="295" t="e">
        <f>IF(I168/N168&lt;$AN$272,0,IF(I168/N168&lt;$AM$272,1,IF(I168/N168&lt;$AL$272,2,3)))</f>
        <v>#DIV/0!</v>
      </c>
      <c r="J214" s="295" t="e">
        <f>IF(J168/N168&lt;$AN$273,0,IF(J168/N168&lt;$AM$273,1,IF(J168/N168&lt;$AL$273,2,3)))</f>
        <v>#DIV/0!</v>
      </c>
      <c r="K214" s="295" t="e">
        <f>IF(K168/N168&lt;$AN$274,0,IF(K168/N168&lt;$AM$274,1,IF(K168/N168&lt;$AL$274,2,3)))</f>
        <v>#DIV/0!</v>
      </c>
      <c r="L214" s="295">
        <f>IF(L168&lt;$AN$275,0,IF(L168=$AM$275,1,IF(L168&lt;$AL$275,2,3)))</f>
        <v>0</v>
      </c>
      <c r="M214" s="295">
        <f>IF(M168&lt;$AN$276,0,IF(M168&lt;$AM$276,1,IF(M168&lt;$AL$276,2,3)))</f>
        <v>3</v>
      </c>
      <c r="N214" s="295" t="e">
        <f>AVERAGE(D214:M214)</f>
        <v>#DIV/0!</v>
      </c>
      <c r="O214" s="241"/>
      <c r="P214" s="242"/>
      <c r="Q214" s="242"/>
      <c r="R214" s="242"/>
      <c r="S214" s="242"/>
      <c r="T214" s="242"/>
      <c r="U214" s="242"/>
      <c r="V214" s="242"/>
      <c r="W214" s="242"/>
      <c r="X214" s="242"/>
      <c r="Y214" s="242"/>
      <c r="Z214" s="242"/>
      <c r="AA214" s="242"/>
      <c r="AB214" s="242"/>
      <c r="AC214" s="242"/>
      <c r="AD214" s="242"/>
      <c r="AE214" s="242"/>
      <c r="AF214" s="242"/>
      <c r="AG214" s="242"/>
      <c r="AH214" s="242"/>
      <c r="AI214" s="242"/>
      <c r="AJ214" s="242"/>
      <c r="AK214" s="242"/>
      <c r="AL214" s="242"/>
      <c r="AM214" s="242"/>
      <c r="AN214" s="242"/>
      <c r="AO214" s="242"/>
      <c r="AP214" s="242"/>
      <c r="AQ214" s="242"/>
      <c r="AR214" s="242"/>
      <c r="AS214" s="242"/>
      <c r="AT214" s="242"/>
      <c r="AU214" s="242"/>
      <c r="AV214" s="242"/>
      <c r="AW214" s="242"/>
      <c r="AX214" s="242"/>
      <c r="AY214" s="242"/>
      <c r="AZ214" s="242"/>
      <c r="BA214" s="242"/>
      <c r="BB214" s="242"/>
      <c r="BC214" s="242"/>
      <c r="BD214" s="242"/>
      <c r="BE214" s="242"/>
      <c r="BF214" s="242"/>
      <c r="BG214" s="242"/>
      <c r="BH214" s="242"/>
      <c r="BI214" s="242"/>
      <c r="BJ214" s="242"/>
      <c r="BK214" s="242"/>
      <c r="BL214" s="242"/>
      <c r="BM214" s="242"/>
      <c r="BN214" s="242"/>
      <c r="BO214" s="242"/>
      <c r="BP214" s="242"/>
      <c r="BQ214" s="242"/>
      <c r="BR214" s="242"/>
      <c r="BS214" s="242"/>
      <c r="BT214" s="242"/>
      <c r="BU214" s="242"/>
      <c r="BV214" s="242"/>
      <c r="BW214" s="242"/>
      <c r="BX214" s="242"/>
      <c r="BY214" s="242"/>
      <c r="BZ214" s="242"/>
      <c r="CA214" s="242"/>
      <c r="CB214" s="242"/>
      <c r="CC214" s="242"/>
      <c r="CD214" s="242"/>
    </row>
    <row r="215" spans="1:82" ht="12.75" hidden="1" customHeight="1">
      <c r="A215" s="242"/>
      <c r="B215" s="314"/>
      <c r="C215" s="261" t="s">
        <v>91</v>
      </c>
      <c r="D215" s="295" t="e">
        <f>IF(D169/N169&lt;$AN$267,0,IF(D169/N169&lt;$AM$267,1,IF(D169/N169&lt;$AL$267,2,3)))</f>
        <v>#DIV/0!</v>
      </c>
      <c r="E215" s="295" t="e">
        <f>IF(E169/N169&lt;$AN$268,0,IF(E169/N169&lt;$AM$268,1,IF(E169/N169&lt;$AL$268,2,3)))</f>
        <v>#DIV/0!</v>
      </c>
      <c r="F215" s="295" t="e">
        <f>IF(F169/N169&lt;$AN$269,0,IF(F169/N169&lt;$AM$269,1,IF(F169/N169&lt;$AL$269,2,3)))</f>
        <v>#DIV/0!</v>
      </c>
      <c r="G215" s="295" t="e">
        <f>IF(G169/N169&lt;$AN$270,0,IF(G169/N169&lt;$AM$270,1,IF(G169/N169&lt;$AL$270,2,3)))</f>
        <v>#DIV/0!</v>
      </c>
      <c r="H215" s="295" t="e">
        <f>IF(H169/N169&lt;$AN$271,0,IF(H169/N169&lt;$AM$271,1,IF(H169/N169&lt;$AL$271,2,3)))</f>
        <v>#DIV/0!</v>
      </c>
      <c r="I215" s="295" t="e">
        <f>IF(I169/N169&lt;$AN$272,0,IF(I169/N169&lt;$AM$272,1,IF(I169/N169&lt;$AL$272,2,3)))</f>
        <v>#DIV/0!</v>
      </c>
      <c r="J215" s="295" t="e">
        <f>IF(J169/N169&lt;$AN$273,0,IF(J169/N169&lt;$AM$273,1,IF(J169/N169&lt;$AL$273,2,3)))</f>
        <v>#DIV/0!</v>
      </c>
      <c r="K215" s="295" t="e">
        <f>IF(K169/N169&lt;$AN$274,0,IF(K169/N169&lt;$AM$274,1,IF(K169/N169&lt;$AL$274,2,3)))</f>
        <v>#DIV/0!</v>
      </c>
      <c r="L215" s="295">
        <f>IF(L169&lt;$AN$275,0,IF(L169=$AM$275,1,IF(L169&lt;$AL$275,2,3)))</f>
        <v>3</v>
      </c>
      <c r="M215" s="295">
        <f>IF(M169&lt;$AN$276,0,IF(M169&lt;$AM$276,1,IF(M169&lt;$AL$276,2,3)))</f>
        <v>3</v>
      </c>
      <c r="N215" s="295" t="e">
        <f>AVERAGE(D215:M215)</f>
        <v>#DIV/0!</v>
      </c>
      <c r="O215" s="241"/>
      <c r="P215" s="242"/>
      <c r="Q215" s="242"/>
      <c r="R215" s="242"/>
      <c r="S215" s="242"/>
      <c r="T215" s="242"/>
      <c r="U215" s="242"/>
      <c r="V215" s="242"/>
      <c r="W215" s="242"/>
      <c r="X215" s="242"/>
      <c r="Y215" s="242"/>
      <c r="Z215" s="242"/>
      <c r="AA215" s="242"/>
      <c r="AB215" s="242"/>
      <c r="AC215" s="242"/>
      <c r="AD215" s="242"/>
      <c r="AE215" s="242"/>
      <c r="AF215" s="242"/>
      <c r="AG215" s="242"/>
      <c r="AH215" s="242"/>
      <c r="AI215" s="242"/>
      <c r="AJ215" s="242"/>
      <c r="AK215" s="242"/>
      <c r="AL215" s="242"/>
      <c r="AM215" s="242"/>
      <c r="AN215" s="242"/>
      <c r="AO215" s="242"/>
      <c r="AP215" s="242"/>
      <c r="AQ215" s="242"/>
      <c r="AR215" s="242"/>
      <c r="AS215" s="242"/>
      <c r="AT215" s="242"/>
      <c r="AU215" s="242"/>
      <c r="AV215" s="242"/>
      <c r="AW215" s="242"/>
      <c r="AX215" s="242"/>
      <c r="AY215" s="242"/>
      <c r="AZ215" s="242"/>
      <c r="BA215" s="242"/>
      <c r="BB215" s="242"/>
      <c r="BC215" s="242"/>
      <c r="BD215" s="242"/>
      <c r="BE215" s="242"/>
      <c r="BF215" s="242"/>
      <c r="BG215" s="242"/>
      <c r="BH215" s="242"/>
      <c r="BI215" s="242"/>
      <c r="BJ215" s="242"/>
      <c r="BK215" s="242"/>
      <c r="BL215" s="242"/>
      <c r="BM215" s="242"/>
      <c r="BN215" s="242"/>
      <c r="BO215" s="242"/>
      <c r="BP215" s="242"/>
      <c r="BQ215" s="242"/>
      <c r="BR215" s="242"/>
      <c r="BS215" s="242"/>
      <c r="BT215" s="242"/>
      <c r="BU215" s="242"/>
      <c r="BV215" s="242"/>
      <c r="BW215" s="242"/>
      <c r="BX215" s="242"/>
      <c r="BY215" s="242"/>
      <c r="BZ215" s="242"/>
      <c r="CA215" s="242"/>
      <c r="CB215" s="242"/>
      <c r="CC215" s="242"/>
      <c r="CD215" s="242"/>
    </row>
    <row r="216" spans="1:82" ht="12.75" hidden="1" customHeight="1">
      <c r="A216" s="242"/>
      <c r="B216" s="314"/>
      <c r="C216" s="261" t="s">
        <v>93</v>
      </c>
      <c r="D216" s="295" t="e">
        <f>IF(D170/N170&lt;$AN$267,0,IF(D170/N170&lt;$AM$267,1,IF(D170/N170&lt;$AL$267,2,3)))</f>
        <v>#DIV/0!</v>
      </c>
      <c r="E216" s="295" t="e">
        <f>IF(E170/N170&lt;$AN$268,0,IF(E170/N170&lt;$AM$268,1,IF(E170/N170&lt;$AL$268,2,3)))</f>
        <v>#DIV/0!</v>
      </c>
      <c r="F216" s="295" t="e">
        <f>IF(F170/N170&lt;$AN$269,0,IF(F170/N170&lt;$AM$269,1,IF(F170/N170&lt;$AL$269,2,3)))</f>
        <v>#DIV/0!</v>
      </c>
      <c r="G216" s="295" t="e">
        <f>IF(G170/N170&lt;$AN$270,0,IF(G170/N170&lt;$AM$270,1,IF(G170/N170&lt;$AL$270,2,3)))</f>
        <v>#DIV/0!</v>
      </c>
      <c r="H216" s="295" t="e">
        <f>IF(H170/N170&lt;$AN$271,0,IF(H170/N170&lt;$AM$271,1,IF(H170/N170&lt;$AL$271,2,3)))</f>
        <v>#DIV/0!</v>
      </c>
      <c r="I216" s="295" t="e">
        <f>IF(I170/N170&lt;$AN$272,0,IF(I170/N170&lt;$AM$272,1,IF(I170/N170&lt;$AL$272,2,3)))</f>
        <v>#DIV/0!</v>
      </c>
      <c r="J216" s="295" t="e">
        <f>IF(J170/N170&lt;$AN$273,0,IF(J170/N170&lt;$AM$273,1,IF(J170/N170&lt;$AL$273,2,3)))</f>
        <v>#DIV/0!</v>
      </c>
      <c r="K216" s="295" t="e">
        <f>IF(K170/N170&lt;$AN$274,0,IF(K170/N170&lt;$AM$274,1,IF(K170/N170&lt;$AL$274,2,3)))</f>
        <v>#DIV/0!</v>
      </c>
      <c r="L216" s="295">
        <f>IF(L170&lt;$AN$275,0,IF(L170=$AM$275,1,IF(L170&lt;$AL$275,2,3)))</f>
        <v>3</v>
      </c>
      <c r="M216" s="295">
        <f>IF(M170&lt;$AN$276,0,IF(M170&lt;$AM$276,1,IF(M170&lt;$AL$276,2,3)))</f>
        <v>3</v>
      </c>
      <c r="N216" s="295" t="e">
        <f>AVERAGE(D216:M216)</f>
        <v>#DIV/0!</v>
      </c>
      <c r="O216" s="241"/>
      <c r="P216" s="242"/>
      <c r="Q216" s="242"/>
      <c r="R216" s="242"/>
      <c r="S216" s="242"/>
      <c r="T216" s="242"/>
      <c r="U216" s="242"/>
      <c r="V216" s="242"/>
      <c r="W216" s="242"/>
      <c r="X216" s="242"/>
      <c r="Y216" s="242"/>
      <c r="Z216" s="242"/>
      <c r="AA216" s="242"/>
      <c r="AB216" s="242"/>
      <c r="AC216" s="242"/>
      <c r="AD216" s="242"/>
      <c r="AE216" s="242"/>
      <c r="AF216" s="242"/>
      <c r="AG216" s="242"/>
      <c r="AH216" s="242"/>
      <c r="AI216" s="242"/>
      <c r="AJ216" s="242"/>
      <c r="AK216" s="242"/>
      <c r="AL216" s="242"/>
      <c r="AM216" s="242"/>
      <c r="AN216" s="242"/>
      <c r="AO216" s="242"/>
      <c r="AP216" s="242"/>
      <c r="AQ216" s="242"/>
      <c r="AR216" s="242"/>
      <c r="AS216" s="242"/>
      <c r="AT216" s="242"/>
      <c r="AU216" s="242"/>
      <c r="AV216" s="242"/>
      <c r="AW216" s="242"/>
      <c r="AX216" s="242"/>
      <c r="AY216" s="242"/>
      <c r="AZ216" s="242"/>
      <c r="BA216" s="242"/>
      <c r="BB216" s="242"/>
      <c r="BC216" s="242"/>
      <c r="BD216" s="242"/>
      <c r="BE216" s="242"/>
      <c r="BF216" s="242"/>
      <c r="BG216" s="242"/>
      <c r="BH216" s="242"/>
      <c r="BI216" s="242"/>
      <c r="BJ216" s="242"/>
      <c r="BK216" s="242"/>
      <c r="BL216" s="242"/>
      <c r="BM216" s="242"/>
      <c r="BN216" s="242"/>
      <c r="BO216" s="242"/>
      <c r="BP216" s="242"/>
      <c r="BQ216" s="242"/>
      <c r="BR216" s="242"/>
      <c r="BS216" s="242"/>
      <c r="BT216" s="242"/>
      <c r="BU216" s="242"/>
      <c r="BV216" s="242"/>
      <c r="BW216" s="242"/>
      <c r="BX216" s="242"/>
      <c r="BY216" s="242"/>
      <c r="BZ216" s="242"/>
      <c r="CA216" s="242"/>
      <c r="CB216" s="242"/>
      <c r="CC216" s="242"/>
      <c r="CD216" s="242"/>
    </row>
    <row r="217" spans="1:82" ht="12.75" hidden="1" customHeight="1">
      <c r="A217" s="242"/>
      <c r="B217" s="321"/>
      <c r="C217" s="294"/>
      <c r="D217" s="294"/>
      <c r="E217" s="294"/>
      <c r="F217" s="294"/>
      <c r="G217" s="294"/>
      <c r="H217" s="285"/>
      <c r="I217" s="285"/>
      <c r="J217" s="294"/>
      <c r="K217" s="294"/>
      <c r="L217" s="294"/>
      <c r="M217" s="294"/>
      <c r="N217" s="294"/>
      <c r="O217" s="242"/>
      <c r="P217" s="242"/>
      <c r="Q217" s="242"/>
      <c r="R217" s="242"/>
      <c r="S217" s="242"/>
      <c r="T217" s="242"/>
      <c r="U217" s="242"/>
      <c r="V217" s="242"/>
      <c r="W217" s="242"/>
      <c r="X217" s="242"/>
      <c r="Y217" s="242"/>
      <c r="Z217" s="242"/>
      <c r="AA217" s="242"/>
      <c r="AB217" s="242"/>
      <c r="AC217" s="242"/>
      <c r="AD217" s="242"/>
      <c r="AE217" s="242"/>
      <c r="AF217" s="242"/>
      <c r="AG217" s="242"/>
      <c r="AH217" s="242"/>
      <c r="AI217" s="242"/>
      <c r="AJ217" s="242"/>
      <c r="AK217" s="242"/>
      <c r="AL217" s="242"/>
      <c r="AM217" s="242"/>
      <c r="AN217" s="242"/>
      <c r="AO217" s="242"/>
      <c r="AP217" s="242"/>
      <c r="AQ217" s="242"/>
      <c r="AR217" s="242"/>
      <c r="AS217" s="242"/>
      <c r="AT217" s="242"/>
      <c r="AU217" s="242"/>
      <c r="AV217" s="242"/>
      <c r="AW217" s="242"/>
      <c r="AX217" s="242"/>
      <c r="AY217" s="242"/>
      <c r="AZ217" s="242"/>
      <c r="BA217" s="242"/>
      <c r="BB217" s="242"/>
      <c r="BC217" s="242"/>
      <c r="BD217" s="242"/>
      <c r="BE217" s="242"/>
      <c r="BF217" s="242"/>
      <c r="BG217" s="242"/>
      <c r="BH217" s="242"/>
      <c r="BI217" s="242"/>
      <c r="BJ217" s="242"/>
      <c r="BK217" s="242"/>
      <c r="BL217" s="242"/>
      <c r="BM217" s="242"/>
      <c r="BN217" s="242"/>
      <c r="BO217" s="242"/>
      <c r="BP217" s="242"/>
      <c r="BQ217" s="242"/>
      <c r="BR217" s="242"/>
      <c r="BS217" s="242"/>
      <c r="BT217" s="242"/>
      <c r="BU217" s="242"/>
      <c r="BV217" s="242"/>
      <c r="BW217" s="242"/>
      <c r="BX217" s="242"/>
      <c r="BY217" s="242"/>
      <c r="BZ217" s="242"/>
      <c r="CA217" s="242"/>
      <c r="CB217" s="242"/>
      <c r="CC217" s="242"/>
      <c r="CD217" s="242"/>
    </row>
    <row r="218" spans="1:82" ht="12.75" hidden="1" customHeight="1">
      <c r="A218" s="242"/>
      <c r="B218" s="322" t="s">
        <v>240</v>
      </c>
      <c r="C218" s="294"/>
      <c r="D218" s="294"/>
      <c r="E218" s="294"/>
      <c r="F218" s="294"/>
      <c r="G218" s="294"/>
      <c r="H218" s="285"/>
      <c r="I218" s="285"/>
      <c r="J218" s="294"/>
      <c r="K218" s="294"/>
      <c r="L218" s="294"/>
      <c r="M218" s="294"/>
      <c r="N218" s="294"/>
      <c r="O218" s="242"/>
      <c r="P218" s="242"/>
      <c r="Q218" s="242"/>
      <c r="R218" s="242"/>
      <c r="S218" s="242"/>
      <c r="T218" s="242"/>
      <c r="U218" s="242"/>
      <c r="V218" s="242"/>
      <c r="W218" s="242"/>
      <c r="X218" s="242"/>
      <c r="Y218" s="242"/>
      <c r="Z218" s="242"/>
      <c r="AA218" s="242"/>
      <c r="AB218" s="242"/>
      <c r="AC218" s="242"/>
      <c r="AD218" s="242"/>
      <c r="AE218" s="242"/>
      <c r="AF218" s="242"/>
      <c r="AG218" s="242"/>
      <c r="AH218" s="242"/>
      <c r="AI218" s="242"/>
      <c r="AJ218" s="242"/>
      <c r="AK218" s="242"/>
      <c r="AL218" s="242"/>
      <c r="AM218" s="242"/>
      <c r="AN218" s="242"/>
      <c r="AO218" s="242"/>
      <c r="AP218" s="242"/>
      <c r="AQ218" s="242"/>
      <c r="AR218" s="242"/>
      <c r="AS218" s="242"/>
      <c r="AT218" s="242"/>
      <c r="AU218" s="242"/>
      <c r="AV218" s="242"/>
      <c r="AW218" s="242"/>
      <c r="AX218" s="242"/>
      <c r="AY218" s="242"/>
      <c r="AZ218" s="242"/>
      <c r="BA218" s="242"/>
      <c r="BB218" s="242"/>
      <c r="BC218" s="242"/>
      <c r="BD218" s="242"/>
      <c r="BE218" s="242"/>
      <c r="BF218" s="242"/>
      <c r="BG218" s="242"/>
      <c r="BH218" s="242"/>
      <c r="BI218" s="242"/>
      <c r="BJ218" s="242"/>
      <c r="BK218" s="242"/>
      <c r="BL218" s="242"/>
      <c r="BM218" s="242"/>
      <c r="BN218" s="242"/>
      <c r="BO218" s="242"/>
      <c r="BP218" s="242"/>
      <c r="BQ218" s="242"/>
      <c r="BR218" s="242"/>
      <c r="BS218" s="242"/>
      <c r="BT218" s="242"/>
      <c r="BU218" s="242"/>
      <c r="BV218" s="242"/>
      <c r="BW218" s="242"/>
      <c r="BX218" s="242"/>
      <c r="BY218" s="242"/>
      <c r="BZ218" s="242"/>
      <c r="CA218" s="242"/>
      <c r="CB218" s="242"/>
      <c r="CC218" s="242"/>
      <c r="CD218" s="242"/>
    </row>
    <row r="219" spans="1:82" ht="12.75" customHeight="1">
      <c r="A219" s="315"/>
      <c r="B219" s="553" t="s">
        <v>1911</v>
      </c>
      <c r="C219" s="543" t="s">
        <v>1938</v>
      </c>
      <c r="D219" s="544" t="s">
        <v>1964</v>
      </c>
      <c r="E219" s="503"/>
      <c r="F219" s="504"/>
      <c r="G219" s="504"/>
      <c r="H219" s="504"/>
      <c r="I219" s="504"/>
      <c r="J219" s="504"/>
      <c r="K219" s="504"/>
      <c r="L219" s="504"/>
      <c r="M219" s="505"/>
      <c r="N219" s="543" t="s">
        <v>1965</v>
      </c>
      <c r="O219" s="241"/>
      <c r="P219" s="242"/>
      <c r="Q219" s="242"/>
      <c r="R219" s="242"/>
      <c r="S219" s="242"/>
      <c r="T219" s="242"/>
      <c r="U219" s="242"/>
      <c r="V219" s="242"/>
      <c r="W219" s="242"/>
      <c r="X219" s="242"/>
      <c r="Y219" s="242"/>
      <c r="Z219" s="242"/>
      <c r="AA219" s="242"/>
      <c r="AB219" s="242"/>
      <c r="AC219" s="242"/>
      <c r="AD219" s="242"/>
      <c r="AE219" s="242"/>
      <c r="AF219" s="242"/>
      <c r="AG219" s="242"/>
      <c r="AH219" s="242"/>
      <c r="AI219" s="242"/>
      <c r="AJ219" s="242"/>
      <c r="AK219" s="242"/>
      <c r="AL219" s="242"/>
      <c r="AM219" s="242"/>
      <c r="AN219" s="242"/>
      <c r="AO219" s="242"/>
      <c r="AP219" s="242"/>
      <c r="AQ219" s="242"/>
      <c r="AR219" s="242"/>
      <c r="AS219" s="242"/>
      <c r="AT219" s="242"/>
      <c r="AU219" s="242"/>
      <c r="AV219" s="242"/>
      <c r="AW219" s="242"/>
      <c r="AX219" s="242"/>
      <c r="AY219" s="242"/>
      <c r="AZ219" s="242"/>
      <c r="BA219" s="242"/>
      <c r="BB219" s="242"/>
      <c r="BC219" s="242"/>
      <c r="BD219" s="242"/>
      <c r="BE219" s="242"/>
      <c r="BF219" s="242"/>
      <c r="BG219" s="242"/>
      <c r="BH219" s="242"/>
      <c r="BI219" s="242"/>
      <c r="BJ219" s="242"/>
      <c r="BK219" s="242"/>
      <c r="BL219" s="242"/>
      <c r="BM219" s="242"/>
      <c r="BN219" s="242"/>
      <c r="BO219" s="242"/>
      <c r="BP219" s="242"/>
      <c r="BQ219" s="242"/>
      <c r="BR219" s="242"/>
      <c r="BS219" s="242"/>
      <c r="BT219" s="242"/>
      <c r="BU219" s="242"/>
      <c r="BV219" s="242"/>
      <c r="BW219" s="242"/>
      <c r="BX219" s="242"/>
      <c r="BY219" s="242"/>
      <c r="BZ219" s="242"/>
      <c r="CA219" s="242"/>
      <c r="CB219" s="242"/>
      <c r="CC219" s="242"/>
      <c r="CD219" s="242"/>
    </row>
    <row r="220" spans="1:82" ht="15.75" customHeight="1">
      <c r="A220" s="242"/>
      <c r="B220" s="531"/>
      <c r="C220" s="521"/>
      <c r="D220" s="240" t="s">
        <v>1941</v>
      </c>
      <c r="E220" s="240" t="s">
        <v>1942</v>
      </c>
      <c r="F220" s="240" t="s">
        <v>1943</v>
      </c>
      <c r="G220" s="240" t="s">
        <v>1944</v>
      </c>
      <c r="H220" s="240" t="s">
        <v>1945</v>
      </c>
      <c r="I220" s="240" t="s">
        <v>1946</v>
      </c>
      <c r="J220" s="240" t="s">
        <v>1947</v>
      </c>
      <c r="K220" s="240" t="s">
        <v>1948</v>
      </c>
      <c r="L220" s="240" t="s">
        <v>1949</v>
      </c>
      <c r="M220" s="240" t="s">
        <v>1950</v>
      </c>
      <c r="N220" s="521"/>
      <c r="O220" s="241"/>
      <c r="P220" s="323"/>
      <c r="Q220" s="242"/>
      <c r="R220" s="242"/>
      <c r="S220" s="242"/>
      <c r="T220" s="242"/>
      <c r="U220" s="242"/>
      <c r="V220" s="242"/>
      <c r="W220" s="242"/>
      <c r="X220" s="242"/>
      <c r="Y220" s="242"/>
      <c r="Z220" s="242"/>
      <c r="AA220" s="242"/>
      <c r="AB220" s="242"/>
      <c r="AC220" s="242"/>
      <c r="AD220" s="242"/>
      <c r="AE220" s="242"/>
      <c r="AF220" s="242"/>
      <c r="AG220" s="242"/>
      <c r="AH220" s="242"/>
      <c r="AI220" s="242"/>
      <c r="AJ220" s="242"/>
      <c r="AK220" s="242"/>
      <c r="AL220" s="242"/>
      <c r="AM220" s="242"/>
      <c r="AN220" s="242"/>
      <c r="AO220" s="242"/>
      <c r="AP220" s="242"/>
      <c r="AQ220" s="242"/>
      <c r="AR220" s="242"/>
      <c r="AS220" s="242"/>
      <c r="AT220" s="242"/>
      <c r="AU220" s="242"/>
      <c r="AV220" s="242"/>
      <c r="AW220" s="242"/>
      <c r="AX220" s="242"/>
      <c r="AY220" s="242"/>
      <c r="AZ220" s="242"/>
      <c r="BA220" s="242"/>
      <c r="BB220" s="242"/>
      <c r="BC220" s="242"/>
      <c r="BD220" s="242"/>
      <c r="BE220" s="242"/>
      <c r="BF220" s="242"/>
      <c r="BG220" s="242"/>
      <c r="BH220" s="242"/>
      <c r="BI220" s="242"/>
      <c r="BJ220" s="242"/>
      <c r="BK220" s="242"/>
      <c r="BL220" s="242"/>
      <c r="BM220" s="242"/>
      <c r="BN220" s="242"/>
      <c r="BO220" s="242"/>
      <c r="BP220" s="242"/>
      <c r="BQ220" s="242"/>
      <c r="BR220" s="242"/>
      <c r="BS220" s="242"/>
      <c r="BT220" s="242"/>
      <c r="BU220" s="242"/>
      <c r="BV220" s="242"/>
      <c r="BW220" s="242"/>
      <c r="BX220" s="242"/>
      <c r="BY220" s="242"/>
      <c r="BZ220" s="242"/>
      <c r="CA220" s="242"/>
      <c r="CB220" s="242"/>
      <c r="CC220" s="242"/>
      <c r="CD220" s="242"/>
    </row>
    <row r="221" spans="1:82" ht="60" hidden="1" customHeight="1">
      <c r="A221" s="238"/>
      <c r="B221" s="324" t="s">
        <v>44</v>
      </c>
      <c r="C221" s="297" t="s">
        <v>44</v>
      </c>
      <c r="D221" s="325">
        <f t="shared" ref="D221:L221" si="100">SUM(D234:D255)</f>
        <v>736</v>
      </c>
      <c r="E221" s="325">
        <f t="shared" si="100"/>
        <v>229</v>
      </c>
      <c r="F221" s="325">
        <f t="shared" si="100"/>
        <v>315</v>
      </c>
      <c r="G221" s="325">
        <f t="shared" si="100"/>
        <v>330</v>
      </c>
      <c r="H221" s="325">
        <f t="shared" si="100"/>
        <v>372</v>
      </c>
      <c r="I221" s="325">
        <f t="shared" si="100"/>
        <v>115</v>
      </c>
      <c r="J221" s="325">
        <f t="shared" si="100"/>
        <v>1691</v>
      </c>
      <c r="K221" s="325">
        <f t="shared" si="100"/>
        <v>191</v>
      </c>
      <c r="L221" s="325">
        <f t="shared" si="100"/>
        <v>1701</v>
      </c>
      <c r="M221" s="326">
        <v>12</v>
      </c>
      <c r="N221" s="289">
        <f>SUM(N234:N249,N254:N255)</f>
        <v>0</v>
      </c>
      <c r="O221" s="328" t="s">
        <v>1966</v>
      </c>
      <c r="P221" s="329" t="s">
        <v>1967</v>
      </c>
      <c r="Q221" s="312"/>
      <c r="R221" s="242"/>
      <c r="S221" s="242"/>
      <c r="T221" s="242"/>
      <c r="U221" s="242"/>
      <c r="V221" s="242"/>
      <c r="W221" s="242"/>
      <c r="X221" s="242"/>
      <c r="Y221" s="242"/>
      <c r="Z221" s="242"/>
      <c r="AA221" s="242"/>
      <c r="AB221" s="242"/>
      <c r="AC221" s="242"/>
      <c r="AD221" s="242"/>
      <c r="AE221" s="242"/>
      <c r="AF221" s="242"/>
      <c r="AG221" s="242"/>
      <c r="AH221" s="242"/>
      <c r="AI221" s="242"/>
      <c r="AJ221" s="242"/>
      <c r="AK221" s="242"/>
      <c r="AL221" s="242"/>
      <c r="AM221" s="242"/>
      <c r="AN221" s="242"/>
      <c r="AO221" s="242"/>
      <c r="AP221" s="242"/>
      <c r="AQ221" s="242"/>
      <c r="AR221" s="242"/>
      <c r="AS221" s="242"/>
      <c r="AT221" s="242"/>
      <c r="AU221" s="242"/>
      <c r="AV221" s="242"/>
      <c r="AW221" s="242"/>
      <c r="AX221" s="242"/>
      <c r="AY221" s="242"/>
      <c r="AZ221" s="242"/>
      <c r="BA221" s="242"/>
      <c r="BB221" s="242"/>
      <c r="BC221" s="242"/>
      <c r="BD221" s="242"/>
      <c r="BE221" s="242"/>
      <c r="BF221" s="242"/>
      <c r="BG221" s="242"/>
      <c r="BH221" s="242"/>
      <c r="BI221" s="242"/>
      <c r="BJ221" s="242"/>
      <c r="BK221" s="242"/>
      <c r="BL221" s="242"/>
      <c r="BM221" s="242"/>
      <c r="BN221" s="242"/>
      <c r="BO221" s="242"/>
      <c r="BP221" s="242"/>
      <c r="BQ221" s="242"/>
      <c r="BR221" s="242"/>
      <c r="BS221" s="242"/>
      <c r="BT221" s="242"/>
      <c r="BU221" s="242"/>
      <c r="BV221" s="242"/>
      <c r="BW221" s="242"/>
      <c r="BX221" s="242"/>
      <c r="BY221" s="242"/>
      <c r="BZ221" s="242"/>
      <c r="CA221" s="242"/>
      <c r="CB221" s="242"/>
      <c r="CC221" s="242"/>
      <c r="CD221" s="242"/>
    </row>
    <row r="222" spans="1:82" ht="12.75" customHeight="1">
      <c r="A222" s="238"/>
      <c r="B222" s="540" t="s">
        <v>48</v>
      </c>
      <c r="C222" s="247" t="s">
        <v>49</v>
      </c>
      <c r="D222" s="325">
        <f t="shared" ref="D222:L222" si="101">SUM(D234:D255)</f>
        <v>736</v>
      </c>
      <c r="E222" s="325">
        <f t="shared" si="101"/>
        <v>229</v>
      </c>
      <c r="F222" s="325">
        <f t="shared" si="101"/>
        <v>315</v>
      </c>
      <c r="G222" s="325">
        <f t="shared" si="101"/>
        <v>330</v>
      </c>
      <c r="H222" s="325">
        <f t="shared" si="101"/>
        <v>372</v>
      </c>
      <c r="I222" s="325">
        <f t="shared" si="101"/>
        <v>115</v>
      </c>
      <c r="J222" s="325">
        <f t="shared" si="101"/>
        <v>1691</v>
      </c>
      <c r="K222" s="325">
        <f t="shared" si="101"/>
        <v>191</v>
      </c>
      <c r="L222" s="325">
        <f t="shared" si="101"/>
        <v>1701</v>
      </c>
      <c r="M222" s="326">
        <v>12</v>
      </c>
      <c r="N222" s="289">
        <f>SUM($N$234:$N$243,$N$245,$N$247:$N$249,$N$251,$N$254:$N$255)</f>
        <v>0</v>
      </c>
      <c r="O222" s="327" t="s">
        <v>1968</v>
      </c>
      <c r="P222" s="329" t="s">
        <v>1969</v>
      </c>
      <c r="Q222" s="312"/>
      <c r="R222" s="242"/>
      <c r="S222" s="242"/>
      <c r="T222" s="242"/>
      <c r="U222" s="242"/>
      <c r="V222" s="242"/>
      <c r="W222" s="242"/>
      <c r="X222" s="242"/>
      <c r="Y222" s="242"/>
      <c r="Z222" s="242"/>
      <c r="AA222" s="242"/>
      <c r="AB222" s="242"/>
      <c r="AC222" s="242"/>
      <c r="AD222" s="242"/>
      <c r="AE222" s="242"/>
      <c r="AF222" s="242"/>
      <c r="AG222" s="242"/>
      <c r="AH222" s="242"/>
      <c r="AI222" s="242"/>
      <c r="AJ222" s="242"/>
      <c r="AK222" s="242"/>
      <c r="AL222" s="242"/>
      <c r="AM222" s="242"/>
      <c r="AN222" s="242"/>
      <c r="AO222" s="242"/>
      <c r="AP222" s="242"/>
      <c r="AQ222" s="242"/>
      <c r="AR222" s="242"/>
      <c r="AS222" s="242"/>
      <c r="AT222" s="242"/>
      <c r="AU222" s="242"/>
      <c r="AV222" s="242"/>
      <c r="AW222" s="242"/>
      <c r="AX222" s="242"/>
      <c r="AY222" s="242"/>
      <c r="AZ222" s="242"/>
      <c r="BA222" s="242"/>
      <c r="BB222" s="242"/>
      <c r="BC222" s="242"/>
      <c r="BD222" s="242"/>
      <c r="BE222" s="242"/>
      <c r="BF222" s="242"/>
      <c r="BG222" s="242"/>
      <c r="BH222" s="242"/>
      <c r="BI222" s="242"/>
      <c r="BJ222" s="242"/>
      <c r="BK222" s="242"/>
      <c r="BL222" s="242"/>
      <c r="BM222" s="242"/>
      <c r="BN222" s="242"/>
      <c r="BO222" s="242"/>
      <c r="BP222" s="242"/>
      <c r="BQ222" s="242"/>
      <c r="BR222" s="242"/>
      <c r="BS222" s="242"/>
      <c r="BT222" s="242"/>
      <c r="BU222" s="242"/>
      <c r="BV222" s="242"/>
      <c r="BW222" s="242"/>
      <c r="BX222" s="242"/>
      <c r="BY222" s="242"/>
      <c r="BZ222" s="242"/>
      <c r="CA222" s="242"/>
      <c r="CB222" s="242"/>
      <c r="CC222" s="242"/>
      <c r="CD222" s="242"/>
    </row>
    <row r="223" spans="1:82" ht="12.75" customHeight="1">
      <c r="A223" s="238"/>
      <c r="B223" s="507"/>
      <c r="C223" s="247" t="s">
        <v>51</v>
      </c>
      <c r="D223" s="325">
        <f t="shared" ref="D223:L223" si="102">SUM(D234:D255)</f>
        <v>736</v>
      </c>
      <c r="E223" s="325">
        <f t="shared" si="102"/>
        <v>229</v>
      </c>
      <c r="F223" s="325">
        <f t="shared" si="102"/>
        <v>315</v>
      </c>
      <c r="G223" s="325">
        <f t="shared" si="102"/>
        <v>330</v>
      </c>
      <c r="H223" s="325">
        <f t="shared" si="102"/>
        <v>372</v>
      </c>
      <c r="I223" s="325">
        <f t="shared" si="102"/>
        <v>115</v>
      </c>
      <c r="J223" s="325">
        <f t="shared" si="102"/>
        <v>1691</v>
      </c>
      <c r="K223" s="325">
        <f t="shared" si="102"/>
        <v>191</v>
      </c>
      <c r="L223" s="325">
        <f t="shared" si="102"/>
        <v>1701</v>
      </c>
      <c r="M223" s="326">
        <v>12</v>
      </c>
      <c r="N223" s="289">
        <f>SUM($N$234:$N$243,$N$245,$N$247:$N$249,$N$251,$N$254:$N$255)</f>
        <v>0</v>
      </c>
      <c r="O223" s="328" t="s">
        <v>1970</v>
      </c>
      <c r="P223" s="329" t="s">
        <v>1971</v>
      </c>
      <c r="Q223" s="312"/>
      <c r="R223" s="242"/>
      <c r="S223" s="242"/>
      <c r="T223" s="242"/>
      <c r="U223" s="242"/>
      <c r="V223" s="242"/>
      <c r="W223" s="242"/>
      <c r="X223" s="242"/>
      <c r="Y223" s="242"/>
      <c r="Z223" s="242"/>
      <c r="AA223" s="242"/>
      <c r="AB223" s="242"/>
      <c r="AC223" s="242"/>
      <c r="AD223" s="242"/>
      <c r="AE223" s="242"/>
      <c r="AF223" s="242"/>
      <c r="AG223" s="242"/>
      <c r="AH223" s="242"/>
      <c r="AI223" s="242"/>
      <c r="AJ223" s="242"/>
      <c r="AK223" s="242"/>
      <c r="AL223" s="242"/>
      <c r="AM223" s="242"/>
      <c r="AN223" s="242"/>
      <c r="AO223" s="242"/>
      <c r="AP223" s="242"/>
      <c r="AQ223" s="242"/>
      <c r="AR223" s="242"/>
      <c r="AS223" s="242"/>
      <c r="AT223" s="242"/>
      <c r="AU223" s="242"/>
      <c r="AV223" s="242"/>
      <c r="AW223" s="242"/>
      <c r="AX223" s="242"/>
      <c r="AY223" s="242"/>
      <c r="AZ223" s="242"/>
      <c r="BA223" s="242"/>
      <c r="BB223" s="242"/>
      <c r="BC223" s="242"/>
      <c r="BD223" s="242"/>
      <c r="BE223" s="242"/>
      <c r="BF223" s="242"/>
      <c r="BG223" s="242"/>
      <c r="BH223" s="242"/>
      <c r="BI223" s="242"/>
      <c r="BJ223" s="242"/>
      <c r="BK223" s="242"/>
      <c r="BL223" s="242"/>
      <c r="BM223" s="242"/>
      <c r="BN223" s="242"/>
      <c r="BO223" s="242"/>
      <c r="BP223" s="242"/>
      <c r="BQ223" s="242"/>
      <c r="BR223" s="242"/>
      <c r="BS223" s="242"/>
      <c r="BT223" s="242"/>
      <c r="BU223" s="242"/>
      <c r="BV223" s="242"/>
      <c r="BW223" s="242"/>
      <c r="BX223" s="242"/>
      <c r="BY223" s="242"/>
      <c r="BZ223" s="242"/>
      <c r="CA223" s="242"/>
      <c r="CB223" s="242"/>
      <c r="CC223" s="242"/>
      <c r="CD223" s="242"/>
    </row>
    <row r="224" spans="1:82" ht="12.75" customHeight="1">
      <c r="A224" s="238"/>
      <c r="B224" s="508"/>
      <c r="C224" s="247" t="s">
        <v>50</v>
      </c>
      <c r="D224" s="325">
        <f t="shared" ref="D224:L224" si="103">SUM(D234:D255)</f>
        <v>736</v>
      </c>
      <c r="E224" s="325">
        <f t="shared" si="103"/>
        <v>229</v>
      </c>
      <c r="F224" s="325">
        <f t="shared" si="103"/>
        <v>315</v>
      </c>
      <c r="G224" s="325">
        <f t="shared" si="103"/>
        <v>330</v>
      </c>
      <c r="H224" s="325">
        <f t="shared" si="103"/>
        <v>372</v>
      </c>
      <c r="I224" s="325">
        <f t="shared" si="103"/>
        <v>115</v>
      </c>
      <c r="J224" s="325">
        <f t="shared" si="103"/>
        <v>1691</v>
      </c>
      <c r="K224" s="325">
        <f t="shared" si="103"/>
        <v>191</v>
      </c>
      <c r="L224" s="325">
        <f t="shared" si="103"/>
        <v>1701</v>
      </c>
      <c r="M224" s="326">
        <v>12</v>
      </c>
      <c r="N224" s="289">
        <f>SUM($N$234:$N$243,$N$245,$N$247:$N$249,$N$251,$N$254:$N$255)</f>
        <v>0</v>
      </c>
      <c r="O224" s="330" t="s">
        <v>1972</v>
      </c>
      <c r="P224" s="331" t="s">
        <v>1973</v>
      </c>
      <c r="Q224" s="242"/>
      <c r="R224" s="242"/>
      <c r="S224" s="242"/>
      <c r="T224" s="242"/>
      <c r="U224" s="242"/>
      <c r="V224" s="242"/>
      <c r="W224" s="242"/>
      <c r="X224" s="242"/>
      <c r="Y224" s="242"/>
      <c r="Z224" s="242"/>
      <c r="AA224" s="242"/>
      <c r="AB224" s="242"/>
      <c r="AC224" s="242"/>
      <c r="AD224" s="242"/>
      <c r="AE224" s="242"/>
      <c r="AF224" s="242"/>
      <c r="AG224" s="242"/>
      <c r="AH224" s="242"/>
      <c r="AI224" s="242"/>
      <c r="AJ224" s="242"/>
      <c r="AK224" s="242"/>
      <c r="AL224" s="242"/>
      <c r="AM224" s="242"/>
      <c r="AN224" s="242"/>
      <c r="AO224" s="242"/>
      <c r="AP224" s="242"/>
      <c r="AQ224" s="242"/>
      <c r="AR224" s="242"/>
      <c r="AS224" s="242"/>
      <c r="AT224" s="242"/>
      <c r="AU224" s="242"/>
      <c r="AV224" s="242"/>
      <c r="AW224" s="242"/>
      <c r="AX224" s="242"/>
      <c r="AY224" s="242"/>
      <c r="AZ224" s="242"/>
      <c r="BA224" s="242"/>
      <c r="BB224" s="242"/>
      <c r="BC224" s="242"/>
      <c r="BD224" s="242"/>
      <c r="BE224" s="242"/>
      <c r="BF224" s="242"/>
      <c r="BG224" s="242"/>
      <c r="BH224" s="242"/>
      <c r="BI224" s="242"/>
      <c r="BJ224" s="242"/>
      <c r="BK224" s="242"/>
      <c r="BL224" s="242"/>
      <c r="BM224" s="242"/>
      <c r="BN224" s="242"/>
      <c r="BO224" s="242"/>
      <c r="BP224" s="242"/>
      <c r="BQ224" s="242"/>
      <c r="BR224" s="242"/>
      <c r="BS224" s="242"/>
      <c r="BT224" s="242"/>
      <c r="BU224" s="242"/>
      <c r="BV224" s="242"/>
      <c r="BW224" s="242"/>
      <c r="BX224" s="242"/>
      <c r="BY224" s="242"/>
      <c r="BZ224" s="242"/>
      <c r="CA224" s="242"/>
      <c r="CB224" s="242"/>
      <c r="CC224" s="242"/>
      <c r="CD224" s="242"/>
    </row>
    <row r="225" spans="1:82" ht="12.75" customHeight="1">
      <c r="A225" s="238"/>
      <c r="B225" s="540" t="s">
        <v>112</v>
      </c>
      <c r="C225" s="247" t="s">
        <v>119</v>
      </c>
      <c r="D225" s="289">
        <f t="shared" ref="D225:L225" si="104">SUM(D242,D243,D249,D234,D252)</f>
        <v>136</v>
      </c>
      <c r="E225" s="289">
        <f t="shared" si="104"/>
        <v>115</v>
      </c>
      <c r="F225" s="289">
        <f t="shared" si="104"/>
        <v>37</v>
      </c>
      <c r="G225" s="289">
        <f t="shared" si="104"/>
        <v>43</v>
      </c>
      <c r="H225" s="289">
        <f t="shared" si="104"/>
        <v>10</v>
      </c>
      <c r="I225" s="289">
        <f t="shared" si="104"/>
        <v>2</v>
      </c>
      <c r="J225" s="289">
        <f t="shared" si="104"/>
        <v>996</v>
      </c>
      <c r="K225" s="289">
        <f t="shared" si="104"/>
        <v>3</v>
      </c>
      <c r="L225" s="289">
        <f t="shared" si="104"/>
        <v>107</v>
      </c>
      <c r="M225" s="326">
        <v>12</v>
      </c>
      <c r="N225" s="289"/>
      <c r="O225" s="332" t="s">
        <v>1974</v>
      </c>
      <c r="P225" s="333" t="s">
        <v>1975</v>
      </c>
      <c r="Q225" s="242"/>
      <c r="R225" s="242"/>
      <c r="S225" s="242"/>
      <c r="T225" s="242"/>
      <c r="U225" s="242"/>
      <c r="V225" s="242"/>
      <c r="W225" s="242"/>
      <c r="X225" s="242"/>
      <c r="Y225" s="242"/>
      <c r="Z225" s="242"/>
      <c r="AA225" s="242"/>
      <c r="AB225" s="242"/>
      <c r="AC225" s="242"/>
      <c r="AD225" s="242"/>
      <c r="AE225" s="242"/>
      <c r="AF225" s="242"/>
      <c r="AG225" s="242"/>
      <c r="AH225" s="242"/>
      <c r="AI225" s="242"/>
      <c r="AJ225" s="242"/>
      <c r="AK225" s="242"/>
      <c r="AL225" s="242"/>
      <c r="AM225" s="242"/>
      <c r="AN225" s="242"/>
      <c r="AO225" s="242"/>
      <c r="AP225" s="242"/>
      <c r="AQ225" s="242"/>
      <c r="AR225" s="242"/>
      <c r="AS225" s="242"/>
      <c r="AT225" s="242"/>
      <c r="AU225" s="242"/>
      <c r="AV225" s="242"/>
      <c r="AW225" s="242"/>
      <c r="AX225" s="242"/>
      <c r="AY225" s="242"/>
      <c r="AZ225" s="242"/>
      <c r="BA225" s="242"/>
      <c r="BB225" s="242"/>
      <c r="BC225" s="242"/>
      <c r="BD225" s="242"/>
      <c r="BE225" s="242"/>
      <c r="BF225" s="242"/>
      <c r="BG225" s="242"/>
      <c r="BH225" s="242"/>
      <c r="BI225" s="242"/>
      <c r="BJ225" s="242"/>
      <c r="BK225" s="242"/>
      <c r="BL225" s="242"/>
      <c r="BM225" s="242"/>
      <c r="BN225" s="242"/>
      <c r="BO225" s="242"/>
      <c r="BP225" s="242"/>
      <c r="BQ225" s="242"/>
      <c r="BR225" s="242"/>
      <c r="BS225" s="242"/>
      <c r="BT225" s="242"/>
      <c r="BU225" s="242"/>
      <c r="BV225" s="242"/>
      <c r="BW225" s="242"/>
      <c r="BX225" s="242"/>
      <c r="BY225" s="242"/>
      <c r="BZ225" s="242"/>
      <c r="CA225" s="242"/>
      <c r="CB225" s="242"/>
      <c r="CC225" s="242"/>
      <c r="CD225" s="242"/>
    </row>
    <row r="226" spans="1:82" ht="12.75" customHeight="1">
      <c r="A226" s="238"/>
      <c r="B226" s="507"/>
      <c r="C226" s="261" t="s">
        <v>120</v>
      </c>
      <c r="D226" s="289">
        <f t="shared" ref="D226:L226" si="105">SUM(D238,D239,D235,D255)</f>
        <v>530</v>
      </c>
      <c r="E226" s="289">
        <f t="shared" si="105"/>
        <v>35</v>
      </c>
      <c r="F226" s="289">
        <f t="shared" si="105"/>
        <v>48</v>
      </c>
      <c r="G226" s="289">
        <f t="shared" si="105"/>
        <v>179</v>
      </c>
      <c r="H226" s="289">
        <f t="shared" si="105"/>
        <v>8</v>
      </c>
      <c r="I226" s="289">
        <f t="shared" si="105"/>
        <v>36</v>
      </c>
      <c r="J226" s="289">
        <f t="shared" si="105"/>
        <v>249</v>
      </c>
      <c r="K226" s="289">
        <f t="shared" si="105"/>
        <v>144</v>
      </c>
      <c r="L226" s="289">
        <f t="shared" si="105"/>
        <v>602</v>
      </c>
      <c r="M226" s="326">
        <v>12</v>
      </c>
      <c r="N226" s="289"/>
      <c r="O226" s="241"/>
      <c r="P226" s="333" t="s">
        <v>1976</v>
      </c>
      <c r="Q226" s="242"/>
      <c r="R226" s="242"/>
      <c r="S226" s="242"/>
      <c r="T226" s="242"/>
      <c r="U226" s="242"/>
      <c r="V226" s="242"/>
      <c r="W226" s="242"/>
      <c r="X226" s="242"/>
      <c r="Y226" s="242"/>
      <c r="Z226" s="242"/>
      <c r="AA226" s="242"/>
      <c r="AB226" s="242"/>
      <c r="AC226" s="242"/>
      <c r="AD226" s="242"/>
      <c r="AE226" s="242"/>
      <c r="AF226" s="242"/>
      <c r="AG226" s="242"/>
      <c r="AH226" s="242"/>
      <c r="AI226" s="242"/>
      <c r="AJ226" s="242"/>
      <c r="AK226" s="242"/>
      <c r="AL226" s="242"/>
      <c r="AM226" s="242"/>
      <c r="AN226" s="242"/>
      <c r="AO226" s="242"/>
      <c r="AP226" s="242"/>
      <c r="AQ226" s="242"/>
      <c r="AR226" s="242"/>
      <c r="AS226" s="242"/>
      <c r="AT226" s="242"/>
      <c r="AU226" s="242"/>
      <c r="AV226" s="242"/>
      <c r="AW226" s="242"/>
      <c r="AX226" s="242"/>
      <c r="AY226" s="242"/>
      <c r="AZ226" s="242"/>
      <c r="BA226" s="242"/>
      <c r="BB226" s="242"/>
      <c r="BC226" s="242"/>
      <c r="BD226" s="242"/>
      <c r="BE226" s="242"/>
      <c r="BF226" s="242"/>
      <c r="BG226" s="242"/>
      <c r="BH226" s="242"/>
      <c r="BI226" s="242"/>
      <c r="BJ226" s="242"/>
      <c r="BK226" s="242"/>
      <c r="BL226" s="242"/>
      <c r="BM226" s="242"/>
      <c r="BN226" s="242"/>
      <c r="BO226" s="242"/>
      <c r="BP226" s="242"/>
      <c r="BQ226" s="242"/>
      <c r="BR226" s="242"/>
      <c r="BS226" s="242"/>
      <c r="BT226" s="242"/>
      <c r="BU226" s="242"/>
      <c r="BV226" s="242"/>
      <c r="BW226" s="242"/>
      <c r="BX226" s="242"/>
      <c r="BY226" s="242"/>
      <c r="BZ226" s="242"/>
      <c r="CA226" s="242"/>
      <c r="CB226" s="242"/>
      <c r="CC226" s="242"/>
      <c r="CD226" s="242"/>
    </row>
    <row r="227" spans="1:82" ht="12.75" customHeight="1">
      <c r="A227" s="238"/>
      <c r="B227" s="507"/>
      <c r="C227" s="261" t="s">
        <v>1927</v>
      </c>
      <c r="D227" s="289">
        <f t="shared" ref="D227:L227" si="106">D226+D256</f>
        <v>530</v>
      </c>
      <c r="E227" s="289">
        <f t="shared" si="106"/>
        <v>35</v>
      </c>
      <c r="F227" s="289">
        <f t="shared" si="106"/>
        <v>48</v>
      </c>
      <c r="G227" s="289">
        <f t="shared" si="106"/>
        <v>182</v>
      </c>
      <c r="H227" s="289">
        <f t="shared" si="106"/>
        <v>14</v>
      </c>
      <c r="I227" s="289">
        <f t="shared" si="106"/>
        <v>41</v>
      </c>
      <c r="J227" s="289">
        <f t="shared" si="106"/>
        <v>250</v>
      </c>
      <c r="K227" s="289">
        <f t="shared" si="106"/>
        <v>144</v>
      </c>
      <c r="L227" s="289">
        <f t="shared" si="106"/>
        <v>602</v>
      </c>
      <c r="M227" s="326">
        <v>12</v>
      </c>
      <c r="N227" s="289"/>
      <c r="O227" s="241"/>
      <c r="P227" s="333" t="s">
        <v>1977</v>
      </c>
      <c r="Q227" s="242"/>
      <c r="R227" s="242"/>
      <c r="S227" s="242"/>
      <c r="T227" s="242"/>
      <c r="U227" s="242"/>
      <c r="V227" s="242"/>
      <c r="W227" s="242"/>
      <c r="X227" s="242"/>
      <c r="Y227" s="242"/>
      <c r="Z227" s="242"/>
      <c r="AA227" s="242"/>
      <c r="AB227" s="242"/>
      <c r="AC227" s="242"/>
      <c r="AD227" s="242"/>
      <c r="AE227" s="242"/>
      <c r="AF227" s="242"/>
      <c r="AG227" s="242"/>
      <c r="AH227" s="242"/>
      <c r="AI227" s="242"/>
      <c r="AJ227" s="242"/>
      <c r="AK227" s="242"/>
      <c r="AL227" s="242"/>
      <c r="AM227" s="242"/>
      <c r="AN227" s="242"/>
      <c r="AO227" s="242"/>
      <c r="AP227" s="242"/>
      <c r="AQ227" s="242"/>
      <c r="AR227" s="242"/>
      <c r="AS227" s="242"/>
      <c r="AT227" s="242"/>
      <c r="AU227" s="242"/>
      <c r="AV227" s="242"/>
      <c r="AW227" s="242"/>
      <c r="AX227" s="242"/>
      <c r="AY227" s="242"/>
      <c r="AZ227" s="242"/>
      <c r="BA227" s="242"/>
      <c r="BB227" s="242"/>
      <c r="BC227" s="242"/>
      <c r="BD227" s="242"/>
      <c r="BE227" s="242"/>
      <c r="BF227" s="242"/>
      <c r="BG227" s="242"/>
      <c r="BH227" s="242"/>
      <c r="BI227" s="242"/>
      <c r="BJ227" s="242"/>
      <c r="BK227" s="242"/>
      <c r="BL227" s="242"/>
      <c r="BM227" s="242"/>
      <c r="BN227" s="242"/>
      <c r="BO227" s="242"/>
      <c r="BP227" s="242"/>
      <c r="BQ227" s="242"/>
      <c r="BR227" s="242"/>
      <c r="BS227" s="242"/>
      <c r="BT227" s="242"/>
      <c r="BU227" s="242"/>
      <c r="BV227" s="242"/>
      <c r="BW227" s="242"/>
      <c r="BX227" s="242"/>
      <c r="BY227" s="242"/>
      <c r="BZ227" s="242"/>
      <c r="CA227" s="242"/>
      <c r="CB227" s="242"/>
      <c r="CC227" s="242"/>
      <c r="CD227" s="242"/>
    </row>
    <row r="228" spans="1:82" ht="12.75" customHeight="1">
      <c r="A228" s="238"/>
      <c r="B228" s="507"/>
      <c r="C228" s="261" t="s">
        <v>121</v>
      </c>
      <c r="D228" s="289">
        <f t="shared" ref="D228:L228" si="107">SUM(D245,D248,D253)</f>
        <v>2</v>
      </c>
      <c r="E228" s="289">
        <f t="shared" si="107"/>
        <v>10</v>
      </c>
      <c r="F228" s="289">
        <f t="shared" si="107"/>
        <v>0</v>
      </c>
      <c r="G228" s="289">
        <f t="shared" si="107"/>
        <v>3</v>
      </c>
      <c r="H228" s="289">
        <f t="shared" si="107"/>
        <v>0</v>
      </c>
      <c r="I228" s="289">
        <f t="shared" si="107"/>
        <v>0</v>
      </c>
      <c r="J228" s="289">
        <f t="shared" si="107"/>
        <v>117</v>
      </c>
      <c r="K228" s="289">
        <f t="shared" si="107"/>
        <v>15</v>
      </c>
      <c r="L228" s="289">
        <f t="shared" si="107"/>
        <v>731</v>
      </c>
      <c r="M228" s="326">
        <v>12</v>
      </c>
      <c r="N228" s="289"/>
      <c r="O228" s="241"/>
      <c r="P228" s="333" t="s">
        <v>1978</v>
      </c>
      <c r="Q228" s="242"/>
      <c r="R228" s="242"/>
      <c r="S228" s="242"/>
      <c r="T228" s="242"/>
      <c r="U228" s="242"/>
      <c r="V228" s="242"/>
      <c r="W228" s="242"/>
      <c r="X228" s="242"/>
      <c r="Y228" s="242"/>
      <c r="Z228" s="242"/>
      <c r="AA228" s="242"/>
      <c r="AB228" s="242"/>
      <c r="AC228" s="242"/>
      <c r="AD228" s="242"/>
      <c r="AE228" s="242"/>
      <c r="AF228" s="242"/>
      <c r="AG228" s="242"/>
      <c r="AH228" s="242"/>
      <c r="AI228" s="242"/>
      <c r="AJ228" s="242"/>
      <c r="AK228" s="242"/>
      <c r="AL228" s="242"/>
      <c r="AM228" s="242"/>
      <c r="AN228" s="242"/>
      <c r="AO228" s="242"/>
      <c r="AP228" s="242"/>
      <c r="AQ228" s="242"/>
      <c r="AR228" s="242"/>
      <c r="AS228" s="242"/>
      <c r="AT228" s="242"/>
      <c r="AU228" s="242"/>
      <c r="AV228" s="242"/>
      <c r="AW228" s="242"/>
      <c r="AX228" s="242"/>
      <c r="AY228" s="242"/>
      <c r="AZ228" s="242"/>
      <c r="BA228" s="242"/>
      <c r="BB228" s="242"/>
      <c r="BC228" s="242"/>
      <c r="BD228" s="242"/>
      <c r="BE228" s="242"/>
      <c r="BF228" s="242"/>
      <c r="BG228" s="242"/>
      <c r="BH228" s="242"/>
      <c r="BI228" s="242"/>
      <c r="BJ228" s="242"/>
      <c r="BK228" s="242"/>
      <c r="BL228" s="242"/>
      <c r="BM228" s="242"/>
      <c r="BN228" s="242"/>
      <c r="BO228" s="242"/>
      <c r="BP228" s="242"/>
      <c r="BQ228" s="242"/>
      <c r="BR228" s="242"/>
      <c r="BS228" s="242"/>
      <c r="BT228" s="242"/>
      <c r="BU228" s="242"/>
      <c r="BV228" s="242"/>
      <c r="BW228" s="242"/>
      <c r="BX228" s="242"/>
      <c r="BY228" s="242"/>
      <c r="BZ228" s="242"/>
      <c r="CA228" s="242"/>
      <c r="CB228" s="242"/>
      <c r="CC228" s="242"/>
      <c r="CD228" s="242"/>
    </row>
    <row r="229" spans="1:82" ht="12.75" customHeight="1">
      <c r="A229" s="238"/>
      <c r="B229" s="507"/>
      <c r="C229" s="261" t="s">
        <v>1928</v>
      </c>
      <c r="D229" s="289">
        <f t="shared" ref="D229:L229" si="108">D228+D247</f>
        <v>2</v>
      </c>
      <c r="E229" s="289">
        <f t="shared" si="108"/>
        <v>10</v>
      </c>
      <c r="F229" s="289">
        <f t="shared" si="108"/>
        <v>0</v>
      </c>
      <c r="G229" s="289">
        <f t="shared" si="108"/>
        <v>6</v>
      </c>
      <c r="H229" s="289">
        <f t="shared" si="108"/>
        <v>6</v>
      </c>
      <c r="I229" s="289">
        <f t="shared" si="108"/>
        <v>0</v>
      </c>
      <c r="J229" s="289">
        <f t="shared" si="108"/>
        <v>125</v>
      </c>
      <c r="K229" s="289">
        <f t="shared" si="108"/>
        <v>18</v>
      </c>
      <c r="L229" s="289">
        <f t="shared" si="108"/>
        <v>731</v>
      </c>
      <c r="M229" s="326">
        <v>12</v>
      </c>
      <c r="N229" s="289"/>
      <c r="O229" s="241"/>
      <c r="P229" s="333" t="s">
        <v>1979</v>
      </c>
      <c r="Q229" s="242"/>
      <c r="R229" s="242"/>
      <c r="S229" s="242"/>
      <c r="T229" s="242"/>
      <c r="U229" s="242"/>
      <c r="V229" s="242"/>
      <c r="W229" s="242"/>
      <c r="X229" s="242"/>
      <c r="Y229" s="242"/>
      <c r="Z229" s="242"/>
      <c r="AA229" s="242"/>
      <c r="AB229" s="242"/>
      <c r="AC229" s="242"/>
      <c r="AD229" s="242"/>
      <c r="AE229" s="242"/>
      <c r="AF229" s="242"/>
      <c r="AG229" s="242"/>
      <c r="AH229" s="242"/>
      <c r="AI229" s="242"/>
      <c r="AJ229" s="242"/>
      <c r="AK229" s="242"/>
      <c r="AL229" s="242"/>
      <c r="AM229" s="242"/>
      <c r="AN229" s="242"/>
      <c r="AO229" s="242"/>
      <c r="AP229" s="242"/>
      <c r="AQ229" s="242"/>
      <c r="AR229" s="242"/>
      <c r="AS229" s="242"/>
      <c r="AT229" s="242"/>
      <c r="AU229" s="242"/>
      <c r="AV229" s="242"/>
      <c r="AW229" s="242"/>
      <c r="AX229" s="242"/>
      <c r="AY229" s="242"/>
      <c r="AZ229" s="242"/>
      <c r="BA229" s="242"/>
      <c r="BB229" s="242"/>
      <c r="BC229" s="242"/>
      <c r="BD229" s="242"/>
      <c r="BE229" s="242"/>
      <c r="BF229" s="242"/>
      <c r="BG229" s="242"/>
      <c r="BH229" s="242"/>
      <c r="BI229" s="242"/>
      <c r="BJ229" s="242"/>
      <c r="BK229" s="242"/>
      <c r="BL229" s="242"/>
      <c r="BM229" s="242"/>
      <c r="BN229" s="242"/>
      <c r="BO229" s="242"/>
      <c r="BP229" s="242"/>
      <c r="BQ229" s="242"/>
      <c r="BR229" s="242"/>
      <c r="BS229" s="242"/>
      <c r="BT229" s="242"/>
      <c r="BU229" s="242"/>
      <c r="BV229" s="242"/>
      <c r="BW229" s="242"/>
      <c r="BX229" s="242"/>
      <c r="BY229" s="242"/>
      <c r="BZ229" s="242"/>
      <c r="CA229" s="242"/>
      <c r="CB229" s="242"/>
      <c r="CC229" s="242"/>
      <c r="CD229" s="242"/>
    </row>
    <row r="230" spans="1:82" ht="12.75" customHeight="1">
      <c r="A230" s="238"/>
      <c r="B230" s="507"/>
      <c r="C230" s="247" t="s">
        <v>122</v>
      </c>
      <c r="D230" s="289">
        <f t="shared" ref="D230:L230" si="109">D237</f>
        <v>0</v>
      </c>
      <c r="E230" s="289">
        <f t="shared" si="109"/>
        <v>2</v>
      </c>
      <c r="F230" s="289">
        <f t="shared" si="109"/>
        <v>0</v>
      </c>
      <c r="G230" s="289">
        <f t="shared" si="109"/>
        <v>0</v>
      </c>
      <c r="H230" s="289">
        <f t="shared" si="109"/>
        <v>0</v>
      </c>
      <c r="I230" s="289">
        <f t="shared" si="109"/>
        <v>0</v>
      </c>
      <c r="J230" s="289">
        <f t="shared" si="109"/>
        <v>89</v>
      </c>
      <c r="K230" s="289">
        <f t="shared" si="109"/>
        <v>17</v>
      </c>
      <c r="L230" s="289">
        <f t="shared" si="109"/>
        <v>88</v>
      </c>
      <c r="M230" s="326">
        <v>12</v>
      </c>
      <c r="N230" s="289"/>
      <c r="O230" s="241"/>
      <c r="P230" s="334" t="s">
        <v>1980</v>
      </c>
      <c r="Q230" s="242"/>
      <c r="R230" s="242"/>
      <c r="S230" s="242"/>
      <c r="T230" s="242"/>
      <c r="U230" s="242"/>
      <c r="V230" s="242"/>
      <c r="W230" s="242"/>
      <c r="X230" s="242"/>
      <c r="Y230" s="242"/>
      <c r="Z230" s="242"/>
      <c r="AA230" s="242"/>
      <c r="AB230" s="242"/>
      <c r="AC230" s="242"/>
      <c r="AD230" s="242"/>
      <c r="AE230" s="242"/>
      <c r="AF230" s="242"/>
      <c r="AG230" s="242"/>
      <c r="AH230" s="242"/>
      <c r="AI230" s="242"/>
      <c r="AJ230" s="242"/>
      <c r="AK230" s="242"/>
      <c r="AL230" s="242"/>
      <c r="AM230" s="242"/>
      <c r="AN230" s="242"/>
      <c r="AO230" s="242"/>
      <c r="AP230" s="242"/>
      <c r="AQ230" s="242"/>
      <c r="AR230" s="242"/>
      <c r="AS230" s="242"/>
      <c r="AT230" s="242"/>
      <c r="AU230" s="242"/>
      <c r="AV230" s="242"/>
      <c r="AW230" s="242"/>
      <c r="AX230" s="242"/>
      <c r="AY230" s="242"/>
      <c r="AZ230" s="242"/>
      <c r="BA230" s="242"/>
      <c r="BB230" s="242"/>
      <c r="BC230" s="242"/>
      <c r="BD230" s="242"/>
      <c r="BE230" s="242"/>
      <c r="BF230" s="242"/>
      <c r="BG230" s="242"/>
      <c r="BH230" s="242"/>
      <c r="BI230" s="242"/>
      <c r="BJ230" s="242"/>
      <c r="BK230" s="242"/>
      <c r="BL230" s="242"/>
      <c r="BM230" s="242"/>
      <c r="BN230" s="242"/>
      <c r="BO230" s="242"/>
      <c r="BP230" s="242"/>
      <c r="BQ230" s="242"/>
      <c r="BR230" s="242"/>
      <c r="BS230" s="242"/>
      <c r="BT230" s="242"/>
      <c r="BU230" s="242"/>
      <c r="BV230" s="242"/>
      <c r="BW230" s="242"/>
      <c r="BX230" s="242"/>
      <c r="BY230" s="242"/>
      <c r="BZ230" s="242"/>
      <c r="CA230" s="242"/>
      <c r="CB230" s="242"/>
      <c r="CC230" s="242"/>
      <c r="CD230" s="242"/>
    </row>
    <row r="231" spans="1:82" ht="12.75" customHeight="1">
      <c r="A231" s="238"/>
      <c r="B231" s="507"/>
      <c r="C231" s="247" t="s">
        <v>123</v>
      </c>
      <c r="D231" s="289">
        <f t="shared" ref="D231:L231" si="110">SUM(D250:D251)</f>
        <v>0</v>
      </c>
      <c r="E231" s="289">
        <f t="shared" si="110"/>
        <v>30</v>
      </c>
      <c r="F231" s="289">
        <f t="shared" si="110"/>
        <v>4</v>
      </c>
      <c r="G231" s="289">
        <f t="shared" si="110"/>
        <v>6</v>
      </c>
      <c r="H231" s="289">
        <f t="shared" si="110"/>
        <v>73</v>
      </c>
      <c r="I231" s="289">
        <f t="shared" si="110"/>
        <v>49</v>
      </c>
      <c r="J231" s="289">
        <f t="shared" si="110"/>
        <v>0</v>
      </c>
      <c r="K231" s="289">
        <f t="shared" si="110"/>
        <v>9</v>
      </c>
      <c r="L231" s="289">
        <f t="shared" si="110"/>
        <v>29</v>
      </c>
      <c r="M231" s="326">
        <v>12</v>
      </c>
      <c r="N231" s="289"/>
      <c r="O231" s="241"/>
      <c r="P231" s="242"/>
      <c r="Q231" s="242"/>
      <c r="R231" s="242"/>
      <c r="S231" s="242"/>
      <c r="T231" s="242"/>
      <c r="U231" s="242"/>
      <c r="V231" s="242"/>
      <c r="W231" s="242"/>
      <c r="X231" s="242"/>
      <c r="Y231" s="242"/>
      <c r="Z231" s="242"/>
      <c r="AA231" s="242"/>
      <c r="AB231" s="242"/>
      <c r="AC231" s="242"/>
      <c r="AD231" s="242"/>
      <c r="AE231" s="242"/>
      <c r="AF231" s="242"/>
      <c r="AG231" s="242"/>
      <c r="AH231" s="242"/>
      <c r="AI231" s="242"/>
      <c r="AJ231" s="242"/>
      <c r="AK231" s="242"/>
      <c r="AL231" s="242"/>
      <c r="AM231" s="242"/>
      <c r="AN231" s="242"/>
      <c r="AO231" s="242"/>
      <c r="AP231" s="242"/>
      <c r="AQ231" s="242"/>
      <c r="AR231" s="242"/>
      <c r="AS231" s="242"/>
      <c r="AT231" s="242"/>
      <c r="AU231" s="242"/>
      <c r="AV231" s="242"/>
      <c r="AW231" s="242"/>
      <c r="AX231" s="242"/>
      <c r="AY231" s="242"/>
      <c r="AZ231" s="242"/>
      <c r="BA231" s="242"/>
      <c r="BB231" s="242"/>
      <c r="BC231" s="242"/>
      <c r="BD231" s="242"/>
      <c r="BE231" s="242"/>
      <c r="BF231" s="242"/>
      <c r="BG231" s="242"/>
      <c r="BH231" s="242"/>
      <c r="BI231" s="242"/>
      <c r="BJ231" s="242"/>
      <c r="BK231" s="242"/>
      <c r="BL231" s="242"/>
      <c r="BM231" s="242"/>
      <c r="BN231" s="242"/>
      <c r="BO231" s="242"/>
      <c r="BP231" s="242"/>
      <c r="BQ231" s="242"/>
      <c r="BR231" s="242"/>
      <c r="BS231" s="242"/>
      <c r="BT231" s="242"/>
      <c r="BU231" s="242"/>
      <c r="BV231" s="242"/>
      <c r="BW231" s="242"/>
      <c r="BX231" s="242"/>
      <c r="BY231" s="242"/>
      <c r="BZ231" s="242"/>
      <c r="CA231" s="242"/>
      <c r="CB231" s="242"/>
      <c r="CC231" s="242"/>
      <c r="CD231" s="242"/>
    </row>
    <row r="232" spans="1:82" ht="12.75" customHeight="1">
      <c r="A232" s="238"/>
      <c r="B232" s="507"/>
      <c r="C232" s="247" t="s">
        <v>124</v>
      </c>
      <c r="D232" s="289">
        <f t="shared" ref="D232:L232" si="111">D254</f>
        <v>57</v>
      </c>
      <c r="E232" s="289">
        <f t="shared" si="111"/>
        <v>33</v>
      </c>
      <c r="F232" s="289">
        <f t="shared" si="111"/>
        <v>224</v>
      </c>
      <c r="G232" s="289">
        <f t="shared" si="111"/>
        <v>88</v>
      </c>
      <c r="H232" s="289">
        <f t="shared" si="111"/>
        <v>272</v>
      </c>
      <c r="I232" s="289">
        <f t="shared" si="111"/>
        <v>4</v>
      </c>
      <c r="J232" s="289">
        <f t="shared" si="111"/>
        <v>55</v>
      </c>
      <c r="K232" s="289">
        <f t="shared" si="111"/>
        <v>0</v>
      </c>
      <c r="L232" s="289">
        <f t="shared" si="111"/>
        <v>41</v>
      </c>
      <c r="M232" s="326">
        <v>12</v>
      </c>
      <c r="N232" s="289"/>
      <c r="O232" s="241"/>
      <c r="P232" s="242"/>
      <c r="Q232" s="242"/>
      <c r="R232" s="242"/>
      <c r="S232" s="242"/>
      <c r="T232" s="242"/>
      <c r="U232" s="242"/>
      <c r="V232" s="242"/>
      <c r="W232" s="242"/>
      <c r="X232" s="242"/>
      <c r="Y232" s="242"/>
      <c r="Z232" s="242"/>
      <c r="AA232" s="242"/>
      <c r="AB232" s="242"/>
      <c r="AC232" s="242"/>
      <c r="AD232" s="242"/>
      <c r="AE232" s="242"/>
      <c r="AF232" s="242"/>
      <c r="AG232" s="242"/>
      <c r="AH232" s="242"/>
      <c r="AI232" s="242"/>
      <c r="AJ232" s="242"/>
      <c r="AK232" s="242"/>
      <c r="AL232" s="242"/>
      <c r="AM232" s="242"/>
      <c r="AN232" s="242"/>
      <c r="AO232" s="242"/>
      <c r="AP232" s="242"/>
      <c r="AQ232" s="242"/>
      <c r="AR232" s="242"/>
      <c r="AS232" s="242"/>
      <c r="AT232" s="242"/>
      <c r="AU232" s="242"/>
      <c r="AV232" s="242"/>
      <c r="AW232" s="242"/>
      <c r="AX232" s="242"/>
      <c r="AY232" s="242"/>
      <c r="AZ232" s="242"/>
      <c r="BA232" s="242"/>
      <c r="BB232" s="242"/>
      <c r="BC232" s="242"/>
      <c r="BD232" s="242"/>
      <c r="BE232" s="242"/>
      <c r="BF232" s="242"/>
      <c r="BG232" s="242"/>
      <c r="BH232" s="242"/>
      <c r="BI232" s="242"/>
      <c r="BJ232" s="242"/>
      <c r="BK232" s="242"/>
      <c r="BL232" s="242"/>
      <c r="BM232" s="242"/>
      <c r="BN232" s="242"/>
      <c r="BO232" s="242"/>
      <c r="BP232" s="242"/>
      <c r="BQ232" s="242"/>
      <c r="BR232" s="242"/>
      <c r="BS232" s="242"/>
      <c r="BT232" s="242"/>
      <c r="BU232" s="242"/>
      <c r="BV232" s="242"/>
      <c r="BW232" s="242"/>
      <c r="BX232" s="242"/>
      <c r="BY232" s="242"/>
      <c r="BZ232" s="242"/>
      <c r="CA232" s="242"/>
      <c r="CB232" s="242"/>
      <c r="CC232" s="242"/>
      <c r="CD232" s="242"/>
    </row>
    <row r="233" spans="1:82" ht="12.75" customHeight="1">
      <c r="A233" s="238"/>
      <c r="B233" s="508"/>
      <c r="C233" s="247" t="s">
        <v>125</v>
      </c>
      <c r="D233" s="289">
        <f t="shared" ref="D233:L233" si="112">SUM(D236,D240,D241)</f>
        <v>11</v>
      </c>
      <c r="E233" s="289">
        <f t="shared" si="112"/>
        <v>4</v>
      </c>
      <c r="F233" s="289">
        <f t="shared" si="112"/>
        <v>2</v>
      </c>
      <c r="G233" s="289">
        <f t="shared" si="112"/>
        <v>8</v>
      </c>
      <c r="H233" s="289">
        <f t="shared" si="112"/>
        <v>3</v>
      </c>
      <c r="I233" s="289">
        <f t="shared" si="112"/>
        <v>24</v>
      </c>
      <c r="J233" s="289">
        <f t="shared" si="112"/>
        <v>177</v>
      </c>
      <c r="K233" s="289">
        <f t="shared" si="112"/>
        <v>0</v>
      </c>
      <c r="L233" s="289">
        <f t="shared" si="112"/>
        <v>103</v>
      </c>
      <c r="M233" s="326">
        <v>12</v>
      </c>
      <c r="N233" s="289"/>
      <c r="O233" s="241"/>
      <c r="P233" s="242"/>
      <c r="Q233" s="242"/>
      <c r="R233" s="242"/>
      <c r="S233" s="242"/>
      <c r="T233" s="242"/>
      <c r="U233" s="242"/>
      <c r="V233" s="242"/>
      <c r="W233" s="242"/>
      <c r="X233" s="242"/>
      <c r="Y233" s="242"/>
      <c r="Z233" s="242"/>
      <c r="AA233" s="242"/>
      <c r="AB233" s="242"/>
      <c r="AC233" s="242"/>
      <c r="AD233" s="242"/>
      <c r="AE233" s="242"/>
      <c r="AF233" s="242"/>
      <c r="AG233" s="242"/>
      <c r="AH233" s="242"/>
      <c r="AI233" s="242"/>
      <c r="AJ233" s="242"/>
      <c r="AK233" s="242"/>
      <c r="AL233" s="242"/>
      <c r="AM233" s="242"/>
      <c r="AN233" s="242"/>
      <c r="AO233" s="242"/>
      <c r="AP233" s="242"/>
      <c r="AQ233" s="242"/>
      <c r="AR233" s="242"/>
      <c r="AS233" s="242"/>
      <c r="AT233" s="242"/>
      <c r="AU233" s="242"/>
      <c r="AV233" s="242"/>
      <c r="AW233" s="242"/>
      <c r="AX233" s="242"/>
      <c r="AY233" s="242"/>
      <c r="AZ233" s="242"/>
      <c r="BA233" s="242"/>
      <c r="BB233" s="242"/>
      <c r="BC233" s="242"/>
      <c r="BD233" s="242"/>
      <c r="BE233" s="242"/>
      <c r="BF233" s="242"/>
      <c r="BG233" s="242"/>
      <c r="BH233" s="242"/>
      <c r="BI233" s="242"/>
      <c r="BJ233" s="242"/>
      <c r="BK233" s="242"/>
      <c r="BL233" s="242"/>
      <c r="BM233" s="242"/>
      <c r="BN233" s="242"/>
      <c r="BO233" s="242"/>
      <c r="BP233" s="242"/>
      <c r="BQ233" s="242"/>
      <c r="BR233" s="242"/>
      <c r="BS233" s="242"/>
      <c r="BT233" s="242"/>
      <c r="BU233" s="242"/>
      <c r="BV233" s="242"/>
      <c r="BW233" s="242"/>
      <c r="BX233" s="242"/>
      <c r="BY233" s="242"/>
      <c r="BZ233" s="242"/>
      <c r="CA233" s="242"/>
      <c r="CB233" s="242"/>
      <c r="CC233" s="242"/>
      <c r="CD233" s="242"/>
    </row>
    <row r="234" spans="1:82" ht="12.75" customHeight="1">
      <c r="A234" s="238"/>
      <c r="B234" s="540" t="s">
        <v>37</v>
      </c>
      <c r="C234" s="297" t="s">
        <v>69</v>
      </c>
      <c r="D234" s="335">
        <f>125+1</f>
        <v>126</v>
      </c>
      <c r="E234" s="335">
        <f>33+3</f>
        <v>36</v>
      </c>
      <c r="F234" s="335">
        <v>0</v>
      </c>
      <c r="G234" s="335">
        <v>10</v>
      </c>
      <c r="H234" s="335">
        <v>0</v>
      </c>
      <c r="I234" s="335">
        <v>0</v>
      </c>
      <c r="J234" s="335">
        <v>45</v>
      </c>
      <c r="K234" s="335">
        <v>0</v>
      </c>
      <c r="L234" s="335">
        <v>0</v>
      </c>
      <c r="M234" s="326">
        <v>12</v>
      </c>
      <c r="N234" s="289"/>
      <c r="O234" s="336"/>
      <c r="P234" s="242"/>
      <c r="Q234" s="242"/>
      <c r="R234" s="242"/>
      <c r="S234" s="242"/>
      <c r="T234" s="242"/>
      <c r="U234" s="242"/>
      <c r="V234" s="242"/>
      <c r="W234" s="242"/>
      <c r="X234" s="242"/>
      <c r="Y234" s="242"/>
      <c r="Z234" s="242"/>
      <c r="AA234" s="242"/>
      <c r="AB234" s="242"/>
      <c r="AC234" s="242"/>
      <c r="AD234" s="242"/>
      <c r="AE234" s="242"/>
      <c r="AF234" s="242"/>
      <c r="AG234" s="242"/>
      <c r="AH234" s="242"/>
      <c r="AI234" s="242"/>
      <c r="AJ234" s="242"/>
      <c r="AK234" s="242"/>
      <c r="AL234" s="242"/>
      <c r="AM234" s="242"/>
      <c r="AN234" s="242"/>
      <c r="AO234" s="242"/>
      <c r="AP234" s="242"/>
      <c r="AQ234" s="242"/>
      <c r="AR234" s="242"/>
      <c r="AS234" s="242"/>
      <c r="AT234" s="242"/>
      <c r="AU234" s="242"/>
      <c r="AV234" s="242"/>
      <c r="AW234" s="242"/>
      <c r="AX234" s="242"/>
      <c r="AY234" s="242"/>
      <c r="AZ234" s="242"/>
      <c r="BA234" s="242"/>
      <c r="BB234" s="242"/>
      <c r="BC234" s="242"/>
      <c r="BD234" s="242"/>
      <c r="BE234" s="242"/>
      <c r="BF234" s="242"/>
      <c r="BG234" s="242"/>
      <c r="BH234" s="242"/>
      <c r="BI234" s="242"/>
      <c r="BJ234" s="242"/>
      <c r="BK234" s="242"/>
      <c r="BL234" s="242"/>
      <c r="BM234" s="242"/>
      <c r="BN234" s="242"/>
      <c r="BO234" s="242"/>
      <c r="BP234" s="242"/>
      <c r="BQ234" s="242"/>
      <c r="BR234" s="242"/>
      <c r="BS234" s="242"/>
      <c r="BT234" s="242"/>
      <c r="BU234" s="242"/>
      <c r="BV234" s="242"/>
      <c r="BW234" s="242"/>
      <c r="BX234" s="242"/>
      <c r="BY234" s="242"/>
      <c r="BZ234" s="242"/>
      <c r="CA234" s="242"/>
      <c r="CB234" s="242"/>
      <c r="CC234" s="242"/>
      <c r="CD234" s="242"/>
    </row>
    <row r="235" spans="1:82" ht="12.75" customHeight="1">
      <c r="A235" s="238"/>
      <c r="B235" s="507"/>
      <c r="C235" s="297" t="s">
        <v>80</v>
      </c>
      <c r="D235" s="335">
        <f>129+334</f>
        <v>463</v>
      </c>
      <c r="E235" s="335">
        <v>31</v>
      </c>
      <c r="F235" s="335">
        <v>7</v>
      </c>
      <c r="G235" s="335">
        <f>27+3</f>
        <v>30</v>
      </c>
      <c r="H235" s="335">
        <v>0</v>
      </c>
      <c r="I235" s="335">
        <v>0</v>
      </c>
      <c r="J235" s="337">
        <f>59+31</f>
        <v>90</v>
      </c>
      <c r="K235" s="335">
        <f>22+39</f>
        <v>61</v>
      </c>
      <c r="L235" s="335">
        <v>416</v>
      </c>
      <c r="M235" s="326">
        <v>12</v>
      </c>
      <c r="N235" s="289"/>
      <c r="O235" s="241"/>
      <c r="P235" s="242"/>
      <c r="Q235" s="242"/>
      <c r="R235" s="242"/>
      <c r="S235" s="242"/>
      <c r="T235" s="242"/>
      <c r="U235" s="242"/>
      <c r="V235" s="242"/>
      <c r="W235" s="242"/>
      <c r="X235" s="242"/>
      <c r="Y235" s="242"/>
      <c r="Z235" s="242"/>
      <c r="AA235" s="242"/>
      <c r="AB235" s="242"/>
      <c r="AC235" s="242"/>
      <c r="AD235" s="242"/>
      <c r="AE235" s="242"/>
      <c r="AF235" s="242"/>
      <c r="AG235" s="242"/>
      <c r="AH235" s="242"/>
      <c r="AI235" s="242"/>
      <c r="AJ235" s="242"/>
      <c r="AK235" s="242"/>
      <c r="AL235" s="242"/>
      <c r="AM235" s="242"/>
      <c r="AN235" s="242"/>
      <c r="AO235" s="242"/>
      <c r="AP235" s="242"/>
      <c r="AQ235" s="242"/>
      <c r="AR235" s="242"/>
      <c r="AS235" s="242"/>
      <c r="AT235" s="242"/>
      <c r="AU235" s="242"/>
      <c r="AV235" s="242"/>
      <c r="AW235" s="242"/>
      <c r="AX235" s="242"/>
      <c r="AY235" s="242"/>
      <c r="AZ235" s="242"/>
      <c r="BA235" s="242"/>
      <c r="BB235" s="242"/>
      <c r="BC235" s="242"/>
      <c r="BD235" s="242"/>
      <c r="BE235" s="242"/>
      <c r="BF235" s="242"/>
      <c r="BG235" s="242"/>
      <c r="BH235" s="242"/>
      <c r="BI235" s="242"/>
      <c r="BJ235" s="242"/>
      <c r="BK235" s="242"/>
      <c r="BL235" s="242"/>
      <c r="BM235" s="242"/>
      <c r="BN235" s="242"/>
      <c r="BO235" s="242"/>
      <c r="BP235" s="242"/>
      <c r="BQ235" s="242"/>
      <c r="BR235" s="242"/>
      <c r="BS235" s="242"/>
      <c r="BT235" s="242"/>
      <c r="BU235" s="242"/>
      <c r="BV235" s="242"/>
      <c r="BW235" s="242"/>
      <c r="BX235" s="242"/>
      <c r="BY235" s="242"/>
      <c r="BZ235" s="242"/>
      <c r="CA235" s="242"/>
      <c r="CB235" s="242"/>
      <c r="CC235" s="242"/>
      <c r="CD235" s="242"/>
    </row>
    <row r="236" spans="1:82" ht="12.75" customHeight="1">
      <c r="A236" s="238"/>
      <c r="B236" s="507"/>
      <c r="C236" s="297" t="s">
        <v>70</v>
      </c>
      <c r="D236" s="335">
        <v>4</v>
      </c>
      <c r="E236" s="335">
        <v>0</v>
      </c>
      <c r="F236" s="335">
        <v>0</v>
      </c>
      <c r="G236" s="335">
        <v>0</v>
      </c>
      <c r="H236" s="335">
        <v>0</v>
      </c>
      <c r="I236" s="335">
        <v>0</v>
      </c>
      <c r="J236" s="335">
        <v>92</v>
      </c>
      <c r="K236" s="335">
        <v>0</v>
      </c>
      <c r="L236" s="335">
        <v>4</v>
      </c>
      <c r="M236" s="326">
        <v>12</v>
      </c>
      <c r="N236" s="289"/>
      <c r="O236" s="241"/>
      <c r="P236" s="242"/>
      <c r="Q236" s="242"/>
      <c r="R236" s="242"/>
      <c r="S236" s="242"/>
      <c r="T236" s="242"/>
      <c r="U236" s="242"/>
      <c r="V236" s="242"/>
      <c r="W236" s="242"/>
      <c r="X236" s="242"/>
      <c r="Y236" s="242"/>
      <c r="Z236" s="242"/>
      <c r="AA236" s="242"/>
      <c r="AB236" s="242"/>
      <c r="AC236" s="242"/>
      <c r="AD236" s="242"/>
      <c r="AE236" s="242"/>
      <c r="AF236" s="242"/>
      <c r="AG236" s="242"/>
      <c r="AH236" s="242"/>
      <c r="AI236" s="242"/>
      <c r="AJ236" s="242"/>
      <c r="AK236" s="242"/>
      <c r="AL236" s="242"/>
      <c r="AM236" s="242"/>
      <c r="AN236" s="242"/>
      <c r="AO236" s="242"/>
      <c r="AP236" s="242"/>
      <c r="AQ236" s="242"/>
      <c r="AR236" s="242"/>
      <c r="AS236" s="242"/>
      <c r="AT236" s="242"/>
      <c r="AU236" s="242"/>
      <c r="AV236" s="242"/>
      <c r="AW236" s="242"/>
      <c r="AX236" s="242"/>
      <c r="AY236" s="242"/>
      <c r="AZ236" s="242"/>
      <c r="BA236" s="242"/>
      <c r="BB236" s="242"/>
      <c r="BC236" s="242"/>
      <c r="BD236" s="242"/>
      <c r="BE236" s="242"/>
      <c r="BF236" s="242"/>
      <c r="BG236" s="242"/>
      <c r="BH236" s="242"/>
      <c r="BI236" s="242"/>
      <c r="BJ236" s="242"/>
      <c r="BK236" s="242"/>
      <c r="BL236" s="242"/>
      <c r="BM236" s="242"/>
      <c r="BN236" s="242"/>
      <c r="BO236" s="242"/>
      <c r="BP236" s="242"/>
      <c r="BQ236" s="242"/>
      <c r="BR236" s="242"/>
      <c r="BS236" s="242"/>
      <c r="BT236" s="242"/>
      <c r="BU236" s="242"/>
      <c r="BV236" s="242"/>
      <c r="BW236" s="242"/>
      <c r="BX236" s="242"/>
      <c r="BY236" s="242"/>
      <c r="BZ236" s="242"/>
      <c r="CA236" s="242"/>
      <c r="CB236" s="242"/>
      <c r="CC236" s="242"/>
      <c r="CD236" s="242"/>
    </row>
    <row r="237" spans="1:82" ht="12.75" customHeight="1">
      <c r="A237" s="238"/>
      <c r="B237" s="507"/>
      <c r="C237" s="266" t="s">
        <v>71</v>
      </c>
      <c r="D237" s="335">
        <v>0</v>
      </c>
      <c r="E237" s="335">
        <v>2</v>
      </c>
      <c r="F237" s="335">
        <v>0</v>
      </c>
      <c r="G237" s="335">
        <v>0</v>
      </c>
      <c r="H237" s="335">
        <v>0</v>
      </c>
      <c r="I237" s="335">
        <v>0</v>
      </c>
      <c r="J237" s="335">
        <v>89</v>
      </c>
      <c r="K237" s="335">
        <v>17</v>
      </c>
      <c r="L237" s="335">
        <v>88</v>
      </c>
      <c r="M237" s="326">
        <v>12</v>
      </c>
      <c r="N237" s="289"/>
      <c r="O237" s="241"/>
      <c r="P237" s="242"/>
      <c r="Q237" s="242"/>
      <c r="R237" s="242"/>
      <c r="S237" s="242"/>
      <c r="T237" s="242"/>
      <c r="U237" s="242"/>
      <c r="V237" s="242"/>
      <c r="W237" s="242"/>
      <c r="X237" s="242"/>
      <c r="Y237" s="242"/>
      <c r="Z237" s="242"/>
      <c r="AA237" s="242"/>
      <c r="AB237" s="242"/>
      <c r="AC237" s="242"/>
      <c r="AD237" s="242"/>
      <c r="AE237" s="242"/>
      <c r="AF237" s="242"/>
      <c r="AG237" s="242"/>
      <c r="AH237" s="242"/>
      <c r="AI237" s="242"/>
      <c r="AJ237" s="242"/>
      <c r="AK237" s="242"/>
      <c r="AL237" s="242"/>
      <c r="AM237" s="242"/>
      <c r="AN237" s="242"/>
      <c r="AO237" s="242"/>
      <c r="AP237" s="242"/>
      <c r="AQ237" s="242"/>
      <c r="AR237" s="242"/>
      <c r="AS237" s="242"/>
      <c r="AT237" s="242"/>
      <c r="AU237" s="242"/>
      <c r="AV237" s="242"/>
      <c r="AW237" s="242"/>
      <c r="AX237" s="242"/>
      <c r="AY237" s="242"/>
      <c r="AZ237" s="242"/>
      <c r="BA237" s="242"/>
      <c r="BB237" s="242"/>
      <c r="BC237" s="242"/>
      <c r="BD237" s="242"/>
      <c r="BE237" s="242"/>
      <c r="BF237" s="242"/>
      <c r="BG237" s="242"/>
      <c r="BH237" s="242"/>
      <c r="BI237" s="242"/>
      <c r="BJ237" s="242"/>
      <c r="BK237" s="242"/>
      <c r="BL237" s="242"/>
      <c r="BM237" s="242"/>
      <c r="BN237" s="242"/>
      <c r="BO237" s="242"/>
      <c r="BP237" s="242"/>
      <c r="BQ237" s="242"/>
      <c r="BR237" s="242"/>
      <c r="BS237" s="242"/>
      <c r="BT237" s="242"/>
      <c r="BU237" s="242"/>
      <c r="BV237" s="242"/>
      <c r="BW237" s="242"/>
      <c r="BX237" s="242"/>
      <c r="BY237" s="242"/>
      <c r="BZ237" s="242"/>
      <c r="CA237" s="242"/>
      <c r="CB237" s="242"/>
      <c r="CC237" s="242"/>
      <c r="CD237" s="242"/>
    </row>
    <row r="238" spans="1:82" ht="12.75" customHeight="1">
      <c r="A238" s="238"/>
      <c r="B238" s="507"/>
      <c r="C238" s="261" t="s">
        <v>74</v>
      </c>
      <c r="D238" s="335">
        <v>0</v>
      </c>
      <c r="E238" s="335">
        <v>0</v>
      </c>
      <c r="F238" s="335">
        <v>0</v>
      </c>
      <c r="G238" s="335">
        <v>0</v>
      </c>
      <c r="H238" s="335">
        <v>0</v>
      </c>
      <c r="I238" s="335">
        <v>0</v>
      </c>
      <c r="J238" s="335">
        <v>0</v>
      </c>
      <c r="K238" s="335">
        <v>0</v>
      </c>
      <c r="L238" s="335">
        <v>0</v>
      </c>
      <c r="M238" s="326">
        <v>12</v>
      </c>
      <c r="N238" s="289"/>
      <c r="O238" s="241"/>
      <c r="P238" s="242"/>
      <c r="Q238" s="242"/>
      <c r="R238" s="242"/>
      <c r="S238" s="242"/>
      <c r="T238" s="242"/>
      <c r="U238" s="242"/>
      <c r="V238" s="242"/>
      <c r="W238" s="242"/>
      <c r="X238" s="242"/>
      <c r="Y238" s="242"/>
      <c r="Z238" s="242"/>
      <c r="AA238" s="242"/>
      <c r="AB238" s="242"/>
      <c r="AC238" s="242"/>
      <c r="AD238" s="242"/>
      <c r="AE238" s="242"/>
      <c r="AF238" s="242"/>
      <c r="AG238" s="242"/>
      <c r="AH238" s="242"/>
      <c r="AI238" s="242"/>
      <c r="AJ238" s="242"/>
      <c r="AK238" s="242"/>
      <c r="AL238" s="242"/>
      <c r="AM238" s="242"/>
      <c r="AN238" s="242"/>
      <c r="AO238" s="242"/>
      <c r="AP238" s="242"/>
      <c r="AQ238" s="242"/>
      <c r="AR238" s="242"/>
      <c r="AS238" s="242"/>
      <c r="AT238" s="242"/>
      <c r="AU238" s="242"/>
      <c r="AV238" s="242"/>
      <c r="AW238" s="242"/>
      <c r="AX238" s="242"/>
      <c r="AY238" s="242"/>
      <c r="AZ238" s="242"/>
      <c r="BA238" s="242"/>
      <c r="BB238" s="242"/>
      <c r="BC238" s="242"/>
      <c r="BD238" s="242"/>
      <c r="BE238" s="242"/>
      <c r="BF238" s="242"/>
      <c r="BG238" s="242"/>
      <c r="BH238" s="242"/>
      <c r="BI238" s="242"/>
      <c r="BJ238" s="242"/>
      <c r="BK238" s="242"/>
      <c r="BL238" s="242"/>
      <c r="BM238" s="242"/>
      <c r="BN238" s="242"/>
      <c r="BO238" s="242"/>
      <c r="BP238" s="242"/>
      <c r="BQ238" s="242"/>
      <c r="BR238" s="242"/>
      <c r="BS238" s="242"/>
      <c r="BT238" s="242"/>
      <c r="BU238" s="242"/>
      <c r="BV238" s="242"/>
      <c r="BW238" s="242"/>
      <c r="BX238" s="242"/>
      <c r="BY238" s="242"/>
      <c r="BZ238" s="242"/>
      <c r="CA238" s="242"/>
      <c r="CB238" s="242"/>
      <c r="CC238" s="242"/>
      <c r="CD238" s="242"/>
    </row>
    <row r="239" spans="1:82" ht="12.75" customHeight="1">
      <c r="A239" s="238"/>
      <c r="B239" s="507"/>
      <c r="C239" s="261" t="s">
        <v>73</v>
      </c>
      <c r="D239" s="335">
        <v>51</v>
      </c>
      <c r="E239" s="335">
        <v>3</v>
      </c>
      <c r="F239" s="335">
        <f>16+17</f>
        <v>33</v>
      </c>
      <c r="G239" s="335">
        <v>50</v>
      </c>
      <c r="H239" s="335">
        <v>5</v>
      </c>
      <c r="I239" s="335">
        <f>2+34</f>
        <v>36</v>
      </c>
      <c r="J239" s="337">
        <f>41+8</f>
        <v>49</v>
      </c>
      <c r="K239" s="335">
        <v>59</v>
      </c>
      <c r="L239" s="335">
        <v>86</v>
      </c>
      <c r="M239" s="326">
        <v>12</v>
      </c>
      <c r="N239" s="289"/>
      <c r="O239" s="241"/>
      <c r="P239" s="242"/>
      <c r="Q239" s="242"/>
      <c r="R239" s="242"/>
      <c r="S239" s="242"/>
      <c r="T239" s="242"/>
      <c r="U239" s="242"/>
      <c r="V239" s="242"/>
      <c r="W239" s="242"/>
      <c r="X239" s="242"/>
      <c r="Y239" s="242"/>
      <c r="Z239" s="242"/>
      <c r="AA239" s="242"/>
      <c r="AB239" s="242"/>
      <c r="AC239" s="242"/>
      <c r="AD239" s="242"/>
      <c r="AE239" s="242"/>
      <c r="AF239" s="242"/>
      <c r="AG239" s="242"/>
      <c r="AH239" s="242"/>
      <c r="AI239" s="242"/>
      <c r="AJ239" s="242"/>
      <c r="AK239" s="242"/>
      <c r="AL239" s="242"/>
      <c r="AM239" s="242"/>
      <c r="AN239" s="242"/>
      <c r="AO239" s="242"/>
      <c r="AP239" s="242"/>
      <c r="AQ239" s="242"/>
      <c r="AR239" s="242"/>
      <c r="AS239" s="242"/>
      <c r="AT239" s="242"/>
      <c r="AU239" s="242"/>
      <c r="AV239" s="242"/>
      <c r="AW239" s="242"/>
      <c r="AX239" s="242"/>
      <c r="AY239" s="242"/>
      <c r="AZ239" s="242"/>
      <c r="BA239" s="242"/>
      <c r="BB239" s="242"/>
      <c r="BC239" s="242"/>
      <c r="BD239" s="242"/>
      <c r="BE239" s="242"/>
      <c r="BF239" s="242"/>
      <c r="BG239" s="242"/>
      <c r="BH239" s="242"/>
      <c r="BI239" s="242"/>
      <c r="BJ239" s="242"/>
      <c r="BK239" s="242"/>
      <c r="BL239" s="242"/>
      <c r="BM239" s="242"/>
      <c r="BN239" s="242"/>
      <c r="BO239" s="242"/>
      <c r="BP239" s="242"/>
      <c r="BQ239" s="242"/>
      <c r="BR239" s="242"/>
      <c r="BS239" s="242"/>
      <c r="BT239" s="242"/>
      <c r="BU239" s="242"/>
      <c r="BV239" s="242"/>
      <c r="BW239" s="242"/>
      <c r="BX239" s="242"/>
      <c r="BY239" s="242"/>
      <c r="BZ239" s="242"/>
      <c r="CA239" s="242"/>
      <c r="CB239" s="242"/>
      <c r="CC239" s="242"/>
      <c r="CD239" s="242"/>
    </row>
    <row r="240" spans="1:82" ht="12.75" customHeight="1">
      <c r="A240" s="238"/>
      <c r="B240" s="507"/>
      <c r="C240" s="297" t="s">
        <v>75</v>
      </c>
      <c r="D240" s="335">
        <v>1</v>
      </c>
      <c r="E240" s="335">
        <v>0</v>
      </c>
      <c r="F240" s="335">
        <v>2</v>
      </c>
      <c r="G240" s="335">
        <v>1</v>
      </c>
      <c r="H240" s="335">
        <v>2</v>
      </c>
      <c r="I240" s="335">
        <v>23</v>
      </c>
      <c r="J240" s="337">
        <v>26</v>
      </c>
      <c r="K240" s="335">
        <v>0</v>
      </c>
      <c r="L240" s="335">
        <v>88</v>
      </c>
      <c r="M240" s="326">
        <v>12</v>
      </c>
      <c r="N240" s="289"/>
      <c r="O240" s="241"/>
      <c r="P240" s="242"/>
      <c r="Q240" s="242"/>
      <c r="R240" s="242"/>
      <c r="S240" s="242"/>
      <c r="T240" s="242"/>
      <c r="U240" s="242"/>
      <c r="V240" s="242"/>
      <c r="W240" s="242"/>
      <c r="X240" s="242"/>
      <c r="Y240" s="242"/>
      <c r="Z240" s="242"/>
      <c r="AA240" s="242"/>
      <c r="AB240" s="242"/>
      <c r="AC240" s="242"/>
      <c r="AD240" s="242"/>
      <c r="AE240" s="242"/>
      <c r="AF240" s="242"/>
      <c r="AG240" s="242"/>
      <c r="AH240" s="242"/>
      <c r="AI240" s="242"/>
      <c r="AJ240" s="242"/>
      <c r="AK240" s="242"/>
      <c r="AL240" s="242"/>
      <c r="AM240" s="242"/>
      <c r="AN240" s="242"/>
      <c r="AO240" s="242"/>
      <c r="AP240" s="242"/>
      <c r="AQ240" s="242"/>
      <c r="AR240" s="242"/>
      <c r="AS240" s="242"/>
      <c r="AT240" s="242"/>
      <c r="AU240" s="242"/>
      <c r="AV240" s="242"/>
      <c r="AW240" s="242"/>
      <c r="AX240" s="242"/>
      <c r="AY240" s="242"/>
      <c r="AZ240" s="242"/>
      <c r="BA240" s="242"/>
      <c r="BB240" s="242"/>
      <c r="BC240" s="242"/>
      <c r="BD240" s="242"/>
      <c r="BE240" s="242"/>
      <c r="BF240" s="242"/>
      <c r="BG240" s="242"/>
      <c r="BH240" s="242"/>
      <c r="BI240" s="242"/>
      <c r="BJ240" s="242"/>
      <c r="BK240" s="242"/>
      <c r="BL240" s="242"/>
      <c r="BM240" s="242"/>
      <c r="BN240" s="242"/>
      <c r="BO240" s="242"/>
      <c r="BP240" s="242"/>
      <c r="BQ240" s="242"/>
      <c r="BR240" s="242"/>
      <c r="BS240" s="242"/>
      <c r="BT240" s="242"/>
      <c r="BU240" s="242"/>
      <c r="BV240" s="242"/>
      <c r="BW240" s="242"/>
      <c r="BX240" s="242"/>
      <c r="BY240" s="242"/>
      <c r="BZ240" s="242"/>
      <c r="CA240" s="242"/>
      <c r="CB240" s="242"/>
      <c r="CC240" s="242"/>
      <c r="CD240" s="242"/>
    </row>
    <row r="241" spans="1:82" ht="12.75" customHeight="1">
      <c r="A241" s="238"/>
      <c r="B241" s="507"/>
      <c r="C241" s="297" t="s">
        <v>76</v>
      </c>
      <c r="D241" s="335">
        <v>6</v>
      </c>
      <c r="E241" s="335">
        <v>4</v>
      </c>
      <c r="F241" s="335">
        <v>0</v>
      </c>
      <c r="G241" s="335">
        <v>7</v>
      </c>
      <c r="H241" s="335">
        <v>1</v>
      </c>
      <c r="I241" s="335">
        <v>1</v>
      </c>
      <c r="J241" s="337">
        <v>59</v>
      </c>
      <c r="K241" s="335">
        <v>0</v>
      </c>
      <c r="L241" s="335">
        <v>11</v>
      </c>
      <c r="M241" s="326">
        <v>12</v>
      </c>
      <c r="N241" s="289"/>
      <c r="O241" s="241"/>
      <c r="P241" s="242"/>
      <c r="Q241" s="242"/>
      <c r="R241" s="242"/>
      <c r="S241" s="242"/>
      <c r="T241" s="242"/>
      <c r="U241" s="242"/>
      <c r="V241" s="242"/>
      <c r="W241" s="242"/>
      <c r="X241" s="242"/>
      <c r="Y241" s="242"/>
      <c r="Z241" s="242"/>
      <c r="AA241" s="242"/>
      <c r="AB241" s="242"/>
      <c r="AC241" s="242"/>
      <c r="AD241" s="242"/>
      <c r="AE241" s="242"/>
      <c r="AF241" s="242"/>
      <c r="AG241" s="242"/>
      <c r="AH241" s="242"/>
      <c r="AI241" s="242"/>
      <c r="AJ241" s="242"/>
      <c r="AK241" s="242"/>
      <c r="AL241" s="242"/>
      <c r="AM241" s="242"/>
      <c r="AN241" s="242"/>
      <c r="AO241" s="242"/>
      <c r="AP241" s="242"/>
      <c r="AQ241" s="242"/>
      <c r="AR241" s="242"/>
      <c r="AS241" s="242"/>
      <c r="AT241" s="242"/>
      <c r="AU241" s="242"/>
      <c r="AV241" s="242"/>
      <c r="AW241" s="242"/>
      <c r="AX241" s="242"/>
      <c r="AY241" s="242"/>
      <c r="AZ241" s="242"/>
      <c r="BA241" s="242"/>
      <c r="BB241" s="242"/>
      <c r="BC241" s="242"/>
      <c r="BD241" s="242"/>
      <c r="BE241" s="242"/>
      <c r="BF241" s="242"/>
      <c r="BG241" s="242"/>
      <c r="BH241" s="242"/>
      <c r="BI241" s="242"/>
      <c r="BJ241" s="242"/>
      <c r="BK241" s="242"/>
      <c r="BL241" s="242"/>
      <c r="BM241" s="242"/>
      <c r="BN241" s="242"/>
      <c r="BO241" s="242"/>
      <c r="BP241" s="242"/>
      <c r="BQ241" s="242"/>
      <c r="BR241" s="242"/>
      <c r="BS241" s="242"/>
      <c r="BT241" s="242"/>
      <c r="BU241" s="242"/>
      <c r="BV241" s="242"/>
      <c r="BW241" s="242"/>
      <c r="BX241" s="242"/>
      <c r="BY241" s="242"/>
      <c r="BZ241" s="242"/>
      <c r="CA241" s="242"/>
      <c r="CB241" s="242"/>
      <c r="CC241" s="242"/>
      <c r="CD241" s="242"/>
    </row>
    <row r="242" spans="1:82" ht="12.75" customHeight="1">
      <c r="A242" s="238"/>
      <c r="B242" s="507"/>
      <c r="C242" s="297" t="s">
        <v>77</v>
      </c>
      <c r="D242" s="335">
        <v>6</v>
      </c>
      <c r="E242" s="335">
        <v>12</v>
      </c>
      <c r="F242" s="335">
        <v>4</v>
      </c>
      <c r="G242" s="335">
        <v>1</v>
      </c>
      <c r="H242" s="335">
        <v>5</v>
      </c>
      <c r="I242" s="335">
        <v>0</v>
      </c>
      <c r="J242" s="337">
        <v>152</v>
      </c>
      <c r="K242" s="335">
        <v>0</v>
      </c>
      <c r="L242" s="335">
        <v>12</v>
      </c>
      <c r="M242" s="326">
        <v>12</v>
      </c>
      <c r="N242" s="289"/>
      <c r="O242" s="241"/>
      <c r="P242" s="242"/>
      <c r="Q242" s="242"/>
      <c r="R242" s="242"/>
      <c r="S242" s="242"/>
      <c r="T242" s="242"/>
      <c r="U242" s="242"/>
      <c r="V242" s="242"/>
      <c r="W242" s="242"/>
      <c r="X242" s="242"/>
      <c r="Y242" s="242"/>
      <c r="Z242" s="242"/>
      <c r="AA242" s="242"/>
      <c r="AB242" s="242"/>
      <c r="AC242" s="242"/>
      <c r="AD242" s="242"/>
      <c r="AE242" s="242"/>
      <c r="AF242" s="242"/>
      <c r="AG242" s="242"/>
      <c r="AH242" s="242"/>
      <c r="AI242" s="242"/>
      <c r="AJ242" s="242"/>
      <c r="AK242" s="242"/>
      <c r="AL242" s="242"/>
      <c r="AM242" s="242"/>
      <c r="AN242" s="242"/>
      <c r="AO242" s="242"/>
      <c r="AP242" s="242"/>
      <c r="AQ242" s="242"/>
      <c r="AR242" s="242"/>
      <c r="AS242" s="242"/>
      <c r="AT242" s="242"/>
      <c r="AU242" s="242"/>
      <c r="AV242" s="242"/>
      <c r="AW242" s="242"/>
      <c r="AX242" s="242"/>
      <c r="AY242" s="242"/>
      <c r="AZ242" s="242"/>
      <c r="BA242" s="242"/>
      <c r="BB242" s="242"/>
      <c r="BC242" s="242"/>
      <c r="BD242" s="242"/>
      <c r="BE242" s="242"/>
      <c r="BF242" s="242"/>
      <c r="BG242" s="242"/>
      <c r="BH242" s="242"/>
      <c r="BI242" s="242"/>
      <c r="BJ242" s="242"/>
      <c r="BK242" s="242"/>
      <c r="BL242" s="242"/>
      <c r="BM242" s="242"/>
      <c r="BN242" s="242"/>
      <c r="BO242" s="242"/>
      <c r="BP242" s="242"/>
      <c r="BQ242" s="242"/>
      <c r="BR242" s="242"/>
      <c r="BS242" s="242"/>
      <c r="BT242" s="242"/>
      <c r="BU242" s="242"/>
      <c r="BV242" s="242"/>
      <c r="BW242" s="242"/>
      <c r="BX242" s="242"/>
      <c r="BY242" s="242"/>
      <c r="BZ242" s="242"/>
      <c r="CA242" s="242"/>
      <c r="CB242" s="242"/>
      <c r="CC242" s="242"/>
      <c r="CD242" s="242"/>
    </row>
    <row r="243" spans="1:82" ht="12.75" customHeight="1">
      <c r="A243" s="238"/>
      <c r="B243" s="507"/>
      <c r="C243" s="297" t="s">
        <v>78</v>
      </c>
      <c r="D243" s="335">
        <v>4</v>
      </c>
      <c r="E243" s="335">
        <f>41+26</f>
        <v>67</v>
      </c>
      <c r="F243" s="335">
        <v>33</v>
      </c>
      <c r="G243" s="335">
        <v>32</v>
      </c>
      <c r="H243" s="335">
        <v>5</v>
      </c>
      <c r="I243" s="335">
        <v>2</v>
      </c>
      <c r="J243" s="337">
        <v>799</v>
      </c>
      <c r="K243" s="335">
        <v>3</v>
      </c>
      <c r="L243" s="335">
        <f>36+59</f>
        <v>95</v>
      </c>
      <c r="M243" s="326">
        <v>12</v>
      </c>
      <c r="N243" s="289"/>
      <c r="O243" s="241"/>
      <c r="P243" s="242"/>
      <c r="Q243" s="242"/>
      <c r="R243" s="242"/>
      <c r="S243" s="242"/>
      <c r="T243" s="242"/>
      <c r="U243" s="242"/>
      <c r="V243" s="242"/>
      <c r="W243" s="242"/>
      <c r="X243" s="242"/>
      <c r="Y243" s="242"/>
      <c r="Z243" s="242"/>
      <c r="AA243" s="242"/>
      <c r="AB243" s="242"/>
      <c r="AC243" s="242"/>
      <c r="AD243" s="242"/>
      <c r="AE243" s="242"/>
      <c r="AF243" s="242"/>
      <c r="AG243" s="242"/>
      <c r="AH243" s="242"/>
      <c r="AI243" s="242"/>
      <c r="AJ243" s="242"/>
      <c r="AK243" s="242"/>
      <c r="AL243" s="242"/>
      <c r="AM243" s="242"/>
      <c r="AN243" s="242"/>
      <c r="AO243" s="242"/>
      <c r="AP243" s="242"/>
      <c r="AQ243" s="242"/>
      <c r="AR243" s="242"/>
      <c r="AS243" s="242"/>
      <c r="AT243" s="242"/>
      <c r="AU243" s="242"/>
      <c r="AV243" s="242"/>
      <c r="AW243" s="242"/>
      <c r="AX243" s="242"/>
      <c r="AY243" s="242"/>
      <c r="AZ243" s="242"/>
      <c r="BA243" s="242"/>
      <c r="BB243" s="242"/>
      <c r="BC243" s="242"/>
      <c r="BD243" s="242"/>
      <c r="BE243" s="242"/>
      <c r="BF243" s="242"/>
      <c r="BG243" s="242"/>
      <c r="BH243" s="242"/>
      <c r="BI243" s="242"/>
      <c r="BJ243" s="242"/>
      <c r="BK243" s="242"/>
      <c r="BL243" s="242"/>
      <c r="BM243" s="242"/>
      <c r="BN243" s="242"/>
      <c r="BO243" s="242"/>
      <c r="BP243" s="242"/>
      <c r="BQ243" s="242"/>
      <c r="BR243" s="242"/>
      <c r="BS243" s="242"/>
      <c r="BT243" s="242"/>
      <c r="BU243" s="242"/>
      <c r="BV243" s="242"/>
      <c r="BW243" s="242"/>
      <c r="BX243" s="242"/>
      <c r="BY243" s="242"/>
      <c r="BZ243" s="242"/>
      <c r="CA243" s="242"/>
      <c r="CB243" s="242"/>
      <c r="CC243" s="242"/>
      <c r="CD243" s="242"/>
    </row>
    <row r="244" spans="1:82" ht="12.75" customHeight="1">
      <c r="A244" s="238"/>
      <c r="B244" s="507"/>
      <c r="C244" s="261" t="s">
        <v>97</v>
      </c>
      <c r="D244" s="255" t="s">
        <v>19</v>
      </c>
      <c r="E244" s="255" t="s">
        <v>19</v>
      </c>
      <c r="F244" s="338" t="s">
        <v>19</v>
      </c>
      <c r="G244" s="338" t="s">
        <v>19</v>
      </c>
      <c r="H244" s="338" t="s">
        <v>19</v>
      </c>
      <c r="I244" s="338" t="s">
        <v>19</v>
      </c>
      <c r="J244" s="338" t="s">
        <v>19</v>
      </c>
      <c r="K244" s="338" t="s">
        <v>19</v>
      </c>
      <c r="L244" s="338" t="s">
        <v>19</v>
      </c>
      <c r="M244" s="338" t="s">
        <v>19</v>
      </c>
      <c r="N244" s="255" t="s">
        <v>19</v>
      </c>
      <c r="O244" s="241"/>
      <c r="P244" s="242"/>
      <c r="Q244" s="242"/>
      <c r="R244" s="242"/>
      <c r="S244" s="242"/>
      <c r="T244" s="242"/>
      <c r="U244" s="242"/>
      <c r="V244" s="242"/>
      <c r="W244" s="242"/>
      <c r="X244" s="242"/>
      <c r="Y244" s="242"/>
      <c r="Z244" s="242"/>
      <c r="AA244" s="242"/>
      <c r="AB244" s="242"/>
      <c r="AC244" s="242"/>
      <c r="AD244" s="242"/>
      <c r="AE244" s="242"/>
      <c r="AF244" s="242"/>
      <c r="AG244" s="242"/>
      <c r="AH244" s="242"/>
      <c r="AI244" s="242"/>
      <c r="AJ244" s="242"/>
      <c r="AK244" s="242"/>
      <c r="AL244" s="242"/>
      <c r="AM244" s="242"/>
      <c r="AN244" s="242"/>
      <c r="AO244" s="242"/>
      <c r="AP244" s="242"/>
      <c r="AQ244" s="242"/>
      <c r="AR244" s="242"/>
      <c r="AS244" s="242"/>
      <c r="AT244" s="242"/>
      <c r="AU244" s="242"/>
      <c r="AV244" s="242"/>
      <c r="AW244" s="242"/>
      <c r="AX244" s="242"/>
      <c r="AY244" s="242"/>
      <c r="AZ244" s="242"/>
      <c r="BA244" s="242"/>
      <c r="BB244" s="242"/>
      <c r="BC244" s="242"/>
      <c r="BD244" s="242"/>
      <c r="BE244" s="242"/>
      <c r="BF244" s="242"/>
      <c r="BG244" s="242"/>
      <c r="BH244" s="242"/>
      <c r="BI244" s="242"/>
      <c r="BJ244" s="242"/>
      <c r="BK244" s="242"/>
      <c r="BL244" s="242"/>
      <c r="BM244" s="242"/>
      <c r="BN244" s="242"/>
      <c r="BO244" s="242"/>
      <c r="BP244" s="242"/>
      <c r="BQ244" s="242"/>
      <c r="BR244" s="242"/>
      <c r="BS244" s="242"/>
      <c r="BT244" s="242"/>
      <c r="BU244" s="242"/>
      <c r="BV244" s="242"/>
      <c r="BW244" s="242"/>
      <c r="BX244" s="242"/>
      <c r="BY244" s="242"/>
      <c r="BZ244" s="242"/>
      <c r="CA244" s="242"/>
      <c r="CB244" s="242"/>
      <c r="CC244" s="242"/>
      <c r="CD244" s="242"/>
    </row>
    <row r="245" spans="1:82" ht="12.75" customHeight="1">
      <c r="A245" s="238"/>
      <c r="B245" s="507"/>
      <c r="C245" s="297" t="s">
        <v>79</v>
      </c>
      <c r="D245" s="335">
        <v>1</v>
      </c>
      <c r="E245" s="335">
        <f>8+1</f>
        <v>9</v>
      </c>
      <c r="F245" s="335">
        <v>0</v>
      </c>
      <c r="G245" s="335">
        <v>0</v>
      </c>
      <c r="H245" s="335">
        <v>0</v>
      </c>
      <c r="I245" s="335">
        <v>0</v>
      </c>
      <c r="J245" s="337">
        <v>67</v>
      </c>
      <c r="K245" s="335">
        <v>2</v>
      </c>
      <c r="L245" s="335">
        <v>0</v>
      </c>
      <c r="M245" s="326">
        <v>12</v>
      </c>
      <c r="N245" s="289"/>
      <c r="O245" s="241"/>
      <c r="P245" s="242"/>
      <c r="Q245" s="242"/>
      <c r="R245" s="242"/>
      <c r="S245" s="242"/>
      <c r="T245" s="242"/>
      <c r="U245" s="242"/>
      <c r="V245" s="242"/>
      <c r="W245" s="242"/>
      <c r="X245" s="242"/>
      <c r="Y245" s="242"/>
      <c r="Z245" s="242"/>
      <c r="AA245" s="242"/>
      <c r="AB245" s="242"/>
      <c r="AC245" s="242"/>
      <c r="AD245" s="242"/>
      <c r="AE245" s="242"/>
      <c r="AF245" s="242"/>
      <c r="AG245" s="242"/>
      <c r="AH245" s="242"/>
      <c r="AI245" s="242"/>
      <c r="AJ245" s="242"/>
      <c r="AK245" s="242"/>
      <c r="AL245" s="242"/>
      <c r="AM245" s="242"/>
      <c r="AN245" s="242"/>
      <c r="AO245" s="242"/>
      <c r="AP245" s="242"/>
      <c r="AQ245" s="242"/>
      <c r="AR245" s="242"/>
      <c r="AS245" s="242"/>
      <c r="AT245" s="242"/>
      <c r="AU245" s="242"/>
      <c r="AV245" s="242"/>
      <c r="AW245" s="242"/>
      <c r="AX245" s="242"/>
      <c r="AY245" s="242"/>
      <c r="AZ245" s="242"/>
      <c r="BA245" s="242"/>
      <c r="BB245" s="242"/>
      <c r="BC245" s="242"/>
      <c r="BD245" s="242"/>
      <c r="BE245" s="242"/>
      <c r="BF245" s="242"/>
      <c r="BG245" s="242"/>
      <c r="BH245" s="242"/>
      <c r="BI245" s="242"/>
      <c r="BJ245" s="242"/>
      <c r="BK245" s="242"/>
      <c r="BL245" s="242"/>
      <c r="BM245" s="242"/>
      <c r="BN245" s="242"/>
      <c r="BO245" s="242"/>
      <c r="BP245" s="242"/>
      <c r="BQ245" s="242"/>
      <c r="BR245" s="242"/>
      <c r="BS245" s="242"/>
      <c r="BT245" s="242"/>
      <c r="BU245" s="242"/>
      <c r="BV245" s="242"/>
      <c r="BW245" s="242"/>
      <c r="BX245" s="242"/>
      <c r="BY245" s="242"/>
      <c r="BZ245" s="242"/>
      <c r="CA245" s="242"/>
      <c r="CB245" s="242"/>
      <c r="CC245" s="242"/>
      <c r="CD245" s="242"/>
    </row>
    <row r="246" spans="1:82" ht="12.75" customHeight="1">
      <c r="A246" s="238"/>
      <c r="B246" s="507"/>
      <c r="C246" s="261" t="s">
        <v>98</v>
      </c>
      <c r="D246" s="255" t="s">
        <v>19</v>
      </c>
      <c r="E246" s="255" t="s">
        <v>19</v>
      </c>
      <c r="F246" s="338" t="s">
        <v>19</v>
      </c>
      <c r="G246" s="338" t="s">
        <v>19</v>
      </c>
      <c r="H246" s="338" t="s">
        <v>19</v>
      </c>
      <c r="I246" s="338" t="s">
        <v>19</v>
      </c>
      <c r="J246" s="338" t="s">
        <v>19</v>
      </c>
      <c r="K246" s="338" t="s">
        <v>19</v>
      </c>
      <c r="L246" s="338" t="s">
        <v>19</v>
      </c>
      <c r="M246" s="338" t="s">
        <v>19</v>
      </c>
      <c r="N246" s="255" t="s">
        <v>19</v>
      </c>
      <c r="O246" s="241"/>
      <c r="P246" s="242"/>
      <c r="Q246" s="242"/>
      <c r="R246" s="242"/>
      <c r="S246" s="242"/>
      <c r="T246" s="242"/>
      <c r="U246" s="242"/>
      <c r="V246" s="242"/>
      <c r="W246" s="242"/>
      <c r="X246" s="242"/>
      <c r="Y246" s="242"/>
      <c r="Z246" s="242"/>
      <c r="AA246" s="242"/>
      <c r="AB246" s="242"/>
      <c r="AC246" s="242"/>
      <c r="AD246" s="242"/>
      <c r="AE246" s="242"/>
      <c r="AF246" s="242"/>
      <c r="AG246" s="242"/>
      <c r="AH246" s="242"/>
      <c r="AI246" s="242"/>
      <c r="AJ246" s="242"/>
      <c r="AK246" s="242"/>
      <c r="AL246" s="242"/>
      <c r="AM246" s="242"/>
      <c r="AN246" s="242"/>
      <c r="AO246" s="242"/>
      <c r="AP246" s="242"/>
      <c r="AQ246" s="242"/>
      <c r="AR246" s="242"/>
      <c r="AS246" s="242"/>
      <c r="AT246" s="242"/>
      <c r="AU246" s="242"/>
      <c r="AV246" s="242"/>
      <c r="AW246" s="242"/>
      <c r="AX246" s="242"/>
      <c r="AY246" s="242"/>
      <c r="AZ246" s="242"/>
      <c r="BA246" s="242"/>
      <c r="BB246" s="242"/>
      <c r="BC246" s="242"/>
      <c r="BD246" s="242"/>
      <c r="BE246" s="242"/>
      <c r="BF246" s="242"/>
      <c r="BG246" s="242"/>
      <c r="BH246" s="242"/>
      <c r="BI246" s="242"/>
      <c r="BJ246" s="242"/>
      <c r="BK246" s="242"/>
      <c r="BL246" s="242"/>
      <c r="BM246" s="242"/>
      <c r="BN246" s="242"/>
      <c r="BO246" s="242"/>
      <c r="BP246" s="242"/>
      <c r="BQ246" s="242"/>
      <c r="BR246" s="242"/>
      <c r="BS246" s="242"/>
      <c r="BT246" s="242"/>
      <c r="BU246" s="242"/>
      <c r="BV246" s="242"/>
      <c r="BW246" s="242"/>
      <c r="BX246" s="242"/>
      <c r="BY246" s="242"/>
      <c r="BZ246" s="242"/>
      <c r="CA246" s="242"/>
      <c r="CB246" s="242"/>
      <c r="CC246" s="242"/>
      <c r="CD246" s="242"/>
    </row>
    <row r="247" spans="1:82" ht="12.75" customHeight="1">
      <c r="A247" s="238"/>
      <c r="B247" s="507"/>
      <c r="C247" s="297" t="s">
        <v>1929</v>
      </c>
      <c r="D247" s="335">
        <v>0</v>
      </c>
      <c r="E247" s="335">
        <v>0</v>
      </c>
      <c r="F247" s="335">
        <v>0</v>
      </c>
      <c r="G247" s="335">
        <v>3</v>
      </c>
      <c r="H247" s="335">
        <v>6</v>
      </c>
      <c r="I247" s="335">
        <v>0</v>
      </c>
      <c r="J247" s="335">
        <v>8</v>
      </c>
      <c r="K247" s="335">
        <v>3</v>
      </c>
      <c r="L247" s="335">
        <v>0</v>
      </c>
      <c r="M247" s="326">
        <v>10</v>
      </c>
      <c r="N247" s="289"/>
      <c r="O247" s="241"/>
      <c r="P247" s="242"/>
      <c r="Q247" s="242"/>
      <c r="R247" s="242"/>
      <c r="S247" s="242"/>
      <c r="T247" s="242"/>
      <c r="U247" s="242"/>
      <c r="V247" s="242"/>
      <c r="W247" s="242"/>
      <c r="X247" s="242"/>
      <c r="Y247" s="242"/>
      <c r="Z247" s="242"/>
      <c r="AA247" s="242"/>
      <c r="AB247" s="242"/>
      <c r="AC247" s="242"/>
      <c r="AD247" s="242"/>
      <c r="AE247" s="242"/>
      <c r="AF247" s="242"/>
      <c r="AG247" s="242"/>
      <c r="AH247" s="242"/>
      <c r="AI247" s="242"/>
      <c r="AJ247" s="242"/>
      <c r="AK247" s="242"/>
      <c r="AL247" s="242"/>
      <c r="AM247" s="242"/>
      <c r="AN247" s="242"/>
      <c r="AO247" s="242"/>
      <c r="AP247" s="242"/>
      <c r="AQ247" s="242"/>
      <c r="AR247" s="242"/>
      <c r="AS247" s="242"/>
      <c r="AT247" s="242"/>
      <c r="AU247" s="242"/>
      <c r="AV247" s="242"/>
      <c r="AW247" s="242"/>
      <c r="AX247" s="242"/>
      <c r="AY247" s="242"/>
      <c r="AZ247" s="242"/>
      <c r="BA247" s="242"/>
      <c r="BB247" s="242"/>
      <c r="BC247" s="242"/>
      <c r="BD247" s="242"/>
      <c r="BE247" s="242"/>
      <c r="BF247" s="242"/>
      <c r="BG247" s="242"/>
      <c r="BH247" s="242"/>
      <c r="BI247" s="242"/>
      <c r="BJ247" s="242"/>
      <c r="BK247" s="242"/>
      <c r="BL247" s="242"/>
      <c r="BM247" s="242"/>
      <c r="BN247" s="242"/>
      <c r="BO247" s="242"/>
      <c r="BP247" s="242"/>
      <c r="BQ247" s="242"/>
      <c r="BR247" s="242"/>
      <c r="BS247" s="242"/>
      <c r="BT247" s="242"/>
      <c r="BU247" s="242"/>
      <c r="BV247" s="242"/>
      <c r="BW247" s="242"/>
      <c r="BX247" s="242"/>
      <c r="BY247" s="242"/>
      <c r="BZ247" s="242"/>
      <c r="CA247" s="242"/>
      <c r="CB247" s="242"/>
      <c r="CC247" s="242"/>
      <c r="CD247" s="242"/>
    </row>
    <row r="248" spans="1:82" ht="12.75" customHeight="1">
      <c r="A248" s="238"/>
      <c r="B248" s="507"/>
      <c r="C248" s="297" t="s">
        <v>81</v>
      </c>
      <c r="D248" s="335">
        <v>1</v>
      </c>
      <c r="E248" s="335">
        <v>1</v>
      </c>
      <c r="F248" s="335">
        <v>0</v>
      </c>
      <c r="G248" s="335">
        <v>3</v>
      </c>
      <c r="H248" s="335">
        <v>0</v>
      </c>
      <c r="I248" s="335">
        <v>0</v>
      </c>
      <c r="J248" s="337">
        <v>50</v>
      </c>
      <c r="K248" s="335">
        <v>13</v>
      </c>
      <c r="L248" s="335">
        <v>30</v>
      </c>
      <c r="M248" s="326">
        <v>12</v>
      </c>
      <c r="N248" s="289"/>
      <c r="O248" s="241"/>
      <c r="P248" s="242"/>
      <c r="Q248" s="242"/>
      <c r="R248" s="242"/>
      <c r="S248" s="242"/>
      <c r="T248" s="242"/>
      <c r="U248" s="242"/>
      <c r="V248" s="242"/>
      <c r="W248" s="242"/>
      <c r="X248" s="242"/>
      <c r="Y248" s="242"/>
      <c r="Z248" s="242"/>
      <c r="AA248" s="242"/>
      <c r="AB248" s="242"/>
      <c r="AC248" s="242"/>
      <c r="AD248" s="242"/>
      <c r="AE248" s="242"/>
      <c r="AF248" s="242"/>
      <c r="AG248" s="242"/>
      <c r="AH248" s="242"/>
      <c r="AI248" s="242"/>
      <c r="AJ248" s="242"/>
      <c r="AK248" s="242"/>
      <c r="AL248" s="242"/>
      <c r="AM248" s="242"/>
      <c r="AN248" s="242"/>
      <c r="AO248" s="242"/>
      <c r="AP248" s="242"/>
      <c r="AQ248" s="242"/>
      <c r="AR248" s="242"/>
      <c r="AS248" s="242"/>
      <c r="AT248" s="242"/>
      <c r="AU248" s="242"/>
      <c r="AV248" s="242"/>
      <c r="AW248" s="242"/>
      <c r="AX248" s="242"/>
      <c r="AY248" s="242"/>
      <c r="AZ248" s="242"/>
      <c r="BA248" s="242"/>
      <c r="BB248" s="242"/>
      <c r="BC248" s="242"/>
      <c r="BD248" s="242"/>
      <c r="BE248" s="242"/>
      <c r="BF248" s="242"/>
      <c r="BG248" s="242"/>
      <c r="BH248" s="242"/>
      <c r="BI248" s="242"/>
      <c r="BJ248" s="242"/>
      <c r="BK248" s="242"/>
      <c r="BL248" s="242"/>
      <c r="BM248" s="242"/>
      <c r="BN248" s="242"/>
      <c r="BO248" s="242"/>
      <c r="BP248" s="242"/>
      <c r="BQ248" s="242"/>
      <c r="BR248" s="242"/>
      <c r="BS248" s="242"/>
      <c r="BT248" s="242"/>
      <c r="BU248" s="242"/>
      <c r="BV248" s="242"/>
      <c r="BW248" s="242"/>
      <c r="BX248" s="242"/>
      <c r="BY248" s="242"/>
      <c r="BZ248" s="242"/>
      <c r="CA248" s="242"/>
      <c r="CB248" s="242"/>
      <c r="CC248" s="242"/>
      <c r="CD248" s="242"/>
    </row>
    <row r="249" spans="1:82" ht="12.75" customHeight="1">
      <c r="A249" s="238"/>
      <c r="B249" s="507"/>
      <c r="C249" s="297" t="s">
        <v>82</v>
      </c>
      <c r="D249" s="335">
        <v>0</v>
      </c>
      <c r="E249" s="335">
        <v>0</v>
      </c>
      <c r="F249" s="335">
        <v>0</v>
      </c>
      <c r="G249" s="335">
        <v>0</v>
      </c>
      <c r="H249" s="335">
        <v>0</v>
      </c>
      <c r="I249" s="335">
        <v>0</v>
      </c>
      <c r="J249" s="335">
        <v>0</v>
      </c>
      <c r="K249" s="335">
        <v>0</v>
      </c>
      <c r="L249" s="335">
        <v>0</v>
      </c>
      <c r="M249" s="326">
        <v>12</v>
      </c>
      <c r="N249" s="289"/>
      <c r="O249" s="241"/>
      <c r="P249" s="242"/>
      <c r="Q249" s="242"/>
      <c r="R249" s="242"/>
      <c r="S249" s="242"/>
      <c r="T249" s="242"/>
      <c r="U249" s="242"/>
      <c r="V249" s="242"/>
      <c r="W249" s="242"/>
      <c r="X249" s="242"/>
      <c r="Y249" s="242"/>
      <c r="Z249" s="242"/>
      <c r="AA249" s="242"/>
      <c r="AB249" s="242"/>
      <c r="AC249" s="242"/>
      <c r="AD249" s="242"/>
      <c r="AE249" s="242"/>
      <c r="AF249" s="242"/>
      <c r="AG249" s="242"/>
      <c r="AH249" s="242"/>
      <c r="AI249" s="242"/>
      <c r="AJ249" s="242"/>
      <c r="AK249" s="242"/>
      <c r="AL249" s="242"/>
      <c r="AM249" s="242"/>
      <c r="AN249" s="242"/>
      <c r="AO249" s="242"/>
      <c r="AP249" s="242"/>
      <c r="AQ249" s="242"/>
      <c r="AR249" s="242"/>
      <c r="AS249" s="242"/>
      <c r="AT249" s="242"/>
      <c r="AU249" s="242"/>
      <c r="AV249" s="242"/>
      <c r="AW249" s="242"/>
      <c r="AX249" s="242"/>
      <c r="AY249" s="242"/>
      <c r="AZ249" s="242"/>
      <c r="BA249" s="242"/>
      <c r="BB249" s="242"/>
      <c r="BC249" s="242"/>
      <c r="BD249" s="242"/>
      <c r="BE249" s="242"/>
      <c r="BF249" s="242"/>
      <c r="BG249" s="242"/>
      <c r="BH249" s="242"/>
      <c r="BI249" s="242"/>
      <c r="BJ249" s="242"/>
      <c r="BK249" s="242"/>
      <c r="BL249" s="242"/>
      <c r="BM249" s="242"/>
      <c r="BN249" s="242"/>
      <c r="BO249" s="242"/>
      <c r="BP249" s="242"/>
      <c r="BQ249" s="242"/>
      <c r="BR249" s="242"/>
      <c r="BS249" s="242"/>
      <c r="BT249" s="242"/>
      <c r="BU249" s="242"/>
      <c r="BV249" s="242"/>
      <c r="BW249" s="242"/>
      <c r="BX249" s="242"/>
      <c r="BY249" s="242"/>
      <c r="BZ249" s="242"/>
      <c r="CA249" s="242"/>
      <c r="CB249" s="242"/>
      <c r="CC249" s="242"/>
      <c r="CD249" s="242"/>
    </row>
    <row r="250" spans="1:82" ht="12.75" customHeight="1">
      <c r="A250" s="238"/>
      <c r="B250" s="507"/>
      <c r="C250" s="266" t="s">
        <v>83</v>
      </c>
      <c r="D250" s="338" t="s">
        <v>19</v>
      </c>
      <c r="E250" s="338" t="s">
        <v>19</v>
      </c>
      <c r="F250" s="338" t="s">
        <v>19</v>
      </c>
      <c r="G250" s="338" t="s">
        <v>19</v>
      </c>
      <c r="H250" s="338" t="s">
        <v>19</v>
      </c>
      <c r="I250" s="338" t="s">
        <v>19</v>
      </c>
      <c r="J250" s="338" t="s">
        <v>19</v>
      </c>
      <c r="K250" s="338" t="s">
        <v>19</v>
      </c>
      <c r="L250" s="338" t="s">
        <v>19</v>
      </c>
      <c r="M250" s="338" t="s">
        <v>19</v>
      </c>
      <c r="N250" s="255" t="s">
        <v>19</v>
      </c>
      <c r="O250" s="241"/>
      <c r="P250" s="242"/>
      <c r="Q250" s="242"/>
      <c r="R250" s="242"/>
      <c r="S250" s="242"/>
      <c r="T250" s="242"/>
      <c r="U250" s="242"/>
      <c r="V250" s="242"/>
      <c r="W250" s="242"/>
      <c r="X250" s="242"/>
      <c r="Y250" s="242"/>
      <c r="Z250" s="242"/>
      <c r="AA250" s="242"/>
      <c r="AB250" s="242"/>
      <c r="AC250" s="242"/>
      <c r="AD250" s="242"/>
      <c r="AE250" s="242"/>
      <c r="AF250" s="242"/>
      <c r="AG250" s="242"/>
      <c r="AH250" s="242"/>
      <c r="AI250" s="242"/>
      <c r="AJ250" s="242"/>
      <c r="AK250" s="242"/>
      <c r="AL250" s="242"/>
      <c r="AM250" s="242"/>
      <c r="AN250" s="242"/>
      <c r="AO250" s="242"/>
      <c r="AP250" s="242"/>
      <c r="AQ250" s="242"/>
      <c r="AR250" s="242"/>
      <c r="AS250" s="242"/>
      <c r="AT250" s="242"/>
      <c r="AU250" s="242"/>
      <c r="AV250" s="242"/>
      <c r="AW250" s="242"/>
      <c r="AX250" s="242"/>
      <c r="AY250" s="242"/>
      <c r="AZ250" s="242"/>
      <c r="BA250" s="242"/>
      <c r="BB250" s="242"/>
      <c r="BC250" s="242"/>
      <c r="BD250" s="242"/>
      <c r="BE250" s="242"/>
      <c r="BF250" s="242"/>
      <c r="BG250" s="242"/>
      <c r="BH250" s="242"/>
      <c r="BI250" s="242"/>
      <c r="BJ250" s="242"/>
      <c r="BK250" s="242"/>
      <c r="BL250" s="242"/>
      <c r="BM250" s="242"/>
      <c r="BN250" s="242"/>
      <c r="BO250" s="242"/>
      <c r="BP250" s="242"/>
      <c r="BQ250" s="242"/>
      <c r="BR250" s="242"/>
      <c r="BS250" s="242"/>
      <c r="BT250" s="242"/>
      <c r="BU250" s="242"/>
      <c r="BV250" s="242"/>
      <c r="BW250" s="242"/>
      <c r="BX250" s="242"/>
      <c r="BY250" s="242"/>
      <c r="BZ250" s="242"/>
      <c r="CA250" s="242"/>
      <c r="CB250" s="242"/>
      <c r="CC250" s="242"/>
      <c r="CD250" s="242"/>
    </row>
    <row r="251" spans="1:82" ht="12.75" customHeight="1">
      <c r="A251" s="238"/>
      <c r="B251" s="507"/>
      <c r="C251" s="297" t="s">
        <v>84</v>
      </c>
      <c r="D251" s="335">
        <v>0</v>
      </c>
      <c r="E251" s="335">
        <v>30</v>
      </c>
      <c r="F251" s="335">
        <v>4</v>
      </c>
      <c r="G251" s="335">
        <v>6</v>
      </c>
      <c r="H251" s="335">
        <v>73</v>
      </c>
      <c r="I251" s="335">
        <v>49</v>
      </c>
      <c r="J251" s="335">
        <v>0</v>
      </c>
      <c r="K251" s="335">
        <v>9</v>
      </c>
      <c r="L251" s="335">
        <v>29</v>
      </c>
      <c r="M251" s="326">
        <v>12</v>
      </c>
      <c r="N251" s="289"/>
      <c r="O251" s="241"/>
      <c r="P251" s="242"/>
      <c r="Q251" s="242"/>
      <c r="R251" s="242"/>
      <c r="S251" s="242"/>
      <c r="T251" s="242"/>
      <c r="U251" s="242"/>
      <c r="V251" s="242"/>
      <c r="W251" s="242"/>
      <c r="X251" s="242"/>
      <c r="Y251" s="242"/>
      <c r="Z251" s="242"/>
      <c r="AA251" s="242"/>
      <c r="AB251" s="242"/>
      <c r="AC251" s="242"/>
      <c r="AD251" s="242"/>
      <c r="AE251" s="242"/>
      <c r="AF251" s="242"/>
      <c r="AG251" s="242"/>
      <c r="AH251" s="242"/>
      <c r="AI251" s="242"/>
      <c r="AJ251" s="242"/>
      <c r="AK251" s="242"/>
      <c r="AL251" s="242"/>
      <c r="AM251" s="242"/>
      <c r="AN251" s="242"/>
      <c r="AO251" s="242"/>
      <c r="AP251" s="242"/>
      <c r="AQ251" s="242"/>
      <c r="AR251" s="242"/>
      <c r="AS251" s="242"/>
      <c r="AT251" s="242"/>
      <c r="AU251" s="242"/>
      <c r="AV251" s="242"/>
      <c r="AW251" s="242"/>
      <c r="AX251" s="242"/>
      <c r="AY251" s="242"/>
      <c r="AZ251" s="242"/>
      <c r="BA251" s="242"/>
      <c r="BB251" s="242"/>
      <c r="BC251" s="242"/>
      <c r="BD251" s="242"/>
      <c r="BE251" s="242"/>
      <c r="BF251" s="242"/>
      <c r="BG251" s="242"/>
      <c r="BH251" s="242"/>
      <c r="BI251" s="242"/>
      <c r="BJ251" s="242"/>
      <c r="BK251" s="242"/>
      <c r="BL251" s="242"/>
      <c r="BM251" s="242"/>
      <c r="BN251" s="242"/>
      <c r="BO251" s="242"/>
      <c r="BP251" s="242"/>
      <c r="BQ251" s="242"/>
      <c r="BR251" s="242"/>
      <c r="BS251" s="242"/>
      <c r="BT251" s="242"/>
      <c r="BU251" s="242"/>
      <c r="BV251" s="242"/>
      <c r="BW251" s="242"/>
      <c r="BX251" s="242"/>
      <c r="BY251" s="242"/>
      <c r="BZ251" s="242"/>
      <c r="CA251" s="242"/>
      <c r="CB251" s="242"/>
      <c r="CC251" s="242"/>
      <c r="CD251" s="242"/>
    </row>
    <row r="252" spans="1:82" ht="12.75" customHeight="1">
      <c r="A252" s="238"/>
      <c r="B252" s="507"/>
      <c r="C252" s="297" t="s">
        <v>85</v>
      </c>
      <c r="D252" s="335">
        <v>0</v>
      </c>
      <c r="E252" s="335">
        <v>0</v>
      </c>
      <c r="F252" s="338" t="s">
        <v>19</v>
      </c>
      <c r="G252" s="338" t="s">
        <v>19</v>
      </c>
      <c r="H252" s="338" t="s">
        <v>19</v>
      </c>
      <c r="I252" s="338" t="s">
        <v>19</v>
      </c>
      <c r="J252" s="338" t="s">
        <v>19</v>
      </c>
      <c r="K252" s="338" t="s">
        <v>19</v>
      </c>
      <c r="L252" s="338" t="s">
        <v>19</v>
      </c>
      <c r="M252" s="338" t="s">
        <v>19</v>
      </c>
      <c r="N252" s="255" t="s">
        <v>19</v>
      </c>
      <c r="O252" s="241"/>
      <c r="P252" s="242"/>
      <c r="Q252" s="242"/>
      <c r="R252" s="242"/>
      <c r="S252" s="242"/>
      <c r="T252" s="242"/>
      <c r="U252" s="242"/>
      <c r="V252" s="242"/>
      <c r="W252" s="242"/>
      <c r="X252" s="242"/>
      <c r="Y252" s="242"/>
      <c r="Z252" s="242"/>
      <c r="AA252" s="242"/>
      <c r="AB252" s="242"/>
      <c r="AC252" s="242"/>
      <c r="AD252" s="242"/>
      <c r="AE252" s="242"/>
      <c r="AF252" s="242"/>
      <c r="AG252" s="242"/>
      <c r="AH252" s="242"/>
      <c r="AI252" s="242"/>
      <c r="AJ252" s="242"/>
      <c r="AK252" s="242"/>
      <c r="AL252" s="242"/>
      <c r="AM252" s="242"/>
      <c r="AN252" s="242"/>
      <c r="AO252" s="242"/>
      <c r="AP252" s="242"/>
      <c r="AQ252" s="242"/>
      <c r="AR252" s="242"/>
      <c r="AS252" s="242"/>
      <c r="AT252" s="242"/>
      <c r="AU252" s="242"/>
      <c r="AV252" s="242"/>
      <c r="AW252" s="242"/>
      <c r="AX252" s="242"/>
      <c r="AY252" s="242"/>
      <c r="AZ252" s="242"/>
      <c r="BA252" s="242"/>
      <c r="BB252" s="242"/>
      <c r="BC252" s="242"/>
      <c r="BD252" s="242"/>
      <c r="BE252" s="242"/>
      <c r="BF252" s="242"/>
      <c r="BG252" s="242"/>
      <c r="BH252" s="242"/>
      <c r="BI252" s="242"/>
      <c r="BJ252" s="242"/>
      <c r="BK252" s="242"/>
      <c r="BL252" s="242"/>
      <c r="BM252" s="242"/>
      <c r="BN252" s="242"/>
      <c r="BO252" s="242"/>
      <c r="BP252" s="242"/>
      <c r="BQ252" s="242"/>
      <c r="BR252" s="242"/>
      <c r="BS252" s="242"/>
      <c r="BT252" s="242"/>
      <c r="BU252" s="242"/>
      <c r="BV252" s="242"/>
      <c r="BW252" s="242"/>
      <c r="BX252" s="242"/>
      <c r="BY252" s="242"/>
      <c r="BZ252" s="242"/>
      <c r="CA252" s="242"/>
      <c r="CB252" s="242"/>
      <c r="CC252" s="242"/>
      <c r="CD252" s="242"/>
    </row>
    <row r="253" spans="1:82" ht="12.75" customHeight="1">
      <c r="A253" s="238"/>
      <c r="B253" s="507"/>
      <c r="C253" s="297" t="s">
        <v>86</v>
      </c>
      <c r="D253" s="335">
        <v>0</v>
      </c>
      <c r="E253" s="335">
        <v>0</v>
      </c>
      <c r="F253" s="335">
        <v>0</v>
      </c>
      <c r="G253" s="335">
        <v>0</v>
      </c>
      <c r="H253" s="335">
        <v>0</v>
      </c>
      <c r="I253" s="335">
        <v>0</v>
      </c>
      <c r="J253" s="335">
        <v>0</v>
      </c>
      <c r="K253" s="335">
        <v>0</v>
      </c>
      <c r="L253" s="335">
        <v>701</v>
      </c>
      <c r="M253" s="326">
        <v>12</v>
      </c>
      <c r="N253" s="289"/>
      <c r="O253" s="241"/>
      <c r="P253" s="242"/>
      <c r="Q253" s="242"/>
      <c r="R253" s="242"/>
      <c r="S253" s="242"/>
      <c r="T253" s="242"/>
      <c r="U253" s="242"/>
      <c r="V253" s="242"/>
      <c r="W253" s="242"/>
      <c r="X253" s="242"/>
      <c r="Y253" s="242"/>
      <c r="Z253" s="242"/>
      <c r="AA253" s="242"/>
      <c r="AB253" s="242"/>
      <c r="AC253" s="242"/>
      <c r="AD253" s="242"/>
      <c r="AE253" s="242"/>
      <c r="AF253" s="242"/>
      <c r="AG253" s="242"/>
      <c r="AH253" s="242"/>
      <c r="AI253" s="242"/>
      <c r="AJ253" s="242"/>
      <c r="AK253" s="242"/>
      <c r="AL253" s="242"/>
      <c r="AM253" s="242"/>
      <c r="AN253" s="242"/>
      <c r="AO253" s="242"/>
      <c r="AP253" s="242"/>
      <c r="AQ253" s="242"/>
      <c r="AR253" s="242"/>
      <c r="AS253" s="242"/>
      <c r="AT253" s="242"/>
      <c r="AU253" s="242"/>
      <c r="AV253" s="242"/>
      <c r="AW253" s="242"/>
      <c r="AX253" s="242"/>
      <c r="AY253" s="242"/>
      <c r="AZ253" s="242"/>
      <c r="BA253" s="242"/>
      <c r="BB253" s="242"/>
      <c r="BC253" s="242"/>
      <c r="BD253" s="242"/>
      <c r="BE253" s="242"/>
      <c r="BF253" s="242"/>
      <c r="BG253" s="242"/>
      <c r="BH253" s="242"/>
      <c r="BI253" s="242"/>
      <c r="BJ253" s="242"/>
      <c r="BK253" s="242"/>
      <c r="BL253" s="242"/>
      <c r="BM253" s="242"/>
      <c r="BN253" s="242"/>
      <c r="BO253" s="242"/>
      <c r="BP253" s="242"/>
      <c r="BQ253" s="242"/>
      <c r="BR253" s="242"/>
      <c r="BS253" s="242"/>
      <c r="BT253" s="242"/>
      <c r="BU253" s="242"/>
      <c r="BV253" s="242"/>
      <c r="BW253" s="242"/>
      <c r="BX253" s="242"/>
      <c r="BY253" s="242"/>
      <c r="BZ253" s="242"/>
      <c r="CA253" s="242"/>
      <c r="CB253" s="242"/>
      <c r="CC253" s="242"/>
      <c r="CD253" s="242"/>
    </row>
    <row r="254" spans="1:82" ht="12.75" customHeight="1">
      <c r="A254" s="238"/>
      <c r="B254" s="507"/>
      <c r="C254" s="297" t="s">
        <v>87</v>
      </c>
      <c r="D254" s="335">
        <f>53+4</f>
        <v>57</v>
      </c>
      <c r="E254" s="335">
        <v>33</v>
      </c>
      <c r="F254" s="335">
        <v>224</v>
      </c>
      <c r="G254" s="335">
        <v>88</v>
      </c>
      <c r="H254" s="335">
        <v>272</v>
      </c>
      <c r="I254" s="335">
        <v>4</v>
      </c>
      <c r="J254" s="337">
        <v>55</v>
      </c>
      <c r="K254" s="335">
        <v>0</v>
      </c>
      <c r="L254" s="335">
        <v>41</v>
      </c>
      <c r="M254" s="326">
        <v>12</v>
      </c>
      <c r="N254" s="289"/>
      <c r="O254" s="301">
        <f>SUM(D254:L254)</f>
        <v>774</v>
      </c>
      <c r="P254" s="242"/>
      <c r="Q254" s="242"/>
      <c r="R254" s="242"/>
      <c r="S254" s="242"/>
      <c r="T254" s="242"/>
      <c r="U254" s="242"/>
      <c r="V254" s="242"/>
      <c r="W254" s="242"/>
      <c r="X254" s="242"/>
      <c r="Y254" s="242"/>
      <c r="Z254" s="242"/>
      <c r="AA254" s="242"/>
      <c r="AB254" s="242"/>
      <c r="AC254" s="242"/>
      <c r="AD254" s="242"/>
      <c r="AE254" s="242"/>
      <c r="AF254" s="242"/>
      <c r="AG254" s="242"/>
      <c r="AH254" s="242"/>
      <c r="AI254" s="242"/>
      <c r="AJ254" s="242"/>
      <c r="AK254" s="242"/>
      <c r="AL254" s="242"/>
      <c r="AM254" s="242"/>
      <c r="AN254" s="242"/>
      <c r="AO254" s="242"/>
      <c r="AP254" s="242"/>
      <c r="AQ254" s="242"/>
      <c r="AR254" s="242"/>
      <c r="AS254" s="242"/>
      <c r="AT254" s="242"/>
      <c r="AU254" s="242"/>
      <c r="AV254" s="242"/>
      <c r="AW254" s="242"/>
      <c r="AX254" s="242"/>
      <c r="AY254" s="242"/>
      <c r="AZ254" s="242"/>
      <c r="BA254" s="242"/>
      <c r="BB254" s="242"/>
      <c r="BC254" s="242"/>
      <c r="BD254" s="242"/>
      <c r="BE254" s="242"/>
      <c r="BF254" s="242"/>
      <c r="BG254" s="242"/>
      <c r="BH254" s="242"/>
      <c r="BI254" s="242"/>
      <c r="BJ254" s="242"/>
      <c r="BK254" s="242"/>
      <c r="BL254" s="242"/>
      <c r="BM254" s="242"/>
      <c r="BN254" s="242"/>
      <c r="BO254" s="242"/>
      <c r="BP254" s="242"/>
      <c r="BQ254" s="242"/>
      <c r="BR254" s="242"/>
      <c r="BS254" s="242"/>
      <c r="BT254" s="242"/>
      <c r="BU254" s="242"/>
      <c r="BV254" s="242"/>
      <c r="BW254" s="242"/>
      <c r="BX254" s="242"/>
      <c r="BY254" s="242"/>
      <c r="BZ254" s="242"/>
      <c r="CA254" s="242"/>
      <c r="CB254" s="242"/>
      <c r="CC254" s="242"/>
      <c r="CD254" s="242"/>
    </row>
    <row r="255" spans="1:82" ht="12.75" customHeight="1">
      <c r="A255" s="238"/>
      <c r="B255" s="507"/>
      <c r="C255" s="297" t="s">
        <v>88</v>
      </c>
      <c r="D255" s="335">
        <v>16</v>
      </c>
      <c r="E255" s="335">
        <v>1</v>
      </c>
      <c r="F255" s="335">
        <v>8</v>
      </c>
      <c r="G255" s="335">
        <v>99</v>
      </c>
      <c r="H255" s="335">
        <v>3</v>
      </c>
      <c r="I255" s="335">
        <v>0</v>
      </c>
      <c r="J255" s="337">
        <v>110</v>
      </c>
      <c r="K255" s="335">
        <v>24</v>
      </c>
      <c r="L255" s="335">
        <v>100</v>
      </c>
      <c r="M255" s="326">
        <v>12</v>
      </c>
      <c r="N255" s="289"/>
      <c r="O255" s="241"/>
      <c r="P255" s="242"/>
      <c r="Q255" s="242"/>
      <c r="R255" s="242"/>
      <c r="S255" s="242"/>
      <c r="T255" s="242"/>
      <c r="U255" s="242"/>
      <c r="V255" s="242"/>
      <c r="W255" s="242"/>
      <c r="X255" s="242"/>
      <c r="Y255" s="242"/>
      <c r="Z255" s="242"/>
      <c r="AA255" s="242"/>
      <c r="AB255" s="242"/>
      <c r="AC255" s="242"/>
      <c r="AD255" s="242"/>
      <c r="AE255" s="242"/>
      <c r="AF255" s="242"/>
      <c r="AG255" s="242"/>
      <c r="AH255" s="242"/>
      <c r="AI255" s="242"/>
      <c r="AJ255" s="242"/>
      <c r="AK255" s="242"/>
      <c r="AL255" s="242"/>
      <c r="AM255" s="242"/>
      <c r="AN255" s="242"/>
      <c r="AO255" s="242"/>
      <c r="AP255" s="242"/>
      <c r="AQ255" s="242"/>
      <c r="AR255" s="242"/>
      <c r="AS255" s="242"/>
      <c r="AT255" s="242"/>
      <c r="AU255" s="242"/>
      <c r="AV255" s="242"/>
      <c r="AW255" s="242"/>
      <c r="AX255" s="242"/>
      <c r="AY255" s="242"/>
      <c r="AZ255" s="242"/>
      <c r="BA255" s="242"/>
      <c r="BB255" s="242"/>
      <c r="BC255" s="242"/>
      <c r="BD255" s="242"/>
      <c r="BE255" s="242"/>
      <c r="BF255" s="242"/>
      <c r="BG255" s="242"/>
      <c r="BH255" s="242"/>
      <c r="BI255" s="242"/>
      <c r="BJ255" s="242"/>
      <c r="BK255" s="242"/>
      <c r="BL255" s="242"/>
      <c r="BM255" s="242"/>
      <c r="BN255" s="242"/>
      <c r="BO255" s="242"/>
      <c r="BP255" s="242"/>
      <c r="BQ255" s="242"/>
      <c r="BR255" s="242"/>
      <c r="BS255" s="242"/>
      <c r="BT255" s="242"/>
      <c r="BU255" s="242"/>
      <c r="BV255" s="242"/>
      <c r="BW255" s="242"/>
      <c r="BX255" s="242"/>
      <c r="BY255" s="242"/>
      <c r="BZ255" s="242"/>
      <c r="CA255" s="242"/>
      <c r="CB255" s="242"/>
      <c r="CC255" s="242"/>
      <c r="CD255" s="242"/>
    </row>
    <row r="256" spans="1:82" ht="12.75" customHeight="1">
      <c r="A256" s="313"/>
      <c r="B256" s="508"/>
      <c r="C256" s="261" t="s">
        <v>1981</v>
      </c>
      <c r="D256" s="289">
        <v>0</v>
      </c>
      <c r="E256" s="289">
        <v>0</v>
      </c>
      <c r="F256" s="289">
        <v>0</v>
      </c>
      <c r="G256" s="289">
        <v>3</v>
      </c>
      <c r="H256" s="289">
        <v>6</v>
      </c>
      <c r="I256" s="289">
        <v>5</v>
      </c>
      <c r="J256" s="289">
        <v>1</v>
      </c>
      <c r="K256" s="289">
        <v>0</v>
      </c>
      <c r="L256" s="289">
        <v>0</v>
      </c>
      <c r="M256" s="326">
        <v>10</v>
      </c>
      <c r="N256" s="289"/>
      <c r="O256" s="241"/>
      <c r="P256" s="242"/>
      <c r="Q256" s="242"/>
      <c r="R256" s="242"/>
      <c r="S256" s="242"/>
      <c r="T256" s="242"/>
      <c r="U256" s="242"/>
      <c r="V256" s="242"/>
      <c r="W256" s="242"/>
      <c r="X256" s="242"/>
      <c r="Y256" s="242"/>
      <c r="Z256" s="242"/>
      <c r="AA256" s="242"/>
      <c r="AB256" s="242"/>
      <c r="AC256" s="242"/>
      <c r="AD256" s="242"/>
      <c r="AE256" s="242"/>
      <c r="AF256" s="242"/>
      <c r="AG256" s="242"/>
      <c r="AH256" s="242"/>
      <c r="AI256" s="242"/>
      <c r="AJ256" s="242"/>
      <c r="AK256" s="242"/>
      <c r="AL256" s="242"/>
      <c r="AM256" s="242"/>
      <c r="AN256" s="242"/>
      <c r="AO256" s="242"/>
      <c r="AP256" s="242"/>
      <c r="AQ256" s="242"/>
      <c r="AR256" s="242"/>
      <c r="AS256" s="242"/>
      <c r="AT256" s="242"/>
      <c r="AU256" s="242"/>
      <c r="AV256" s="242"/>
      <c r="AW256" s="242"/>
      <c r="AX256" s="242"/>
      <c r="AY256" s="242"/>
      <c r="AZ256" s="242"/>
      <c r="BA256" s="242"/>
      <c r="BB256" s="242"/>
      <c r="BC256" s="242"/>
      <c r="BD256" s="242"/>
      <c r="BE256" s="242"/>
      <c r="BF256" s="242"/>
      <c r="BG256" s="242"/>
      <c r="BH256" s="242"/>
      <c r="BI256" s="242"/>
      <c r="BJ256" s="242"/>
      <c r="BK256" s="242"/>
      <c r="BL256" s="242"/>
      <c r="BM256" s="242"/>
      <c r="BN256" s="242"/>
      <c r="BO256" s="242"/>
      <c r="BP256" s="242"/>
      <c r="BQ256" s="242"/>
      <c r="BR256" s="242"/>
      <c r="BS256" s="242"/>
      <c r="BT256" s="242"/>
      <c r="BU256" s="242"/>
      <c r="BV256" s="242"/>
      <c r="BW256" s="242"/>
      <c r="BX256" s="242"/>
      <c r="BY256" s="242"/>
      <c r="BZ256" s="242"/>
      <c r="CA256" s="242"/>
      <c r="CB256" s="242"/>
      <c r="CC256" s="242"/>
      <c r="CD256" s="242"/>
    </row>
    <row r="257" spans="1:82" ht="12.75" customHeight="1">
      <c r="A257" s="268" t="s">
        <v>1931</v>
      </c>
      <c r="B257" s="541" t="s">
        <v>1982</v>
      </c>
      <c r="C257" s="261" t="s">
        <v>89</v>
      </c>
      <c r="D257" s="289">
        <f t="shared" ref="D257:L257" si="113">SUM(D255,D238)</f>
        <v>16</v>
      </c>
      <c r="E257" s="289">
        <f t="shared" si="113"/>
        <v>1</v>
      </c>
      <c r="F257" s="289">
        <f t="shared" si="113"/>
        <v>8</v>
      </c>
      <c r="G257" s="289">
        <f t="shared" si="113"/>
        <v>99</v>
      </c>
      <c r="H257" s="289">
        <f t="shared" si="113"/>
        <v>3</v>
      </c>
      <c r="I257" s="289">
        <f t="shared" si="113"/>
        <v>0</v>
      </c>
      <c r="J257" s="289">
        <f t="shared" si="113"/>
        <v>110</v>
      </c>
      <c r="K257" s="289">
        <f t="shared" si="113"/>
        <v>24</v>
      </c>
      <c r="L257" s="289">
        <f t="shared" si="113"/>
        <v>100</v>
      </c>
      <c r="M257" s="326">
        <v>12</v>
      </c>
      <c r="N257" s="289"/>
      <c r="O257" s="241"/>
      <c r="P257" s="242"/>
      <c r="Q257" s="242"/>
      <c r="R257" s="242"/>
      <c r="S257" s="242"/>
      <c r="T257" s="242"/>
      <c r="U257" s="242"/>
      <c r="V257" s="242"/>
      <c r="W257" s="242"/>
      <c r="X257" s="242"/>
      <c r="Y257" s="242"/>
      <c r="Z257" s="242"/>
      <c r="AA257" s="242"/>
      <c r="AB257" s="242"/>
      <c r="AC257" s="242"/>
      <c r="AD257" s="242"/>
      <c r="AE257" s="242"/>
      <c r="AF257" s="242"/>
      <c r="AG257" s="242"/>
      <c r="AH257" s="242"/>
      <c r="AI257" s="242"/>
      <c r="AJ257" s="242"/>
      <c r="AK257" s="242"/>
      <c r="AL257" s="242"/>
      <c r="AM257" s="242"/>
      <c r="AN257" s="242"/>
      <c r="AO257" s="242"/>
      <c r="AP257" s="242"/>
      <c r="AQ257" s="242"/>
      <c r="AR257" s="242"/>
      <c r="AS257" s="242"/>
      <c r="AT257" s="242"/>
      <c r="AU257" s="242"/>
      <c r="AV257" s="242"/>
      <c r="AW257" s="242"/>
      <c r="AX257" s="242"/>
      <c r="AY257" s="242"/>
      <c r="AZ257" s="242"/>
      <c r="BA257" s="242"/>
      <c r="BB257" s="242"/>
      <c r="BC257" s="242"/>
      <c r="BD257" s="242"/>
      <c r="BE257" s="242"/>
      <c r="BF257" s="242"/>
      <c r="BG257" s="242"/>
      <c r="BH257" s="242"/>
      <c r="BI257" s="242"/>
      <c r="BJ257" s="242"/>
      <c r="BK257" s="242"/>
      <c r="BL257" s="242"/>
      <c r="BM257" s="242"/>
      <c r="BN257" s="242"/>
      <c r="BO257" s="242"/>
      <c r="BP257" s="242"/>
      <c r="BQ257" s="242"/>
      <c r="BR257" s="242"/>
      <c r="BS257" s="242"/>
      <c r="BT257" s="242"/>
      <c r="BU257" s="242"/>
      <c r="BV257" s="242"/>
      <c r="BW257" s="242"/>
      <c r="BX257" s="242"/>
      <c r="BY257" s="242"/>
      <c r="BZ257" s="242"/>
      <c r="CA257" s="242"/>
      <c r="CB257" s="242"/>
      <c r="CC257" s="242"/>
      <c r="CD257" s="242"/>
    </row>
    <row r="258" spans="1:82" ht="12.75" customHeight="1">
      <c r="A258" s="269" t="s">
        <v>1933</v>
      </c>
      <c r="B258" s="510"/>
      <c r="C258" s="261" t="s">
        <v>90</v>
      </c>
      <c r="D258" s="289">
        <f t="shared" ref="D258:L258" si="114">SUM(D245,D253)</f>
        <v>1</v>
      </c>
      <c r="E258" s="289">
        <f t="shared" si="114"/>
        <v>9</v>
      </c>
      <c r="F258" s="289">
        <f t="shared" si="114"/>
        <v>0</v>
      </c>
      <c r="G258" s="289">
        <f t="shared" si="114"/>
        <v>0</v>
      </c>
      <c r="H258" s="289">
        <f t="shared" si="114"/>
        <v>0</v>
      </c>
      <c r="I258" s="289">
        <f t="shared" si="114"/>
        <v>0</v>
      </c>
      <c r="J258" s="289">
        <f t="shared" si="114"/>
        <v>67</v>
      </c>
      <c r="K258" s="289">
        <f t="shared" si="114"/>
        <v>2</v>
      </c>
      <c r="L258" s="289">
        <f t="shared" si="114"/>
        <v>701</v>
      </c>
      <c r="M258" s="326">
        <v>12</v>
      </c>
      <c r="N258" s="289"/>
      <c r="O258" s="241"/>
      <c r="P258" s="242"/>
      <c r="Q258" s="242"/>
      <c r="R258" s="242"/>
      <c r="S258" s="242"/>
      <c r="T258" s="242"/>
      <c r="U258" s="242"/>
      <c r="V258" s="242"/>
      <c r="W258" s="242"/>
      <c r="X258" s="242"/>
      <c r="Y258" s="242"/>
      <c r="Z258" s="242"/>
      <c r="AA258" s="242"/>
      <c r="AB258" s="242"/>
      <c r="AC258" s="242"/>
      <c r="AD258" s="242"/>
      <c r="AE258" s="242"/>
      <c r="AF258" s="242"/>
      <c r="AG258" s="242"/>
      <c r="AH258" s="242"/>
      <c r="AI258" s="242"/>
      <c r="AJ258" s="242"/>
      <c r="AK258" s="242"/>
      <c r="AL258" s="242"/>
      <c r="AM258" s="242"/>
      <c r="AN258" s="242"/>
      <c r="AO258" s="242"/>
      <c r="AP258" s="242"/>
      <c r="AQ258" s="242"/>
      <c r="AR258" s="242"/>
      <c r="AS258" s="242"/>
      <c r="AT258" s="242"/>
      <c r="AU258" s="242"/>
      <c r="AV258" s="242"/>
      <c r="AW258" s="242"/>
      <c r="AX258" s="242"/>
      <c r="AY258" s="242"/>
      <c r="AZ258" s="242"/>
      <c r="BA258" s="242"/>
      <c r="BB258" s="242"/>
      <c r="BC258" s="242"/>
      <c r="BD258" s="242"/>
      <c r="BE258" s="242"/>
      <c r="BF258" s="242"/>
      <c r="BG258" s="242"/>
      <c r="BH258" s="242"/>
      <c r="BI258" s="242"/>
      <c r="BJ258" s="242"/>
      <c r="BK258" s="242"/>
      <c r="BL258" s="242"/>
      <c r="BM258" s="242"/>
      <c r="BN258" s="242"/>
      <c r="BO258" s="242"/>
      <c r="BP258" s="242"/>
      <c r="BQ258" s="242"/>
      <c r="BR258" s="242"/>
      <c r="BS258" s="242"/>
      <c r="BT258" s="242"/>
      <c r="BU258" s="242"/>
      <c r="BV258" s="242"/>
      <c r="BW258" s="242"/>
      <c r="BX258" s="242"/>
      <c r="BY258" s="242"/>
      <c r="BZ258" s="242"/>
      <c r="CA258" s="242"/>
      <c r="CB258" s="242"/>
      <c r="CC258" s="242"/>
      <c r="CD258" s="242"/>
    </row>
    <row r="259" spans="1:82" ht="12.75" customHeight="1">
      <c r="A259" s="268" t="s">
        <v>1934</v>
      </c>
      <c r="B259" s="507"/>
      <c r="C259" s="261" t="s">
        <v>91</v>
      </c>
      <c r="D259" s="289">
        <f t="shared" ref="D259:L259" si="115">SUM(D242,D243,D249)</f>
        <v>10</v>
      </c>
      <c r="E259" s="289">
        <f t="shared" si="115"/>
        <v>79</v>
      </c>
      <c r="F259" s="289">
        <f t="shared" si="115"/>
        <v>37</v>
      </c>
      <c r="G259" s="289">
        <f t="shared" si="115"/>
        <v>33</v>
      </c>
      <c r="H259" s="289">
        <f t="shared" si="115"/>
        <v>10</v>
      </c>
      <c r="I259" s="289">
        <f t="shared" si="115"/>
        <v>2</v>
      </c>
      <c r="J259" s="289">
        <f t="shared" si="115"/>
        <v>951</v>
      </c>
      <c r="K259" s="289">
        <f t="shared" si="115"/>
        <v>3</v>
      </c>
      <c r="L259" s="289">
        <f t="shared" si="115"/>
        <v>107</v>
      </c>
      <c r="M259" s="326">
        <v>12</v>
      </c>
      <c r="N259" s="289"/>
      <c r="O259" s="241"/>
      <c r="P259" s="242"/>
      <c r="Q259" s="242"/>
      <c r="R259" s="242"/>
      <c r="S259" s="242"/>
      <c r="T259" s="242"/>
      <c r="U259" s="242"/>
      <c r="V259" s="242"/>
      <c r="W259" s="242"/>
      <c r="X259" s="242"/>
      <c r="Y259" s="242"/>
      <c r="Z259" s="242"/>
      <c r="AA259" s="242"/>
      <c r="AB259" s="242"/>
      <c r="AC259" s="242"/>
      <c r="AD259" s="242"/>
      <c r="AE259" s="242"/>
      <c r="AF259" s="242"/>
      <c r="AG259" s="242"/>
      <c r="AH259" s="242"/>
      <c r="AI259" s="242"/>
      <c r="AJ259" s="242"/>
      <c r="AK259" s="242"/>
      <c r="AL259" s="242"/>
      <c r="AM259" s="242"/>
      <c r="AN259" s="242"/>
      <c r="AO259" s="242"/>
      <c r="AP259" s="242"/>
      <c r="AQ259" s="242"/>
      <c r="AR259" s="242"/>
      <c r="AS259" s="242"/>
      <c r="AT259" s="242"/>
      <c r="AU259" s="242"/>
      <c r="AV259" s="242"/>
      <c r="AW259" s="242"/>
      <c r="AX259" s="242"/>
      <c r="AY259" s="242"/>
      <c r="AZ259" s="242"/>
      <c r="BA259" s="242"/>
      <c r="BB259" s="242"/>
      <c r="BC259" s="242"/>
      <c r="BD259" s="242"/>
      <c r="BE259" s="242"/>
      <c r="BF259" s="242"/>
      <c r="BG259" s="242"/>
      <c r="BH259" s="242"/>
      <c r="BI259" s="242"/>
      <c r="BJ259" s="242"/>
      <c r="BK259" s="242"/>
      <c r="BL259" s="242"/>
      <c r="BM259" s="242"/>
      <c r="BN259" s="242"/>
      <c r="BO259" s="242"/>
      <c r="BP259" s="242"/>
      <c r="BQ259" s="242"/>
      <c r="BR259" s="242"/>
      <c r="BS259" s="242"/>
      <c r="BT259" s="242"/>
      <c r="BU259" s="242"/>
      <c r="BV259" s="242"/>
      <c r="BW259" s="242"/>
      <c r="BX259" s="242"/>
      <c r="BY259" s="242"/>
      <c r="BZ259" s="242"/>
      <c r="CA259" s="242"/>
      <c r="CB259" s="242"/>
      <c r="CC259" s="242"/>
      <c r="CD259" s="242"/>
    </row>
    <row r="260" spans="1:82" ht="24" customHeight="1">
      <c r="A260" s="268" t="s">
        <v>1935</v>
      </c>
      <c r="B260" s="508"/>
      <c r="C260" s="261" t="s">
        <v>93</v>
      </c>
      <c r="D260" s="289">
        <f t="shared" ref="D260:L260" si="116">SUM(D241,D236)</f>
        <v>10</v>
      </c>
      <c r="E260" s="289">
        <f t="shared" si="116"/>
        <v>4</v>
      </c>
      <c r="F260" s="289">
        <f t="shared" si="116"/>
        <v>0</v>
      </c>
      <c r="G260" s="289">
        <f t="shared" si="116"/>
        <v>7</v>
      </c>
      <c r="H260" s="289">
        <f t="shared" si="116"/>
        <v>1</v>
      </c>
      <c r="I260" s="289">
        <f t="shared" si="116"/>
        <v>1</v>
      </c>
      <c r="J260" s="289">
        <f t="shared" si="116"/>
        <v>151</v>
      </c>
      <c r="K260" s="289">
        <f t="shared" si="116"/>
        <v>0</v>
      </c>
      <c r="L260" s="289">
        <f t="shared" si="116"/>
        <v>15</v>
      </c>
      <c r="M260" s="326">
        <v>12</v>
      </c>
      <c r="N260" s="289"/>
      <c r="O260" s="241"/>
      <c r="P260" s="242"/>
      <c r="Q260" s="242"/>
      <c r="R260" s="242"/>
      <c r="S260" s="242"/>
      <c r="T260" s="242"/>
      <c r="U260" s="242"/>
      <c r="V260" s="242"/>
      <c r="W260" s="242"/>
      <c r="X260" s="242"/>
      <c r="Y260" s="242"/>
      <c r="Z260" s="242"/>
      <c r="AA260" s="242"/>
      <c r="AB260" s="242"/>
      <c r="AC260" s="242"/>
      <c r="AD260" s="242"/>
      <c r="AE260" s="242"/>
      <c r="AF260" s="242"/>
      <c r="AG260" s="242"/>
      <c r="AH260" s="242"/>
      <c r="AI260" s="242"/>
      <c r="AJ260" s="242"/>
      <c r="AK260" s="242"/>
      <c r="AL260" s="242"/>
      <c r="AM260" s="242"/>
      <c r="AN260" s="242"/>
      <c r="AO260" s="242"/>
      <c r="AP260" s="242"/>
      <c r="AQ260" s="242"/>
      <c r="AR260" s="242"/>
      <c r="AS260" s="242"/>
      <c r="AT260" s="242"/>
      <c r="AU260" s="242"/>
      <c r="AV260" s="242"/>
      <c r="AW260" s="242"/>
      <c r="AX260" s="242"/>
      <c r="AY260" s="242"/>
      <c r="AZ260" s="242"/>
      <c r="BA260" s="242"/>
      <c r="BB260" s="242"/>
      <c r="BC260" s="242"/>
      <c r="BD260" s="242"/>
      <c r="BE260" s="242"/>
      <c r="BF260" s="242"/>
      <c r="BG260" s="242"/>
      <c r="BH260" s="242"/>
      <c r="BI260" s="242"/>
      <c r="BJ260" s="242"/>
      <c r="BK260" s="242"/>
      <c r="BL260" s="242"/>
      <c r="BM260" s="242"/>
      <c r="BN260" s="242"/>
      <c r="BO260" s="242"/>
      <c r="BP260" s="242"/>
      <c r="BQ260" s="242"/>
      <c r="BR260" s="242"/>
      <c r="BS260" s="242"/>
      <c r="BT260" s="242"/>
      <c r="BU260" s="242"/>
      <c r="BV260" s="242"/>
      <c r="BW260" s="242"/>
      <c r="BX260" s="242"/>
      <c r="BY260" s="242"/>
      <c r="BZ260" s="242"/>
      <c r="CA260" s="242"/>
      <c r="CB260" s="242"/>
      <c r="CC260" s="242"/>
      <c r="CD260" s="242"/>
    </row>
    <row r="261" spans="1:82" ht="18" customHeight="1">
      <c r="A261" s="268" t="s">
        <v>1983</v>
      </c>
      <c r="B261" s="542"/>
      <c r="C261" s="258" t="s">
        <v>71</v>
      </c>
      <c r="D261" s="339">
        <f t="shared" ref="D261:L261" si="117">D237+D249</f>
        <v>0</v>
      </c>
      <c r="E261" s="339">
        <f t="shared" si="117"/>
        <v>2</v>
      </c>
      <c r="F261" s="339">
        <f t="shared" si="117"/>
        <v>0</v>
      </c>
      <c r="G261" s="339">
        <f t="shared" si="117"/>
        <v>0</v>
      </c>
      <c r="H261" s="339">
        <f t="shared" si="117"/>
        <v>0</v>
      </c>
      <c r="I261" s="339">
        <f t="shared" si="117"/>
        <v>0</v>
      </c>
      <c r="J261" s="339">
        <f t="shared" si="117"/>
        <v>89</v>
      </c>
      <c r="K261" s="339">
        <f t="shared" si="117"/>
        <v>17</v>
      </c>
      <c r="L261" s="339">
        <f t="shared" si="117"/>
        <v>88</v>
      </c>
      <c r="M261" s="326">
        <v>12</v>
      </c>
      <c r="N261" s="289"/>
      <c r="O261" s="241"/>
      <c r="P261" s="242"/>
      <c r="Q261" s="242"/>
      <c r="R261" s="242"/>
      <c r="S261" s="242"/>
      <c r="T261" s="242"/>
      <c r="U261" s="242"/>
      <c r="V261" s="242"/>
      <c r="W261" s="242"/>
      <c r="X261" s="242"/>
      <c r="Y261" s="242"/>
      <c r="Z261" s="242"/>
      <c r="AA261" s="242"/>
      <c r="AB261" s="242"/>
      <c r="AC261" s="242"/>
      <c r="AD261" s="242"/>
      <c r="AE261" s="242"/>
      <c r="AF261" s="242"/>
      <c r="AG261" s="242"/>
      <c r="AH261" s="242"/>
      <c r="AI261" s="242"/>
      <c r="AJ261" s="242"/>
      <c r="AK261" s="242"/>
      <c r="AL261" s="242"/>
      <c r="AM261" s="242"/>
      <c r="AN261" s="242"/>
      <c r="AO261" s="242"/>
      <c r="AP261" s="242"/>
      <c r="AQ261" s="242"/>
      <c r="AR261" s="242"/>
      <c r="AS261" s="242"/>
      <c r="AT261" s="242"/>
      <c r="AU261" s="242"/>
      <c r="AV261" s="242"/>
      <c r="AW261" s="242"/>
      <c r="AX261" s="242"/>
      <c r="AY261" s="242"/>
      <c r="AZ261" s="242"/>
      <c r="BA261" s="242"/>
      <c r="BB261" s="242"/>
      <c r="BC261" s="242"/>
      <c r="BD261" s="242"/>
      <c r="BE261" s="242"/>
      <c r="BF261" s="242"/>
      <c r="BG261" s="242"/>
      <c r="BH261" s="242"/>
      <c r="BI261" s="242"/>
      <c r="BJ261" s="242"/>
      <c r="BK261" s="242"/>
      <c r="BL261" s="242"/>
      <c r="BM261" s="242"/>
      <c r="BN261" s="242"/>
      <c r="BO261" s="242"/>
      <c r="BP261" s="242"/>
      <c r="BQ261" s="242"/>
      <c r="BR261" s="242"/>
      <c r="BS261" s="242"/>
      <c r="BT261" s="242"/>
      <c r="BU261" s="242"/>
      <c r="BV261" s="242"/>
      <c r="BW261" s="242"/>
      <c r="BX261" s="242"/>
      <c r="BY261" s="242"/>
      <c r="BZ261" s="242"/>
      <c r="CA261" s="242"/>
      <c r="CB261" s="242"/>
      <c r="CC261" s="242"/>
      <c r="CD261" s="242"/>
    </row>
    <row r="262" spans="1:82" ht="21" customHeight="1">
      <c r="A262" s="340" t="s">
        <v>1984</v>
      </c>
      <c r="B262" s="510"/>
      <c r="C262" s="258" t="s">
        <v>74</v>
      </c>
      <c r="D262" s="339">
        <f t="shared" ref="D262:L262" si="118">D239+D238</f>
        <v>51</v>
      </c>
      <c r="E262" s="339">
        <f t="shared" si="118"/>
        <v>3</v>
      </c>
      <c r="F262" s="339">
        <f t="shared" si="118"/>
        <v>33</v>
      </c>
      <c r="G262" s="339">
        <f t="shared" si="118"/>
        <v>50</v>
      </c>
      <c r="H262" s="339">
        <f t="shared" si="118"/>
        <v>5</v>
      </c>
      <c r="I262" s="339">
        <f t="shared" si="118"/>
        <v>36</v>
      </c>
      <c r="J262" s="339">
        <f t="shared" si="118"/>
        <v>49</v>
      </c>
      <c r="K262" s="339">
        <f t="shared" si="118"/>
        <v>59</v>
      </c>
      <c r="L262" s="339">
        <f t="shared" si="118"/>
        <v>86</v>
      </c>
      <c r="M262" s="326">
        <v>12</v>
      </c>
      <c r="N262" s="289"/>
      <c r="O262" s="241"/>
      <c r="P262" s="242"/>
      <c r="Q262" s="242"/>
      <c r="R262" s="242"/>
      <c r="S262" s="242"/>
      <c r="T262" s="242"/>
      <c r="U262" s="242"/>
      <c r="V262" s="242"/>
      <c r="W262" s="242"/>
      <c r="X262" s="242"/>
      <c r="Y262" s="242"/>
      <c r="Z262" s="242"/>
      <c r="AA262" s="242"/>
      <c r="AB262" s="242"/>
      <c r="AC262" s="242"/>
      <c r="AD262" s="242"/>
      <c r="AE262" s="242"/>
      <c r="AF262" s="242"/>
      <c r="AG262" s="242"/>
      <c r="AH262" s="242"/>
      <c r="AI262" s="242"/>
      <c r="AJ262" s="242"/>
      <c r="AK262" s="242"/>
      <c r="AL262" s="242"/>
      <c r="AM262" s="242"/>
      <c r="AN262" s="242"/>
      <c r="AO262" s="242"/>
      <c r="AP262" s="242"/>
      <c r="AQ262" s="242"/>
      <c r="AR262" s="242"/>
      <c r="AS262" s="242"/>
      <c r="AT262" s="242"/>
      <c r="AU262" s="242"/>
      <c r="AV262" s="242"/>
      <c r="AW262" s="242"/>
      <c r="AX262" s="242"/>
      <c r="AY262" s="242"/>
      <c r="AZ262" s="242"/>
      <c r="BA262" s="242"/>
      <c r="BB262" s="242"/>
      <c r="BC262" s="242"/>
      <c r="BD262" s="242"/>
      <c r="BE262" s="242"/>
      <c r="BF262" s="242"/>
      <c r="BG262" s="242"/>
      <c r="BH262" s="242"/>
      <c r="BI262" s="242"/>
      <c r="BJ262" s="242"/>
      <c r="BK262" s="242"/>
      <c r="BL262" s="242"/>
      <c r="BM262" s="242"/>
      <c r="BN262" s="242"/>
      <c r="BO262" s="242"/>
      <c r="BP262" s="242"/>
      <c r="BQ262" s="242"/>
      <c r="BR262" s="242"/>
      <c r="BS262" s="242"/>
      <c r="BT262" s="242"/>
      <c r="BU262" s="242"/>
      <c r="BV262" s="242"/>
      <c r="BW262" s="242"/>
      <c r="BX262" s="242"/>
      <c r="BY262" s="242"/>
      <c r="BZ262" s="242"/>
      <c r="CA262" s="242"/>
      <c r="CB262" s="242"/>
      <c r="CC262" s="242"/>
      <c r="CD262" s="242"/>
    </row>
    <row r="263" spans="1:82" ht="21" customHeight="1">
      <c r="A263" s="341" t="s">
        <v>1985</v>
      </c>
      <c r="B263" s="508"/>
      <c r="C263" s="258" t="s">
        <v>81</v>
      </c>
      <c r="D263" s="339">
        <f t="shared" ref="D263:L263" si="119">D248+D253</f>
        <v>1</v>
      </c>
      <c r="E263" s="339">
        <f t="shared" si="119"/>
        <v>1</v>
      </c>
      <c r="F263" s="339">
        <f t="shared" si="119"/>
        <v>0</v>
      </c>
      <c r="G263" s="339">
        <f t="shared" si="119"/>
        <v>3</v>
      </c>
      <c r="H263" s="339">
        <f t="shared" si="119"/>
        <v>0</v>
      </c>
      <c r="I263" s="339">
        <f t="shared" si="119"/>
        <v>0</v>
      </c>
      <c r="J263" s="339">
        <f t="shared" si="119"/>
        <v>50</v>
      </c>
      <c r="K263" s="339">
        <f t="shared" si="119"/>
        <v>13</v>
      </c>
      <c r="L263" s="339">
        <f t="shared" si="119"/>
        <v>731</v>
      </c>
      <c r="M263" s="326">
        <v>12</v>
      </c>
      <c r="N263" s="289"/>
      <c r="O263" s="241"/>
      <c r="P263" s="242"/>
      <c r="Q263" s="242"/>
      <c r="R263" s="323"/>
      <c r="S263" s="323"/>
      <c r="T263" s="323"/>
      <c r="U263" s="323"/>
      <c r="V263" s="323"/>
      <c r="W263" s="323"/>
      <c r="X263" s="323"/>
      <c r="Y263" s="323"/>
      <c r="Z263" s="323"/>
      <c r="AA263" s="323"/>
      <c r="AB263" s="323"/>
      <c r="AC263" s="323"/>
      <c r="AD263" s="323"/>
      <c r="AE263" s="323"/>
      <c r="AF263" s="323"/>
      <c r="AG263" s="323"/>
      <c r="AH263" s="323"/>
      <c r="AI263" s="323"/>
      <c r="AJ263" s="323"/>
      <c r="AK263" s="323"/>
      <c r="AL263" s="323"/>
      <c r="AM263" s="323"/>
      <c r="AN263" s="323"/>
      <c r="AO263" s="323"/>
      <c r="AP263" s="323"/>
      <c r="AQ263" s="323"/>
      <c r="AR263" s="323"/>
      <c r="AS263" s="323"/>
      <c r="AT263" s="323"/>
      <c r="AU263" s="323"/>
      <c r="AV263" s="323"/>
      <c r="AW263" s="323"/>
      <c r="AX263" s="323"/>
      <c r="AY263" s="323"/>
      <c r="AZ263" s="323"/>
      <c r="BA263" s="323"/>
      <c r="BB263" s="323"/>
      <c r="BC263" s="323"/>
      <c r="BD263" s="323"/>
      <c r="BE263" s="323"/>
      <c r="BF263" s="323"/>
      <c r="BG263" s="323"/>
      <c r="BH263" s="323"/>
      <c r="BI263" s="323"/>
      <c r="BJ263" s="323"/>
      <c r="BK263" s="323"/>
      <c r="BL263" s="323"/>
      <c r="BM263" s="323"/>
      <c r="BN263" s="323"/>
      <c r="BO263" s="323"/>
      <c r="BP263" s="323"/>
      <c r="BQ263" s="323"/>
      <c r="BR263" s="323"/>
      <c r="BS263" s="323"/>
      <c r="BT263" s="323"/>
      <c r="BU263" s="323"/>
      <c r="BV263" s="323"/>
      <c r="BW263" s="323"/>
      <c r="BX263" s="323"/>
      <c r="BY263" s="323"/>
      <c r="BZ263" s="323"/>
      <c r="CA263" s="323"/>
      <c r="CB263" s="323"/>
      <c r="CC263" s="323"/>
      <c r="CD263" s="323"/>
    </row>
    <row r="264" spans="1:82" ht="12.75" hidden="1" customHeight="1">
      <c r="A264" s="242"/>
      <c r="B264" s="294"/>
      <c r="C264" s="294"/>
      <c r="D264" s="294"/>
      <c r="E264" s="294"/>
      <c r="F264" s="294"/>
      <c r="G264" s="294"/>
      <c r="H264" s="285"/>
      <c r="I264" s="285"/>
      <c r="J264" s="294"/>
      <c r="K264" s="294"/>
      <c r="L264" s="294"/>
      <c r="M264" s="294"/>
      <c r="N264" s="294"/>
      <c r="O264" s="242"/>
      <c r="P264" s="242"/>
      <c r="Q264" s="242"/>
      <c r="R264" s="321"/>
      <c r="S264" s="321"/>
      <c r="T264" s="321"/>
      <c r="U264" s="321"/>
      <c r="V264" s="321"/>
      <c r="W264" s="321"/>
      <c r="X264" s="321"/>
      <c r="Y264" s="321"/>
      <c r="Z264" s="321"/>
      <c r="AA264" s="321"/>
      <c r="AB264" s="321"/>
      <c r="AC264" s="321"/>
      <c r="AD264" s="321"/>
      <c r="AE264" s="321"/>
      <c r="AF264" s="321"/>
      <c r="AG264" s="321"/>
      <c r="AH264" s="321"/>
      <c r="AI264" s="321"/>
      <c r="AJ264" s="321"/>
      <c r="AK264" s="321"/>
      <c r="AL264" s="321"/>
      <c r="AM264" s="321"/>
      <c r="AN264" s="321"/>
      <c r="AO264" s="321"/>
      <c r="AP264" s="321"/>
      <c r="AQ264" s="321"/>
      <c r="AR264" s="321"/>
      <c r="AS264" s="321"/>
      <c r="AT264" s="321"/>
      <c r="AU264" s="321"/>
      <c r="AV264" s="321"/>
      <c r="AW264" s="321"/>
      <c r="AX264" s="321"/>
      <c r="AY264" s="321"/>
      <c r="AZ264" s="321"/>
      <c r="BA264" s="321"/>
      <c r="BB264" s="321"/>
      <c r="BC264" s="321"/>
      <c r="BD264" s="321"/>
      <c r="BE264" s="321"/>
      <c r="BF264" s="321"/>
      <c r="BG264" s="321"/>
      <c r="BH264" s="321"/>
      <c r="BI264" s="321"/>
      <c r="BJ264" s="321"/>
      <c r="BK264" s="321"/>
      <c r="BL264" s="321"/>
      <c r="BM264" s="321"/>
      <c r="BN264" s="321"/>
      <c r="BO264" s="321"/>
      <c r="BP264" s="321"/>
      <c r="BQ264" s="321"/>
      <c r="BR264" s="321"/>
      <c r="BS264" s="321"/>
      <c r="BT264" s="321"/>
      <c r="BU264" s="321"/>
      <c r="BV264" s="321"/>
      <c r="BW264" s="321"/>
      <c r="BX264" s="321"/>
      <c r="BY264" s="321"/>
      <c r="BZ264" s="321"/>
      <c r="CA264" s="321"/>
      <c r="CB264" s="321"/>
      <c r="CC264" s="321"/>
      <c r="CD264" s="321"/>
    </row>
    <row r="265" spans="1:82" ht="12.75" customHeight="1">
      <c r="A265" s="242"/>
      <c r="B265" s="342"/>
      <c r="C265" s="543" t="s">
        <v>1938</v>
      </c>
      <c r="D265" s="544" t="s">
        <v>1986</v>
      </c>
      <c r="E265" s="503"/>
      <c r="F265" s="504"/>
      <c r="G265" s="504"/>
      <c r="H265" s="504"/>
      <c r="I265" s="504"/>
      <c r="J265" s="504"/>
      <c r="K265" s="504"/>
      <c r="L265" s="504"/>
      <c r="M265" s="505"/>
      <c r="N265" s="543" t="s">
        <v>1956</v>
      </c>
      <c r="O265" s="241"/>
      <c r="P265" s="242"/>
      <c r="Q265" s="315"/>
      <c r="R265" s="343"/>
      <c r="S265" s="344"/>
      <c r="T265" s="343"/>
      <c r="U265" s="345"/>
      <c r="V265" s="345"/>
      <c r="W265" s="345"/>
      <c r="X265" s="346"/>
      <c r="Y265" s="346"/>
      <c r="Z265" s="345"/>
      <c r="AA265" s="345"/>
      <c r="AB265" s="345"/>
      <c r="AC265" s="345"/>
      <c r="AD265" s="345"/>
      <c r="AE265" s="345"/>
      <c r="AF265" s="345"/>
      <c r="AG265" s="345"/>
      <c r="AH265" s="343"/>
      <c r="AI265" s="343"/>
      <c r="AJ265" s="343"/>
      <c r="AK265" s="343"/>
      <c r="AL265" s="343"/>
      <c r="AM265" s="343"/>
      <c r="AN265" s="343"/>
      <c r="AO265" s="343"/>
      <c r="AP265" s="343"/>
      <c r="AQ265" s="343"/>
      <c r="AR265" s="343"/>
      <c r="AS265" s="343"/>
      <c r="AT265" s="343"/>
      <c r="AU265" s="343"/>
      <c r="AV265" s="343"/>
      <c r="AW265" s="343"/>
      <c r="AX265" s="343"/>
      <c r="AY265" s="343"/>
      <c r="AZ265" s="343"/>
      <c r="BA265" s="343"/>
      <c r="BB265" s="343"/>
      <c r="BC265" s="343"/>
      <c r="BD265" s="343"/>
      <c r="BE265" s="343"/>
      <c r="BF265" s="343"/>
      <c r="BG265" s="343"/>
      <c r="BH265" s="343"/>
      <c r="BI265" s="343"/>
      <c r="BJ265" s="343"/>
      <c r="BK265" s="343"/>
      <c r="BL265" s="343"/>
      <c r="BM265" s="343"/>
      <c r="BN265" s="343"/>
      <c r="BO265" s="343"/>
      <c r="BP265" s="343"/>
      <c r="BQ265" s="343"/>
      <c r="BR265" s="343"/>
      <c r="BS265" s="343"/>
      <c r="BT265" s="343"/>
      <c r="BU265" s="343"/>
      <c r="BV265" s="343"/>
      <c r="BW265" s="343"/>
      <c r="BX265" s="343"/>
      <c r="BY265" s="343"/>
      <c r="BZ265" s="343"/>
      <c r="CA265" s="343"/>
      <c r="CB265" s="343"/>
      <c r="CC265" s="343"/>
      <c r="CD265" s="347"/>
    </row>
    <row r="266" spans="1:82" ht="12.75" customHeight="1">
      <c r="A266" s="242"/>
      <c r="B266" s="238"/>
      <c r="C266" s="521"/>
      <c r="D266" s="240" t="s">
        <v>1941</v>
      </c>
      <c r="E266" s="240" t="s">
        <v>1942</v>
      </c>
      <c r="F266" s="240" t="s">
        <v>1943</v>
      </c>
      <c r="G266" s="240" t="s">
        <v>1944</v>
      </c>
      <c r="H266" s="240" t="s">
        <v>1945</v>
      </c>
      <c r="I266" s="240" t="s">
        <v>1946</v>
      </c>
      <c r="J266" s="240" t="s">
        <v>1947</v>
      </c>
      <c r="K266" s="240" t="s">
        <v>1948</v>
      </c>
      <c r="L266" s="240" t="s">
        <v>1957</v>
      </c>
      <c r="M266" s="240" t="s">
        <v>1958</v>
      </c>
      <c r="N266" s="521"/>
      <c r="O266" s="241"/>
      <c r="P266" s="242"/>
      <c r="Q266" s="315"/>
      <c r="R266" s="343"/>
      <c r="S266" s="348" t="s">
        <v>1987</v>
      </c>
      <c r="T266" s="349" t="s">
        <v>1988</v>
      </c>
      <c r="U266" s="545" t="s">
        <v>1989</v>
      </c>
      <c r="V266" s="546"/>
      <c r="W266" s="547"/>
      <c r="X266" s="350">
        <v>3</v>
      </c>
      <c r="Y266" s="350">
        <v>2</v>
      </c>
      <c r="Z266" s="350">
        <v>1</v>
      </c>
      <c r="AA266" s="350">
        <v>0</v>
      </c>
      <c r="AB266" s="351"/>
      <c r="AC266" s="352"/>
      <c r="AD266" s="352"/>
      <c r="AE266" s="350">
        <v>3</v>
      </c>
      <c r="AF266" s="350">
        <v>2</v>
      </c>
      <c r="AG266" s="350">
        <v>1</v>
      </c>
      <c r="AH266" s="350">
        <v>0</v>
      </c>
      <c r="AI266" s="349" t="s">
        <v>1990</v>
      </c>
      <c r="AJ266" s="343"/>
      <c r="AK266" s="350">
        <v>3</v>
      </c>
      <c r="AL266" s="350">
        <v>2</v>
      </c>
      <c r="AM266" s="350">
        <v>1</v>
      </c>
      <c r="AN266" s="350">
        <v>0</v>
      </c>
      <c r="AO266" s="353"/>
      <c r="AP266" s="353"/>
      <c r="AQ266" s="353"/>
      <c r="AR266" s="343"/>
      <c r="AS266" s="343"/>
      <c r="AT266" s="343"/>
      <c r="AU266" s="343"/>
      <c r="AV266" s="343"/>
      <c r="AW266" s="343"/>
      <c r="AX266" s="343"/>
      <c r="AY266" s="343"/>
      <c r="AZ266" s="343"/>
      <c r="BA266" s="343"/>
      <c r="BB266" s="343"/>
      <c r="BC266" s="343"/>
      <c r="BD266" s="343"/>
      <c r="BE266" s="343"/>
      <c r="BF266" s="343"/>
      <c r="BG266" s="343"/>
      <c r="BH266" s="343"/>
      <c r="BI266" s="343"/>
      <c r="BJ266" s="343"/>
      <c r="BK266" s="343"/>
      <c r="BL266" s="343"/>
      <c r="BM266" s="343"/>
      <c r="BN266" s="343"/>
      <c r="BO266" s="343"/>
      <c r="BP266" s="343"/>
      <c r="BQ266" s="343"/>
      <c r="BR266" s="343"/>
      <c r="BS266" s="343"/>
      <c r="BT266" s="343"/>
      <c r="BU266" s="343"/>
      <c r="BV266" s="343"/>
      <c r="BW266" s="343"/>
      <c r="BX266" s="343"/>
      <c r="BY266" s="343"/>
      <c r="BZ266" s="343"/>
      <c r="CA266" s="343"/>
      <c r="CB266" s="343"/>
      <c r="CC266" s="343"/>
      <c r="CD266" s="347"/>
    </row>
    <row r="267" spans="1:82" ht="46.5" hidden="1" customHeight="1">
      <c r="A267" s="242"/>
      <c r="B267" s="238"/>
      <c r="C267" s="297" t="s">
        <v>44</v>
      </c>
      <c r="D267" s="295" t="e">
        <f t="shared" ref="D267:D289" si="120">IF(D221/N221&lt;$AN$267,0,IF(D221/N221&lt;$AM$267,1,IF(D221/N221&lt;$AL$267,2,3)))</f>
        <v>#DIV/0!</v>
      </c>
      <c r="E267" s="295" t="e">
        <f t="shared" ref="E267:E289" si="121">IF(E221/N221&lt;$AN$268,0,IF(E221/N221&lt;$AM$268,1,IF(E221/N221&lt;$AL$268,2,3)))</f>
        <v>#DIV/0!</v>
      </c>
      <c r="F267" s="295" t="e">
        <f t="shared" ref="F267:F289" si="122">IF(F221/N221&lt;$AN$269,0,IF(F221/N221&lt;$AM$269,1,IF(F221/N221&lt;$AL$269,2,3)))</f>
        <v>#DIV/0!</v>
      </c>
      <c r="G267" s="295" t="e">
        <f t="shared" ref="G267:G289" si="123">IF(G221/N221&lt;$AN$270,0,IF(G221/N221&lt;$AM$270,1,IF(G221/N221&lt;$AL$270,2,3)))</f>
        <v>#DIV/0!</v>
      </c>
      <c r="H267" s="295" t="e">
        <f t="shared" ref="H267:H289" si="124">IF(H221/N221&lt;$AN$271,0,IF(H221/N221&lt;$AM$271,1,IF(H221/N221&lt;$AL$271,2,3)))</f>
        <v>#DIV/0!</v>
      </c>
      <c r="I267" s="295" t="e">
        <f t="shared" ref="I267:I289" si="125">IF(I221/N221&lt;$AN$272,0,IF(I221/N221&lt;$AM$272,1,IF(I221/N221&lt;$AL$272,2,3)))</f>
        <v>#DIV/0!</v>
      </c>
      <c r="J267" s="295" t="e">
        <f t="shared" ref="J267:J289" si="126">IF(J221/N221&lt;$AN$273,0,IF(J221/N221&lt;$AM$273,1,IF(J221/N221&lt;$AL$273,2,3)))</f>
        <v>#DIV/0!</v>
      </c>
      <c r="K267" s="295" t="e">
        <f t="shared" ref="K267:K289" si="127">IF(K221/N221&lt;$AN$274,0,IF(K221/N221&lt;$AM$274,1,IF(K221/N221&lt;$AL$274,2,3)))</f>
        <v>#DIV/0!</v>
      </c>
      <c r="L267" s="295">
        <f t="shared" ref="L267:L309" si="128">IF(L221&lt;$AN$275,0,IF(L221=$AM$275,1,IF(L221&lt;$AL$275,2,3)))</f>
        <v>3</v>
      </c>
      <c r="M267" s="295">
        <f t="shared" ref="M267:M309" si="129">IF(M221&lt;$AN$276,0,IF(M221&lt;$AM$276,1,IF(M221&lt;$AL$276,2,3)))</f>
        <v>3</v>
      </c>
      <c r="N267" s="295" t="e">
        <f t="shared" ref="N267:N309" si="130">AVERAGE(D267:M267)</f>
        <v>#DIV/0!</v>
      </c>
      <c r="O267" s="241"/>
      <c r="P267" s="242"/>
      <c r="Q267" s="315"/>
      <c r="R267" s="343"/>
      <c r="S267" s="354">
        <v>1</v>
      </c>
      <c r="T267" s="355" t="s">
        <v>1941</v>
      </c>
      <c r="U267" s="548" t="s">
        <v>1991</v>
      </c>
      <c r="V267" s="551"/>
      <c r="W267" s="552"/>
      <c r="X267" s="356" t="s">
        <v>1992</v>
      </c>
      <c r="Y267" s="357" t="s">
        <v>1993</v>
      </c>
      <c r="Z267" s="357" t="s">
        <v>1994</v>
      </c>
      <c r="AA267" s="357" t="s">
        <v>1995</v>
      </c>
      <c r="AB267" s="548" t="s">
        <v>1996</v>
      </c>
      <c r="AC267" s="549"/>
      <c r="AD267" s="550"/>
      <c r="AE267" s="356" t="s">
        <v>1992</v>
      </c>
      <c r="AF267" s="357" t="s">
        <v>1993</v>
      </c>
      <c r="AG267" s="357" t="s">
        <v>1994</v>
      </c>
      <c r="AH267" s="357" t="s">
        <v>1997</v>
      </c>
      <c r="AI267" s="343"/>
      <c r="AJ267" s="343"/>
      <c r="AK267" s="343"/>
      <c r="AL267" s="358">
        <v>0.01</v>
      </c>
      <c r="AM267" s="359">
        <v>5.0000000000000001E-3</v>
      </c>
      <c r="AN267" s="359">
        <v>1E-3</v>
      </c>
      <c r="AO267" s="343"/>
      <c r="AP267" s="343"/>
      <c r="AQ267" s="343"/>
      <c r="AR267" s="343"/>
      <c r="AS267" s="343"/>
      <c r="AT267" s="343"/>
      <c r="AU267" s="343"/>
      <c r="AV267" s="343"/>
      <c r="AW267" s="343"/>
      <c r="AX267" s="343"/>
      <c r="AY267" s="343"/>
      <c r="AZ267" s="343"/>
      <c r="BA267" s="343"/>
      <c r="BB267" s="343"/>
      <c r="BC267" s="343"/>
      <c r="BD267" s="343"/>
      <c r="BE267" s="343"/>
      <c r="BF267" s="343"/>
      <c r="BG267" s="343"/>
      <c r="BH267" s="343"/>
      <c r="BI267" s="343"/>
      <c r="BJ267" s="343"/>
      <c r="BK267" s="343"/>
      <c r="BL267" s="343"/>
      <c r="BM267" s="343"/>
      <c r="BN267" s="343"/>
      <c r="BO267" s="343"/>
      <c r="BP267" s="343"/>
      <c r="BQ267" s="343"/>
      <c r="BR267" s="343"/>
      <c r="BS267" s="343"/>
      <c r="BT267" s="343"/>
      <c r="BU267" s="343"/>
      <c r="BV267" s="343"/>
      <c r="BW267" s="343"/>
      <c r="BX267" s="343"/>
      <c r="BY267" s="343"/>
      <c r="BZ267" s="343"/>
      <c r="CA267" s="343"/>
      <c r="CB267" s="343"/>
      <c r="CC267" s="343"/>
      <c r="CD267" s="347"/>
    </row>
    <row r="268" spans="1:82" ht="21.75" hidden="1" customHeight="1">
      <c r="A268" s="242"/>
      <c r="B268" s="238"/>
      <c r="C268" s="247" t="s">
        <v>49</v>
      </c>
      <c r="D268" s="295" t="e">
        <f t="shared" si="120"/>
        <v>#DIV/0!</v>
      </c>
      <c r="E268" s="295" t="e">
        <f t="shared" si="121"/>
        <v>#DIV/0!</v>
      </c>
      <c r="F268" s="295" t="e">
        <f t="shared" si="122"/>
        <v>#DIV/0!</v>
      </c>
      <c r="G268" s="295" t="e">
        <f t="shared" si="123"/>
        <v>#DIV/0!</v>
      </c>
      <c r="H268" s="295" t="e">
        <f t="shared" si="124"/>
        <v>#DIV/0!</v>
      </c>
      <c r="I268" s="295" t="e">
        <f t="shared" si="125"/>
        <v>#DIV/0!</v>
      </c>
      <c r="J268" s="295" t="e">
        <f t="shared" si="126"/>
        <v>#DIV/0!</v>
      </c>
      <c r="K268" s="295" t="e">
        <f t="shared" si="127"/>
        <v>#DIV/0!</v>
      </c>
      <c r="L268" s="295">
        <f t="shared" si="128"/>
        <v>3</v>
      </c>
      <c r="M268" s="295">
        <f t="shared" si="129"/>
        <v>3</v>
      </c>
      <c r="N268" s="295" t="e">
        <f t="shared" si="130"/>
        <v>#DIV/0!</v>
      </c>
      <c r="O268" s="241"/>
      <c r="P268" s="242"/>
      <c r="Q268" s="315"/>
      <c r="R268" s="343"/>
      <c r="S268" s="354">
        <v>2</v>
      </c>
      <c r="T268" s="355" t="s">
        <v>1942</v>
      </c>
      <c r="U268" s="548" t="s">
        <v>1998</v>
      </c>
      <c r="V268" s="551"/>
      <c r="W268" s="552"/>
      <c r="X268" s="356" t="s">
        <v>1999</v>
      </c>
      <c r="Y268" s="356" t="s">
        <v>2000</v>
      </c>
      <c r="Z268" s="356" t="s">
        <v>2001</v>
      </c>
      <c r="AA268" s="357" t="s">
        <v>2002</v>
      </c>
      <c r="AB268" s="548" t="s">
        <v>2003</v>
      </c>
      <c r="AC268" s="549"/>
      <c r="AD268" s="550"/>
      <c r="AE268" s="357" t="s">
        <v>2004</v>
      </c>
      <c r="AF268" s="357" t="s">
        <v>2005</v>
      </c>
      <c r="AG268" s="357" t="s">
        <v>2006</v>
      </c>
      <c r="AH268" s="357" t="s">
        <v>2007</v>
      </c>
      <c r="AI268" s="360" t="s">
        <v>2008</v>
      </c>
      <c r="AJ268" s="343"/>
      <c r="AK268" s="343"/>
      <c r="AL268" s="358">
        <v>0.1</v>
      </c>
      <c r="AM268" s="358">
        <v>0.05</v>
      </c>
      <c r="AN268" s="359">
        <v>2.5000000000000001E-2</v>
      </c>
      <c r="AO268" s="343"/>
      <c r="AP268" s="343"/>
      <c r="AQ268" s="343"/>
      <c r="AR268" s="343"/>
      <c r="AS268" s="343"/>
      <c r="AT268" s="343"/>
      <c r="AU268" s="343"/>
      <c r="AV268" s="343"/>
      <c r="AW268" s="343"/>
      <c r="AX268" s="343"/>
      <c r="AY268" s="343"/>
      <c r="AZ268" s="343"/>
      <c r="BA268" s="343"/>
      <c r="BB268" s="343"/>
      <c r="BC268" s="343"/>
      <c r="BD268" s="343"/>
      <c r="BE268" s="343"/>
      <c r="BF268" s="343"/>
      <c r="BG268" s="343"/>
      <c r="BH268" s="343"/>
      <c r="BI268" s="343"/>
      <c r="BJ268" s="343"/>
      <c r="BK268" s="343"/>
      <c r="BL268" s="343"/>
      <c r="BM268" s="343"/>
      <c r="BN268" s="343"/>
      <c r="BO268" s="343"/>
      <c r="BP268" s="343"/>
      <c r="BQ268" s="343"/>
      <c r="BR268" s="343"/>
      <c r="BS268" s="343"/>
      <c r="BT268" s="343"/>
      <c r="BU268" s="343"/>
      <c r="BV268" s="343"/>
      <c r="BW268" s="343"/>
      <c r="BX268" s="343"/>
      <c r="BY268" s="343"/>
      <c r="BZ268" s="343"/>
      <c r="CA268" s="343"/>
      <c r="CB268" s="343"/>
      <c r="CC268" s="343"/>
      <c r="CD268" s="347"/>
    </row>
    <row r="269" spans="1:82" ht="21.75" hidden="1" customHeight="1">
      <c r="A269" s="242"/>
      <c r="B269" s="238"/>
      <c r="C269" s="247" t="s">
        <v>51</v>
      </c>
      <c r="D269" s="295" t="e">
        <f t="shared" si="120"/>
        <v>#DIV/0!</v>
      </c>
      <c r="E269" s="295" t="e">
        <f t="shared" si="121"/>
        <v>#DIV/0!</v>
      </c>
      <c r="F269" s="295" t="e">
        <f t="shared" si="122"/>
        <v>#DIV/0!</v>
      </c>
      <c r="G269" s="295" t="e">
        <f t="shared" si="123"/>
        <v>#DIV/0!</v>
      </c>
      <c r="H269" s="295" t="e">
        <f t="shared" si="124"/>
        <v>#DIV/0!</v>
      </c>
      <c r="I269" s="295" t="e">
        <f t="shared" si="125"/>
        <v>#DIV/0!</v>
      </c>
      <c r="J269" s="295" t="e">
        <f t="shared" si="126"/>
        <v>#DIV/0!</v>
      </c>
      <c r="K269" s="295" t="e">
        <f t="shared" si="127"/>
        <v>#DIV/0!</v>
      </c>
      <c r="L269" s="295">
        <f t="shared" si="128"/>
        <v>3</v>
      </c>
      <c r="M269" s="295">
        <f t="shared" si="129"/>
        <v>3</v>
      </c>
      <c r="N269" s="295" t="e">
        <f t="shared" si="130"/>
        <v>#DIV/0!</v>
      </c>
      <c r="O269" s="241"/>
      <c r="P269" s="242"/>
      <c r="Q269" s="315"/>
      <c r="R269" s="343"/>
      <c r="S269" s="354">
        <v>3</v>
      </c>
      <c r="T269" s="355" t="s">
        <v>1943</v>
      </c>
      <c r="U269" s="548" t="s">
        <v>2009</v>
      </c>
      <c r="V269" s="551"/>
      <c r="W269" s="552"/>
      <c r="X269" s="356" t="s">
        <v>1992</v>
      </c>
      <c r="Y269" s="357" t="s">
        <v>1993</v>
      </c>
      <c r="Z269" s="357" t="s">
        <v>1994</v>
      </c>
      <c r="AA269" s="357" t="s">
        <v>2010</v>
      </c>
      <c r="AB269" s="548" t="s">
        <v>2011</v>
      </c>
      <c r="AC269" s="549"/>
      <c r="AD269" s="550"/>
      <c r="AE269" s="357" t="s">
        <v>2012</v>
      </c>
      <c r="AF269" s="357" t="s">
        <v>2013</v>
      </c>
      <c r="AG269" s="357" t="s">
        <v>2014</v>
      </c>
      <c r="AH269" s="357" t="s">
        <v>2015</v>
      </c>
      <c r="AI269" s="361" t="s">
        <v>2016</v>
      </c>
      <c r="AJ269" s="343"/>
      <c r="AK269" s="356" t="s">
        <v>2017</v>
      </c>
      <c r="AL269" s="358">
        <v>0.02</v>
      </c>
      <c r="AM269" s="358">
        <v>0.01</v>
      </c>
      <c r="AN269" s="359">
        <v>2E-3</v>
      </c>
      <c r="AO269" s="343"/>
      <c r="AP269" s="343"/>
      <c r="AQ269" s="343"/>
      <c r="AR269" s="343"/>
      <c r="AS269" s="343"/>
      <c r="AT269" s="343"/>
      <c r="AU269" s="343"/>
      <c r="AV269" s="343"/>
      <c r="AW269" s="343"/>
      <c r="AX269" s="343"/>
      <c r="AY269" s="343"/>
      <c r="AZ269" s="343"/>
      <c r="BA269" s="343"/>
      <c r="BB269" s="343"/>
      <c r="BC269" s="343"/>
      <c r="BD269" s="343"/>
      <c r="BE269" s="343"/>
      <c r="BF269" s="343"/>
      <c r="BG269" s="343"/>
      <c r="BH269" s="343"/>
      <c r="BI269" s="343"/>
      <c r="BJ269" s="343"/>
      <c r="BK269" s="343"/>
      <c r="BL269" s="343"/>
      <c r="BM269" s="343"/>
      <c r="BN269" s="343"/>
      <c r="BO269" s="343"/>
      <c r="BP269" s="343"/>
      <c r="BQ269" s="343"/>
      <c r="BR269" s="343"/>
      <c r="BS269" s="343"/>
      <c r="BT269" s="343"/>
      <c r="BU269" s="343"/>
      <c r="BV269" s="343"/>
      <c r="BW269" s="343"/>
      <c r="BX269" s="343"/>
      <c r="BY269" s="343"/>
      <c r="BZ269" s="343"/>
      <c r="CA269" s="343"/>
      <c r="CB269" s="343"/>
      <c r="CC269" s="343"/>
      <c r="CD269" s="347"/>
    </row>
    <row r="270" spans="1:82" ht="21.75" hidden="1" customHeight="1">
      <c r="A270" s="242"/>
      <c r="B270" s="238"/>
      <c r="C270" s="247" t="s">
        <v>50</v>
      </c>
      <c r="D270" s="295" t="e">
        <f t="shared" si="120"/>
        <v>#DIV/0!</v>
      </c>
      <c r="E270" s="295" t="e">
        <f t="shared" si="121"/>
        <v>#DIV/0!</v>
      </c>
      <c r="F270" s="295" t="e">
        <f t="shared" si="122"/>
        <v>#DIV/0!</v>
      </c>
      <c r="G270" s="295" t="e">
        <f t="shared" si="123"/>
        <v>#DIV/0!</v>
      </c>
      <c r="H270" s="295" t="e">
        <f t="shared" si="124"/>
        <v>#DIV/0!</v>
      </c>
      <c r="I270" s="295" t="e">
        <f t="shared" si="125"/>
        <v>#DIV/0!</v>
      </c>
      <c r="J270" s="295" t="e">
        <f t="shared" si="126"/>
        <v>#DIV/0!</v>
      </c>
      <c r="K270" s="295" t="e">
        <f t="shared" si="127"/>
        <v>#DIV/0!</v>
      </c>
      <c r="L270" s="295">
        <f t="shared" si="128"/>
        <v>3</v>
      </c>
      <c r="M270" s="295">
        <f t="shared" si="129"/>
        <v>3</v>
      </c>
      <c r="N270" s="295" t="e">
        <f t="shared" si="130"/>
        <v>#DIV/0!</v>
      </c>
      <c r="O270" s="241"/>
      <c r="P270" s="242"/>
      <c r="Q270" s="315"/>
      <c r="R270" s="343"/>
      <c r="S270" s="354">
        <v>4</v>
      </c>
      <c r="T270" s="355" t="s">
        <v>1944</v>
      </c>
      <c r="U270" s="548" t="s">
        <v>2018</v>
      </c>
      <c r="V270" s="551"/>
      <c r="W270" s="552"/>
      <c r="X270" s="356" t="s">
        <v>1999</v>
      </c>
      <c r="Y270" s="356" t="s">
        <v>2000</v>
      </c>
      <c r="Z270" s="356" t="s">
        <v>2001</v>
      </c>
      <c r="AA270" s="357" t="s">
        <v>2002</v>
      </c>
      <c r="AB270" s="548" t="s">
        <v>2019</v>
      </c>
      <c r="AC270" s="549"/>
      <c r="AD270" s="550"/>
      <c r="AE270" s="356" t="s">
        <v>1992</v>
      </c>
      <c r="AF270" s="356" t="s">
        <v>2020</v>
      </c>
      <c r="AG270" s="356" t="s">
        <v>2021</v>
      </c>
      <c r="AH270" s="357" t="s">
        <v>2022</v>
      </c>
      <c r="AI270" s="343"/>
      <c r="AJ270" s="343"/>
      <c r="AK270" s="343"/>
      <c r="AL270" s="358">
        <v>0.01</v>
      </c>
      <c r="AM270" s="359">
        <v>5.0000000000000001E-3</v>
      </c>
      <c r="AN270" s="359">
        <v>2.5000000000000001E-3</v>
      </c>
      <c r="AO270" s="343"/>
      <c r="AP270" s="343"/>
      <c r="AQ270" s="343"/>
      <c r="AR270" s="343"/>
      <c r="AS270" s="343"/>
      <c r="AT270" s="343"/>
      <c r="AU270" s="343"/>
      <c r="AV270" s="343"/>
      <c r="AW270" s="343"/>
      <c r="AX270" s="343"/>
      <c r="AY270" s="343"/>
      <c r="AZ270" s="343"/>
      <c r="BA270" s="343"/>
      <c r="BB270" s="343"/>
      <c r="BC270" s="343"/>
      <c r="BD270" s="343"/>
      <c r="BE270" s="343"/>
      <c r="BF270" s="343"/>
      <c r="BG270" s="343"/>
      <c r="BH270" s="343"/>
      <c r="BI270" s="343"/>
      <c r="BJ270" s="343"/>
      <c r="BK270" s="343"/>
      <c r="BL270" s="343"/>
      <c r="BM270" s="343"/>
      <c r="BN270" s="343"/>
      <c r="BO270" s="343"/>
      <c r="BP270" s="343"/>
      <c r="BQ270" s="343"/>
      <c r="BR270" s="343"/>
      <c r="BS270" s="343"/>
      <c r="BT270" s="343"/>
      <c r="BU270" s="343"/>
      <c r="BV270" s="343"/>
      <c r="BW270" s="343"/>
      <c r="BX270" s="343"/>
      <c r="BY270" s="343"/>
      <c r="BZ270" s="343"/>
      <c r="CA270" s="343"/>
      <c r="CB270" s="343"/>
      <c r="CC270" s="343"/>
      <c r="CD270" s="347"/>
    </row>
    <row r="271" spans="1:82" ht="21.75" hidden="1" customHeight="1">
      <c r="A271" s="242"/>
      <c r="B271" s="238"/>
      <c r="C271" s="247" t="s">
        <v>119</v>
      </c>
      <c r="D271" s="295" t="e">
        <f t="shared" si="120"/>
        <v>#DIV/0!</v>
      </c>
      <c r="E271" s="295" t="e">
        <f t="shared" si="121"/>
        <v>#DIV/0!</v>
      </c>
      <c r="F271" s="295" t="e">
        <f t="shared" si="122"/>
        <v>#DIV/0!</v>
      </c>
      <c r="G271" s="295" t="e">
        <f t="shared" si="123"/>
        <v>#DIV/0!</v>
      </c>
      <c r="H271" s="295" t="e">
        <f t="shared" si="124"/>
        <v>#DIV/0!</v>
      </c>
      <c r="I271" s="295" t="e">
        <f t="shared" si="125"/>
        <v>#DIV/0!</v>
      </c>
      <c r="J271" s="295" t="e">
        <f t="shared" si="126"/>
        <v>#DIV/0!</v>
      </c>
      <c r="K271" s="295" t="e">
        <f t="shared" si="127"/>
        <v>#DIV/0!</v>
      </c>
      <c r="L271" s="295">
        <f t="shared" si="128"/>
        <v>3</v>
      </c>
      <c r="M271" s="295">
        <f t="shared" si="129"/>
        <v>3</v>
      </c>
      <c r="N271" s="295" t="e">
        <f t="shared" si="130"/>
        <v>#DIV/0!</v>
      </c>
      <c r="O271" s="241"/>
      <c r="P271" s="242"/>
      <c r="Q271" s="315"/>
      <c r="R271" s="343"/>
      <c r="S271" s="354">
        <v>5</v>
      </c>
      <c r="T271" s="355" t="s">
        <v>1945</v>
      </c>
      <c r="U271" s="548" t="s">
        <v>2023</v>
      </c>
      <c r="V271" s="551"/>
      <c r="W271" s="552"/>
      <c r="X271" s="356" t="s">
        <v>1992</v>
      </c>
      <c r="Y271" s="357" t="s">
        <v>1993</v>
      </c>
      <c r="Z271" s="357" t="s">
        <v>1994</v>
      </c>
      <c r="AA271" s="357" t="s">
        <v>2010</v>
      </c>
      <c r="AB271" s="548" t="s">
        <v>2024</v>
      </c>
      <c r="AC271" s="549"/>
      <c r="AD271" s="550"/>
      <c r="AE271" s="356" t="s">
        <v>1992</v>
      </c>
      <c r="AF271" s="357" t="s">
        <v>1993</v>
      </c>
      <c r="AG271" s="357" t="s">
        <v>1994</v>
      </c>
      <c r="AH271" s="357" t="s">
        <v>2010</v>
      </c>
      <c r="AI271" s="343"/>
      <c r="AJ271" s="343"/>
      <c r="AK271" s="343"/>
      <c r="AL271" s="358">
        <v>0.01</v>
      </c>
      <c r="AM271" s="359">
        <v>5.0000000000000001E-3</v>
      </c>
      <c r="AN271" s="359">
        <v>1E-3</v>
      </c>
      <c r="AO271" s="343"/>
      <c r="AP271" s="343"/>
      <c r="AQ271" s="343"/>
      <c r="AR271" s="343"/>
      <c r="AS271" s="343"/>
      <c r="AT271" s="343"/>
      <c r="AU271" s="343"/>
      <c r="AV271" s="343"/>
      <c r="AW271" s="343"/>
      <c r="AX271" s="343"/>
      <c r="AY271" s="343"/>
      <c r="AZ271" s="343"/>
      <c r="BA271" s="343"/>
      <c r="BB271" s="343"/>
      <c r="BC271" s="343"/>
      <c r="BD271" s="343"/>
      <c r="BE271" s="343"/>
      <c r="BF271" s="343"/>
      <c r="BG271" s="343"/>
      <c r="BH271" s="343"/>
      <c r="BI271" s="343"/>
      <c r="BJ271" s="343"/>
      <c r="BK271" s="343"/>
      <c r="BL271" s="343"/>
      <c r="BM271" s="343"/>
      <c r="BN271" s="343"/>
      <c r="BO271" s="343"/>
      <c r="BP271" s="343"/>
      <c r="BQ271" s="343"/>
      <c r="BR271" s="343"/>
      <c r="BS271" s="343"/>
      <c r="BT271" s="343"/>
      <c r="BU271" s="343"/>
      <c r="BV271" s="343"/>
      <c r="BW271" s="343"/>
      <c r="BX271" s="343"/>
      <c r="BY271" s="343"/>
      <c r="BZ271" s="343"/>
      <c r="CA271" s="343"/>
      <c r="CB271" s="343"/>
      <c r="CC271" s="343"/>
      <c r="CD271" s="347"/>
    </row>
    <row r="272" spans="1:82" ht="21.75" hidden="1" customHeight="1">
      <c r="A272" s="242"/>
      <c r="B272" s="238"/>
      <c r="C272" s="247" t="s">
        <v>120</v>
      </c>
      <c r="D272" s="295" t="e">
        <f t="shared" si="120"/>
        <v>#DIV/0!</v>
      </c>
      <c r="E272" s="295" t="e">
        <f t="shared" si="121"/>
        <v>#DIV/0!</v>
      </c>
      <c r="F272" s="295" t="e">
        <f t="shared" si="122"/>
        <v>#DIV/0!</v>
      </c>
      <c r="G272" s="295" t="e">
        <f t="shared" si="123"/>
        <v>#DIV/0!</v>
      </c>
      <c r="H272" s="295" t="e">
        <f t="shared" si="124"/>
        <v>#DIV/0!</v>
      </c>
      <c r="I272" s="295" t="e">
        <f t="shared" si="125"/>
        <v>#DIV/0!</v>
      </c>
      <c r="J272" s="295" t="e">
        <f t="shared" si="126"/>
        <v>#DIV/0!</v>
      </c>
      <c r="K272" s="295" t="e">
        <f t="shared" si="127"/>
        <v>#DIV/0!</v>
      </c>
      <c r="L272" s="295">
        <f t="shared" si="128"/>
        <v>3</v>
      </c>
      <c r="M272" s="295">
        <f t="shared" si="129"/>
        <v>3</v>
      </c>
      <c r="N272" s="295" t="e">
        <f t="shared" si="130"/>
        <v>#DIV/0!</v>
      </c>
      <c r="O272" s="241"/>
      <c r="P272" s="242"/>
      <c r="Q272" s="315"/>
      <c r="R272" s="343"/>
      <c r="S272" s="354">
        <v>6</v>
      </c>
      <c r="T272" s="355" t="s">
        <v>1946</v>
      </c>
      <c r="U272" s="548" t="s">
        <v>2025</v>
      </c>
      <c r="V272" s="551"/>
      <c r="W272" s="552"/>
      <c r="X272" s="356" t="s">
        <v>1992</v>
      </c>
      <c r="Y272" s="357" t="s">
        <v>1993</v>
      </c>
      <c r="Z272" s="357" t="s">
        <v>1994</v>
      </c>
      <c r="AA272" s="357" t="s">
        <v>2010</v>
      </c>
      <c r="AB272" s="548" t="s">
        <v>2026</v>
      </c>
      <c r="AC272" s="549"/>
      <c r="AD272" s="550"/>
      <c r="AE272" s="356" t="s">
        <v>1992</v>
      </c>
      <c r="AF272" s="357" t="s">
        <v>1993</v>
      </c>
      <c r="AG272" s="357" t="s">
        <v>1994</v>
      </c>
      <c r="AH272" s="357" t="s">
        <v>2010</v>
      </c>
      <c r="AI272" s="343"/>
      <c r="AJ272" s="343"/>
      <c r="AK272" s="343"/>
      <c r="AL272" s="358">
        <v>0.01</v>
      </c>
      <c r="AM272" s="359">
        <v>5.0000000000000001E-3</v>
      </c>
      <c r="AN272" s="359">
        <v>1E-3</v>
      </c>
      <c r="AO272" s="343"/>
      <c r="AP272" s="343"/>
      <c r="AQ272" s="343"/>
      <c r="AR272" s="343"/>
      <c r="AS272" s="343"/>
      <c r="AT272" s="343"/>
      <c r="AU272" s="343"/>
      <c r="AV272" s="343"/>
      <c r="AW272" s="343"/>
      <c r="AX272" s="343"/>
      <c r="AY272" s="343"/>
      <c r="AZ272" s="343"/>
      <c r="BA272" s="343"/>
      <c r="BB272" s="343"/>
      <c r="BC272" s="343"/>
      <c r="BD272" s="343"/>
      <c r="BE272" s="343"/>
      <c r="BF272" s="343"/>
      <c r="BG272" s="343"/>
      <c r="BH272" s="343"/>
      <c r="BI272" s="343"/>
      <c r="BJ272" s="343"/>
      <c r="BK272" s="343"/>
      <c r="BL272" s="343"/>
      <c r="BM272" s="343"/>
      <c r="BN272" s="343"/>
      <c r="BO272" s="343"/>
      <c r="BP272" s="343"/>
      <c r="BQ272" s="343"/>
      <c r="BR272" s="343"/>
      <c r="BS272" s="343"/>
      <c r="BT272" s="343"/>
      <c r="BU272" s="343"/>
      <c r="BV272" s="343"/>
      <c r="BW272" s="343"/>
      <c r="BX272" s="343"/>
      <c r="BY272" s="343"/>
      <c r="BZ272" s="343"/>
      <c r="CA272" s="343"/>
      <c r="CB272" s="343"/>
      <c r="CC272" s="343"/>
      <c r="CD272" s="347"/>
    </row>
    <row r="273" spans="1:82" ht="21.75" hidden="1" customHeight="1">
      <c r="A273" s="242"/>
      <c r="B273" s="238"/>
      <c r="C273" s="247" t="s">
        <v>1927</v>
      </c>
      <c r="D273" s="295" t="e">
        <f t="shared" si="120"/>
        <v>#DIV/0!</v>
      </c>
      <c r="E273" s="295" t="e">
        <f t="shared" si="121"/>
        <v>#DIV/0!</v>
      </c>
      <c r="F273" s="295" t="e">
        <f t="shared" si="122"/>
        <v>#DIV/0!</v>
      </c>
      <c r="G273" s="295" t="e">
        <f t="shared" si="123"/>
        <v>#DIV/0!</v>
      </c>
      <c r="H273" s="295" t="e">
        <f t="shared" si="124"/>
        <v>#DIV/0!</v>
      </c>
      <c r="I273" s="295" t="e">
        <f t="shared" si="125"/>
        <v>#DIV/0!</v>
      </c>
      <c r="J273" s="295" t="e">
        <f t="shared" si="126"/>
        <v>#DIV/0!</v>
      </c>
      <c r="K273" s="295" t="e">
        <f t="shared" si="127"/>
        <v>#DIV/0!</v>
      </c>
      <c r="L273" s="295">
        <f t="shared" si="128"/>
        <v>3</v>
      </c>
      <c r="M273" s="295">
        <f t="shared" si="129"/>
        <v>3</v>
      </c>
      <c r="N273" s="295" t="e">
        <f t="shared" si="130"/>
        <v>#DIV/0!</v>
      </c>
      <c r="O273" s="241"/>
      <c r="P273" s="242"/>
      <c r="Q273" s="315"/>
      <c r="R273" s="343"/>
      <c r="S273" s="354">
        <v>7</v>
      </c>
      <c r="T273" s="355" t="s">
        <v>1947</v>
      </c>
      <c r="U273" s="548" t="s">
        <v>2027</v>
      </c>
      <c r="V273" s="551"/>
      <c r="W273" s="552"/>
      <c r="X273" s="356" t="s">
        <v>1992</v>
      </c>
      <c r="Y273" s="357" t="s">
        <v>1993</v>
      </c>
      <c r="Z273" s="357" t="s">
        <v>1994</v>
      </c>
      <c r="AA273" s="357" t="s">
        <v>2010</v>
      </c>
      <c r="AB273" s="548" t="s">
        <v>2028</v>
      </c>
      <c r="AC273" s="549"/>
      <c r="AD273" s="550"/>
      <c r="AE273" s="356" t="s">
        <v>1992</v>
      </c>
      <c r="AF273" s="357" t="s">
        <v>1993</v>
      </c>
      <c r="AG273" s="357" t="s">
        <v>1994</v>
      </c>
      <c r="AH273" s="357" t="s">
        <v>2010</v>
      </c>
      <c r="AI273" s="343"/>
      <c r="AJ273" s="343"/>
      <c r="AK273" s="343"/>
      <c r="AL273" s="358">
        <v>0.01</v>
      </c>
      <c r="AM273" s="359">
        <v>5.0000000000000001E-3</v>
      </c>
      <c r="AN273" s="359">
        <v>1E-3</v>
      </c>
      <c r="AO273" s="343"/>
      <c r="AP273" s="343"/>
      <c r="AQ273" s="343"/>
      <c r="AR273" s="343"/>
      <c r="AS273" s="343"/>
      <c r="AT273" s="343"/>
      <c r="AU273" s="343"/>
      <c r="AV273" s="343"/>
      <c r="AW273" s="343"/>
      <c r="AX273" s="343"/>
      <c r="AY273" s="343"/>
      <c r="AZ273" s="343"/>
      <c r="BA273" s="343"/>
      <c r="BB273" s="343"/>
      <c r="BC273" s="343"/>
      <c r="BD273" s="343"/>
      <c r="BE273" s="343"/>
      <c r="BF273" s="343"/>
      <c r="BG273" s="343"/>
      <c r="BH273" s="343"/>
      <c r="BI273" s="343"/>
      <c r="BJ273" s="343"/>
      <c r="BK273" s="343"/>
      <c r="BL273" s="343"/>
      <c r="BM273" s="343"/>
      <c r="BN273" s="343"/>
      <c r="BO273" s="343"/>
      <c r="BP273" s="343"/>
      <c r="BQ273" s="343"/>
      <c r="BR273" s="343"/>
      <c r="BS273" s="343"/>
      <c r="BT273" s="343"/>
      <c r="BU273" s="343"/>
      <c r="BV273" s="343"/>
      <c r="BW273" s="343"/>
      <c r="BX273" s="343"/>
      <c r="BY273" s="343"/>
      <c r="BZ273" s="343"/>
      <c r="CA273" s="343"/>
      <c r="CB273" s="343"/>
      <c r="CC273" s="343"/>
      <c r="CD273" s="347"/>
    </row>
    <row r="274" spans="1:82" ht="21.75" hidden="1" customHeight="1">
      <c r="A274" s="242"/>
      <c r="B274" s="238"/>
      <c r="C274" s="247" t="s">
        <v>121</v>
      </c>
      <c r="D274" s="295" t="e">
        <f t="shared" si="120"/>
        <v>#DIV/0!</v>
      </c>
      <c r="E274" s="295" t="e">
        <f t="shared" si="121"/>
        <v>#DIV/0!</v>
      </c>
      <c r="F274" s="295" t="e">
        <f t="shared" si="122"/>
        <v>#DIV/0!</v>
      </c>
      <c r="G274" s="295" t="e">
        <f t="shared" si="123"/>
        <v>#DIV/0!</v>
      </c>
      <c r="H274" s="295" t="e">
        <f t="shared" si="124"/>
        <v>#DIV/0!</v>
      </c>
      <c r="I274" s="295" t="e">
        <f t="shared" si="125"/>
        <v>#DIV/0!</v>
      </c>
      <c r="J274" s="295" t="e">
        <f t="shared" si="126"/>
        <v>#DIV/0!</v>
      </c>
      <c r="K274" s="295" t="e">
        <f t="shared" si="127"/>
        <v>#DIV/0!</v>
      </c>
      <c r="L274" s="295">
        <f t="shared" si="128"/>
        <v>3</v>
      </c>
      <c r="M274" s="295">
        <f t="shared" si="129"/>
        <v>3</v>
      </c>
      <c r="N274" s="295" t="e">
        <f t="shared" si="130"/>
        <v>#DIV/0!</v>
      </c>
      <c r="O274" s="241"/>
      <c r="P274" s="242"/>
      <c r="Q274" s="315"/>
      <c r="R274" s="343"/>
      <c r="S274" s="354">
        <v>8</v>
      </c>
      <c r="T274" s="355" t="s">
        <v>1948</v>
      </c>
      <c r="U274" s="548" t="s">
        <v>2029</v>
      </c>
      <c r="V274" s="551"/>
      <c r="W274" s="552"/>
      <c r="X274" s="356" t="s">
        <v>1999</v>
      </c>
      <c r="Y274" s="356" t="s">
        <v>2000</v>
      </c>
      <c r="Z274" s="356" t="s">
        <v>2001</v>
      </c>
      <c r="AA274" s="357" t="s">
        <v>2002</v>
      </c>
      <c r="AB274" s="548" t="s">
        <v>2030</v>
      </c>
      <c r="AC274" s="549"/>
      <c r="AD274" s="550"/>
      <c r="AE274" s="356" t="s">
        <v>1992</v>
      </c>
      <c r="AF274" s="356" t="s">
        <v>2020</v>
      </c>
      <c r="AG274" s="356" t="s">
        <v>2021</v>
      </c>
      <c r="AH274" s="357" t="s">
        <v>2022</v>
      </c>
      <c r="AI274" s="343"/>
      <c r="AJ274" s="343"/>
      <c r="AK274" s="343"/>
      <c r="AL274" s="358">
        <v>0.01</v>
      </c>
      <c r="AM274" s="359">
        <v>5.0000000000000001E-3</v>
      </c>
      <c r="AN274" s="359">
        <v>2.5000000000000001E-3</v>
      </c>
      <c r="AO274" s="343"/>
      <c r="AP274" s="343"/>
      <c r="AQ274" s="343"/>
      <c r="AR274" s="343"/>
      <c r="AS274" s="343"/>
      <c r="AT274" s="343"/>
      <c r="AU274" s="343"/>
      <c r="AV274" s="343"/>
      <c r="AW274" s="343"/>
      <c r="AX274" s="343"/>
      <c r="AY274" s="343"/>
      <c r="AZ274" s="343"/>
      <c r="BA274" s="343"/>
      <c r="BB274" s="343"/>
      <c r="BC274" s="343"/>
      <c r="BD274" s="343"/>
      <c r="BE274" s="343"/>
      <c r="BF274" s="343"/>
      <c r="BG274" s="343"/>
      <c r="BH274" s="343"/>
      <c r="BI274" s="343"/>
      <c r="BJ274" s="343"/>
      <c r="BK274" s="343"/>
      <c r="BL274" s="343"/>
      <c r="BM274" s="343"/>
      <c r="BN274" s="343"/>
      <c r="BO274" s="343"/>
      <c r="BP274" s="343"/>
      <c r="BQ274" s="343"/>
      <c r="BR274" s="343"/>
      <c r="BS274" s="343"/>
      <c r="BT274" s="343"/>
      <c r="BU274" s="343"/>
      <c r="BV274" s="343"/>
      <c r="BW274" s="343"/>
      <c r="BX274" s="343"/>
      <c r="BY274" s="343"/>
      <c r="BZ274" s="343"/>
      <c r="CA274" s="343"/>
      <c r="CB274" s="343"/>
      <c r="CC274" s="343"/>
      <c r="CD274" s="347"/>
    </row>
    <row r="275" spans="1:82" ht="21.75" hidden="1" customHeight="1">
      <c r="A275" s="242"/>
      <c r="B275" s="238"/>
      <c r="C275" s="247" t="s">
        <v>1928</v>
      </c>
      <c r="D275" s="295" t="e">
        <f t="shared" si="120"/>
        <v>#DIV/0!</v>
      </c>
      <c r="E275" s="295" t="e">
        <f t="shared" si="121"/>
        <v>#DIV/0!</v>
      </c>
      <c r="F275" s="295" t="e">
        <f t="shared" si="122"/>
        <v>#DIV/0!</v>
      </c>
      <c r="G275" s="295" t="e">
        <f t="shared" si="123"/>
        <v>#DIV/0!</v>
      </c>
      <c r="H275" s="295" t="e">
        <f t="shared" si="124"/>
        <v>#DIV/0!</v>
      </c>
      <c r="I275" s="295" t="e">
        <f t="shared" si="125"/>
        <v>#DIV/0!</v>
      </c>
      <c r="J275" s="295" t="e">
        <f t="shared" si="126"/>
        <v>#DIV/0!</v>
      </c>
      <c r="K275" s="295" t="e">
        <f t="shared" si="127"/>
        <v>#DIV/0!</v>
      </c>
      <c r="L275" s="295">
        <f t="shared" si="128"/>
        <v>3</v>
      </c>
      <c r="M275" s="295">
        <f t="shared" si="129"/>
        <v>3</v>
      </c>
      <c r="N275" s="295" t="e">
        <f t="shared" si="130"/>
        <v>#DIV/0!</v>
      </c>
      <c r="O275" s="241"/>
      <c r="P275" s="242"/>
      <c r="Q275" s="315"/>
      <c r="R275" s="343"/>
      <c r="S275" s="354">
        <v>9</v>
      </c>
      <c r="T275" s="355" t="s">
        <v>1957</v>
      </c>
      <c r="U275" s="548" t="s">
        <v>2031</v>
      </c>
      <c r="V275" s="551"/>
      <c r="W275" s="552"/>
      <c r="X275" s="356" t="s">
        <v>2032</v>
      </c>
      <c r="Y275" s="356" t="s">
        <v>2033</v>
      </c>
      <c r="Z275" s="354">
        <v>30</v>
      </c>
      <c r="AA275" s="356" t="s">
        <v>2034</v>
      </c>
      <c r="AB275" s="548" t="s">
        <v>2031</v>
      </c>
      <c r="AC275" s="549"/>
      <c r="AD275" s="550"/>
      <c r="AE275" s="357" t="s">
        <v>2035</v>
      </c>
      <c r="AF275" s="357" t="s">
        <v>2036</v>
      </c>
      <c r="AG275" s="357" t="s">
        <v>2037</v>
      </c>
      <c r="AH275" s="357" t="s">
        <v>2038</v>
      </c>
      <c r="AI275" s="343"/>
      <c r="AJ275" s="343"/>
      <c r="AK275" s="343"/>
      <c r="AL275" s="354">
        <v>5</v>
      </c>
      <c r="AM275" s="354">
        <v>3</v>
      </c>
      <c r="AN275" s="354">
        <v>3</v>
      </c>
      <c r="AO275" s="354">
        <v>50</v>
      </c>
      <c r="AP275" s="354">
        <v>30</v>
      </c>
      <c r="AQ275" s="354">
        <v>30</v>
      </c>
      <c r="AR275" s="343"/>
      <c r="AS275" s="343"/>
      <c r="AT275" s="343"/>
      <c r="AU275" s="343"/>
      <c r="AV275" s="343"/>
      <c r="AW275" s="343"/>
      <c r="AX275" s="343"/>
      <c r="AY275" s="343"/>
      <c r="AZ275" s="343"/>
      <c r="BA275" s="343"/>
      <c r="BB275" s="343"/>
      <c r="BC275" s="343"/>
      <c r="BD275" s="343"/>
      <c r="BE275" s="343"/>
      <c r="BF275" s="343"/>
      <c r="BG275" s="343"/>
      <c r="BH275" s="343"/>
      <c r="BI275" s="343"/>
      <c r="BJ275" s="343"/>
      <c r="BK275" s="343"/>
      <c r="BL275" s="343"/>
      <c r="BM275" s="343"/>
      <c r="BN275" s="343"/>
      <c r="BO275" s="343"/>
      <c r="BP275" s="343"/>
      <c r="BQ275" s="343"/>
      <c r="BR275" s="343"/>
      <c r="BS275" s="343"/>
      <c r="BT275" s="343"/>
      <c r="BU275" s="343"/>
      <c r="BV275" s="343"/>
      <c r="BW275" s="343"/>
      <c r="BX275" s="343"/>
      <c r="BY275" s="343"/>
      <c r="BZ275" s="343"/>
      <c r="CA275" s="343"/>
      <c r="CB275" s="343"/>
      <c r="CC275" s="343"/>
      <c r="CD275" s="347"/>
    </row>
    <row r="276" spans="1:82" ht="21.75" hidden="1" customHeight="1">
      <c r="A276" s="242"/>
      <c r="B276" s="238"/>
      <c r="C276" s="247" t="s">
        <v>122</v>
      </c>
      <c r="D276" s="295" t="e">
        <f t="shared" si="120"/>
        <v>#DIV/0!</v>
      </c>
      <c r="E276" s="295" t="e">
        <f t="shared" si="121"/>
        <v>#DIV/0!</v>
      </c>
      <c r="F276" s="295" t="e">
        <f t="shared" si="122"/>
        <v>#DIV/0!</v>
      </c>
      <c r="G276" s="295" t="e">
        <f t="shared" si="123"/>
        <v>#DIV/0!</v>
      </c>
      <c r="H276" s="295" t="e">
        <f t="shared" si="124"/>
        <v>#DIV/0!</v>
      </c>
      <c r="I276" s="295" t="e">
        <f t="shared" si="125"/>
        <v>#DIV/0!</v>
      </c>
      <c r="J276" s="295" t="e">
        <f t="shared" si="126"/>
        <v>#DIV/0!</v>
      </c>
      <c r="K276" s="295" t="e">
        <f t="shared" si="127"/>
        <v>#DIV/0!</v>
      </c>
      <c r="L276" s="295">
        <f t="shared" si="128"/>
        <v>3</v>
      </c>
      <c r="M276" s="295">
        <f t="shared" si="129"/>
        <v>3</v>
      </c>
      <c r="N276" s="295" t="e">
        <f t="shared" si="130"/>
        <v>#DIV/0!</v>
      </c>
      <c r="O276" s="241"/>
      <c r="P276" s="242"/>
      <c r="Q276" s="315"/>
      <c r="R276" s="343"/>
      <c r="S276" s="354">
        <v>10</v>
      </c>
      <c r="T276" s="355" t="s">
        <v>1958</v>
      </c>
      <c r="U276" s="548" t="s">
        <v>2039</v>
      </c>
      <c r="V276" s="551"/>
      <c r="W276" s="552"/>
      <c r="X276" s="357" t="s">
        <v>2040</v>
      </c>
      <c r="Y276" s="357" t="s">
        <v>2041</v>
      </c>
      <c r="Z276" s="357" t="s">
        <v>2042</v>
      </c>
      <c r="AA276" s="356" t="s">
        <v>2043</v>
      </c>
      <c r="AB276" s="548" t="s">
        <v>2039</v>
      </c>
      <c r="AC276" s="549"/>
      <c r="AD276" s="550"/>
      <c r="AE276" s="357" t="s">
        <v>2040</v>
      </c>
      <c r="AF276" s="357" t="s">
        <v>2041</v>
      </c>
      <c r="AG276" s="357" t="s">
        <v>2042</v>
      </c>
      <c r="AH276" s="356" t="s">
        <v>2043</v>
      </c>
      <c r="AI276" s="360" t="s">
        <v>2044</v>
      </c>
      <c r="AJ276" s="343"/>
      <c r="AK276" s="343"/>
      <c r="AL276" s="354">
        <v>10</v>
      </c>
      <c r="AM276" s="354">
        <v>8</v>
      </c>
      <c r="AN276" s="354">
        <v>6</v>
      </c>
      <c r="AO276" s="343"/>
      <c r="AP276" s="343"/>
      <c r="AQ276" s="343"/>
      <c r="AR276" s="343"/>
      <c r="AS276" s="343"/>
      <c r="AT276" s="343"/>
      <c r="AU276" s="343"/>
      <c r="AV276" s="343"/>
      <c r="AW276" s="343"/>
      <c r="AX276" s="343"/>
      <c r="AY276" s="343"/>
      <c r="AZ276" s="343"/>
      <c r="BA276" s="343"/>
      <c r="BB276" s="343"/>
      <c r="BC276" s="343"/>
      <c r="BD276" s="343"/>
      <c r="BE276" s="343"/>
      <c r="BF276" s="343"/>
      <c r="BG276" s="343"/>
      <c r="BH276" s="343"/>
      <c r="BI276" s="343"/>
      <c r="BJ276" s="343"/>
      <c r="BK276" s="343"/>
      <c r="BL276" s="343"/>
      <c r="BM276" s="343"/>
      <c r="BN276" s="343"/>
      <c r="BO276" s="343"/>
      <c r="BP276" s="343"/>
      <c r="BQ276" s="343"/>
      <c r="BR276" s="343"/>
      <c r="BS276" s="343"/>
      <c r="BT276" s="343"/>
      <c r="BU276" s="343"/>
      <c r="BV276" s="343"/>
      <c r="BW276" s="343"/>
      <c r="BX276" s="343"/>
      <c r="BY276" s="343"/>
      <c r="BZ276" s="343"/>
      <c r="CA276" s="343"/>
      <c r="CB276" s="343"/>
      <c r="CC276" s="343"/>
      <c r="CD276" s="347"/>
    </row>
    <row r="277" spans="1:82" ht="15.75" hidden="1" customHeight="1">
      <c r="A277" s="242"/>
      <c r="B277" s="238"/>
      <c r="C277" s="247" t="s">
        <v>123</v>
      </c>
      <c r="D277" s="295" t="e">
        <f t="shared" si="120"/>
        <v>#DIV/0!</v>
      </c>
      <c r="E277" s="295" t="e">
        <f t="shared" si="121"/>
        <v>#DIV/0!</v>
      </c>
      <c r="F277" s="295" t="e">
        <f t="shared" si="122"/>
        <v>#DIV/0!</v>
      </c>
      <c r="G277" s="295" t="e">
        <f t="shared" si="123"/>
        <v>#DIV/0!</v>
      </c>
      <c r="H277" s="295" t="e">
        <f t="shared" si="124"/>
        <v>#DIV/0!</v>
      </c>
      <c r="I277" s="295" t="e">
        <f t="shared" si="125"/>
        <v>#DIV/0!</v>
      </c>
      <c r="J277" s="295" t="e">
        <f t="shared" si="126"/>
        <v>#DIV/0!</v>
      </c>
      <c r="K277" s="295" t="e">
        <f t="shared" si="127"/>
        <v>#DIV/0!</v>
      </c>
      <c r="L277" s="295">
        <f t="shared" si="128"/>
        <v>3</v>
      </c>
      <c r="M277" s="295">
        <f t="shared" si="129"/>
        <v>3</v>
      </c>
      <c r="N277" s="295" t="e">
        <f t="shared" si="130"/>
        <v>#DIV/0!</v>
      </c>
      <c r="O277" s="241"/>
      <c r="P277" s="242"/>
      <c r="Q277" s="242"/>
      <c r="R277" s="321"/>
      <c r="S277" s="321"/>
      <c r="T277" s="321"/>
      <c r="U277" s="321"/>
      <c r="V277" s="242"/>
      <c r="W277" s="242"/>
      <c r="X277" s="321"/>
      <c r="Y277" s="321"/>
      <c r="Z277" s="321"/>
      <c r="AA277" s="321"/>
      <c r="AB277" s="321"/>
      <c r="AC277" s="321"/>
      <c r="AD277" s="321"/>
      <c r="AE277" s="321"/>
      <c r="AF277" s="321"/>
      <c r="AG277" s="321"/>
      <c r="AH277" s="321"/>
      <c r="AI277" s="321"/>
      <c r="AJ277" s="321"/>
      <c r="AK277" s="321"/>
      <c r="AL277" s="321"/>
      <c r="AM277" s="321"/>
      <c r="AN277" s="321"/>
      <c r="AO277" s="321"/>
      <c r="AP277" s="321"/>
      <c r="AQ277" s="321"/>
      <c r="AR277" s="321"/>
      <c r="AS277" s="321"/>
      <c r="AT277" s="321"/>
      <c r="AU277" s="321"/>
      <c r="AV277" s="321"/>
      <c r="AW277" s="321"/>
      <c r="AX277" s="321"/>
      <c r="AY277" s="321"/>
      <c r="AZ277" s="321"/>
      <c r="BA277" s="321"/>
      <c r="BB277" s="321"/>
      <c r="BC277" s="321"/>
      <c r="BD277" s="321"/>
      <c r="BE277" s="321"/>
      <c r="BF277" s="321"/>
      <c r="BG277" s="321"/>
      <c r="BH277" s="321"/>
      <c r="BI277" s="321"/>
      <c r="BJ277" s="321"/>
      <c r="BK277" s="321"/>
      <c r="BL277" s="321"/>
      <c r="BM277" s="321"/>
      <c r="BN277" s="321"/>
      <c r="BO277" s="321"/>
      <c r="BP277" s="321"/>
      <c r="BQ277" s="321"/>
      <c r="BR277" s="321"/>
      <c r="BS277" s="321"/>
      <c r="BT277" s="321"/>
      <c r="BU277" s="321"/>
      <c r="BV277" s="321"/>
      <c r="BW277" s="321"/>
      <c r="BX277" s="321"/>
      <c r="BY277" s="321"/>
      <c r="BZ277" s="321"/>
      <c r="CA277" s="321"/>
      <c r="CB277" s="321"/>
      <c r="CC277" s="321"/>
      <c r="CD277" s="321"/>
    </row>
    <row r="278" spans="1:82" ht="15.75" hidden="1" customHeight="1">
      <c r="A278" s="242"/>
      <c r="B278" s="238"/>
      <c r="C278" s="247" t="s">
        <v>124</v>
      </c>
      <c r="D278" s="295" t="e">
        <f t="shared" si="120"/>
        <v>#DIV/0!</v>
      </c>
      <c r="E278" s="295" t="e">
        <f t="shared" si="121"/>
        <v>#DIV/0!</v>
      </c>
      <c r="F278" s="295" t="e">
        <f t="shared" si="122"/>
        <v>#DIV/0!</v>
      </c>
      <c r="G278" s="295" t="e">
        <f t="shared" si="123"/>
        <v>#DIV/0!</v>
      </c>
      <c r="H278" s="295" t="e">
        <f t="shared" si="124"/>
        <v>#DIV/0!</v>
      </c>
      <c r="I278" s="295" t="e">
        <f t="shared" si="125"/>
        <v>#DIV/0!</v>
      </c>
      <c r="J278" s="295" t="e">
        <f t="shared" si="126"/>
        <v>#DIV/0!</v>
      </c>
      <c r="K278" s="295" t="e">
        <f t="shared" si="127"/>
        <v>#DIV/0!</v>
      </c>
      <c r="L278" s="295">
        <f t="shared" si="128"/>
        <v>3</v>
      </c>
      <c r="M278" s="295">
        <f t="shared" si="129"/>
        <v>3</v>
      </c>
      <c r="N278" s="295" t="e">
        <f t="shared" si="130"/>
        <v>#DIV/0!</v>
      </c>
      <c r="O278" s="241"/>
      <c r="P278" s="242"/>
      <c r="Q278" s="242"/>
      <c r="R278" s="321"/>
      <c r="S278" s="321"/>
      <c r="T278" s="321"/>
      <c r="U278" s="321"/>
      <c r="V278" s="242"/>
      <c r="W278" s="242"/>
      <c r="X278" s="321"/>
      <c r="Y278" s="321"/>
      <c r="Z278" s="321"/>
      <c r="AA278" s="321"/>
      <c r="AB278" s="321"/>
      <c r="AC278" s="321"/>
      <c r="AD278" s="321"/>
      <c r="AE278" s="321"/>
      <c r="AF278" s="321"/>
      <c r="AG278" s="321"/>
      <c r="AH278" s="321"/>
      <c r="AI278" s="321"/>
      <c r="AJ278" s="321"/>
      <c r="AK278" s="321"/>
      <c r="AL278" s="321"/>
      <c r="AM278" s="321"/>
      <c r="AN278" s="321"/>
      <c r="AO278" s="321"/>
      <c r="AP278" s="321"/>
      <c r="AQ278" s="321"/>
      <c r="AR278" s="321"/>
      <c r="AS278" s="321"/>
      <c r="AT278" s="321"/>
      <c r="AU278" s="321"/>
      <c r="AV278" s="321"/>
      <c r="AW278" s="321"/>
      <c r="AX278" s="321"/>
      <c r="AY278" s="321"/>
      <c r="AZ278" s="321"/>
      <c r="BA278" s="321"/>
      <c r="BB278" s="321"/>
      <c r="BC278" s="321"/>
      <c r="BD278" s="321"/>
      <c r="BE278" s="321"/>
      <c r="BF278" s="321"/>
      <c r="BG278" s="321"/>
      <c r="BH278" s="321"/>
      <c r="BI278" s="321"/>
      <c r="BJ278" s="321"/>
      <c r="BK278" s="321"/>
      <c r="BL278" s="321"/>
      <c r="BM278" s="321"/>
      <c r="BN278" s="321"/>
      <c r="BO278" s="321"/>
      <c r="BP278" s="321"/>
      <c r="BQ278" s="321"/>
      <c r="BR278" s="321"/>
      <c r="BS278" s="321"/>
      <c r="BT278" s="321"/>
      <c r="BU278" s="321"/>
      <c r="BV278" s="321"/>
      <c r="BW278" s="321"/>
      <c r="BX278" s="321"/>
      <c r="BY278" s="321"/>
      <c r="BZ278" s="321"/>
      <c r="CA278" s="321"/>
      <c r="CB278" s="321"/>
      <c r="CC278" s="321"/>
      <c r="CD278" s="321"/>
    </row>
    <row r="279" spans="1:82" ht="15.75" hidden="1" customHeight="1">
      <c r="A279" s="242"/>
      <c r="B279" s="238"/>
      <c r="C279" s="247" t="s">
        <v>125</v>
      </c>
      <c r="D279" s="295" t="e">
        <f t="shared" si="120"/>
        <v>#DIV/0!</v>
      </c>
      <c r="E279" s="295" t="e">
        <f t="shared" si="121"/>
        <v>#DIV/0!</v>
      </c>
      <c r="F279" s="295" t="e">
        <f t="shared" si="122"/>
        <v>#DIV/0!</v>
      </c>
      <c r="G279" s="295" t="e">
        <f t="shared" si="123"/>
        <v>#DIV/0!</v>
      </c>
      <c r="H279" s="295" t="e">
        <f t="shared" si="124"/>
        <v>#DIV/0!</v>
      </c>
      <c r="I279" s="295" t="e">
        <f t="shared" si="125"/>
        <v>#DIV/0!</v>
      </c>
      <c r="J279" s="295" t="e">
        <f t="shared" si="126"/>
        <v>#DIV/0!</v>
      </c>
      <c r="K279" s="295" t="e">
        <f t="shared" si="127"/>
        <v>#DIV/0!</v>
      </c>
      <c r="L279" s="295">
        <f t="shared" si="128"/>
        <v>3</v>
      </c>
      <c r="M279" s="295">
        <f t="shared" si="129"/>
        <v>3</v>
      </c>
      <c r="N279" s="295" t="e">
        <f t="shared" si="130"/>
        <v>#DIV/0!</v>
      </c>
      <c r="O279" s="241"/>
      <c r="P279" s="242"/>
      <c r="Q279" s="242"/>
      <c r="R279" s="321"/>
      <c r="S279" s="321"/>
      <c r="T279" s="321"/>
      <c r="U279" s="321"/>
      <c r="V279" s="242"/>
      <c r="W279" s="242"/>
      <c r="X279" s="321"/>
      <c r="Y279" s="321"/>
      <c r="Z279" s="321"/>
      <c r="AA279" s="321"/>
      <c r="AB279" s="321"/>
      <c r="AC279" s="321"/>
      <c r="AD279" s="321"/>
      <c r="AE279" s="321"/>
      <c r="AF279" s="321"/>
      <c r="AG279" s="321"/>
      <c r="AH279" s="321"/>
      <c r="AI279" s="321"/>
      <c r="AJ279" s="321"/>
      <c r="AK279" s="321"/>
      <c r="AL279" s="321"/>
      <c r="AM279" s="321"/>
      <c r="AN279" s="321"/>
      <c r="AO279" s="321"/>
      <c r="AP279" s="321"/>
      <c r="AQ279" s="321"/>
      <c r="AR279" s="321"/>
      <c r="AS279" s="321"/>
      <c r="AT279" s="321"/>
      <c r="AU279" s="321"/>
      <c r="AV279" s="321"/>
      <c r="AW279" s="321"/>
      <c r="AX279" s="321"/>
      <c r="AY279" s="321"/>
      <c r="AZ279" s="321"/>
      <c r="BA279" s="321"/>
      <c r="BB279" s="321"/>
      <c r="BC279" s="321"/>
      <c r="BD279" s="321"/>
      <c r="BE279" s="321"/>
      <c r="BF279" s="321"/>
      <c r="BG279" s="321"/>
      <c r="BH279" s="321"/>
      <c r="BI279" s="321"/>
      <c r="BJ279" s="321"/>
      <c r="BK279" s="321"/>
      <c r="BL279" s="321"/>
      <c r="BM279" s="321"/>
      <c r="BN279" s="321"/>
      <c r="BO279" s="321"/>
      <c r="BP279" s="321"/>
      <c r="BQ279" s="321"/>
      <c r="BR279" s="321"/>
      <c r="BS279" s="321"/>
      <c r="BT279" s="321"/>
      <c r="BU279" s="321"/>
      <c r="BV279" s="321"/>
      <c r="BW279" s="321"/>
      <c r="BX279" s="321"/>
      <c r="BY279" s="321"/>
      <c r="BZ279" s="321"/>
      <c r="CA279" s="321"/>
      <c r="CB279" s="321"/>
      <c r="CC279" s="321"/>
      <c r="CD279" s="321"/>
    </row>
    <row r="280" spans="1:82" ht="15.75" hidden="1" customHeight="1">
      <c r="A280" s="242"/>
      <c r="B280" s="238"/>
      <c r="C280" s="297" t="s">
        <v>69</v>
      </c>
      <c r="D280" s="295" t="e">
        <f t="shared" si="120"/>
        <v>#DIV/0!</v>
      </c>
      <c r="E280" s="295" t="e">
        <f t="shared" si="121"/>
        <v>#DIV/0!</v>
      </c>
      <c r="F280" s="295" t="e">
        <f t="shared" si="122"/>
        <v>#DIV/0!</v>
      </c>
      <c r="G280" s="295" t="e">
        <f t="shared" si="123"/>
        <v>#DIV/0!</v>
      </c>
      <c r="H280" s="295" t="e">
        <f t="shared" si="124"/>
        <v>#DIV/0!</v>
      </c>
      <c r="I280" s="295" t="e">
        <f t="shared" si="125"/>
        <v>#DIV/0!</v>
      </c>
      <c r="J280" s="295" t="e">
        <f t="shared" si="126"/>
        <v>#DIV/0!</v>
      </c>
      <c r="K280" s="295" t="e">
        <f t="shared" si="127"/>
        <v>#DIV/0!</v>
      </c>
      <c r="L280" s="295">
        <f t="shared" si="128"/>
        <v>0</v>
      </c>
      <c r="M280" s="295">
        <f t="shared" si="129"/>
        <v>3</v>
      </c>
      <c r="N280" s="295" t="e">
        <f t="shared" si="130"/>
        <v>#DIV/0!</v>
      </c>
      <c r="O280" s="241"/>
      <c r="P280" s="242"/>
      <c r="Q280" s="242"/>
      <c r="R280" s="321"/>
      <c r="S280" s="321"/>
      <c r="T280" s="321"/>
      <c r="U280" s="321"/>
      <c r="V280" s="242"/>
      <c r="W280" s="242"/>
      <c r="X280" s="321"/>
      <c r="Y280" s="321"/>
      <c r="Z280" s="321"/>
      <c r="AA280" s="321"/>
      <c r="AB280" s="321"/>
      <c r="AC280" s="321"/>
      <c r="AD280" s="321"/>
      <c r="AE280" s="321"/>
      <c r="AF280" s="321"/>
      <c r="AG280" s="321"/>
      <c r="AH280" s="321"/>
      <c r="AI280" s="321"/>
      <c r="AJ280" s="321"/>
      <c r="AK280" s="321"/>
      <c r="AL280" s="321"/>
      <c r="AM280" s="321"/>
      <c r="AN280" s="321"/>
      <c r="AO280" s="321"/>
      <c r="AP280" s="321"/>
      <c r="AQ280" s="321"/>
      <c r="AR280" s="321"/>
      <c r="AS280" s="321"/>
      <c r="AT280" s="321"/>
      <c r="AU280" s="321"/>
      <c r="AV280" s="321"/>
      <c r="AW280" s="321"/>
      <c r="AX280" s="321"/>
      <c r="AY280" s="321"/>
      <c r="AZ280" s="321"/>
      <c r="BA280" s="321"/>
      <c r="BB280" s="321"/>
      <c r="BC280" s="321"/>
      <c r="BD280" s="321"/>
      <c r="BE280" s="321"/>
      <c r="BF280" s="321"/>
      <c r="BG280" s="321"/>
      <c r="BH280" s="321"/>
      <c r="BI280" s="321"/>
      <c r="BJ280" s="321"/>
      <c r="BK280" s="321"/>
      <c r="BL280" s="321"/>
      <c r="BM280" s="321"/>
      <c r="BN280" s="321"/>
      <c r="BO280" s="321"/>
      <c r="BP280" s="321"/>
      <c r="BQ280" s="321"/>
      <c r="BR280" s="321"/>
      <c r="BS280" s="321"/>
      <c r="BT280" s="321"/>
      <c r="BU280" s="321"/>
      <c r="BV280" s="321"/>
      <c r="BW280" s="321"/>
      <c r="BX280" s="321"/>
      <c r="BY280" s="321"/>
      <c r="BZ280" s="321"/>
      <c r="CA280" s="321"/>
      <c r="CB280" s="321"/>
      <c r="CC280" s="321"/>
      <c r="CD280" s="321"/>
    </row>
    <row r="281" spans="1:82" ht="15.75" hidden="1" customHeight="1">
      <c r="A281" s="242"/>
      <c r="B281" s="238"/>
      <c r="C281" s="297" t="s">
        <v>80</v>
      </c>
      <c r="D281" s="295" t="e">
        <f t="shared" si="120"/>
        <v>#DIV/0!</v>
      </c>
      <c r="E281" s="295" t="e">
        <f t="shared" si="121"/>
        <v>#DIV/0!</v>
      </c>
      <c r="F281" s="295" t="e">
        <f t="shared" si="122"/>
        <v>#DIV/0!</v>
      </c>
      <c r="G281" s="295" t="e">
        <f t="shared" si="123"/>
        <v>#DIV/0!</v>
      </c>
      <c r="H281" s="295" t="e">
        <f t="shared" si="124"/>
        <v>#DIV/0!</v>
      </c>
      <c r="I281" s="295" t="e">
        <f t="shared" si="125"/>
        <v>#DIV/0!</v>
      </c>
      <c r="J281" s="295" t="e">
        <f t="shared" si="126"/>
        <v>#DIV/0!</v>
      </c>
      <c r="K281" s="295" t="e">
        <f t="shared" si="127"/>
        <v>#DIV/0!</v>
      </c>
      <c r="L281" s="295">
        <f t="shared" si="128"/>
        <v>3</v>
      </c>
      <c r="M281" s="295">
        <f t="shared" si="129"/>
        <v>3</v>
      </c>
      <c r="N281" s="295" t="e">
        <f t="shared" si="130"/>
        <v>#DIV/0!</v>
      </c>
      <c r="O281" s="241"/>
      <c r="P281" s="242"/>
      <c r="Q281" s="242"/>
      <c r="R281" s="321"/>
      <c r="S281" s="321"/>
      <c r="T281" s="321"/>
      <c r="U281" s="321"/>
      <c r="V281" s="242"/>
      <c r="W281" s="242"/>
      <c r="X281" s="321"/>
      <c r="Y281" s="321"/>
      <c r="Z281" s="321"/>
      <c r="AA281" s="321"/>
      <c r="AB281" s="321"/>
      <c r="AC281" s="321"/>
      <c r="AD281" s="321"/>
      <c r="AE281" s="321"/>
      <c r="AF281" s="321"/>
      <c r="AG281" s="321"/>
      <c r="AH281" s="321"/>
      <c r="AI281" s="321"/>
      <c r="AJ281" s="321"/>
      <c r="AK281" s="321"/>
      <c r="AL281" s="321"/>
      <c r="AM281" s="321"/>
      <c r="AN281" s="321"/>
      <c r="AO281" s="321"/>
      <c r="AP281" s="321"/>
      <c r="AQ281" s="321"/>
      <c r="AR281" s="321"/>
      <c r="AS281" s="321"/>
      <c r="AT281" s="321"/>
      <c r="AU281" s="321"/>
      <c r="AV281" s="321"/>
      <c r="AW281" s="321"/>
      <c r="AX281" s="321"/>
      <c r="AY281" s="321"/>
      <c r="AZ281" s="321"/>
      <c r="BA281" s="321"/>
      <c r="BB281" s="321"/>
      <c r="BC281" s="321"/>
      <c r="BD281" s="321"/>
      <c r="BE281" s="321"/>
      <c r="BF281" s="321"/>
      <c r="BG281" s="321"/>
      <c r="BH281" s="321"/>
      <c r="BI281" s="321"/>
      <c r="BJ281" s="321"/>
      <c r="BK281" s="321"/>
      <c r="BL281" s="321"/>
      <c r="BM281" s="321"/>
      <c r="BN281" s="321"/>
      <c r="BO281" s="321"/>
      <c r="BP281" s="321"/>
      <c r="BQ281" s="321"/>
      <c r="BR281" s="321"/>
      <c r="BS281" s="321"/>
      <c r="BT281" s="321"/>
      <c r="BU281" s="321"/>
      <c r="BV281" s="321"/>
      <c r="BW281" s="321"/>
      <c r="BX281" s="321"/>
      <c r="BY281" s="321"/>
      <c r="BZ281" s="321"/>
      <c r="CA281" s="321"/>
      <c r="CB281" s="321"/>
      <c r="CC281" s="321"/>
      <c r="CD281" s="321"/>
    </row>
    <row r="282" spans="1:82" ht="15.75" hidden="1" customHeight="1">
      <c r="A282" s="242"/>
      <c r="B282" s="238"/>
      <c r="C282" s="297" t="s">
        <v>70</v>
      </c>
      <c r="D282" s="295" t="e">
        <f t="shared" si="120"/>
        <v>#DIV/0!</v>
      </c>
      <c r="E282" s="295" t="e">
        <f t="shared" si="121"/>
        <v>#DIV/0!</v>
      </c>
      <c r="F282" s="295" t="e">
        <f t="shared" si="122"/>
        <v>#DIV/0!</v>
      </c>
      <c r="G282" s="295" t="e">
        <f t="shared" si="123"/>
        <v>#DIV/0!</v>
      </c>
      <c r="H282" s="295" t="e">
        <f t="shared" si="124"/>
        <v>#DIV/0!</v>
      </c>
      <c r="I282" s="295" t="e">
        <f t="shared" si="125"/>
        <v>#DIV/0!</v>
      </c>
      <c r="J282" s="295" t="e">
        <f t="shared" si="126"/>
        <v>#DIV/0!</v>
      </c>
      <c r="K282" s="295" t="e">
        <f t="shared" si="127"/>
        <v>#DIV/0!</v>
      </c>
      <c r="L282" s="295">
        <f t="shared" si="128"/>
        <v>2</v>
      </c>
      <c r="M282" s="295">
        <f t="shared" si="129"/>
        <v>3</v>
      </c>
      <c r="N282" s="295" t="e">
        <f t="shared" si="130"/>
        <v>#DIV/0!</v>
      </c>
      <c r="O282" s="241"/>
      <c r="P282" s="242"/>
      <c r="Q282" s="242"/>
      <c r="R282" s="321"/>
      <c r="S282" s="321"/>
      <c r="T282" s="321"/>
      <c r="U282" s="321"/>
      <c r="V282" s="242"/>
      <c r="W282" s="242"/>
      <c r="X282" s="321"/>
      <c r="Y282" s="321"/>
      <c r="Z282" s="321"/>
      <c r="AA282" s="321"/>
      <c r="AB282" s="321"/>
      <c r="AC282" s="321"/>
      <c r="AD282" s="321"/>
      <c r="AE282" s="321"/>
      <c r="AF282" s="321"/>
      <c r="AG282" s="321"/>
      <c r="AH282" s="321"/>
      <c r="AI282" s="321"/>
      <c r="AJ282" s="321"/>
      <c r="AK282" s="321"/>
      <c r="AL282" s="321"/>
      <c r="AM282" s="321"/>
      <c r="AN282" s="321"/>
      <c r="AO282" s="321"/>
      <c r="AP282" s="321"/>
      <c r="AQ282" s="321"/>
      <c r="AR282" s="321"/>
      <c r="AS282" s="321"/>
      <c r="AT282" s="321"/>
      <c r="AU282" s="321"/>
      <c r="AV282" s="321"/>
      <c r="AW282" s="321"/>
      <c r="AX282" s="321"/>
      <c r="AY282" s="321"/>
      <c r="AZ282" s="321"/>
      <c r="BA282" s="321"/>
      <c r="BB282" s="321"/>
      <c r="BC282" s="321"/>
      <c r="BD282" s="321"/>
      <c r="BE282" s="321"/>
      <c r="BF282" s="321"/>
      <c r="BG282" s="321"/>
      <c r="BH282" s="321"/>
      <c r="BI282" s="321"/>
      <c r="BJ282" s="321"/>
      <c r="BK282" s="321"/>
      <c r="BL282" s="321"/>
      <c r="BM282" s="321"/>
      <c r="BN282" s="321"/>
      <c r="BO282" s="321"/>
      <c r="BP282" s="321"/>
      <c r="BQ282" s="321"/>
      <c r="BR282" s="321"/>
      <c r="BS282" s="321"/>
      <c r="BT282" s="321"/>
      <c r="BU282" s="321"/>
      <c r="BV282" s="321"/>
      <c r="BW282" s="321"/>
      <c r="BX282" s="321"/>
      <c r="BY282" s="321"/>
      <c r="BZ282" s="321"/>
      <c r="CA282" s="321"/>
      <c r="CB282" s="321"/>
      <c r="CC282" s="321"/>
      <c r="CD282" s="321"/>
    </row>
    <row r="283" spans="1:82" ht="15.75" hidden="1" customHeight="1">
      <c r="A283" s="242"/>
      <c r="B283" s="238"/>
      <c r="C283" s="297" t="s">
        <v>71</v>
      </c>
      <c r="D283" s="295" t="e">
        <f t="shared" si="120"/>
        <v>#DIV/0!</v>
      </c>
      <c r="E283" s="295" t="e">
        <f t="shared" si="121"/>
        <v>#DIV/0!</v>
      </c>
      <c r="F283" s="295" t="e">
        <f t="shared" si="122"/>
        <v>#DIV/0!</v>
      </c>
      <c r="G283" s="295" t="e">
        <f t="shared" si="123"/>
        <v>#DIV/0!</v>
      </c>
      <c r="H283" s="295" t="e">
        <f t="shared" si="124"/>
        <v>#DIV/0!</v>
      </c>
      <c r="I283" s="295" t="e">
        <f t="shared" si="125"/>
        <v>#DIV/0!</v>
      </c>
      <c r="J283" s="295" t="e">
        <f t="shared" si="126"/>
        <v>#DIV/0!</v>
      </c>
      <c r="K283" s="295" t="e">
        <f t="shared" si="127"/>
        <v>#DIV/0!</v>
      </c>
      <c r="L283" s="295">
        <f t="shared" si="128"/>
        <v>3</v>
      </c>
      <c r="M283" s="295">
        <f t="shared" si="129"/>
        <v>3</v>
      </c>
      <c r="N283" s="295" t="e">
        <f t="shared" si="130"/>
        <v>#DIV/0!</v>
      </c>
      <c r="O283" s="241"/>
      <c r="P283" s="242"/>
      <c r="Q283" s="242"/>
      <c r="R283" s="321"/>
      <c r="S283" s="321"/>
      <c r="T283" s="321"/>
      <c r="U283" s="321"/>
      <c r="V283" s="242"/>
      <c r="W283" s="242"/>
      <c r="X283" s="321"/>
      <c r="Y283" s="321"/>
      <c r="Z283" s="321"/>
      <c r="AA283" s="321"/>
      <c r="AB283" s="321"/>
      <c r="AC283" s="321"/>
      <c r="AD283" s="321"/>
      <c r="AE283" s="321"/>
      <c r="AF283" s="321"/>
      <c r="AG283" s="321"/>
      <c r="AH283" s="321"/>
      <c r="AI283" s="321"/>
      <c r="AJ283" s="321"/>
      <c r="AK283" s="321"/>
      <c r="AL283" s="321"/>
      <c r="AM283" s="321"/>
      <c r="AN283" s="321"/>
      <c r="AO283" s="321"/>
      <c r="AP283" s="321"/>
      <c r="AQ283" s="321"/>
      <c r="AR283" s="321"/>
      <c r="AS283" s="321"/>
      <c r="AT283" s="321"/>
      <c r="AU283" s="321"/>
      <c r="AV283" s="321"/>
      <c r="AW283" s="321"/>
      <c r="AX283" s="321"/>
      <c r="AY283" s="321"/>
      <c r="AZ283" s="321"/>
      <c r="BA283" s="321"/>
      <c r="BB283" s="321"/>
      <c r="BC283" s="321"/>
      <c r="BD283" s="321"/>
      <c r="BE283" s="321"/>
      <c r="BF283" s="321"/>
      <c r="BG283" s="321"/>
      <c r="BH283" s="321"/>
      <c r="BI283" s="321"/>
      <c r="BJ283" s="321"/>
      <c r="BK283" s="321"/>
      <c r="BL283" s="321"/>
      <c r="BM283" s="321"/>
      <c r="BN283" s="321"/>
      <c r="BO283" s="321"/>
      <c r="BP283" s="321"/>
      <c r="BQ283" s="321"/>
      <c r="BR283" s="321"/>
      <c r="BS283" s="321"/>
      <c r="BT283" s="321"/>
      <c r="BU283" s="321"/>
      <c r="BV283" s="321"/>
      <c r="BW283" s="321"/>
      <c r="BX283" s="321"/>
      <c r="BY283" s="321"/>
      <c r="BZ283" s="321"/>
      <c r="CA283" s="321"/>
      <c r="CB283" s="321"/>
      <c r="CC283" s="321"/>
      <c r="CD283" s="321"/>
    </row>
    <row r="284" spans="1:82" ht="15.75" hidden="1" customHeight="1">
      <c r="A284" s="242"/>
      <c r="B284" s="238"/>
      <c r="C284" s="261" t="s">
        <v>74</v>
      </c>
      <c r="D284" s="295" t="e">
        <f t="shared" si="120"/>
        <v>#DIV/0!</v>
      </c>
      <c r="E284" s="295" t="e">
        <f t="shared" si="121"/>
        <v>#DIV/0!</v>
      </c>
      <c r="F284" s="295" t="e">
        <f t="shared" si="122"/>
        <v>#DIV/0!</v>
      </c>
      <c r="G284" s="295" t="e">
        <f t="shared" si="123"/>
        <v>#DIV/0!</v>
      </c>
      <c r="H284" s="295" t="e">
        <f t="shared" si="124"/>
        <v>#DIV/0!</v>
      </c>
      <c r="I284" s="295" t="e">
        <f t="shared" si="125"/>
        <v>#DIV/0!</v>
      </c>
      <c r="J284" s="295" t="e">
        <f t="shared" si="126"/>
        <v>#DIV/0!</v>
      </c>
      <c r="K284" s="295" t="e">
        <f t="shared" si="127"/>
        <v>#DIV/0!</v>
      </c>
      <c r="L284" s="295">
        <f t="shared" si="128"/>
        <v>0</v>
      </c>
      <c r="M284" s="295">
        <f t="shared" si="129"/>
        <v>3</v>
      </c>
      <c r="N284" s="295" t="e">
        <f t="shared" si="130"/>
        <v>#DIV/0!</v>
      </c>
      <c r="O284" s="241"/>
      <c r="P284" s="242"/>
      <c r="Q284" s="242"/>
      <c r="R284" s="321"/>
      <c r="S284" s="321"/>
      <c r="T284" s="321"/>
      <c r="U284" s="321"/>
      <c r="V284" s="242"/>
      <c r="W284" s="242"/>
      <c r="X284" s="321"/>
      <c r="Y284" s="321"/>
      <c r="Z284" s="321"/>
      <c r="AA284" s="321"/>
      <c r="AB284" s="321"/>
      <c r="AC284" s="321"/>
      <c r="AD284" s="321"/>
      <c r="AE284" s="321"/>
      <c r="AF284" s="321"/>
      <c r="AG284" s="321"/>
      <c r="AH284" s="321"/>
      <c r="AI284" s="321"/>
      <c r="AJ284" s="321"/>
      <c r="AK284" s="321"/>
      <c r="AL284" s="321"/>
      <c r="AM284" s="321"/>
      <c r="AN284" s="321"/>
      <c r="AO284" s="321"/>
      <c r="AP284" s="321"/>
      <c r="AQ284" s="321"/>
      <c r="AR284" s="321"/>
      <c r="AS284" s="321"/>
      <c r="AT284" s="321"/>
      <c r="AU284" s="321"/>
      <c r="AV284" s="321"/>
      <c r="AW284" s="321"/>
      <c r="AX284" s="321"/>
      <c r="AY284" s="321"/>
      <c r="AZ284" s="321"/>
      <c r="BA284" s="321"/>
      <c r="BB284" s="321"/>
      <c r="BC284" s="321"/>
      <c r="BD284" s="321"/>
      <c r="BE284" s="321"/>
      <c r="BF284" s="321"/>
      <c r="BG284" s="321"/>
      <c r="BH284" s="321"/>
      <c r="BI284" s="321"/>
      <c r="BJ284" s="321"/>
      <c r="BK284" s="321"/>
      <c r="BL284" s="321"/>
      <c r="BM284" s="321"/>
      <c r="BN284" s="321"/>
      <c r="BO284" s="321"/>
      <c r="BP284" s="321"/>
      <c r="BQ284" s="321"/>
      <c r="BR284" s="321"/>
      <c r="BS284" s="321"/>
      <c r="BT284" s="321"/>
      <c r="BU284" s="321"/>
      <c r="BV284" s="321"/>
      <c r="BW284" s="321"/>
      <c r="BX284" s="321"/>
      <c r="BY284" s="321"/>
      <c r="BZ284" s="321"/>
      <c r="CA284" s="321"/>
      <c r="CB284" s="321"/>
      <c r="CC284" s="321"/>
      <c r="CD284" s="321"/>
    </row>
    <row r="285" spans="1:82" ht="15.75" hidden="1" customHeight="1">
      <c r="A285" s="242"/>
      <c r="B285" s="238"/>
      <c r="C285" s="261" t="s">
        <v>73</v>
      </c>
      <c r="D285" s="295" t="e">
        <f t="shared" si="120"/>
        <v>#DIV/0!</v>
      </c>
      <c r="E285" s="295" t="e">
        <f t="shared" si="121"/>
        <v>#DIV/0!</v>
      </c>
      <c r="F285" s="295" t="e">
        <f t="shared" si="122"/>
        <v>#DIV/0!</v>
      </c>
      <c r="G285" s="295" t="e">
        <f t="shared" si="123"/>
        <v>#DIV/0!</v>
      </c>
      <c r="H285" s="295" t="e">
        <f t="shared" si="124"/>
        <v>#DIV/0!</v>
      </c>
      <c r="I285" s="295" t="e">
        <f t="shared" si="125"/>
        <v>#DIV/0!</v>
      </c>
      <c r="J285" s="295" t="e">
        <f t="shared" si="126"/>
        <v>#DIV/0!</v>
      </c>
      <c r="K285" s="295" t="e">
        <f t="shared" si="127"/>
        <v>#DIV/0!</v>
      </c>
      <c r="L285" s="295">
        <f t="shared" si="128"/>
        <v>3</v>
      </c>
      <c r="M285" s="295">
        <f t="shared" si="129"/>
        <v>3</v>
      </c>
      <c r="N285" s="295" t="e">
        <f t="shared" si="130"/>
        <v>#DIV/0!</v>
      </c>
      <c r="O285" s="241"/>
      <c r="P285" s="242"/>
      <c r="Q285" s="242"/>
      <c r="R285" s="321"/>
      <c r="S285" s="321"/>
      <c r="T285" s="321"/>
      <c r="U285" s="321"/>
      <c r="V285" s="242"/>
      <c r="W285" s="242"/>
      <c r="X285" s="321"/>
      <c r="Y285" s="321"/>
      <c r="Z285" s="321"/>
      <c r="AA285" s="321"/>
      <c r="AB285" s="321"/>
      <c r="AC285" s="321"/>
      <c r="AD285" s="321"/>
      <c r="AE285" s="321"/>
      <c r="AF285" s="321"/>
      <c r="AG285" s="321"/>
      <c r="AH285" s="321"/>
      <c r="AI285" s="321"/>
      <c r="AJ285" s="321"/>
      <c r="AK285" s="321"/>
      <c r="AL285" s="321"/>
      <c r="AM285" s="321"/>
      <c r="AN285" s="321"/>
      <c r="AO285" s="321"/>
      <c r="AP285" s="321"/>
      <c r="AQ285" s="321"/>
      <c r="AR285" s="321"/>
      <c r="AS285" s="321"/>
      <c r="AT285" s="321"/>
      <c r="AU285" s="321"/>
      <c r="AV285" s="321"/>
      <c r="AW285" s="321"/>
      <c r="AX285" s="321"/>
      <c r="AY285" s="321"/>
      <c r="AZ285" s="321"/>
      <c r="BA285" s="321"/>
      <c r="BB285" s="321"/>
      <c r="BC285" s="321"/>
      <c r="BD285" s="321"/>
      <c r="BE285" s="321"/>
      <c r="BF285" s="321"/>
      <c r="BG285" s="321"/>
      <c r="BH285" s="321"/>
      <c r="BI285" s="321"/>
      <c r="BJ285" s="321"/>
      <c r="BK285" s="321"/>
      <c r="BL285" s="321"/>
      <c r="BM285" s="321"/>
      <c r="BN285" s="321"/>
      <c r="BO285" s="321"/>
      <c r="BP285" s="321"/>
      <c r="BQ285" s="321"/>
      <c r="BR285" s="321"/>
      <c r="BS285" s="321"/>
      <c r="BT285" s="321"/>
      <c r="BU285" s="321"/>
      <c r="BV285" s="321"/>
      <c r="BW285" s="321"/>
      <c r="BX285" s="321"/>
      <c r="BY285" s="321"/>
      <c r="BZ285" s="321"/>
      <c r="CA285" s="321"/>
      <c r="CB285" s="321"/>
      <c r="CC285" s="321"/>
      <c r="CD285" s="321"/>
    </row>
    <row r="286" spans="1:82" ht="15.75" hidden="1" customHeight="1">
      <c r="A286" s="242"/>
      <c r="B286" s="238"/>
      <c r="C286" s="297" t="s">
        <v>75</v>
      </c>
      <c r="D286" s="295" t="e">
        <f t="shared" si="120"/>
        <v>#DIV/0!</v>
      </c>
      <c r="E286" s="295" t="e">
        <f t="shared" si="121"/>
        <v>#DIV/0!</v>
      </c>
      <c r="F286" s="295" t="e">
        <f t="shared" si="122"/>
        <v>#DIV/0!</v>
      </c>
      <c r="G286" s="295" t="e">
        <f t="shared" si="123"/>
        <v>#DIV/0!</v>
      </c>
      <c r="H286" s="295" t="e">
        <f t="shared" si="124"/>
        <v>#DIV/0!</v>
      </c>
      <c r="I286" s="295" t="e">
        <f t="shared" si="125"/>
        <v>#DIV/0!</v>
      </c>
      <c r="J286" s="295" t="e">
        <f t="shared" si="126"/>
        <v>#DIV/0!</v>
      </c>
      <c r="K286" s="295" t="e">
        <f t="shared" si="127"/>
        <v>#DIV/0!</v>
      </c>
      <c r="L286" s="295">
        <f t="shared" si="128"/>
        <v>3</v>
      </c>
      <c r="M286" s="295">
        <f t="shared" si="129"/>
        <v>3</v>
      </c>
      <c r="N286" s="295" t="e">
        <f t="shared" si="130"/>
        <v>#DIV/0!</v>
      </c>
      <c r="O286" s="241"/>
      <c r="P286" s="242"/>
      <c r="Q286" s="242"/>
      <c r="R286" s="321"/>
      <c r="S286" s="321"/>
      <c r="T286" s="321"/>
      <c r="U286" s="321"/>
      <c r="V286" s="242"/>
      <c r="W286" s="242"/>
      <c r="X286" s="321"/>
      <c r="Y286" s="321"/>
      <c r="Z286" s="321"/>
      <c r="AA286" s="321"/>
      <c r="AB286" s="321"/>
      <c r="AC286" s="321"/>
      <c r="AD286" s="321"/>
      <c r="AE286" s="321"/>
      <c r="AF286" s="321"/>
      <c r="AG286" s="321"/>
      <c r="AH286" s="321"/>
      <c r="AI286" s="321"/>
      <c r="AJ286" s="321"/>
      <c r="AK286" s="321"/>
      <c r="AL286" s="321"/>
      <c r="AM286" s="321"/>
      <c r="AN286" s="321"/>
      <c r="AO286" s="321"/>
      <c r="AP286" s="321"/>
      <c r="AQ286" s="321"/>
      <c r="AR286" s="321"/>
      <c r="AS286" s="321"/>
      <c r="AT286" s="321"/>
      <c r="AU286" s="321"/>
      <c r="AV286" s="321"/>
      <c r="AW286" s="321"/>
      <c r="AX286" s="321"/>
      <c r="AY286" s="321"/>
      <c r="AZ286" s="321"/>
      <c r="BA286" s="321"/>
      <c r="BB286" s="321"/>
      <c r="BC286" s="321"/>
      <c r="BD286" s="321"/>
      <c r="BE286" s="321"/>
      <c r="BF286" s="321"/>
      <c r="BG286" s="321"/>
      <c r="BH286" s="321"/>
      <c r="BI286" s="321"/>
      <c r="BJ286" s="321"/>
      <c r="BK286" s="321"/>
      <c r="BL286" s="321"/>
      <c r="BM286" s="321"/>
      <c r="BN286" s="321"/>
      <c r="BO286" s="321"/>
      <c r="BP286" s="321"/>
      <c r="BQ286" s="321"/>
      <c r="BR286" s="321"/>
      <c r="BS286" s="321"/>
      <c r="BT286" s="321"/>
      <c r="BU286" s="321"/>
      <c r="BV286" s="321"/>
      <c r="BW286" s="321"/>
      <c r="BX286" s="321"/>
      <c r="BY286" s="321"/>
      <c r="BZ286" s="321"/>
      <c r="CA286" s="321"/>
      <c r="CB286" s="321"/>
      <c r="CC286" s="321"/>
      <c r="CD286" s="321"/>
    </row>
    <row r="287" spans="1:82" ht="15.75" hidden="1" customHeight="1">
      <c r="A287" s="242"/>
      <c r="B287" s="238"/>
      <c r="C287" s="297" t="s">
        <v>76</v>
      </c>
      <c r="D287" s="295" t="e">
        <f t="shared" si="120"/>
        <v>#DIV/0!</v>
      </c>
      <c r="E287" s="295" t="e">
        <f t="shared" si="121"/>
        <v>#DIV/0!</v>
      </c>
      <c r="F287" s="295" t="e">
        <f t="shared" si="122"/>
        <v>#DIV/0!</v>
      </c>
      <c r="G287" s="295" t="e">
        <f t="shared" si="123"/>
        <v>#DIV/0!</v>
      </c>
      <c r="H287" s="295" t="e">
        <f t="shared" si="124"/>
        <v>#DIV/0!</v>
      </c>
      <c r="I287" s="295" t="e">
        <f t="shared" si="125"/>
        <v>#DIV/0!</v>
      </c>
      <c r="J287" s="295" t="e">
        <f t="shared" si="126"/>
        <v>#DIV/0!</v>
      </c>
      <c r="K287" s="295" t="e">
        <f t="shared" si="127"/>
        <v>#DIV/0!</v>
      </c>
      <c r="L287" s="295">
        <f t="shared" si="128"/>
        <v>3</v>
      </c>
      <c r="M287" s="295">
        <f t="shared" si="129"/>
        <v>3</v>
      </c>
      <c r="N287" s="295" t="e">
        <f t="shared" si="130"/>
        <v>#DIV/0!</v>
      </c>
      <c r="O287" s="241"/>
      <c r="P287" s="242"/>
      <c r="Q287" s="242"/>
      <c r="R287" s="321"/>
      <c r="S287" s="321"/>
      <c r="T287" s="321"/>
      <c r="U287" s="321"/>
      <c r="V287" s="242"/>
      <c r="W287" s="242"/>
      <c r="X287" s="321"/>
      <c r="Y287" s="321"/>
      <c r="Z287" s="321"/>
      <c r="AA287" s="321"/>
      <c r="AB287" s="321"/>
      <c r="AC287" s="321"/>
      <c r="AD287" s="321"/>
      <c r="AE287" s="321"/>
      <c r="AF287" s="321"/>
      <c r="AG287" s="321"/>
      <c r="AH287" s="321"/>
      <c r="AI287" s="321"/>
      <c r="AJ287" s="321"/>
      <c r="AK287" s="321"/>
      <c r="AL287" s="321"/>
      <c r="AM287" s="321"/>
      <c r="AN287" s="321"/>
      <c r="AO287" s="321"/>
      <c r="AP287" s="321"/>
      <c r="AQ287" s="321"/>
      <c r="AR287" s="321"/>
      <c r="AS287" s="321"/>
      <c r="AT287" s="321"/>
      <c r="AU287" s="321"/>
      <c r="AV287" s="321"/>
      <c r="AW287" s="321"/>
      <c r="AX287" s="321"/>
      <c r="AY287" s="321"/>
      <c r="AZ287" s="321"/>
      <c r="BA287" s="321"/>
      <c r="BB287" s="321"/>
      <c r="BC287" s="321"/>
      <c r="BD287" s="321"/>
      <c r="BE287" s="321"/>
      <c r="BF287" s="321"/>
      <c r="BG287" s="321"/>
      <c r="BH287" s="321"/>
      <c r="BI287" s="321"/>
      <c r="BJ287" s="321"/>
      <c r="BK287" s="321"/>
      <c r="BL287" s="321"/>
      <c r="BM287" s="321"/>
      <c r="BN287" s="321"/>
      <c r="BO287" s="321"/>
      <c r="BP287" s="321"/>
      <c r="BQ287" s="321"/>
      <c r="BR287" s="321"/>
      <c r="BS287" s="321"/>
      <c r="BT287" s="321"/>
      <c r="BU287" s="321"/>
      <c r="BV287" s="321"/>
      <c r="BW287" s="321"/>
      <c r="BX287" s="321"/>
      <c r="BY287" s="321"/>
      <c r="BZ287" s="321"/>
      <c r="CA287" s="321"/>
      <c r="CB287" s="321"/>
      <c r="CC287" s="321"/>
      <c r="CD287" s="321"/>
    </row>
    <row r="288" spans="1:82" ht="15.75" hidden="1" customHeight="1">
      <c r="A288" s="242"/>
      <c r="B288" s="238"/>
      <c r="C288" s="297" t="s">
        <v>77</v>
      </c>
      <c r="D288" s="295" t="e">
        <f t="shared" si="120"/>
        <v>#DIV/0!</v>
      </c>
      <c r="E288" s="295" t="e">
        <f t="shared" si="121"/>
        <v>#DIV/0!</v>
      </c>
      <c r="F288" s="295" t="e">
        <f t="shared" si="122"/>
        <v>#DIV/0!</v>
      </c>
      <c r="G288" s="295" t="e">
        <f t="shared" si="123"/>
        <v>#DIV/0!</v>
      </c>
      <c r="H288" s="295" t="e">
        <f t="shared" si="124"/>
        <v>#DIV/0!</v>
      </c>
      <c r="I288" s="295" t="e">
        <f t="shared" si="125"/>
        <v>#DIV/0!</v>
      </c>
      <c r="J288" s="295" t="e">
        <f t="shared" si="126"/>
        <v>#DIV/0!</v>
      </c>
      <c r="K288" s="295" t="e">
        <f t="shared" si="127"/>
        <v>#DIV/0!</v>
      </c>
      <c r="L288" s="295">
        <f t="shared" si="128"/>
        <v>3</v>
      </c>
      <c r="M288" s="295">
        <f t="shared" si="129"/>
        <v>3</v>
      </c>
      <c r="N288" s="295" t="e">
        <f t="shared" si="130"/>
        <v>#DIV/0!</v>
      </c>
      <c r="O288" s="241"/>
      <c r="P288" s="242"/>
      <c r="Q288" s="242"/>
      <c r="R288" s="321"/>
      <c r="S288" s="321"/>
      <c r="T288" s="321"/>
      <c r="U288" s="321"/>
      <c r="V288" s="242"/>
      <c r="W288" s="242"/>
      <c r="X288" s="321"/>
      <c r="Y288" s="321"/>
      <c r="Z288" s="321"/>
      <c r="AA288" s="321"/>
      <c r="AB288" s="321"/>
      <c r="AC288" s="321"/>
      <c r="AD288" s="321"/>
      <c r="AE288" s="321"/>
      <c r="AF288" s="321"/>
      <c r="AG288" s="321"/>
      <c r="AH288" s="321"/>
      <c r="AI288" s="321"/>
      <c r="AJ288" s="321"/>
      <c r="AK288" s="321"/>
      <c r="AL288" s="321"/>
      <c r="AM288" s="321"/>
      <c r="AN288" s="321"/>
      <c r="AO288" s="321"/>
      <c r="AP288" s="321"/>
      <c r="AQ288" s="321"/>
      <c r="AR288" s="321"/>
      <c r="AS288" s="321"/>
      <c r="AT288" s="321"/>
      <c r="AU288" s="321"/>
      <c r="AV288" s="321"/>
      <c r="AW288" s="321"/>
      <c r="AX288" s="321"/>
      <c r="AY288" s="321"/>
      <c r="AZ288" s="321"/>
      <c r="BA288" s="321"/>
      <c r="BB288" s="321"/>
      <c r="BC288" s="321"/>
      <c r="BD288" s="321"/>
      <c r="BE288" s="321"/>
      <c r="BF288" s="321"/>
      <c r="BG288" s="321"/>
      <c r="BH288" s="321"/>
      <c r="BI288" s="321"/>
      <c r="BJ288" s="321"/>
      <c r="BK288" s="321"/>
      <c r="BL288" s="321"/>
      <c r="BM288" s="321"/>
      <c r="BN288" s="321"/>
      <c r="BO288" s="321"/>
      <c r="BP288" s="321"/>
      <c r="BQ288" s="321"/>
      <c r="BR288" s="321"/>
      <c r="BS288" s="321"/>
      <c r="BT288" s="321"/>
      <c r="BU288" s="321"/>
      <c r="BV288" s="321"/>
      <c r="BW288" s="321"/>
      <c r="BX288" s="321"/>
      <c r="BY288" s="321"/>
      <c r="BZ288" s="321"/>
      <c r="CA288" s="321"/>
      <c r="CB288" s="321"/>
      <c r="CC288" s="321"/>
      <c r="CD288" s="321"/>
    </row>
    <row r="289" spans="1:82" ht="15.75" hidden="1" customHeight="1">
      <c r="A289" s="242"/>
      <c r="B289" s="238"/>
      <c r="C289" s="297" t="s">
        <v>78</v>
      </c>
      <c r="D289" s="295" t="e">
        <f t="shared" si="120"/>
        <v>#DIV/0!</v>
      </c>
      <c r="E289" s="295" t="e">
        <f t="shared" si="121"/>
        <v>#DIV/0!</v>
      </c>
      <c r="F289" s="295" t="e">
        <f t="shared" si="122"/>
        <v>#DIV/0!</v>
      </c>
      <c r="G289" s="295" t="e">
        <f t="shared" si="123"/>
        <v>#DIV/0!</v>
      </c>
      <c r="H289" s="295" t="e">
        <f t="shared" si="124"/>
        <v>#DIV/0!</v>
      </c>
      <c r="I289" s="295" t="e">
        <f t="shared" si="125"/>
        <v>#DIV/0!</v>
      </c>
      <c r="J289" s="295" t="e">
        <f t="shared" si="126"/>
        <v>#DIV/0!</v>
      </c>
      <c r="K289" s="295" t="e">
        <f t="shared" si="127"/>
        <v>#DIV/0!</v>
      </c>
      <c r="L289" s="295">
        <f t="shared" si="128"/>
        <v>3</v>
      </c>
      <c r="M289" s="295">
        <f t="shared" si="129"/>
        <v>3</v>
      </c>
      <c r="N289" s="295" t="e">
        <f t="shared" si="130"/>
        <v>#DIV/0!</v>
      </c>
      <c r="O289" s="241"/>
      <c r="P289" s="242"/>
      <c r="Q289" s="242"/>
      <c r="R289" s="321"/>
      <c r="S289" s="321"/>
      <c r="T289" s="321"/>
      <c r="U289" s="321"/>
      <c r="V289" s="242"/>
      <c r="W289" s="242"/>
      <c r="X289" s="321"/>
      <c r="Y289" s="321"/>
      <c r="Z289" s="321"/>
      <c r="AA289" s="321"/>
      <c r="AB289" s="321"/>
      <c r="AC289" s="321"/>
      <c r="AD289" s="321"/>
      <c r="AE289" s="321"/>
      <c r="AF289" s="321"/>
      <c r="AG289" s="321"/>
      <c r="AH289" s="321"/>
      <c r="AI289" s="321"/>
      <c r="AJ289" s="321"/>
      <c r="AK289" s="321"/>
      <c r="AL289" s="321"/>
      <c r="AM289" s="321"/>
      <c r="AN289" s="321"/>
      <c r="AO289" s="321"/>
      <c r="AP289" s="321"/>
      <c r="AQ289" s="321"/>
      <c r="AR289" s="321"/>
      <c r="AS289" s="321"/>
      <c r="AT289" s="321"/>
      <c r="AU289" s="321"/>
      <c r="AV289" s="321"/>
      <c r="AW289" s="321"/>
      <c r="AX289" s="321"/>
      <c r="AY289" s="321"/>
      <c r="AZ289" s="321"/>
      <c r="BA289" s="321"/>
      <c r="BB289" s="321"/>
      <c r="BC289" s="321"/>
      <c r="BD289" s="321"/>
      <c r="BE289" s="321"/>
      <c r="BF289" s="321"/>
      <c r="BG289" s="321"/>
      <c r="BH289" s="321"/>
      <c r="BI289" s="321"/>
      <c r="BJ289" s="321"/>
      <c r="BK289" s="321"/>
      <c r="BL289" s="321"/>
      <c r="BM289" s="321"/>
      <c r="BN289" s="321"/>
      <c r="BO289" s="321"/>
      <c r="BP289" s="321"/>
      <c r="BQ289" s="321"/>
      <c r="BR289" s="321"/>
      <c r="BS289" s="321"/>
      <c r="BT289" s="321"/>
      <c r="BU289" s="321"/>
      <c r="BV289" s="321"/>
      <c r="BW289" s="321"/>
      <c r="BX289" s="321"/>
      <c r="BY289" s="321"/>
      <c r="BZ289" s="321"/>
      <c r="CA289" s="321"/>
      <c r="CB289" s="321"/>
      <c r="CC289" s="321"/>
      <c r="CD289" s="321"/>
    </row>
    <row r="290" spans="1:82" ht="15.75" hidden="1" customHeight="1">
      <c r="A290" s="242"/>
      <c r="B290" s="238"/>
      <c r="C290" s="297" t="s">
        <v>97</v>
      </c>
      <c r="D290" s="255" t="s">
        <v>19</v>
      </c>
      <c r="E290" s="255" t="s">
        <v>19</v>
      </c>
      <c r="F290" s="255" t="s">
        <v>19</v>
      </c>
      <c r="G290" s="255" t="s">
        <v>19</v>
      </c>
      <c r="H290" s="255" t="s">
        <v>19</v>
      </c>
      <c r="I290" s="255" t="s">
        <v>19</v>
      </c>
      <c r="J290" s="255" t="s">
        <v>19</v>
      </c>
      <c r="K290" s="255" t="s">
        <v>19</v>
      </c>
      <c r="L290" s="295">
        <f t="shared" si="128"/>
        <v>3</v>
      </c>
      <c r="M290" s="295">
        <f t="shared" si="129"/>
        <v>3</v>
      </c>
      <c r="N290" s="295">
        <f t="shared" si="130"/>
        <v>3</v>
      </c>
      <c r="O290" s="241"/>
      <c r="P290" s="242"/>
      <c r="Q290" s="242"/>
      <c r="R290" s="321"/>
      <c r="S290" s="321"/>
      <c r="T290" s="321"/>
      <c r="U290" s="321"/>
      <c r="V290" s="242"/>
      <c r="W290" s="242"/>
      <c r="X290" s="321"/>
      <c r="Y290" s="321"/>
      <c r="Z290" s="321"/>
      <c r="AA290" s="321"/>
      <c r="AB290" s="321"/>
      <c r="AC290" s="321"/>
      <c r="AD290" s="321"/>
      <c r="AE290" s="321"/>
      <c r="AF290" s="321"/>
      <c r="AG290" s="321"/>
      <c r="AH290" s="321"/>
      <c r="AI290" s="321"/>
      <c r="AJ290" s="321"/>
      <c r="AK290" s="321"/>
      <c r="AL290" s="321"/>
      <c r="AM290" s="321"/>
      <c r="AN290" s="321"/>
      <c r="AO290" s="321"/>
      <c r="AP290" s="321"/>
      <c r="AQ290" s="321"/>
      <c r="AR290" s="321"/>
      <c r="AS290" s="321"/>
      <c r="AT290" s="321"/>
      <c r="AU290" s="321"/>
      <c r="AV290" s="321"/>
      <c r="AW290" s="321"/>
      <c r="AX290" s="321"/>
      <c r="AY290" s="321"/>
      <c r="AZ290" s="321"/>
      <c r="BA290" s="321"/>
      <c r="BB290" s="321"/>
      <c r="BC290" s="321"/>
      <c r="BD290" s="321"/>
      <c r="BE290" s="321"/>
      <c r="BF290" s="321"/>
      <c r="BG290" s="321"/>
      <c r="BH290" s="321"/>
      <c r="BI290" s="321"/>
      <c r="BJ290" s="321"/>
      <c r="BK290" s="321"/>
      <c r="BL290" s="321"/>
      <c r="BM290" s="321"/>
      <c r="BN290" s="321"/>
      <c r="BO290" s="321"/>
      <c r="BP290" s="321"/>
      <c r="BQ290" s="321"/>
      <c r="BR290" s="321"/>
      <c r="BS290" s="321"/>
      <c r="BT290" s="321"/>
      <c r="BU290" s="321"/>
      <c r="BV290" s="321"/>
      <c r="BW290" s="321"/>
      <c r="BX290" s="321"/>
      <c r="BY290" s="321"/>
      <c r="BZ290" s="321"/>
      <c r="CA290" s="321"/>
      <c r="CB290" s="321"/>
      <c r="CC290" s="321"/>
      <c r="CD290" s="321"/>
    </row>
    <row r="291" spans="1:82" ht="15.75" hidden="1" customHeight="1">
      <c r="A291" s="242"/>
      <c r="B291" s="238"/>
      <c r="C291" s="297" t="s">
        <v>79</v>
      </c>
      <c r="D291" s="295" t="e">
        <f>IF(D245/N245&lt;$AN$267,0,IF(D245/N245&lt;$AM$267,1,IF(D245/N245&lt;$AL$267,2,3)))</f>
        <v>#DIV/0!</v>
      </c>
      <c r="E291" s="295" t="e">
        <f>IF(E245/N245&lt;$AN$268,0,IF(E245/N245&lt;$AM$268,1,IF(E245/N245&lt;$AL$268,2,3)))</f>
        <v>#DIV/0!</v>
      </c>
      <c r="F291" s="295" t="e">
        <f>IF(F245/N245&lt;$AN$269,0,IF(F245/N245&lt;$AM$269,1,IF(F245/N245&lt;$AL$269,2,3)))</f>
        <v>#DIV/0!</v>
      </c>
      <c r="G291" s="295" t="e">
        <f>IF(G245/N245&lt;$AN$270,0,IF(G245/N245&lt;$AM$270,1,IF(G245/N245&lt;$AL$270,2,3)))</f>
        <v>#DIV/0!</v>
      </c>
      <c r="H291" s="295" t="e">
        <f>IF(H245/N245&lt;$AN$271,0,IF(H245/N245&lt;$AM$271,1,IF(H245/N245&lt;$AL$271,2,3)))</f>
        <v>#DIV/0!</v>
      </c>
      <c r="I291" s="295" t="e">
        <f>IF(I245/N245&lt;$AN$272,0,IF(I245/N245&lt;$AM$272,1,IF(I245/N245&lt;$AL$272,2,3)))</f>
        <v>#DIV/0!</v>
      </c>
      <c r="J291" s="295" t="e">
        <f>IF(J245/N245&lt;$AN$273,0,IF(J245/N245&lt;$AM$273,1,IF(J245/N245&lt;$AL$273,2,3)))</f>
        <v>#DIV/0!</v>
      </c>
      <c r="K291" s="295" t="e">
        <f>IF(K245/N245&lt;$AN$274,0,IF(K245/N245&lt;$AM$274,1,IF(K245/N245&lt;$AL$274,2,3)))</f>
        <v>#DIV/0!</v>
      </c>
      <c r="L291" s="295">
        <f t="shared" si="128"/>
        <v>0</v>
      </c>
      <c r="M291" s="295">
        <f t="shared" si="129"/>
        <v>3</v>
      </c>
      <c r="N291" s="295" t="e">
        <f t="shared" si="130"/>
        <v>#DIV/0!</v>
      </c>
      <c r="O291" s="241"/>
      <c r="P291" s="242"/>
      <c r="Q291" s="242"/>
      <c r="R291" s="321"/>
      <c r="S291" s="321"/>
      <c r="T291" s="321"/>
      <c r="U291" s="321"/>
      <c r="V291" s="242"/>
      <c r="W291" s="242"/>
      <c r="X291" s="321"/>
      <c r="Y291" s="321"/>
      <c r="Z291" s="321"/>
      <c r="AA291" s="321"/>
      <c r="AB291" s="321"/>
      <c r="AC291" s="321"/>
      <c r="AD291" s="321"/>
      <c r="AE291" s="321"/>
      <c r="AF291" s="321"/>
      <c r="AG291" s="321"/>
      <c r="AH291" s="321"/>
      <c r="AI291" s="321"/>
      <c r="AJ291" s="321"/>
      <c r="AK291" s="321"/>
      <c r="AL291" s="321"/>
      <c r="AM291" s="321"/>
      <c r="AN291" s="321"/>
      <c r="AO291" s="321"/>
      <c r="AP291" s="321"/>
      <c r="AQ291" s="321"/>
      <c r="AR291" s="321"/>
      <c r="AS291" s="321"/>
      <c r="AT291" s="321"/>
      <c r="AU291" s="321"/>
      <c r="AV291" s="321"/>
      <c r="AW291" s="321"/>
      <c r="AX291" s="321"/>
      <c r="AY291" s="321"/>
      <c r="AZ291" s="321"/>
      <c r="BA291" s="321"/>
      <c r="BB291" s="321"/>
      <c r="BC291" s="321"/>
      <c r="BD291" s="321"/>
      <c r="BE291" s="321"/>
      <c r="BF291" s="321"/>
      <c r="BG291" s="321"/>
      <c r="BH291" s="321"/>
      <c r="BI291" s="321"/>
      <c r="BJ291" s="321"/>
      <c r="BK291" s="321"/>
      <c r="BL291" s="321"/>
      <c r="BM291" s="321"/>
      <c r="BN291" s="321"/>
      <c r="BO291" s="321"/>
      <c r="BP291" s="321"/>
      <c r="BQ291" s="321"/>
      <c r="BR291" s="321"/>
      <c r="BS291" s="321"/>
      <c r="BT291" s="321"/>
      <c r="BU291" s="321"/>
      <c r="BV291" s="321"/>
      <c r="BW291" s="321"/>
      <c r="BX291" s="321"/>
      <c r="BY291" s="321"/>
      <c r="BZ291" s="321"/>
      <c r="CA291" s="321"/>
      <c r="CB291" s="321"/>
      <c r="CC291" s="321"/>
      <c r="CD291" s="321"/>
    </row>
    <row r="292" spans="1:82" ht="15.75" hidden="1" customHeight="1">
      <c r="A292" s="242"/>
      <c r="B292" s="238"/>
      <c r="C292" s="297" t="s">
        <v>98</v>
      </c>
      <c r="D292" s="255" t="s">
        <v>19</v>
      </c>
      <c r="E292" s="255" t="s">
        <v>19</v>
      </c>
      <c r="F292" s="255" t="s">
        <v>19</v>
      </c>
      <c r="G292" s="255" t="s">
        <v>19</v>
      </c>
      <c r="H292" s="255" t="s">
        <v>19</v>
      </c>
      <c r="I292" s="255" t="s">
        <v>19</v>
      </c>
      <c r="J292" s="255" t="s">
        <v>19</v>
      </c>
      <c r="K292" s="255" t="s">
        <v>19</v>
      </c>
      <c r="L292" s="295">
        <f t="shared" si="128"/>
        <v>3</v>
      </c>
      <c r="M292" s="295">
        <f t="shared" si="129"/>
        <v>3</v>
      </c>
      <c r="N292" s="295">
        <f t="shared" si="130"/>
        <v>3</v>
      </c>
      <c r="O292" s="241"/>
      <c r="P292" s="242"/>
      <c r="Q292" s="242"/>
      <c r="R292" s="321"/>
      <c r="S292" s="321"/>
      <c r="T292" s="321"/>
      <c r="U292" s="321"/>
      <c r="V292" s="242"/>
      <c r="W292" s="242"/>
      <c r="X292" s="321"/>
      <c r="Y292" s="321"/>
      <c r="Z292" s="321"/>
      <c r="AA292" s="321"/>
      <c r="AB292" s="321"/>
      <c r="AC292" s="321"/>
      <c r="AD292" s="321"/>
      <c r="AE292" s="321"/>
      <c r="AF292" s="321"/>
      <c r="AG292" s="321"/>
      <c r="AH292" s="321"/>
      <c r="AI292" s="321"/>
      <c r="AJ292" s="321"/>
      <c r="AK292" s="321"/>
      <c r="AL292" s="321"/>
      <c r="AM292" s="321"/>
      <c r="AN292" s="321"/>
      <c r="AO292" s="321"/>
      <c r="AP292" s="321"/>
      <c r="AQ292" s="321"/>
      <c r="AR292" s="321"/>
      <c r="AS292" s="321"/>
      <c r="AT292" s="321"/>
      <c r="AU292" s="321"/>
      <c r="AV292" s="321"/>
      <c r="AW292" s="321"/>
      <c r="AX292" s="321"/>
      <c r="AY292" s="321"/>
      <c r="AZ292" s="321"/>
      <c r="BA292" s="321"/>
      <c r="BB292" s="321"/>
      <c r="BC292" s="321"/>
      <c r="BD292" s="321"/>
      <c r="BE292" s="321"/>
      <c r="BF292" s="321"/>
      <c r="BG292" s="321"/>
      <c r="BH292" s="321"/>
      <c r="BI292" s="321"/>
      <c r="BJ292" s="321"/>
      <c r="BK292" s="321"/>
      <c r="BL292" s="321"/>
      <c r="BM292" s="321"/>
      <c r="BN292" s="321"/>
      <c r="BO292" s="321"/>
      <c r="BP292" s="321"/>
      <c r="BQ292" s="321"/>
      <c r="BR292" s="321"/>
      <c r="BS292" s="321"/>
      <c r="BT292" s="321"/>
      <c r="BU292" s="321"/>
      <c r="BV292" s="321"/>
      <c r="BW292" s="321"/>
      <c r="BX292" s="321"/>
      <c r="BY292" s="321"/>
      <c r="BZ292" s="321"/>
      <c r="CA292" s="321"/>
      <c r="CB292" s="321"/>
      <c r="CC292" s="321"/>
      <c r="CD292" s="321"/>
    </row>
    <row r="293" spans="1:82" ht="15.75" hidden="1" customHeight="1">
      <c r="A293" s="242"/>
      <c r="B293" s="238"/>
      <c r="C293" s="297" t="s">
        <v>1929</v>
      </c>
      <c r="D293" s="295" t="e">
        <f>IF(D247/N247&lt;$AN$267,0,IF(D247/N247&lt;$AM$267,1,IF(D247/N247&lt;$AL$267,2,3)))</f>
        <v>#DIV/0!</v>
      </c>
      <c r="E293" s="295" t="e">
        <f>IF(E247/N247&lt;$AN$268,0,IF(E247/N247&lt;$AM$268,1,IF(E247/N247&lt;$AL$268,2,3)))</f>
        <v>#DIV/0!</v>
      </c>
      <c r="F293" s="295" t="e">
        <f>IF(F247/N247&lt;$AN$269,0,IF(F247/N247&lt;$AM$269,1,IF(F247/N247&lt;$AL$269,2,3)))</f>
        <v>#DIV/0!</v>
      </c>
      <c r="G293" s="295" t="e">
        <f>IF(G247/N247&lt;$AN$270,0,IF(G247/N247&lt;$AM$270,1,IF(G247/N247&lt;$AL$270,2,3)))</f>
        <v>#DIV/0!</v>
      </c>
      <c r="H293" s="295" t="e">
        <f>IF(H247/N247&lt;$AN$271,0,IF(H247/N247&lt;$AM$271,1,IF(H247/N247&lt;$AL$271,2,3)))</f>
        <v>#DIV/0!</v>
      </c>
      <c r="I293" s="295" t="e">
        <f>IF(I247/N247&lt;$AN$272,0,IF(I247/N247&lt;$AM$272,1,IF(I247/N247&lt;$AL$272,2,3)))</f>
        <v>#DIV/0!</v>
      </c>
      <c r="J293" s="295" t="e">
        <f>IF(J247/N247&lt;$AN$273,0,IF(J247/N247&lt;$AM$273,1,IF(J247/N247&lt;$AL$273,2,3)))</f>
        <v>#DIV/0!</v>
      </c>
      <c r="K293" s="295" t="e">
        <f>IF(K247/N247&lt;$AN$274,0,IF(K247/N247&lt;$AM$274,1,IF(K247/N247&lt;$AL$274,2,3)))</f>
        <v>#DIV/0!</v>
      </c>
      <c r="L293" s="295">
        <f t="shared" si="128"/>
        <v>0</v>
      </c>
      <c r="M293" s="295">
        <f t="shared" si="129"/>
        <v>3</v>
      </c>
      <c r="N293" s="295" t="e">
        <f t="shared" si="130"/>
        <v>#DIV/0!</v>
      </c>
      <c r="O293" s="241"/>
      <c r="P293" s="242"/>
      <c r="Q293" s="242"/>
      <c r="R293" s="321"/>
      <c r="S293" s="321"/>
      <c r="T293" s="321"/>
      <c r="U293" s="321"/>
      <c r="V293" s="242"/>
      <c r="W293" s="242"/>
      <c r="X293" s="321"/>
      <c r="Y293" s="321"/>
      <c r="Z293" s="321"/>
      <c r="AA293" s="321"/>
      <c r="AB293" s="321"/>
      <c r="AC293" s="321"/>
      <c r="AD293" s="321"/>
      <c r="AE293" s="321"/>
      <c r="AF293" s="321"/>
      <c r="AG293" s="321"/>
      <c r="AH293" s="321"/>
      <c r="AI293" s="321"/>
      <c r="AJ293" s="321"/>
      <c r="AK293" s="321"/>
      <c r="AL293" s="321"/>
      <c r="AM293" s="321"/>
      <c r="AN293" s="321"/>
      <c r="AO293" s="321"/>
      <c r="AP293" s="321"/>
      <c r="AQ293" s="321"/>
      <c r="AR293" s="321"/>
      <c r="AS293" s="321"/>
      <c r="AT293" s="321"/>
      <c r="AU293" s="321"/>
      <c r="AV293" s="321"/>
      <c r="AW293" s="321"/>
      <c r="AX293" s="321"/>
      <c r="AY293" s="321"/>
      <c r="AZ293" s="321"/>
      <c r="BA293" s="321"/>
      <c r="BB293" s="321"/>
      <c r="BC293" s="321"/>
      <c r="BD293" s="321"/>
      <c r="BE293" s="321"/>
      <c r="BF293" s="321"/>
      <c r="BG293" s="321"/>
      <c r="BH293" s="321"/>
      <c r="BI293" s="321"/>
      <c r="BJ293" s="321"/>
      <c r="BK293" s="321"/>
      <c r="BL293" s="321"/>
      <c r="BM293" s="321"/>
      <c r="BN293" s="321"/>
      <c r="BO293" s="321"/>
      <c r="BP293" s="321"/>
      <c r="BQ293" s="321"/>
      <c r="BR293" s="321"/>
      <c r="BS293" s="321"/>
      <c r="BT293" s="321"/>
      <c r="BU293" s="321"/>
      <c r="BV293" s="321"/>
      <c r="BW293" s="321"/>
      <c r="BX293" s="321"/>
      <c r="BY293" s="321"/>
      <c r="BZ293" s="321"/>
      <c r="CA293" s="321"/>
      <c r="CB293" s="321"/>
      <c r="CC293" s="321"/>
      <c r="CD293" s="321"/>
    </row>
    <row r="294" spans="1:82" ht="15.75" hidden="1" customHeight="1">
      <c r="A294" s="242"/>
      <c r="B294" s="238"/>
      <c r="C294" s="297" t="s">
        <v>81</v>
      </c>
      <c r="D294" s="295" t="e">
        <f>IF(D248/N248&lt;$AN$267,0,IF(D248/N248&lt;$AM$267,1,IF(D248/N248&lt;$AL$267,2,3)))</f>
        <v>#DIV/0!</v>
      </c>
      <c r="E294" s="295" t="e">
        <f>IF(E248/N248&lt;$AN$268,0,IF(E248/N248&lt;$AM$268,1,IF(E248/N248&lt;$AL$268,2,3)))</f>
        <v>#DIV/0!</v>
      </c>
      <c r="F294" s="295" t="e">
        <f>IF(F248/N248&lt;$AN$269,0,IF(F248/N248&lt;$AM$269,1,IF(F248/N248&lt;$AL$269,2,3)))</f>
        <v>#DIV/0!</v>
      </c>
      <c r="G294" s="295" t="e">
        <f>IF(G248/N248&lt;$AN$270,0,IF(G248/N248&lt;$AM$270,1,IF(G248/N248&lt;$AL$270,2,3)))</f>
        <v>#DIV/0!</v>
      </c>
      <c r="H294" s="295" t="e">
        <f>IF(H248/N248&lt;$AN$271,0,IF(H248/N248&lt;$AM$271,1,IF(H248/N248&lt;$AL$271,2,3)))</f>
        <v>#DIV/0!</v>
      </c>
      <c r="I294" s="295" t="e">
        <f>IF(I248/N248&lt;$AN$272,0,IF(I248/N248&lt;$AM$272,1,IF(I248/N248&lt;$AL$272,2,3)))</f>
        <v>#DIV/0!</v>
      </c>
      <c r="J294" s="295" t="e">
        <f>IF(J248/N248&lt;$AN$273,0,IF(J248/N248&lt;$AM$273,1,IF(J248/N248&lt;$AL$273,2,3)))</f>
        <v>#DIV/0!</v>
      </c>
      <c r="K294" s="295" t="e">
        <f>IF(K248/N248&lt;$AN$274,0,IF(K248/N248&lt;$AM$274,1,IF(K248/N248&lt;$AL$274,2,3)))</f>
        <v>#DIV/0!</v>
      </c>
      <c r="L294" s="295">
        <f t="shared" si="128"/>
        <v>3</v>
      </c>
      <c r="M294" s="295">
        <f t="shared" si="129"/>
        <v>3</v>
      </c>
      <c r="N294" s="295" t="e">
        <f t="shared" si="130"/>
        <v>#DIV/0!</v>
      </c>
      <c r="O294" s="241"/>
      <c r="P294" s="242"/>
      <c r="Q294" s="242"/>
      <c r="R294" s="321"/>
      <c r="S294" s="321"/>
      <c r="T294" s="321"/>
      <c r="U294" s="321"/>
      <c r="V294" s="242"/>
      <c r="W294" s="242"/>
      <c r="X294" s="321"/>
      <c r="Y294" s="321"/>
      <c r="Z294" s="321"/>
      <c r="AA294" s="321"/>
      <c r="AB294" s="321"/>
      <c r="AC294" s="321"/>
      <c r="AD294" s="321"/>
      <c r="AE294" s="321"/>
      <c r="AF294" s="321"/>
      <c r="AG294" s="321"/>
      <c r="AH294" s="321"/>
      <c r="AI294" s="321"/>
      <c r="AJ294" s="321"/>
      <c r="AK294" s="321"/>
      <c r="AL294" s="321"/>
      <c r="AM294" s="321"/>
      <c r="AN294" s="321"/>
      <c r="AO294" s="321"/>
      <c r="AP294" s="321"/>
      <c r="AQ294" s="321"/>
      <c r="AR294" s="321"/>
      <c r="AS294" s="321"/>
      <c r="AT294" s="321"/>
      <c r="AU294" s="321"/>
      <c r="AV294" s="321"/>
      <c r="AW294" s="321"/>
      <c r="AX294" s="321"/>
      <c r="AY294" s="321"/>
      <c r="AZ294" s="321"/>
      <c r="BA294" s="321"/>
      <c r="BB294" s="321"/>
      <c r="BC294" s="321"/>
      <c r="BD294" s="321"/>
      <c r="BE294" s="321"/>
      <c r="BF294" s="321"/>
      <c r="BG294" s="321"/>
      <c r="BH294" s="321"/>
      <c r="BI294" s="321"/>
      <c r="BJ294" s="321"/>
      <c r="BK294" s="321"/>
      <c r="BL294" s="321"/>
      <c r="BM294" s="321"/>
      <c r="BN294" s="321"/>
      <c r="BO294" s="321"/>
      <c r="BP294" s="321"/>
      <c r="BQ294" s="321"/>
      <c r="BR294" s="321"/>
      <c r="BS294" s="321"/>
      <c r="BT294" s="321"/>
      <c r="BU294" s="321"/>
      <c r="BV294" s="321"/>
      <c r="BW294" s="321"/>
      <c r="BX294" s="321"/>
      <c r="BY294" s="321"/>
      <c r="BZ294" s="321"/>
      <c r="CA294" s="321"/>
      <c r="CB294" s="321"/>
      <c r="CC294" s="321"/>
      <c r="CD294" s="321"/>
    </row>
    <row r="295" spans="1:82" ht="15.75" hidden="1" customHeight="1">
      <c r="A295" s="242"/>
      <c r="B295" s="238"/>
      <c r="C295" s="297" t="s">
        <v>82</v>
      </c>
      <c r="D295" s="295" t="e">
        <f>IF(D249/N249&lt;$AN$267,0,IF(D249/N249&lt;$AM$267,1,IF(D249/N249&lt;$AL$267,2,3)))</f>
        <v>#DIV/0!</v>
      </c>
      <c r="E295" s="295" t="e">
        <f>IF(E249/N249&lt;$AN$268,0,IF(E249/N249&lt;$AM$268,1,IF(E249/N249&lt;$AL$268,2,3)))</f>
        <v>#DIV/0!</v>
      </c>
      <c r="F295" s="295" t="e">
        <f>IF(F249/N249&lt;$AN$269,0,IF(F249/N249&lt;$AM$269,1,IF(F249/N249&lt;$AL$269,2,3)))</f>
        <v>#DIV/0!</v>
      </c>
      <c r="G295" s="295" t="e">
        <f>IF(G249/N249&lt;$AN$270,0,IF(G249/N249&lt;$AM$270,1,IF(G249/N249&lt;$AL$270,2,3)))</f>
        <v>#DIV/0!</v>
      </c>
      <c r="H295" s="295" t="e">
        <f>IF(H249/N249&lt;$AN$271,0,IF(H249/N249&lt;$AM$271,1,IF(H249/N249&lt;$AL$271,2,3)))</f>
        <v>#DIV/0!</v>
      </c>
      <c r="I295" s="295" t="e">
        <f>IF(I249/N249&lt;$AN$272,0,IF(I249/N249&lt;$AM$272,1,IF(I249/N249&lt;$AL$272,2,3)))</f>
        <v>#DIV/0!</v>
      </c>
      <c r="J295" s="295" t="e">
        <f>IF(J249/N249&lt;$AN$273,0,IF(J249/N249&lt;$AM$273,1,IF(J249/N249&lt;$AL$273,2,3)))</f>
        <v>#DIV/0!</v>
      </c>
      <c r="K295" s="295" t="e">
        <f>IF(K249/N249&lt;$AN$274,0,IF(K249/N249&lt;$AM$274,1,IF(K249/N249&lt;$AL$274,2,3)))</f>
        <v>#DIV/0!</v>
      </c>
      <c r="L295" s="295">
        <f t="shared" si="128"/>
        <v>0</v>
      </c>
      <c r="M295" s="295">
        <f t="shared" si="129"/>
        <v>3</v>
      </c>
      <c r="N295" s="295" t="e">
        <f t="shared" si="130"/>
        <v>#DIV/0!</v>
      </c>
      <c r="O295" s="241"/>
      <c r="P295" s="242"/>
      <c r="Q295" s="242"/>
      <c r="R295" s="321"/>
      <c r="S295" s="321"/>
      <c r="T295" s="321"/>
      <c r="U295" s="321"/>
      <c r="V295" s="242"/>
      <c r="W295" s="242"/>
      <c r="X295" s="321"/>
      <c r="Y295" s="321"/>
      <c r="Z295" s="321"/>
      <c r="AA295" s="321"/>
      <c r="AB295" s="321"/>
      <c r="AC295" s="321"/>
      <c r="AD295" s="321"/>
      <c r="AE295" s="321"/>
      <c r="AF295" s="321"/>
      <c r="AG295" s="321"/>
      <c r="AH295" s="321"/>
      <c r="AI295" s="321"/>
      <c r="AJ295" s="321"/>
      <c r="AK295" s="321"/>
      <c r="AL295" s="321"/>
      <c r="AM295" s="321"/>
      <c r="AN295" s="321"/>
      <c r="AO295" s="321"/>
      <c r="AP295" s="321"/>
      <c r="AQ295" s="321"/>
      <c r="AR295" s="321"/>
      <c r="AS295" s="321"/>
      <c r="AT295" s="321"/>
      <c r="AU295" s="321"/>
      <c r="AV295" s="321"/>
      <c r="AW295" s="321"/>
      <c r="AX295" s="321"/>
      <c r="AY295" s="321"/>
      <c r="AZ295" s="321"/>
      <c r="BA295" s="321"/>
      <c r="BB295" s="321"/>
      <c r="BC295" s="321"/>
      <c r="BD295" s="321"/>
      <c r="BE295" s="321"/>
      <c r="BF295" s="321"/>
      <c r="BG295" s="321"/>
      <c r="BH295" s="321"/>
      <c r="BI295" s="321"/>
      <c r="BJ295" s="321"/>
      <c r="BK295" s="321"/>
      <c r="BL295" s="321"/>
      <c r="BM295" s="321"/>
      <c r="BN295" s="321"/>
      <c r="BO295" s="321"/>
      <c r="BP295" s="321"/>
      <c r="BQ295" s="321"/>
      <c r="BR295" s="321"/>
      <c r="BS295" s="321"/>
      <c r="BT295" s="321"/>
      <c r="BU295" s="321"/>
      <c r="BV295" s="321"/>
      <c r="BW295" s="321"/>
      <c r="BX295" s="321"/>
      <c r="BY295" s="321"/>
      <c r="BZ295" s="321"/>
      <c r="CA295" s="321"/>
      <c r="CB295" s="321"/>
      <c r="CC295" s="321"/>
      <c r="CD295" s="321"/>
    </row>
    <row r="296" spans="1:82" ht="15.75" hidden="1" customHeight="1">
      <c r="A296" s="242"/>
      <c r="B296" s="238"/>
      <c r="C296" s="297" t="s">
        <v>83</v>
      </c>
      <c r="D296" s="255" t="s">
        <v>19</v>
      </c>
      <c r="E296" s="255" t="s">
        <v>19</v>
      </c>
      <c r="F296" s="255" t="s">
        <v>19</v>
      </c>
      <c r="G296" s="255" t="s">
        <v>19</v>
      </c>
      <c r="H296" s="255" t="s">
        <v>19</v>
      </c>
      <c r="I296" s="255" t="s">
        <v>19</v>
      </c>
      <c r="J296" s="255" t="s">
        <v>19</v>
      </c>
      <c r="K296" s="255" t="s">
        <v>19</v>
      </c>
      <c r="L296" s="295">
        <f t="shared" si="128"/>
        <v>3</v>
      </c>
      <c r="M296" s="295">
        <f t="shared" si="129"/>
        <v>3</v>
      </c>
      <c r="N296" s="295">
        <f t="shared" si="130"/>
        <v>3</v>
      </c>
      <c r="O296" s="241"/>
      <c r="P296" s="242"/>
      <c r="Q296" s="242"/>
      <c r="R296" s="321"/>
      <c r="S296" s="321"/>
      <c r="T296" s="321"/>
      <c r="U296" s="321"/>
      <c r="V296" s="242"/>
      <c r="W296" s="242"/>
      <c r="X296" s="321"/>
      <c r="Y296" s="321"/>
      <c r="Z296" s="321"/>
      <c r="AA296" s="321"/>
      <c r="AB296" s="321"/>
      <c r="AC296" s="321"/>
      <c r="AD296" s="321"/>
      <c r="AE296" s="321"/>
      <c r="AF296" s="321"/>
      <c r="AG296" s="321"/>
      <c r="AH296" s="321"/>
      <c r="AI296" s="321"/>
      <c r="AJ296" s="321"/>
      <c r="AK296" s="321"/>
      <c r="AL296" s="321"/>
      <c r="AM296" s="321"/>
      <c r="AN296" s="321"/>
      <c r="AO296" s="321"/>
      <c r="AP296" s="321"/>
      <c r="AQ296" s="321"/>
      <c r="AR296" s="321"/>
      <c r="AS296" s="321"/>
      <c r="AT296" s="321"/>
      <c r="AU296" s="321"/>
      <c r="AV296" s="321"/>
      <c r="AW296" s="321"/>
      <c r="AX296" s="321"/>
      <c r="AY296" s="321"/>
      <c r="AZ296" s="321"/>
      <c r="BA296" s="321"/>
      <c r="BB296" s="321"/>
      <c r="BC296" s="321"/>
      <c r="BD296" s="321"/>
      <c r="BE296" s="321"/>
      <c r="BF296" s="321"/>
      <c r="BG296" s="321"/>
      <c r="BH296" s="321"/>
      <c r="BI296" s="321"/>
      <c r="BJ296" s="321"/>
      <c r="BK296" s="321"/>
      <c r="BL296" s="321"/>
      <c r="BM296" s="321"/>
      <c r="BN296" s="321"/>
      <c r="BO296" s="321"/>
      <c r="BP296" s="321"/>
      <c r="BQ296" s="321"/>
      <c r="BR296" s="321"/>
      <c r="BS296" s="321"/>
      <c r="BT296" s="321"/>
      <c r="BU296" s="321"/>
      <c r="BV296" s="321"/>
      <c r="BW296" s="321"/>
      <c r="BX296" s="321"/>
      <c r="BY296" s="321"/>
      <c r="BZ296" s="321"/>
      <c r="CA296" s="321"/>
      <c r="CB296" s="321"/>
      <c r="CC296" s="321"/>
      <c r="CD296" s="321"/>
    </row>
    <row r="297" spans="1:82" ht="15.75" hidden="1" customHeight="1">
      <c r="A297" s="242"/>
      <c r="B297" s="238"/>
      <c r="C297" s="297" t="s">
        <v>84</v>
      </c>
      <c r="D297" s="295" t="e">
        <f>IF(D251/N251&lt;$AN$267,0,IF(D251/N251&lt;$AM$267,1,IF(D251/N251&lt;$AL$267,2,3)))</f>
        <v>#DIV/0!</v>
      </c>
      <c r="E297" s="295" t="e">
        <f>IF(E251/N251&lt;$AN$268,0,IF(E251/N251&lt;$AM$268,1,IF(E251/N251&lt;$AL$268,2,3)))</f>
        <v>#DIV/0!</v>
      </c>
      <c r="F297" s="295" t="e">
        <f>IF(F251/N251&lt;$AN$269,0,IF(F251/N251&lt;$AM$269,1,IF(F251/N251&lt;$AL$269,2,3)))</f>
        <v>#DIV/0!</v>
      </c>
      <c r="G297" s="295" t="e">
        <f>IF(G251/N251&lt;$AN$270,0,IF(G251/N251&lt;$AM$270,1,IF(G251/N251&lt;$AL$270,2,3)))</f>
        <v>#DIV/0!</v>
      </c>
      <c r="H297" s="295" t="e">
        <f>IF(H251/N251&lt;$AN$271,0,IF(H251/N251&lt;$AM$271,1,IF(H251/N251&lt;$AL$271,2,3)))</f>
        <v>#DIV/0!</v>
      </c>
      <c r="I297" s="295" t="e">
        <f>IF(I251/N251&lt;$AN$272,0,IF(I251/N251&lt;$AM$272,1,IF(I251/N251&lt;$AL$272,2,3)))</f>
        <v>#DIV/0!</v>
      </c>
      <c r="J297" s="295" t="e">
        <f>IF(J251/N251&lt;$AN$273,0,IF(J251/N251&lt;$AM$273,1,IF(J251/N251&lt;$AL$273,2,3)))</f>
        <v>#DIV/0!</v>
      </c>
      <c r="K297" s="295" t="e">
        <f>IF(K251/N251&lt;$AN$274,0,IF(K251/N251&lt;$AM$274,1,IF(K251/N251&lt;$AL$274,2,3)))</f>
        <v>#DIV/0!</v>
      </c>
      <c r="L297" s="295">
        <f t="shared" si="128"/>
        <v>3</v>
      </c>
      <c r="M297" s="295">
        <f t="shared" si="129"/>
        <v>3</v>
      </c>
      <c r="N297" s="295" t="e">
        <f t="shared" si="130"/>
        <v>#DIV/0!</v>
      </c>
      <c r="O297" s="241"/>
      <c r="P297" s="242"/>
      <c r="Q297" s="242"/>
      <c r="R297" s="321"/>
      <c r="S297" s="321"/>
      <c r="T297" s="321"/>
      <c r="U297" s="321"/>
      <c r="V297" s="242"/>
      <c r="W297" s="242"/>
      <c r="X297" s="321"/>
      <c r="Y297" s="321"/>
      <c r="Z297" s="321"/>
      <c r="AA297" s="321"/>
      <c r="AB297" s="321"/>
      <c r="AC297" s="321"/>
      <c r="AD297" s="321"/>
      <c r="AE297" s="321"/>
      <c r="AF297" s="321"/>
      <c r="AG297" s="321"/>
      <c r="AH297" s="321"/>
      <c r="AI297" s="321"/>
      <c r="AJ297" s="321"/>
      <c r="AK297" s="321"/>
      <c r="AL297" s="321"/>
      <c r="AM297" s="321"/>
      <c r="AN297" s="321"/>
      <c r="AO297" s="321"/>
      <c r="AP297" s="321"/>
      <c r="AQ297" s="321"/>
      <c r="AR297" s="321"/>
      <c r="AS297" s="321"/>
      <c r="AT297" s="321"/>
      <c r="AU297" s="321"/>
      <c r="AV297" s="321"/>
      <c r="AW297" s="321"/>
      <c r="AX297" s="321"/>
      <c r="AY297" s="321"/>
      <c r="AZ297" s="321"/>
      <c r="BA297" s="321"/>
      <c r="BB297" s="321"/>
      <c r="BC297" s="321"/>
      <c r="BD297" s="321"/>
      <c r="BE297" s="321"/>
      <c r="BF297" s="321"/>
      <c r="BG297" s="321"/>
      <c r="BH297" s="321"/>
      <c r="BI297" s="321"/>
      <c r="BJ297" s="321"/>
      <c r="BK297" s="321"/>
      <c r="BL297" s="321"/>
      <c r="BM297" s="321"/>
      <c r="BN297" s="321"/>
      <c r="BO297" s="321"/>
      <c r="BP297" s="321"/>
      <c r="BQ297" s="321"/>
      <c r="BR297" s="321"/>
      <c r="BS297" s="321"/>
      <c r="BT297" s="321"/>
      <c r="BU297" s="321"/>
      <c r="BV297" s="321"/>
      <c r="BW297" s="321"/>
      <c r="BX297" s="321"/>
      <c r="BY297" s="321"/>
      <c r="BZ297" s="321"/>
      <c r="CA297" s="321"/>
      <c r="CB297" s="321"/>
      <c r="CC297" s="321"/>
      <c r="CD297" s="321"/>
    </row>
    <row r="298" spans="1:82" ht="15.75" hidden="1" customHeight="1">
      <c r="A298" s="242"/>
      <c r="B298" s="238"/>
      <c r="C298" s="297" t="s">
        <v>85</v>
      </c>
      <c r="D298" s="255" t="s">
        <v>19</v>
      </c>
      <c r="E298" s="255" t="s">
        <v>19</v>
      </c>
      <c r="F298" s="255" t="s">
        <v>19</v>
      </c>
      <c r="G298" s="255" t="s">
        <v>19</v>
      </c>
      <c r="H298" s="255" t="s">
        <v>19</v>
      </c>
      <c r="I298" s="255" t="s">
        <v>19</v>
      </c>
      <c r="J298" s="255" t="s">
        <v>19</v>
      </c>
      <c r="K298" s="255" t="s">
        <v>19</v>
      </c>
      <c r="L298" s="295">
        <f t="shared" si="128"/>
        <v>3</v>
      </c>
      <c r="M298" s="295">
        <f t="shared" si="129"/>
        <v>3</v>
      </c>
      <c r="N298" s="295">
        <f t="shared" si="130"/>
        <v>3</v>
      </c>
      <c r="O298" s="241"/>
      <c r="P298" s="242"/>
      <c r="Q298" s="242"/>
      <c r="R298" s="321"/>
      <c r="S298" s="321"/>
      <c r="T298" s="321"/>
      <c r="U298" s="321"/>
      <c r="V298" s="242"/>
      <c r="W298" s="242"/>
      <c r="X298" s="321"/>
      <c r="Y298" s="321"/>
      <c r="Z298" s="321"/>
      <c r="AA298" s="321"/>
      <c r="AB298" s="321"/>
      <c r="AC298" s="321"/>
      <c r="AD298" s="321"/>
      <c r="AE298" s="321"/>
      <c r="AF298" s="321"/>
      <c r="AG298" s="321"/>
      <c r="AH298" s="321"/>
      <c r="AI298" s="321"/>
      <c r="AJ298" s="321"/>
      <c r="AK298" s="321"/>
      <c r="AL298" s="321"/>
      <c r="AM298" s="321"/>
      <c r="AN298" s="321"/>
      <c r="AO298" s="321"/>
      <c r="AP298" s="321"/>
      <c r="AQ298" s="321"/>
      <c r="AR298" s="321"/>
      <c r="AS298" s="321"/>
      <c r="AT298" s="321"/>
      <c r="AU298" s="321"/>
      <c r="AV298" s="321"/>
      <c r="AW298" s="321"/>
      <c r="AX298" s="321"/>
      <c r="AY298" s="321"/>
      <c r="AZ298" s="321"/>
      <c r="BA298" s="321"/>
      <c r="BB298" s="321"/>
      <c r="BC298" s="321"/>
      <c r="BD298" s="321"/>
      <c r="BE298" s="321"/>
      <c r="BF298" s="321"/>
      <c r="BG298" s="321"/>
      <c r="BH298" s="321"/>
      <c r="BI298" s="321"/>
      <c r="BJ298" s="321"/>
      <c r="BK298" s="321"/>
      <c r="BL298" s="321"/>
      <c r="BM298" s="321"/>
      <c r="BN298" s="321"/>
      <c r="BO298" s="321"/>
      <c r="BP298" s="321"/>
      <c r="BQ298" s="321"/>
      <c r="BR298" s="321"/>
      <c r="BS298" s="321"/>
      <c r="BT298" s="321"/>
      <c r="BU298" s="321"/>
      <c r="BV298" s="321"/>
      <c r="BW298" s="321"/>
      <c r="BX298" s="321"/>
      <c r="BY298" s="321"/>
      <c r="BZ298" s="321"/>
      <c r="CA298" s="321"/>
      <c r="CB298" s="321"/>
      <c r="CC298" s="321"/>
      <c r="CD298" s="321"/>
    </row>
    <row r="299" spans="1:82" ht="15.75" hidden="1" customHeight="1">
      <c r="A299" s="242"/>
      <c r="B299" s="238"/>
      <c r="C299" s="297" t="s">
        <v>86</v>
      </c>
      <c r="D299" s="295" t="e">
        <f t="shared" ref="D299:D309" si="131">IF(D253/N253&lt;$AN$267,0,IF(D253/N253&lt;$AM$267,1,IF(D253/N253&lt;$AL$267,2,3)))</f>
        <v>#DIV/0!</v>
      </c>
      <c r="E299" s="295" t="e">
        <f t="shared" ref="E299:E309" si="132">IF(E253/N253&lt;$AN$268,0,IF(E253/N253&lt;$AM$268,1,IF(E253/N253&lt;$AL$268,2,3)))</f>
        <v>#DIV/0!</v>
      </c>
      <c r="F299" s="295" t="e">
        <f t="shared" ref="F299:F309" si="133">IF(F253/N253&lt;$AN$269,0,IF(F253/N253&lt;$AM$269,1,IF(F253/N253&lt;$AL$269,2,3)))</f>
        <v>#DIV/0!</v>
      </c>
      <c r="G299" s="295" t="e">
        <f t="shared" ref="G299:G309" si="134">IF(G253/N253&lt;$AN$270,0,IF(G253/N253&lt;$AM$270,1,IF(G253/N253&lt;$AL$270,2,3)))</f>
        <v>#DIV/0!</v>
      </c>
      <c r="H299" s="295" t="e">
        <f t="shared" ref="H299:H309" si="135">IF(H253/N253&lt;$AN$271,0,IF(H253/N253&lt;$AM$271,1,IF(H253/N253&lt;$AL$271,2,3)))</f>
        <v>#DIV/0!</v>
      </c>
      <c r="I299" s="295" t="e">
        <f t="shared" ref="I299:I309" si="136">IF(I253/N253&lt;$AN$272,0,IF(I253/N253&lt;$AM$272,1,IF(I253/N253&lt;$AL$272,2,3)))</f>
        <v>#DIV/0!</v>
      </c>
      <c r="J299" s="295" t="e">
        <f t="shared" ref="J299:J309" si="137">IF(J253/N253&lt;$AN$273,0,IF(J253/N253&lt;$AM$273,1,IF(J253/N253&lt;$AL$273,2,3)))</f>
        <v>#DIV/0!</v>
      </c>
      <c r="K299" s="295" t="e">
        <f t="shared" ref="K299:K309" si="138">IF(K253/N253&lt;$AN$274,0,IF(K253/N253&lt;$AM$274,1,IF(K253/N253&lt;$AL$274,2,3)))</f>
        <v>#DIV/0!</v>
      </c>
      <c r="L299" s="295">
        <f t="shared" si="128"/>
        <v>3</v>
      </c>
      <c r="M299" s="295">
        <f t="shared" si="129"/>
        <v>3</v>
      </c>
      <c r="N299" s="295" t="e">
        <f t="shared" si="130"/>
        <v>#DIV/0!</v>
      </c>
      <c r="O299" s="241"/>
      <c r="P299" s="242"/>
      <c r="Q299" s="242"/>
      <c r="R299" s="321"/>
      <c r="S299" s="321"/>
      <c r="T299" s="321"/>
      <c r="U299" s="321"/>
      <c r="V299" s="242"/>
      <c r="W299" s="242"/>
      <c r="X299" s="321"/>
      <c r="Y299" s="321"/>
      <c r="Z299" s="321"/>
      <c r="AA299" s="321"/>
      <c r="AB299" s="321"/>
      <c r="AC299" s="321"/>
      <c r="AD299" s="321"/>
      <c r="AE299" s="321"/>
      <c r="AF299" s="321"/>
      <c r="AG299" s="321"/>
      <c r="AH299" s="321"/>
      <c r="AI299" s="321"/>
      <c r="AJ299" s="321"/>
      <c r="AK299" s="321"/>
      <c r="AL299" s="321"/>
      <c r="AM299" s="321"/>
      <c r="AN299" s="321"/>
      <c r="AO299" s="321"/>
      <c r="AP299" s="321"/>
      <c r="AQ299" s="321"/>
      <c r="AR299" s="321"/>
      <c r="AS299" s="321"/>
      <c r="AT299" s="321"/>
      <c r="AU299" s="321"/>
      <c r="AV299" s="321"/>
      <c r="AW299" s="321"/>
      <c r="AX299" s="321"/>
      <c r="AY299" s="321"/>
      <c r="AZ299" s="321"/>
      <c r="BA299" s="321"/>
      <c r="BB299" s="321"/>
      <c r="BC299" s="321"/>
      <c r="BD299" s="321"/>
      <c r="BE299" s="321"/>
      <c r="BF299" s="321"/>
      <c r="BG299" s="321"/>
      <c r="BH299" s="321"/>
      <c r="BI299" s="321"/>
      <c r="BJ299" s="321"/>
      <c r="BK299" s="321"/>
      <c r="BL299" s="321"/>
      <c r="BM299" s="321"/>
      <c r="BN299" s="321"/>
      <c r="BO299" s="321"/>
      <c r="BP299" s="321"/>
      <c r="BQ299" s="321"/>
      <c r="BR299" s="321"/>
      <c r="BS299" s="321"/>
      <c r="BT299" s="321"/>
      <c r="BU299" s="321"/>
      <c r="BV299" s="321"/>
      <c r="BW299" s="321"/>
      <c r="BX299" s="321"/>
      <c r="BY299" s="321"/>
      <c r="BZ299" s="321"/>
      <c r="CA299" s="321"/>
      <c r="CB299" s="321"/>
      <c r="CC299" s="321"/>
      <c r="CD299" s="321"/>
    </row>
    <row r="300" spans="1:82" ht="15.75" hidden="1" customHeight="1">
      <c r="A300" s="242"/>
      <c r="B300" s="238"/>
      <c r="C300" s="297" t="s">
        <v>87</v>
      </c>
      <c r="D300" s="295" t="e">
        <f t="shared" si="131"/>
        <v>#DIV/0!</v>
      </c>
      <c r="E300" s="295" t="e">
        <f t="shared" si="132"/>
        <v>#DIV/0!</v>
      </c>
      <c r="F300" s="295" t="e">
        <f t="shared" si="133"/>
        <v>#DIV/0!</v>
      </c>
      <c r="G300" s="295" t="e">
        <f t="shared" si="134"/>
        <v>#DIV/0!</v>
      </c>
      <c r="H300" s="295" t="e">
        <f t="shared" si="135"/>
        <v>#DIV/0!</v>
      </c>
      <c r="I300" s="295" t="e">
        <f t="shared" si="136"/>
        <v>#DIV/0!</v>
      </c>
      <c r="J300" s="295" t="e">
        <f t="shared" si="137"/>
        <v>#DIV/0!</v>
      </c>
      <c r="K300" s="295" t="e">
        <f t="shared" si="138"/>
        <v>#DIV/0!</v>
      </c>
      <c r="L300" s="295">
        <f t="shared" si="128"/>
        <v>3</v>
      </c>
      <c r="M300" s="295">
        <f t="shared" si="129"/>
        <v>3</v>
      </c>
      <c r="N300" s="295" t="e">
        <f t="shared" si="130"/>
        <v>#DIV/0!</v>
      </c>
      <c r="O300" s="241"/>
      <c r="P300" s="242"/>
      <c r="Q300" s="242"/>
      <c r="R300" s="321"/>
      <c r="S300" s="321"/>
      <c r="T300" s="321"/>
      <c r="U300" s="321"/>
      <c r="V300" s="242"/>
      <c r="W300" s="242"/>
      <c r="X300" s="321"/>
      <c r="Y300" s="321"/>
      <c r="Z300" s="321"/>
      <c r="AA300" s="321"/>
      <c r="AB300" s="321"/>
      <c r="AC300" s="321"/>
      <c r="AD300" s="321"/>
      <c r="AE300" s="321"/>
      <c r="AF300" s="321"/>
      <c r="AG300" s="321"/>
      <c r="AH300" s="321"/>
      <c r="AI300" s="321"/>
      <c r="AJ300" s="321"/>
      <c r="AK300" s="321"/>
      <c r="AL300" s="321"/>
      <c r="AM300" s="321"/>
      <c r="AN300" s="321"/>
      <c r="AO300" s="321"/>
      <c r="AP300" s="321"/>
      <c r="AQ300" s="321"/>
      <c r="AR300" s="321"/>
      <c r="AS300" s="321"/>
      <c r="AT300" s="321"/>
      <c r="AU300" s="321"/>
      <c r="AV300" s="321"/>
      <c r="AW300" s="321"/>
      <c r="AX300" s="321"/>
      <c r="AY300" s="321"/>
      <c r="AZ300" s="321"/>
      <c r="BA300" s="321"/>
      <c r="BB300" s="321"/>
      <c r="BC300" s="321"/>
      <c r="BD300" s="321"/>
      <c r="BE300" s="321"/>
      <c r="BF300" s="321"/>
      <c r="BG300" s="321"/>
      <c r="BH300" s="321"/>
      <c r="BI300" s="321"/>
      <c r="BJ300" s="321"/>
      <c r="BK300" s="321"/>
      <c r="BL300" s="321"/>
      <c r="BM300" s="321"/>
      <c r="BN300" s="321"/>
      <c r="BO300" s="321"/>
      <c r="BP300" s="321"/>
      <c r="BQ300" s="321"/>
      <c r="BR300" s="321"/>
      <c r="BS300" s="321"/>
      <c r="BT300" s="321"/>
      <c r="BU300" s="321"/>
      <c r="BV300" s="321"/>
      <c r="BW300" s="321"/>
      <c r="BX300" s="321"/>
      <c r="BY300" s="321"/>
      <c r="BZ300" s="321"/>
      <c r="CA300" s="321"/>
      <c r="CB300" s="321"/>
      <c r="CC300" s="321"/>
      <c r="CD300" s="321"/>
    </row>
    <row r="301" spans="1:82" ht="15.75" hidden="1" customHeight="1">
      <c r="A301" s="242"/>
      <c r="B301" s="238"/>
      <c r="C301" s="297" t="s">
        <v>88</v>
      </c>
      <c r="D301" s="295" t="e">
        <f t="shared" si="131"/>
        <v>#DIV/0!</v>
      </c>
      <c r="E301" s="295" t="e">
        <f t="shared" si="132"/>
        <v>#DIV/0!</v>
      </c>
      <c r="F301" s="295" t="e">
        <f t="shared" si="133"/>
        <v>#DIV/0!</v>
      </c>
      <c r="G301" s="295" t="e">
        <f t="shared" si="134"/>
        <v>#DIV/0!</v>
      </c>
      <c r="H301" s="295" t="e">
        <f t="shared" si="135"/>
        <v>#DIV/0!</v>
      </c>
      <c r="I301" s="295" t="e">
        <f t="shared" si="136"/>
        <v>#DIV/0!</v>
      </c>
      <c r="J301" s="295" t="e">
        <f t="shared" si="137"/>
        <v>#DIV/0!</v>
      </c>
      <c r="K301" s="295" t="e">
        <f t="shared" si="138"/>
        <v>#DIV/0!</v>
      </c>
      <c r="L301" s="295">
        <f t="shared" si="128"/>
        <v>3</v>
      </c>
      <c r="M301" s="295">
        <f t="shared" si="129"/>
        <v>3</v>
      </c>
      <c r="N301" s="295" t="e">
        <f t="shared" si="130"/>
        <v>#DIV/0!</v>
      </c>
      <c r="O301" s="241"/>
      <c r="P301" s="242"/>
      <c r="Q301" s="242"/>
      <c r="R301" s="321"/>
      <c r="S301" s="321"/>
      <c r="T301" s="321"/>
      <c r="U301" s="321"/>
      <c r="V301" s="242"/>
      <c r="W301" s="242"/>
      <c r="X301" s="321"/>
      <c r="Y301" s="321"/>
      <c r="Z301" s="321"/>
      <c r="AA301" s="321"/>
      <c r="AB301" s="321"/>
      <c r="AC301" s="321"/>
      <c r="AD301" s="321"/>
      <c r="AE301" s="321"/>
      <c r="AF301" s="321"/>
      <c r="AG301" s="321"/>
      <c r="AH301" s="321"/>
      <c r="AI301" s="321"/>
      <c r="AJ301" s="321"/>
      <c r="AK301" s="321"/>
      <c r="AL301" s="321"/>
      <c r="AM301" s="321"/>
      <c r="AN301" s="321"/>
      <c r="AO301" s="321"/>
      <c r="AP301" s="321"/>
      <c r="AQ301" s="321"/>
      <c r="AR301" s="321"/>
      <c r="AS301" s="321"/>
      <c r="AT301" s="321"/>
      <c r="AU301" s="321"/>
      <c r="AV301" s="321"/>
      <c r="AW301" s="321"/>
      <c r="AX301" s="321"/>
      <c r="AY301" s="321"/>
      <c r="AZ301" s="321"/>
      <c r="BA301" s="321"/>
      <c r="BB301" s="321"/>
      <c r="BC301" s="321"/>
      <c r="BD301" s="321"/>
      <c r="BE301" s="321"/>
      <c r="BF301" s="321"/>
      <c r="BG301" s="321"/>
      <c r="BH301" s="321"/>
      <c r="BI301" s="321"/>
      <c r="BJ301" s="321"/>
      <c r="BK301" s="321"/>
      <c r="BL301" s="321"/>
      <c r="BM301" s="321"/>
      <c r="BN301" s="321"/>
      <c r="BO301" s="321"/>
      <c r="BP301" s="321"/>
      <c r="BQ301" s="321"/>
      <c r="BR301" s="321"/>
      <c r="BS301" s="321"/>
      <c r="BT301" s="321"/>
      <c r="BU301" s="321"/>
      <c r="BV301" s="321"/>
      <c r="BW301" s="321"/>
      <c r="BX301" s="321"/>
      <c r="BY301" s="321"/>
      <c r="BZ301" s="321"/>
      <c r="CA301" s="321"/>
      <c r="CB301" s="321"/>
      <c r="CC301" s="321"/>
      <c r="CD301" s="321"/>
    </row>
    <row r="302" spans="1:82" ht="15.75" hidden="1" customHeight="1">
      <c r="A302" s="290"/>
      <c r="B302" s="291"/>
      <c r="C302" s="297" t="s">
        <v>1930</v>
      </c>
      <c r="D302" s="295" t="e">
        <f t="shared" si="131"/>
        <v>#DIV/0!</v>
      </c>
      <c r="E302" s="295" t="e">
        <f t="shared" si="132"/>
        <v>#DIV/0!</v>
      </c>
      <c r="F302" s="295" t="e">
        <f t="shared" si="133"/>
        <v>#DIV/0!</v>
      </c>
      <c r="G302" s="295" t="e">
        <f t="shared" si="134"/>
        <v>#DIV/0!</v>
      </c>
      <c r="H302" s="295" t="e">
        <f t="shared" si="135"/>
        <v>#DIV/0!</v>
      </c>
      <c r="I302" s="295" t="e">
        <f t="shared" si="136"/>
        <v>#DIV/0!</v>
      </c>
      <c r="J302" s="295" t="e">
        <f t="shared" si="137"/>
        <v>#DIV/0!</v>
      </c>
      <c r="K302" s="295" t="e">
        <f t="shared" si="138"/>
        <v>#DIV/0!</v>
      </c>
      <c r="L302" s="295">
        <f t="shared" si="128"/>
        <v>0</v>
      </c>
      <c r="M302" s="295">
        <f t="shared" si="129"/>
        <v>3</v>
      </c>
      <c r="N302" s="295" t="e">
        <f t="shared" si="130"/>
        <v>#DIV/0!</v>
      </c>
      <c r="O302" s="241"/>
      <c r="P302" s="242"/>
      <c r="Q302" s="242"/>
      <c r="R302" s="321"/>
      <c r="S302" s="321"/>
      <c r="T302" s="321"/>
      <c r="U302" s="321"/>
      <c r="V302" s="242"/>
      <c r="W302" s="242"/>
      <c r="X302" s="321"/>
      <c r="Y302" s="321"/>
      <c r="Z302" s="321"/>
      <c r="AA302" s="321"/>
      <c r="AB302" s="321"/>
      <c r="AC302" s="321"/>
      <c r="AD302" s="321"/>
      <c r="AE302" s="321"/>
      <c r="AF302" s="321"/>
      <c r="AG302" s="321"/>
      <c r="AH302" s="321"/>
      <c r="AI302" s="321"/>
      <c r="AJ302" s="321"/>
      <c r="AK302" s="321"/>
      <c r="AL302" s="321"/>
      <c r="AM302" s="321"/>
      <c r="AN302" s="321"/>
      <c r="AO302" s="321"/>
      <c r="AP302" s="321"/>
      <c r="AQ302" s="321"/>
      <c r="AR302" s="321"/>
      <c r="AS302" s="321"/>
      <c r="AT302" s="321"/>
      <c r="AU302" s="321"/>
      <c r="AV302" s="321"/>
      <c r="AW302" s="321"/>
      <c r="AX302" s="321"/>
      <c r="AY302" s="321"/>
      <c r="AZ302" s="321"/>
      <c r="BA302" s="321"/>
      <c r="BB302" s="321"/>
      <c r="BC302" s="321"/>
      <c r="BD302" s="321"/>
      <c r="BE302" s="321"/>
      <c r="BF302" s="321"/>
      <c r="BG302" s="321"/>
      <c r="BH302" s="321"/>
      <c r="BI302" s="321"/>
      <c r="BJ302" s="321"/>
      <c r="BK302" s="321"/>
      <c r="BL302" s="321"/>
      <c r="BM302" s="321"/>
      <c r="BN302" s="321"/>
      <c r="BO302" s="321"/>
      <c r="BP302" s="321"/>
      <c r="BQ302" s="321"/>
      <c r="BR302" s="321"/>
      <c r="BS302" s="321"/>
      <c r="BT302" s="321"/>
      <c r="BU302" s="321"/>
      <c r="BV302" s="321"/>
      <c r="BW302" s="321"/>
      <c r="BX302" s="321"/>
      <c r="BY302" s="321"/>
      <c r="BZ302" s="321"/>
      <c r="CA302" s="321"/>
      <c r="CB302" s="321"/>
      <c r="CC302" s="321"/>
      <c r="CD302" s="321"/>
    </row>
    <row r="303" spans="1:82" ht="15.75" hidden="1" customHeight="1">
      <c r="A303" s="362"/>
      <c r="B303" s="363" t="s">
        <v>1931</v>
      </c>
      <c r="C303" s="261" t="s">
        <v>89</v>
      </c>
      <c r="D303" s="295" t="e">
        <f t="shared" si="131"/>
        <v>#DIV/0!</v>
      </c>
      <c r="E303" s="295" t="e">
        <f t="shared" si="132"/>
        <v>#DIV/0!</v>
      </c>
      <c r="F303" s="295" t="e">
        <f t="shared" si="133"/>
        <v>#DIV/0!</v>
      </c>
      <c r="G303" s="295" t="e">
        <f t="shared" si="134"/>
        <v>#DIV/0!</v>
      </c>
      <c r="H303" s="295" t="e">
        <f t="shared" si="135"/>
        <v>#DIV/0!</v>
      </c>
      <c r="I303" s="295" t="e">
        <f t="shared" si="136"/>
        <v>#DIV/0!</v>
      </c>
      <c r="J303" s="295" t="e">
        <f t="shared" si="137"/>
        <v>#DIV/0!</v>
      </c>
      <c r="K303" s="295" t="e">
        <f t="shared" si="138"/>
        <v>#DIV/0!</v>
      </c>
      <c r="L303" s="295">
        <f t="shared" si="128"/>
        <v>3</v>
      </c>
      <c r="M303" s="295">
        <f t="shared" si="129"/>
        <v>3</v>
      </c>
      <c r="N303" s="295" t="e">
        <f t="shared" si="130"/>
        <v>#DIV/0!</v>
      </c>
      <c r="O303" s="241"/>
      <c r="P303" s="242"/>
      <c r="Q303" s="242"/>
      <c r="R303" s="321"/>
      <c r="S303" s="321"/>
      <c r="T303" s="321"/>
      <c r="U303" s="321"/>
      <c r="V303" s="242"/>
      <c r="W303" s="242"/>
      <c r="X303" s="321"/>
      <c r="Y303" s="321"/>
      <c r="Z303" s="321"/>
      <c r="AA303" s="321"/>
      <c r="AB303" s="321"/>
      <c r="AC303" s="321"/>
      <c r="AD303" s="321"/>
      <c r="AE303" s="321"/>
      <c r="AF303" s="321"/>
      <c r="AG303" s="321"/>
      <c r="AH303" s="321"/>
      <c r="AI303" s="321"/>
      <c r="AJ303" s="321"/>
      <c r="AK303" s="321"/>
      <c r="AL303" s="321"/>
      <c r="AM303" s="321"/>
      <c r="AN303" s="321"/>
      <c r="AO303" s="321"/>
      <c r="AP303" s="321"/>
      <c r="AQ303" s="321"/>
      <c r="AR303" s="321"/>
      <c r="AS303" s="321"/>
      <c r="AT303" s="321"/>
      <c r="AU303" s="321"/>
      <c r="AV303" s="321"/>
      <c r="AW303" s="321"/>
      <c r="AX303" s="321"/>
      <c r="AY303" s="321"/>
      <c r="AZ303" s="321"/>
      <c r="BA303" s="321"/>
      <c r="BB303" s="321"/>
      <c r="BC303" s="321"/>
      <c r="BD303" s="321"/>
      <c r="BE303" s="321"/>
      <c r="BF303" s="321"/>
      <c r="BG303" s="321"/>
      <c r="BH303" s="321"/>
      <c r="BI303" s="321"/>
      <c r="BJ303" s="321"/>
      <c r="BK303" s="321"/>
      <c r="BL303" s="321"/>
      <c r="BM303" s="321"/>
      <c r="BN303" s="321"/>
      <c r="BO303" s="321"/>
      <c r="BP303" s="321"/>
      <c r="BQ303" s="321"/>
      <c r="BR303" s="321"/>
      <c r="BS303" s="321"/>
      <c r="BT303" s="321"/>
      <c r="BU303" s="321"/>
      <c r="BV303" s="321"/>
      <c r="BW303" s="321"/>
      <c r="BX303" s="321"/>
      <c r="BY303" s="321"/>
      <c r="BZ303" s="321"/>
      <c r="CA303" s="321"/>
      <c r="CB303" s="321"/>
      <c r="CC303" s="321"/>
      <c r="CD303" s="321"/>
    </row>
    <row r="304" spans="1:82" ht="15.75" hidden="1" customHeight="1">
      <c r="A304" s="290"/>
      <c r="B304" s="364" t="s">
        <v>1933</v>
      </c>
      <c r="C304" s="261" t="s">
        <v>90</v>
      </c>
      <c r="D304" s="295" t="e">
        <f t="shared" si="131"/>
        <v>#DIV/0!</v>
      </c>
      <c r="E304" s="295" t="e">
        <f t="shared" si="132"/>
        <v>#DIV/0!</v>
      </c>
      <c r="F304" s="295" t="e">
        <f t="shared" si="133"/>
        <v>#DIV/0!</v>
      </c>
      <c r="G304" s="295" t="e">
        <f t="shared" si="134"/>
        <v>#DIV/0!</v>
      </c>
      <c r="H304" s="295" t="e">
        <f t="shared" si="135"/>
        <v>#DIV/0!</v>
      </c>
      <c r="I304" s="295" t="e">
        <f t="shared" si="136"/>
        <v>#DIV/0!</v>
      </c>
      <c r="J304" s="295" t="e">
        <f t="shared" si="137"/>
        <v>#DIV/0!</v>
      </c>
      <c r="K304" s="295" t="e">
        <f t="shared" si="138"/>
        <v>#DIV/0!</v>
      </c>
      <c r="L304" s="295">
        <f t="shared" si="128"/>
        <v>3</v>
      </c>
      <c r="M304" s="295">
        <f t="shared" si="129"/>
        <v>3</v>
      </c>
      <c r="N304" s="295" t="e">
        <f t="shared" si="130"/>
        <v>#DIV/0!</v>
      </c>
      <c r="O304" s="241"/>
      <c r="P304" s="242"/>
      <c r="Q304" s="242"/>
      <c r="R304" s="321"/>
      <c r="S304" s="321"/>
      <c r="T304" s="321"/>
      <c r="U304" s="321"/>
      <c r="V304" s="242"/>
      <c r="W304" s="242"/>
      <c r="X304" s="321"/>
      <c r="Y304" s="321"/>
      <c r="Z304" s="321"/>
      <c r="AA304" s="321"/>
      <c r="AB304" s="321"/>
      <c r="AC304" s="321"/>
      <c r="AD304" s="321"/>
      <c r="AE304" s="321"/>
      <c r="AF304" s="321"/>
      <c r="AG304" s="321"/>
      <c r="AH304" s="321"/>
      <c r="AI304" s="321"/>
      <c r="AJ304" s="321"/>
      <c r="AK304" s="321"/>
      <c r="AL304" s="321"/>
      <c r="AM304" s="321"/>
      <c r="AN304" s="321"/>
      <c r="AO304" s="321"/>
      <c r="AP304" s="321"/>
      <c r="AQ304" s="321"/>
      <c r="AR304" s="321"/>
      <c r="AS304" s="321"/>
      <c r="AT304" s="321"/>
      <c r="AU304" s="321"/>
      <c r="AV304" s="321"/>
      <c r="AW304" s="321"/>
      <c r="AX304" s="321"/>
      <c r="AY304" s="321"/>
      <c r="AZ304" s="321"/>
      <c r="BA304" s="321"/>
      <c r="BB304" s="321"/>
      <c r="BC304" s="321"/>
      <c r="BD304" s="321"/>
      <c r="BE304" s="321"/>
      <c r="BF304" s="321"/>
      <c r="BG304" s="321"/>
      <c r="BH304" s="321"/>
      <c r="BI304" s="321"/>
      <c r="BJ304" s="321"/>
      <c r="BK304" s="321"/>
      <c r="BL304" s="321"/>
      <c r="BM304" s="321"/>
      <c r="BN304" s="321"/>
      <c r="BO304" s="321"/>
      <c r="BP304" s="321"/>
      <c r="BQ304" s="321"/>
      <c r="BR304" s="321"/>
      <c r="BS304" s="321"/>
      <c r="BT304" s="321"/>
      <c r="BU304" s="321"/>
      <c r="BV304" s="321"/>
      <c r="BW304" s="321"/>
      <c r="BX304" s="321"/>
      <c r="BY304" s="321"/>
      <c r="BZ304" s="321"/>
      <c r="CA304" s="321"/>
      <c r="CB304" s="321"/>
      <c r="CC304" s="321"/>
      <c r="CD304" s="321"/>
    </row>
    <row r="305" spans="1:82" ht="15.75" hidden="1" customHeight="1">
      <c r="A305" s="362"/>
      <c r="B305" s="363" t="s">
        <v>1934</v>
      </c>
      <c r="C305" s="261" t="s">
        <v>91</v>
      </c>
      <c r="D305" s="295" t="e">
        <f t="shared" si="131"/>
        <v>#DIV/0!</v>
      </c>
      <c r="E305" s="295" t="e">
        <f t="shared" si="132"/>
        <v>#DIV/0!</v>
      </c>
      <c r="F305" s="295" t="e">
        <f t="shared" si="133"/>
        <v>#DIV/0!</v>
      </c>
      <c r="G305" s="295" t="e">
        <f t="shared" si="134"/>
        <v>#DIV/0!</v>
      </c>
      <c r="H305" s="295" t="e">
        <f t="shared" si="135"/>
        <v>#DIV/0!</v>
      </c>
      <c r="I305" s="295" t="e">
        <f t="shared" si="136"/>
        <v>#DIV/0!</v>
      </c>
      <c r="J305" s="295" t="e">
        <f t="shared" si="137"/>
        <v>#DIV/0!</v>
      </c>
      <c r="K305" s="295" t="e">
        <f t="shared" si="138"/>
        <v>#DIV/0!</v>
      </c>
      <c r="L305" s="295">
        <f t="shared" si="128"/>
        <v>3</v>
      </c>
      <c r="M305" s="295">
        <f t="shared" si="129"/>
        <v>3</v>
      </c>
      <c r="N305" s="295" t="e">
        <f t="shared" si="130"/>
        <v>#DIV/0!</v>
      </c>
      <c r="O305" s="241"/>
      <c r="P305" s="242"/>
      <c r="Q305" s="242"/>
      <c r="R305" s="321"/>
      <c r="S305" s="321"/>
      <c r="T305" s="321"/>
      <c r="U305" s="321"/>
      <c r="V305" s="242"/>
      <c r="W305" s="242"/>
      <c r="X305" s="321"/>
      <c r="Y305" s="321"/>
      <c r="Z305" s="321"/>
      <c r="AA305" s="321"/>
      <c r="AB305" s="321"/>
      <c r="AC305" s="321"/>
      <c r="AD305" s="321"/>
      <c r="AE305" s="321"/>
      <c r="AF305" s="321"/>
      <c r="AG305" s="321"/>
      <c r="AH305" s="321"/>
      <c r="AI305" s="321"/>
      <c r="AJ305" s="321"/>
      <c r="AK305" s="321"/>
      <c r="AL305" s="321"/>
      <c r="AM305" s="321"/>
      <c r="AN305" s="321"/>
      <c r="AO305" s="321"/>
      <c r="AP305" s="321"/>
      <c r="AQ305" s="321"/>
      <c r="AR305" s="321"/>
      <c r="AS305" s="321"/>
      <c r="AT305" s="321"/>
      <c r="AU305" s="321"/>
      <c r="AV305" s="321"/>
      <c r="AW305" s="321"/>
      <c r="AX305" s="321"/>
      <c r="AY305" s="321"/>
      <c r="AZ305" s="321"/>
      <c r="BA305" s="321"/>
      <c r="BB305" s="321"/>
      <c r="BC305" s="321"/>
      <c r="BD305" s="321"/>
      <c r="BE305" s="321"/>
      <c r="BF305" s="321"/>
      <c r="BG305" s="321"/>
      <c r="BH305" s="321"/>
      <c r="BI305" s="321"/>
      <c r="BJ305" s="321"/>
      <c r="BK305" s="321"/>
      <c r="BL305" s="321"/>
      <c r="BM305" s="321"/>
      <c r="BN305" s="321"/>
      <c r="BO305" s="321"/>
      <c r="BP305" s="321"/>
      <c r="BQ305" s="321"/>
      <c r="BR305" s="321"/>
      <c r="BS305" s="321"/>
      <c r="BT305" s="321"/>
      <c r="BU305" s="321"/>
      <c r="BV305" s="321"/>
      <c r="BW305" s="321"/>
      <c r="BX305" s="321"/>
      <c r="BY305" s="321"/>
      <c r="BZ305" s="321"/>
      <c r="CA305" s="321"/>
      <c r="CB305" s="321"/>
      <c r="CC305" s="321"/>
      <c r="CD305" s="321"/>
    </row>
    <row r="306" spans="1:82" ht="15.75" hidden="1" customHeight="1">
      <c r="A306" s="362"/>
      <c r="B306" s="363" t="s">
        <v>1935</v>
      </c>
      <c r="C306" s="261" t="s">
        <v>93</v>
      </c>
      <c r="D306" s="295" t="e">
        <f t="shared" si="131"/>
        <v>#DIV/0!</v>
      </c>
      <c r="E306" s="295" t="e">
        <f t="shared" si="132"/>
        <v>#DIV/0!</v>
      </c>
      <c r="F306" s="295" t="e">
        <f t="shared" si="133"/>
        <v>#DIV/0!</v>
      </c>
      <c r="G306" s="295" t="e">
        <f t="shared" si="134"/>
        <v>#DIV/0!</v>
      </c>
      <c r="H306" s="295" t="e">
        <f t="shared" si="135"/>
        <v>#DIV/0!</v>
      </c>
      <c r="I306" s="295" t="e">
        <f t="shared" si="136"/>
        <v>#DIV/0!</v>
      </c>
      <c r="J306" s="295" t="e">
        <f t="shared" si="137"/>
        <v>#DIV/0!</v>
      </c>
      <c r="K306" s="295" t="e">
        <f t="shared" si="138"/>
        <v>#DIV/0!</v>
      </c>
      <c r="L306" s="295">
        <f t="shared" si="128"/>
        <v>3</v>
      </c>
      <c r="M306" s="295">
        <f t="shared" si="129"/>
        <v>3</v>
      </c>
      <c r="N306" s="295" t="e">
        <f t="shared" si="130"/>
        <v>#DIV/0!</v>
      </c>
      <c r="O306" s="241"/>
      <c r="P306" s="242"/>
      <c r="Q306" s="242"/>
      <c r="R306" s="321"/>
      <c r="S306" s="321"/>
      <c r="T306" s="321"/>
      <c r="U306" s="321"/>
      <c r="V306" s="242"/>
      <c r="W306" s="242"/>
      <c r="X306" s="321"/>
      <c r="Y306" s="321"/>
      <c r="Z306" s="321"/>
      <c r="AA306" s="321"/>
      <c r="AB306" s="321"/>
      <c r="AC306" s="321"/>
      <c r="AD306" s="321"/>
      <c r="AE306" s="321"/>
      <c r="AF306" s="321"/>
      <c r="AG306" s="321"/>
      <c r="AH306" s="321"/>
      <c r="AI306" s="321"/>
      <c r="AJ306" s="321"/>
      <c r="AK306" s="321"/>
      <c r="AL306" s="321"/>
      <c r="AM306" s="321"/>
      <c r="AN306" s="321"/>
      <c r="AO306" s="321"/>
      <c r="AP306" s="321"/>
      <c r="AQ306" s="321"/>
      <c r="AR306" s="321"/>
      <c r="AS306" s="321"/>
      <c r="AT306" s="321"/>
      <c r="AU306" s="321"/>
      <c r="AV306" s="321"/>
      <c r="AW306" s="321"/>
      <c r="AX306" s="321"/>
      <c r="AY306" s="321"/>
      <c r="AZ306" s="321"/>
      <c r="BA306" s="321"/>
      <c r="BB306" s="321"/>
      <c r="BC306" s="321"/>
      <c r="BD306" s="321"/>
      <c r="BE306" s="321"/>
      <c r="BF306" s="321"/>
      <c r="BG306" s="321"/>
      <c r="BH306" s="321"/>
      <c r="BI306" s="321"/>
      <c r="BJ306" s="321"/>
      <c r="BK306" s="321"/>
      <c r="BL306" s="321"/>
      <c r="BM306" s="321"/>
      <c r="BN306" s="321"/>
      <c r="BO306" s="321"/>
      <c r="BP306" s="321"/>
      <c r="BQ306" s="321"/>
      <c r="BR306" s="321"/>
      <c r="BS306" s="321"/>
      <c r="BT306" s="321"/>
      <c r="BU306" s="321"/>
      <c r="BV306" s="321"/>
      <c r="BW306" s="321"/>
      <c r="BX306" s="321"/>
      <c r="BY306" s="321"/>
      <c r="BZ306" s="321"/>
      <c r="CA306" s="321"/>
      <c r="CB306" s="321"/>
      <c r="CC306" s="321"/>
      <c r="CD306" s="321"/>
    </row>
    <row r="307" spans="1:82" ht="15.75" hidden="1" customHeight="1">
      <c r="A307" s="362"/>
      <c r="B307" s="363" t="s">
        <v>1983</v>
      </c>
      <c r="C307" s="258" t="s">
        <v>71</v>
      </c>
      <c r="D307" s="295" t="e">
        <f t="shared" si="131"/>
        <v>#DIV/0!</v>
      </c>
      <c r="E307" s="295" t="e">
        <f t="shared" si="132"/>
        <v>#DIV/0!</v>
      </c>
      <c r="F307" s="295" t="e">
        <f t="shared" si="133"/>
        <v>#DIV/0!</v>
      </c>
      <c r="G307" s="295" t="e">
        <f t="shared" si="134"/>
        <v>#DIV/0!</v>
      </c>
      <c r="H307" s="295" t="e">
        <f t="shared" si="135"/>
        <v>#DIV/0!</v>
      </c>
      <c r="I307" s="295" t="e">
        <f t="shared" si="136"/>
        <v>#DIV/0!</v>
      </c>
      <c r="J307" s="295" t="e">
        <f t="shared" si="137"/>
        <v>#DIV/0!</v>
      </c>
      <c r="K307" s="295" t="e">
        <f t="shared" si="138"/>
        <v>#DIV/0!</v>
      </c>
      <c r="L307" s="295">
        <f t="shared" si="128"/>
        <v>3</v>
      </c>
      <c r="M307" s="295">
        <f t="shared" si="129"/>
        <v>3</v>
      </c>
      <c r="N307" s="295" t="e">
        <f t="shared" si="130"/>
        <v>#DIV/0!</v>
      </c>
      <c r="O307" s="241"/>
      <c r="P307" s="242"/>
      <c r="Q307" s="242"/>
      <c r="R307" s="321"/>
      <c r="S307" s="321"/>
      <c r="T307" s="321"/>
      <c r="U307" s="321"/>
      <c r="V307" s="242"/>
      <c r="W307" s="242"/>
      <c r="X307" s="321"/>
      <c r="Y307" s="321"/>
      <c r="Z307" s="321"/>
      <c r="AA307" s="321"/>
      <c r="AB307" s="321"/>
      <c r="AC307" s="321"/>
      <c r="AD307" s="321"/>
      <c r="AE307" s="321"/>
      <c r="AF307" s="321"/>
      <c r="AG307" s="321"/>
      <c r="AH307" s="321"/>
      <c r="AI307" s="321"/>
      <c r="AJ307" s="321"/>
      <c r="AK307" s="321"/>
      <c r="AL307" s="321"/>
      <c r="AM307" s="321"/>
      <c r="AN307" s="321"/>
      <c r="AO307" s="321"/>
      <c r="AP307" s="321"/>
      <c r="AQ307" s="321"/>
      <c r="AR307" s="321"/>
      <c r="AS307" s="321"/>
      <c r="AT307" s="321"/>
      <c r="AU307" s="321"/>
      <c r="AV307" s="321"/>
      <c r="AW307" s="321"/>
      <c r="AX307" s="321"/>
      <c r="AY307" s="321"/>
      <c r="AZ307" s="321"/>
      <c r="BA307" s="321"/>
      <c r="BB307" s="321"/>
      <c r="BC307" s="321"/>
      <c r="BD307" s="321"/>
      <c r="BE307" s="321"/>
      <c r="BF307" s="321"/>
      <c r="BG307" s="321"/>
      <c r="BH307" s="321"/>
      <c r="BI307" s="321"/>
      <c r="BJ307" s="321"/>
      <c r="BK307" s="321"/>
      <c r="BL307" s="321"/>
      <c r="BM307" s="321"/>
      <c r="BN307" s="321"/>
      <c r="BO307" s="321"/>
      <c r="BP307" s="321"/>
      <c r="BQ307" s="321"/>
      <c r="BR307" s="321"/>
      <c r="BS307" s="321"/>
      <c r="BT307" s="321"/>
      <c r="BU307" s="321"/>
      <c r="BV307" s="321"/>
      <c r="BW307" s="321"/>
      <c r="BX307" s="321"/>
      <c r="BY307" s="321"/>
      <c r="BZ307" s="321"/>
      <c r="CA307" s="321"/>
      <c r="CB307" s="321"/>
      <c r="CC307" s="321"/>
      <c r="CD307" s="321"/>
    </row>
    <row r="308" spans="1:82" ht="15.75" hidden="1" customHeight="1">
      <c r="A308" s="365"/>
      <c r="B308" s="366" t="s">
        <v>1984</v>
      </c>
      <c r="C308" s="258" t="s">
        <v>74</v>
      </c>
      <c r="D308" s="295" t="e">
        <f t="shared" si="131"/>
        <v>#DIV/0!</v>
      </c>
      <c r="E308" s="295" t="e">
        <f t="shared" si="132"/>
        <v>#DIV/0!</v>
      </c>
      <c r="F308" s="295" t="e">
        <f t="shared" si="133"/>
        <v>#DIV/0!</v>
      </c>
      <c r="G308" s="295" t="e">
        <f t="shared" si="134"/>
        <v>#DIV/0!</v>
      </c>
      <c r="H308" s="295" t="e">
        <f t="shared" si="135"/>
        <v>#DIV/0!</v>
      </c>
      <c r="I308" s="295" t="e">
        <f t="shared" si="136"/>
        <v>#DIV/0!</v>
      </c>
      <c r="J308" s="295" t="e">
        <f t="shared" si="137"/>
        <v>#DIV/0!</v>
      </c>
      <c r="K308" s="295" t="e">
        <f t="shared" si="138"/>
        <v>#DIV/0!</v>
      </c>
      <c r="L308" s="295">
        <f t="shared" si="128"/>
        <v>3</v>
      </c>
      <c r="M308" s="295">
        <f t="shared" si="129"/>
        <v>3</v>
      </c>
      <c r="N308" s="295" t="e">
        <f t="shared" si="130"/>
        <v>#DIV/0!</v>
      </c>
      <c r="O308" s="241"/>
      <c r="P308" s="242"/>
      <c r="Q308" s="242"/>
      <c r="R308" s="321"/>
      <c r="S308" s="321"/>
      <c r="T308" s="321"/>
      <c r="U308" s="321"/>
      <c r="V308" s="242"/>
      <c r="W308" s="242"/>
      <c r="X308" s="321"/>
      <c r="Y308" s="321"/>
      <c r="Z308" s="321"/>
      <c r="AA308" s="321"/>
      <c r="AB308" s="321"/>
      <c r="AC308" s="321"/>
      <c r="AD308" s="321"/>
      <c r="AE308" s="321"/>
      <c r="AF308" s="321"/>
      <c r="AG308" s="321"/>
      <c r="AH308" s="321"/>
      <c r="AI308" s="321"/>
      <c r="AJ308" s="321"/>
      <c r="AK308" s="321"/>
      <c r="AL308" s="321"/>
      <c r="AM308" s="321"/>
      <c r="AN308" s="321"/>
      <c r="AO308" s="321"/>
      <c r="AP308" s="321"/>
      <c r="AQ308" s="321"/>
      <c r="AR308" s="321"/>
      <c r="AS308" s="321"/>
      <c r="AT308" s="321"/>
      <c r="AU308" s="321"/>
      <c r="AV308" s="321"/>
      <c r="AW308" s="321"/>
      <c r="AX308" s="321"/>
      <c r="AY308" s="321"/>
      <c r="AZ308" s="321"/>
      <c r="BA308" s="321"/>
      <c r="BB308" s="321"/>
      <c r="BC308" s="321"/>
      <c r="BD308" s="321"/>
      <c r="BE308" s="321"/>
      <c r="BF308" s="321"/>
      <c r="BG308" s="321"/>
      <c r="BH308" s="321"/>
      <c r="BI308" s="321"/>
      <c r="BJ308" s="321"/>
      <c r="BK308" s="321"/>
      <c r="BL308" s="321"/>
      <c r="BM308" s="321"/>
      <c r="BN308" s="321"/>
      <c r="BO308" s="321"/>
      <c r="BP308" s="321"/>
      <c r="BQ308" s="321"/>
      <c r="BR308" s="321"/>
      <c r="BS308" s="321"/>
      <c r="BT308" s="321"/>
      <c r="BU308" s="321"/>
      <c r="BV308" s="321"/>
      <c r="BW308" s="321"/>
      <c r="BX308" s="321"/>
      <c r="BY308" s="321"/>
      <c r="BZ308" s="321"/>
      <c r="CA308" s="321"/>
      <c r="CB308" s="321"/>
      <c r="CC308" s="321"/>
      <c r="CD308" s="321"/>
    </row>
    <row r="309" spans="1:82" ht="15.75" hidden="1" customHeight="1">
      <c r="A309" s="290"/>
      <c r="B309" s="364" t="s">
        <v>1985</v>
      </c>
      <c r="C309" s="258" t="s">
        <v>81</v>
      </c>
      <c r="D309" s="295" t="e">
        <f t="shared" si="131"/>
        <v>#DIV/0!</v>
      </c>
      <c r="E309" s="295" t="e">
        <f t="shared" si="132"/>
        <v>#DIV/0!</v>
      </c>
      <c r="F309" s="295" t="e">
        <f t="shared" si="133"/>
        <v>#DIV/0!</v>
      </c>
      <c r="G309" s="295" t="e">
        <f t="shared" si="134"/>
        <v>#DIV/0!</v>
      </c>
      <c r="H309" s="295" t="e">
        <f t="shared" si="135"/>
        <v>#DIV/0!</v>
      </c>
      <c r="I309" s="295" t="e">
        <f t="shared" si="136"/>
        <v>#DIV/0!</v>
      </c>
      <c r="J309" s="295" t="e">
        <f t="shared" si="137"/>
        <v>#DIV/0!</v>
      </c>
      <c r="K309" s="295" t="e">
        <f t="shared" si="138"/>
        <v>#DIV/0!</v>
      </c>
      <c r="L309" s="295">
        <f t="shared" si="128"/>
        <v>3</v>
      </c>
      <c r="M309" s="295">
        <f t="shared" si="129"/>
        <v>3</v>
      </c>
      <c r="N309" s="295" t="e">
        <f t="shared" si="130"/>
        <v>#DIV/0!</v>
      </c>
      <c r="O309" s="241"/>
      <c r="P309" s="242"/>
      <c r="Q309" s="242"/>
      <c r="R309" s="321"/>
      <c r="S309" s="321"/>
      <c r="T309" s="321"/>
      <c r="U309" s="321"/>
      <c r="V309" s="242"/>
      <c r="W309" s="242"/>
      <c r="X309" s="321"/>
      <c r="Y309" s="321"/>
      <c r="Z309" s="321"/>
      <c r="AA309" s="321"/>
      <c r="AB309" s="321"/>
      <c r="AC309" s="321"/>
      <c r="AD309" s="321"/>
      <c r="AE309" s="321"/>
      <c r="AF309" s="321"/>
      <c r="AG309" s="321"/>
      <c r="AH309" s="321"/>
      <c r="AI309" s="321"/>
      <c r="AJ309" s="321"/>
      <c r="AK309" s="321"/>
      <c r="AL309" s="321"/>
      <c r="AM309" s="321"/>
      <c r="AN309" s="321"/>
      <c r="AO309" s="321"/>
      <c r="AP309" s="321"/>
      <c r="AQ309" s="321"/>
      <c r="AR309" s="321"/>
      <c r="AS309" s="321"/>
      <c r="AT309" s="321"/>
      <c r="AU309" s="321"/>
      <c r="AV309" s="321"/>
      <c r="AW309" s="321"/>
      <c r="AX309" s="321"/>
      <c r="AY309" s="321"/>
      <c r="AZ309" s="321"/>
      <c r="BA309" s="321"/>
      <c r="BB309" s="321"/>
      <c r="BC309" s="321"/>
      <c r="BD309" s="321"/>
      <c r="BE309" s="321"/>
      <c r="BF309" s="321"/>
      <c r="BG309" s="321"/>
      <c r="BH309" s="321"/>
      <c r="BI309" s="321"/>
      <c r="BJ309" s="321"/>
      <c r="BK309" s="321"/>
      <c r="BL309" s="321"/>
      <c r="BM309" s="321"/>
      <c r="BN309" s="321"/>
      <c r="BO309" s="321"/>
      <c r="BP309" s="321"/>
      <c r="BQ309" s="321"/>
      <c r="BR309" s="321"/>
      <c r="BS309" s="321"/>
      <c r="BT309" s="321"/>
      <c r="BU309" s="321"/>
      <c r="BV309" s="321"/>
      <c r="BW309" s="321"/>
      <c r="BX309" s="321"/>
      <c r="BY309" s="321"/>
      <c r="BZ309" s="321"/>
      <c r="CA309" s="321"/>
      <c r="CB309" s="321"/>
      <c r="CC309" s="321"/>
      <c r="CD309" s="321"/>
    </row>
    <row r="310" spans="1:82" ht="12.75" customHeight="1">
      <c r="A310" s="242"/>
      <c r="B310" s="242"/>
      <c r="C310" s="367"/>
      <c r="D310" s="367"/>
      <c r="E310" s="367"/>
      <c r="F310" s="367"/>
      <c r="G310" s="367"/>
      <c r="H310" s="368"/>
      <c r="I310" s="368"/>
      <c r="J310" s="367"/>
      <c r="K310" s="367"/>
      <c r="L310" s="367"/>
      <c r="M310" s="367"/>
      <c r="N310" s="367"/>
      <c r="O310" s="242"/>
      <c r="P310" s="242"/>
      <c r="Q310" s="242"/>
      <c r="R310" s="369"/>
      <c r="S310" s="369"/>
      <c r="T310" s="369"/>
      <c r="U310" s="369"/>
      <c r="V310" s="242"/>
      <c r="W310" s="242"/>
      <c r="X310" s="369"/>
      <c r="Y310" s="369"/>
      <c r="Z310" s="369"/>
      <c r="AA310" s="369"/>
      <c r="AB310" s="369"/>
      <c r="AC310" s="369"/>
      <c r="AD310" s="369"/>
      <c r="AE310" s="369"/>
      <c r="AF310" s="369"/>
      <c r="AG310" s="369"/>
      <c r="AH310" s="369"/>
      <c r="AI310" s="369"/>
      <c r="AJ310" s="369"/>
      <c r="AK310" s="369"/>
      <c r="AL310" s="369"/>
      <c r="AM310" s="369"/>
      <c r="AN310" s="369"/>
      <c r="AO310" s="369"/>
      <c r="AP310" s="369"/>
      <c r="AQ310" s="369"/>
      <c r="AR310" s="369"/>
      <c r="AS310" s="369"/>
      <c r="AT310" s="369"/>
      <c r="AU310" s="369"/>
      <c r="AV310" s="369"/>
      <c r="AW310" s="369"/>
      <c r="AX310" s="369"/>
      <c r="AY310" s="369"/>
      <c r="AZ310" s="369"/>
      <c r="BA310" s="369"/>
      <c r="BB310" s="369"/>
      <c r="BC310" s="369"/>
      <c r="BD310" s="369"/>
      <c r="BE310" s="369"/>
      <c r="BF310" s="369"/>
      <c r="BG310" s="369"/>
      <c r="BH310" s="369"/>
      <c r="BI310" s="369"/>
      <c r="BJ310" s="369"/>
      <c r="BK310" s="369"/>
      <c r="BL310" s="369"/>
      <c r="BM310" s="369"/>
      <c r="BN310" s="369"/>
      <c r="BO310" s="369"/>
      <c r="BP310" s="369"/>
      <c r="BQ310" s="369"/>
      <c r="BR310" s="369"/>
      <c r="BS310" s="369"/>
      <c r="BT310" s="369"/>
      <c r="BU310" s="369"/>
      <c r="BV310" s="369"/>
      <c r="BW310" s="369"/>
      <c r="BX310" s="369"/>
      <c r="BY310" s="369"/>
      <c r="BZ310" s="369"/>
      <c r="CA310" s="369"/>
      <c r="CB310" s="369"/>
      <c r="CC310" s="369"/>
      <c r="CD310" s="369"/>
    </row>
    <row r="311" spans="1:82" ht="12.75" customHeight="1">
      <c r="A311" s="242"/>
      <c r="B311" s="242"/>
      <c r="C311" s="242"/>
      <c r="D311" s="242"/>
      <c r="E311" s="242"/>
      <c r="F311" s="242"/>
      <c r="G311" s="242"/>
      <c r="H311" s="278"/>
      <c r="I311" s="278"/>
      <c r="J311" s="242"/>
      <c r="K311" s="242"/>
      <c r="L311" s="242"/>
      <c r="M311" s="242"/>
      <c r="N311" s="242"/>
      <c r="O311" s="242"/>
      <c r="P311" s="242"/>
      <c r="Q311" s="242"/>
      <c r="R311" s="242"/>
      <c r="S311" s="242"/>
      <c r="T311" s="242"/>
      <c r="U311" s="242"/>
      <c r="V311" s="242"/>
      <c r="W311" s="242"/>
      <c r="X311" s="242"/>
      <c r="Y311" s="242"/>
      <c r="Z311" s="242"/>
      <c r="AA311" s="242"/>
      <c r="AB311" s="242"/>
      <c r="AC311" s="242"/>
      <c r="AD311" s="242"/>
      <c r="AE311" s="242"/>
      <c r="AF311" s="242"/>
      <c r="AG311" s="242"/>
      <c r="AH311" s="242"/>
      <c r="AI311" s="242"/>
      <c r="AJ311" s="242"/>
      <c r="AK311" s="242"/>
      <c r="AL311" s="242"/>
      <c r="AM311" s="242"/>
      <c r="AN311" s="242"/>
      <c r="AO311" s="242"/>
      <c r="AP311" s="242"/>
      <c r="AQ311" s="242"/>
      <c r="AR311" s="242"/>
      <c r="AS311" s="242"/>
      <c r="AT311" s="242"/>
      <c r="AU311" s="242"/>
      <c r="AV311" s="242"/>
      <c r="AW311" s="242"/>
      <c r="AX311" s="242"/>
      <c r="AY311" s="242"/>
      <c r="AZ311" s="242"/>
      <c r="BA311" s="242"/>
      <c r="BB311" s="242"/>
      <c r="BC311" s="242"/>
      <c r="BD311" s="242"/>
      <c r="BE311" s="242"/>
      <c r="BF311" s="242"/>
      <c r="BG311" s="242"/>
      <c r="BH311" s="242"/>
      <c r="BI311" s="242"/>
      <c r="BJ311" s="242"/>
      <c r="BK311" s="242"/>
      <c r="BL311" s="242"/>
      <c r="BM311" s="242"/>
      <c r="BN311" s="242"/>
      <c r="BO311" s="242"/>
      <c r="BP311" s="242"/>
      <c r="BQ311" s="242"/>
      <c r="BR311" s="242"/>
      <c r="BS311" s="242"/>
      <c r="BT311" s="242"/>
      <c r="BU311" s="242"/>
      <c r="BV311" s="242"/>
      <c r="BW311" s="242"/>
      <c r="BX311" s="242"/>
      <c r="BY311" s="242"/>
      <c r="BZ311" s="242"/>
      <c r="CA311" s="242"/>
      <c r="CB311" s="242"/>
      <c r="CC311" s="242"/>
      <c r="CD311" s="242"/>
    </row>
    <row r="312" spans="1:82" ht="12.75" customHeight="1">
      <c r="A312" s="242"/>
      <c r="B312" s="242"/>
      <c r="C312" s="242"/>
      <c r="D312" s="242"/>
      <c r="E312" s="242"/>
      <c r="F312" s="242"/>
      <c r="G312" s="242"/>
      <c r="H312" s="278"/>
      <c r="I312" s="278"/>
      <c r="J312" s="242"/>
      <c r="K312" s="242"/>
      <c r="L312" s="242"/>
      <c r="M312" s="242"/>
      <c r="N312" s="242"/>
      <c r="O312" s="242"/>
      <c r="P312" s="242"/>
      <c r="Q312" s="242"/>
      <c r="R312" s="242"/>
      <c r="S312" s="242"/>
      <c r="T312" s="242"/>
      <c r="U312" s="242"/>
      <c r="V312" s="242"/>
      <c r="W312" s="242"/>
      <c r="X312" s="242"/>
      <c r="Y312" s="242"/>
      <c r="Z312" s="242"/>
      <c r="AA312" s="242"/>
      <c r="AB312" s="242"/>
      <c r="AC312" s="242"/>
      <c r="AD312" s="242"/>
      <c r="AE312" s="242"/>
      <c r="AF312" s="242"/>
      <c r="AG312" s="242"/>
      <c r="AH312" s="242"/>
      <c r="AI312" s="242"/>
      <c r="AJ312" s="242"/>
      <c r="AK312" s="242"/>
      <c r="AL312" s="242"/>
      <c r="AM312" s="242"/>
      <c r="AN312" s="242"/>
      <c r="AO312" s="242"/>
      <c r="AP312" s="242"/>
      <c r="AQ312" s="242"/>
      <c r="AR312" s="242"/>
      <c r="AS312" s="242"/>
      <c r="AT312" s="242"/>
      <c r="AU312" s="242"/>
      <c r="AV312" s="242"/>
      <c r="AW312" s="242"/>
      <c r="AX312" s="242"/>
      <c r="AY312" s="242"/>
      <c r="AZ312" s="242"/>
      <c r="BA312" s="242"/>
      <c r="BB312" s="242"/>
      <c r="BC312" s="242"/>
      <c r="BD312" s="242"/>
      <c r="BE312" s="242"/>
      <c r="BF312" s="242"/>
      <c r="BG312" s="242"/>
      <c r="BH312" s="242"/>
      <c r="BI312" s="242"/>
      <c r="BJ312" s="242"/>
      <c r="BK312" s="242"/>
      <c r="BL312" s="242"/>
      <c r="BM312" s="242"/>
      <c r="BN312" s="242"/>
      <c r="BO312" s="242"/>
      <c r="BP312" s="242"/>
      <c r="BQ312" s="242"/>
      <c r="BR312" s="242"/>
      <c r="BS312" s="242"/>
      <c r="BT312" s="242"/>
      <c r="BU312" s="242"/>
      <c r="BV312" s="242"/>
      <c r="BW312" s="242"/>
      <c r="BX312" s="242"/>
      <c r="BY312" s="242"/>
      <c r="BZ312" s="242"/>
      <c r="CA312" s="242"/>
      <c r="CB312" s="242"/>
      <c r="CC312" s="242"/>
      <c r="CD312" s="242"/>
    </row>
    <row r="313" spans="1:82" ht="12.75" customHeight="1">
      <c r="A313" s="242"/>
      <c r="B313" s="242"/>
      <c r="C313" s="242"/>
      <c r="D313" s="242"/>
      <c r="E313" s="242"/>
      <c r="F313" s="242"/>
      <c r="G313" s="242"/>
      <c r="H313" s="278"/>
      <c r="I313" s="278"/>
      <c r="J313" s="242"/>
      <c r="K313" s="242"/>
      <c r="L313" s="242"/>
      <c r="M313" s="242"/>
      <c r="N313" s="242"/>
      <c r="O313" s="242"/>
      <c r="P313" s="242"/>
      <c r="Q313" s="242"/>
      <c r="R313" s="242"/>
      <c r="S313" s="242"/>
      <c r="T313" s="242"/>
      <c r="U313" s="242"/>
      <c r="V313" s="242"/>
      <c r="W313" s="242"/>
      <c r="X313" s="242"/>
      <c r="Y313" s="242"/>
      <c r="Z313" s="242"/>
      <c r="AA313" s="242"/>
      <c r="AB313" s="242"/>
      <c r="AC313" s="242"/>
      <c r="AD313" s="242"/>
      <c r="AE313" s="242"/>
      <c r="AF313" s="242"/>
      <c r="AG313" s="242"/>
      <c r="AH313" s="242"/>
      <c r="AI313" s="242"/>
      <c r="AJ313" s="242"/>
      <c r="AK313" s="242"/>
      <c r="AL313" s="242"/>
      <c r="AM313" s="242"/>
      <c r="AN313" s="242"/>
      <c r="AO313" s="242"/>
      <c r="AP313" s="242"/>
      <c r="AQ313" s="242"/>
      <c r="AR313" s="242"/>
      <c r="AS313" s="242"/>
      <c r="AT313" s="242"/>
      <c r="AU313" s="242"/>
      <c r="AV313" s="242"/>
      <c r="AW313" s="242"/>
      <c r="AX313" s="242"/>
      <c r="AY313" s="242"/>
      <c r="AZ313" s="242"/>
      <c r="BA313" s="242"/>
      <c r="BB313" s="242"/>
      <c r="BC313" s="242"/>
      <c r="BD313" s="242"/>
      <c r="BE313" s="242"/>
      <c r="BF313" s="242"/>
      <c r="BG313" s="242"/>
      <c r="BH313" s="242"/>
      <c r="BI313" s="242"/>
      <c r="BJ313" s="242"/>
      <c r="BK313" s="242"/>
      <c r="BL313" s="242"/>
      <c r="BM313" s="242"/>
      <c r="BN313" s="242"/>
      <c r="BO313" s="242"/>
      <c r="BP313" s="242"/>
      <c r="BQ313" s="242"/>
      <c r="BR313" s="242"/>
      <c r="BS313" s="242"/>
      <c r="BT313" s="242"/>
      <c r="BU313" s="242"/>
      <c r="BV313" s="242"/>
      <c r="BW313" s="242"/>
      <c r="BX313" s="242"/>
      <c r="BY313" s="242"/>
      <c r="BZ313" s="242"/>
      <c r="CA313" s="242"/>
      <c r="CB313" s="242"/>
      <c r="CC313" s="242"/>
      <c r="CD313" s="242"/>
    </row>
    <row r="314" spans="1:82" ht="12.75" customHeight="1">
      <c r="A314" s="242"/>
      <c r="B314" s="242"/>
      <c r="C314" s="242"/>
      <c r="D314" s="242"/>
      <c r="E314" s="242"/>
      <c r="F314" s="242"/>
      <c r="G314" s="242"/>
      <c r="H314" s="278"/>
      <c r="I314" s="278"/>
      <c r="J314" s="242"/>
      <c r="K314" s="242"/>
      <c r="L314" s="242"/>
      <c r="M314" s="242"/>
      <c r="N314" s="242"/>
      <c r="O314" s="242"/>
      <c r="P314" s="242"/>
      <c r="Q314" s="242"/>
      <c r="R314" s="242"/>
      <c r="S314" s="242"/>
      <c r="T314" s="242"/>
      <c r="U314" s="242"/>
      <c r="V314" s="242"/>
      <c r="W314" s="242"/>
      <c r="X314" s="242"/>
      <c r="Y314" s="242"/>
      <c r="Z314" s="242"/>
      <c r="AA314" s="242"/>
      <c r="AB314" s="242"/>
      <c r="AC314" s="242"/>
      <c r="AD314" s="242"/>
      <c r="AE314" s="242"/>
      <c r="AF314" s="242"/>
      <c r="AG314" s="242"/>
      <c r="AH314" s="242"/>
      <c r="AI314" s="242"/>
      <c r="AJ314" s="242"/>
      <c r="AK314" s="242"/>
      <c r="AL314" s="242"/>
      <c r="AM314" s="242"/>
      <c r="AN314" s="242"/>
      <c r="AO314" s="242"/>
      <c r="AP314" s="242"/>
      <c r="AQ314" s="242"/>
      <c r="AR314" s="242"/>
      <c r="AS314" s="242"/>
      <c r="AT314" s="242"/>
      <c r="AU314" s="242"/>
      <c r="AV314" s="242"/>
      <c r="AW314" s="242"/>
      <c r="AX314" s="242"/>
      <c r="AY314" s="242"/>
      <c r="AZ314" s="242"/>
      <c r="BA314" s="242"/>
      <c r="BB314" s="242"/>
      <c r="BC314" s="242"/>
      <c r="BD314" s="242"/>
      <c r="BE314" s="242"/>
      <c r="BF314" s="242"/>
      <c r="BG314" s="242"/>
      <c r="BH314" s="242"/>
      <c r="BI314" s="242"/>
      <c r="BJ314" s="242"/>
      <c r="BK314" s="242"/>
      <c r="BL314" s="242"/>
      <c r="BM314" s="242"/>
      <c r="BN314" s="242"/>
      <c r="BO314" s="242"/>
      <c r="BP314" s="242"/>
      <c r="BQ314" s="242"/>
      <c r="BR314" s="242"/>
      <c r="BS314" s="242"/>
      <c r="BT314" s="242"/>
      <c r="BU314" s="242"/>
      <c r="BV314" s="242"/>
      <c r="BW314" s="242"/>
      <c r="BX314" s="242"/>
      <c r="BY314" s="242"/>
      <c r="BZ314" s="242"/>
      <c r="CA314" s="242"/>
      <c r="CB314" s="242"/>
      <c r="CC314" s="242"/>
      <c r="CD314" s="242"/>
    </row>
    <row r="315" spans="1:82" ht="12.75" customHeight="1">
      <c r="A315" s="242"/>
      <c r="B315" s="242"/>
      <c r="C315" s="242"/>
      <c r="D315" s="242"/>
      <c r="E315" s="242"/>
      <c r="F315" s="242"/>
      <c r="G315" s="242"/>
      <c r="H315" s="278"/>
      <c r="I315" s="278"/>
      <c r="J315" s="242"/>
      <c r="K315" s="242"/>
      <c r="L315" s="242"/>
      <c r="M315" s="242"/>
      <c r="N315" s="242"/>
      <c r="O315" s="242"/>
      <c r="P315" s="242"/>
      <c r="Q315" s="242"/>
      <c r="R315" s="242"/>
      <c r="S315" s="242"/>
      <c r="T315" s="242"/>
      <c r="U315" s="242"/>
      <c r="V315" s="242"/>
      <c r="W315" s="242"/>
      <c r="X315" s="242"/>
      <c r="Y315" s="242"/>
      <c r="Z315" s="242"/>
      <c r="AA315" s="242"/>
      <c r="AB315" s="242"/>
      <c r="AC315" s="242"/>
      <c r="AD315" s="242"/>
      <c r="AE315" s="242"/>
      <c r="AF315" s="242"/>
      <c r="AG315" s="242"/>
      <c r="AH315" s="242"/>
      <c r="AI315" s="242"/>
      <c r="AJ315" s="242"/>
      <c r="AK315" s="242"/>
      <c r="AL315" s="242"/>
      <c r="AM315" s="242"/>
      <c r="AN315" s="242"/>
      <c r="AO315" s="242"/>
      <c r="AP315" s="242"/>
      <c r="AQ315" s="242"/>
      <c r="AR315" s="242"/>
      <c r="AS315" s="242"/>
      <c r="AT315" s="242"/>
      <c r="AU315" s="242"/>
      <c r="AV315" s="242"/>
      <c r="AW315" s="242"/>
      <c r="AX315" s="242"/>
      <c r="AY315" s="242"/>
      <c r="AZ315" s="242"/>
      <c r="BA315" s="242"/>
      <c r="BB315" s="242"/>
      <c r="BC315" s="242"/>
      <c r="BD315" s="242"/>
      <c r="BE315" s="242"/>
      <c r="BF315" s="242"/>
      <c r="BG315" s="242"/>
      <c r="BH315" s="242"/>
      <c r="BI315" s="242"/>
      <c r="BJ315" s="242"/>
      <c r="BK315" s="242"/>
      <c r="BL315" s="242"/>
      <c r="BM315" s="242"/>
      <c r="BN315" s="242"/>
      <c r="BO315" s="242"/>
      <c r="BP315" s="242"/>
      <c r="BQ315" s="242"/>
      <c r="BR315" s="242"/>
      <c r="BS315" s="242"/>
      <c r="BT315" s="242"/>
      <c r="BU315" s="242"/>
      <c r="BV315" s="242"/>
      <c r="BW315" s="242"/>
      <c r="BX315" s="242"/>
      <c r="BY315" s="242"/>
      <c r="BZ315" s="242"/>
      <c r="CA315" s="242"/>
      <c r="CB315" s="242"/>
      <c r="CC315" s="242"/>
      <c r="CD315" s="242"/>
    </row>
    <row r="316" spans="1:82" ht="12.75" customHeight="1">
      <c r="A316" s="242"/>
      <c r="B316" s="242"/>
      <c r="C316" s="242"/>
      <c r="D316" s="242"/>
      <c r="E316" s="242"/>
      <c r="F316" s="242"/>
      <c r="G316" s="242"/>
      <c r="H316" s="278"/>
      <c r="I316" s="278"/>
      <c r="J316" s="242"/>
      <c r="K316" s="242"/>
      <c r="L316" s="242"/>
      <c r="M316" s="242"/>
      <c r="N316" s="242"/>
      <c r="O316" s="242"/>
      <c r="P316" s="242"/>
      <c r="Q316" s="242"/>
      <c r="R316" s="242"/>
      <c r="S316" s="242"/>
      <c r="T316" s="242"/>
      <c r="U316" s="242"/>
      <c r="V316" s="242"/>
      <c r="W316" s="242"/>
      <c r="X316" s="242"/>
      <c r="Y316" s="242"/>
      <c r="Z316" s="242"/>
      <c r="AA316" s="242"/>
      <c r="AB316" s="242"/>
      <c r="AC316" s="242"/>
      <c r="AD316" s="242"/>
      <c r="AE316" s="242"/>
      <c r="AF316" s="242"/>
      <c r="AG316" s="242"/>
      <c r="AH316" s="242"/>
      <c r="AI316" s="242"/>
      <c r="AJ316" s="242"/>
      <c r="AK316" s="242"/>
      <c r="AL316" s="242"/>
      <c r="AM316" s="242"/>
      <c r="AN316" s="242"/>
      <c r="AO316" s="242"/>
      <c r="AP316" s="242"/>
      <c r="AQ316" s="242"/>
      <c r="AR316" s="242"/>
      <c r="AS316" s="242"/>
      <c r="AT316" s="242"/>
      <c r="AU316" s="242"/>
      <c r="AV316" s="242"/>
      <c r="AW316" s="242"/>
      <c r="AX316" s="242"/>
      <c r="AY316" s="242"/>
      <c r="AZ316" s="242"/>
      <c r="BA316" s="242"/>
      <c r="BB316" s="242"/>
      <c r="BC316" s="242"/>
      <c r="BD316" s="242"/>
      <c r="BE316" s="242"/>
      <c r="BF316" s="242"/>
      <c r="BG316" s="242"/>
      <c r="BH316" s="242"/>
      <c r="BI316" s="242"/>
      <c r="BJ316" s="242"/>
      <c r="BK316" s="242"/>
      <c r="BL316" s="242"/>
      <c r="BM316" s="242"/>
      <c r="BN316" s="242"/>
      <c r="BO316" s="242"/>
      <c r="BP316" s="242"/>
      <c r="BQ316" s="242"/>
      <c r="BR316" s="242"/>
      <c r="BS316" s="242"/>
      <c r="BT316" s="242"/>
      <c r="BU316" s="242"/>
      <c r="BV316" s="242"/>
      <c r="BW316" s="242"/>
      <c r="BX316" s="242"/>
      <c r="BY316" s="242"/>
      <c r="BZ316" s="242"/>
      <c r="CA316" s="242"/>
      <c r="CB316" s="242"/>
      <c r="CC316" s="242"/>
      <c r="CD316" s="242"/>
    </row>
    <row r="317" spans="1:82" ht="12.75" customHeight="1">
      <c r="A317" s="242"/>
      <c r="B317" s="242"/>
      <c r="C317" s="242"/>
      <c r="D317" s="242"/>
      <c r="E317" s="242"/>
      <c r="F317" s="242"/>
      <c r="G317" s="242"/>
      <c r="H317" s="278"/>
      <c r="I317" s="278"/>
      <c r="J317" s="242"/>
      <c r="K317" s="242"/>
      <c r="L317" s="242"/>
      <c r="M317" s="242"/>
      <c r="N317" s="242"/>
      <c r="O317" s="242"/>
      <c r="P317" s="242"/>
      <c r="Q317" s="242"/>
      <c r="R317" s="242"/>
      <c r="S317" s="242"/>
      <c r="T317" s="242"/>
      <c r="U317" s="242"/>
      <c r="V317" s="242"/>
      <c r="W317" s="242"/>
      <c r="X317" s="242"/>
      <c r="Y317" s="242"/>
      <c r="Z317" s="242"/>
      <c r="AA317" s="242"/>
      <c r="AB317" s="242"/>
      <c r="AC317" s="242"/>
      <c r="AD317" s="242"/>
      <c r="AE317" s="242"/>
      <c r="AF317" s="242"/>
      <c r="AG317" s="242"/>
      <c r="AH317" s="242"/>
      <c r="AI317" s="242"/>
      <c r="AJ317" s="242"/>
      <c r="AK317" s="242"/>
      <c r="AL317" s="242"/>
      <c r="AM317" s="242"/>
      <c r="AN317" s="242"/>
      <c r="AO317" s="242"/>
      <c r="AP317" s="242"/>
      <c r="AQ317" s="242"/>
      <c r="AR317" s="242"/>
      <c r="AS317" s="242"/>
      <c r="AT317" s="242"/>
      <c r="AU317" s="242"/>
      <c r="AV317" s="242"/>
      <c r="AW317" s="242"/>
      <c r="AX317" s="242"/>
      <c r="AY317" s="242"/>
      <c r="AZ317" s="242"/>
      <c r="BA317" s="242"/>
      <c r="BB317" s="242"/>
      <c r="BC317" s="242"/>
      <c r="BD317" s="242"/>
      <c r="BE317" s="242"/>
      <c r="BF317" s="242"/>
      <c r="BG317" s="242"/>
      <c r="BH317" s="242"/>
      <c r="BI317" s="242"/>
      <c r="BJ317" s="242"/>
      <c r="BK317" s="242"/>
      <c r="BL317" s="242"/>
      <c r="BM317" s="242"/>
      <c r="BN317" s="242"/>
      <c r="BO317" s="242"/>
      <c r="BP317" s="242"/>
      <c r="BQ317" s="242"/>
      <c r="BR317" s="242"/>
      <c r="BS317" s="242"/>
      <c r="BT317" s="242"/>
      <c r="BU317" s="242"/>
      <c r="BV317" s="242"/>
      <c r="BW317" s="242"/>
      <c r="BX317" s="242"/>
      <c r="BY317" s="242"/>
      <c r="BZ317" s="242"/>
      <c r="CA317" s="242"/>
      <c r="CB317" s="242"/>
      <c r="CC317" s="242"/>
      <c r="CD317" s="242"/>
    </row>
    <row r="318" spans="1:82" ht="12.75" customHeight="1">
      <c r="A318" s="242"/>
      <c r="B318" s="242"/>
      <c r="C318" s="242"/>
      <c r="D318" s="242"/>
      <c r="E318" s="242"/>
      <c r="F318" s="242"/>
      <c r="G318" s="242"/>
      <c r="H318" s="278"/>
      <c r="I318" s="278"/>
      <c r="J318" s="242"/>
      <c r="K318" s="242"/>
      <c r="L318" s="242"/>
      <c r="M318" s="242"/>
      <c r="N318" s="242"/>
      <c r="O318" s="242"/>
      <c r="P318" s="242"/>
      <c r="Q318" s="242"/>
      <c r="R318" s="242"/>
      <c r="S318" s="242"/>
      <c r="T318" s="242"/>
      <c r="U318" s="242"/>
      <c r="V318" s="242"/>
      <c r="W318" s="242"/>
      <c r="X318" s="242"/>
      <c r="Y318" s="242"/>
      <c r="Z318" s="242"/>
      <c r="AA318" s="242"/>
      <c r="AB318" s="242"/>
      <c r="AC318" s="242"/>
      <c r="AD318" s="242"/>
      <c r="AE318" s="242"/>
      <c r="AF318" s="242"/>
      <c r="AG318" s="242"/>
      <c r="AH318" s="242"/>
      <c r="AI318" s="242"/>
      <c r="AJ318" s="242"/>
      <c r="AK318" s="242"/>
      <c r="AL318" s="242"/>
      <c r="AM318" s="242"/>
      <c r="AN318" s="242"/>
      <c r="AO318" s="242"/>
      <c r="AP318" s="242"/>
      <c r="AQ318" s="242"/>
      <c r="AR318" s="242"/>
      <c r="AS318" s="242"/>
      <c r="AT318" s="242"/>
      <c r="AU318" s="242"/>
      <c r="AV318" s="242"/>
      <c r="AW318" s="242"/>
      <c r="AX318" s="242"/>
      <c r="AY318" s="242"/>
      <c r="AZ318" s="242"/>
      <c r="BA318" s="242"/>
      <c r="BB318" s="242"/>
      <c r="BC318" s="242"/>
      <c r="BD318" s="242"/>
      <c r="BE318" s="242"/>
      <c r="BF318" s="242"/>
      <c r="BG318" s="242"/>
      <c r="BH318" s="242"/>
      <c r="BI318" s="242"/>
      <c r="BJ318" s="242"/>
      <c r="BK318" s="242"/>
      <c r="BL318" s="242"/>
      <c r="BM318" s="242"/>
      <c r="BN318" s="242"/>
      <c r="BO318" s="242"/>
      <c r="BP318" s="242"/>
      <c r="BQ318" s="242"/>
      <c r="BR318" s="242"/>
      <c r="BS318" s="242"/>
      <c r="BT318" s="242"/>
      <c r="BU318" s="242"/>
      <c r="BV318" s="242"/>
      <c r="BW318" s="242"/>
      <c r="BX318" s="242"/>
      <c r="BY318" s="242"/>
      <c r="BZ318" s="242"/>
      <c r="CA318" s="242"/>
      <c r="CB318" s="242"/>
      <c r="CC318" s="242"/>
      <c r="CD318" s="242"/>
    </row>
    <row r="319" spans="1:82" ht="12.75" customHeight="1">
      <c r="A319" s="242"/>
      <c r="B319" s="242"/>
      <c r="C319" s="242"/>
      <c r="D319" s="242"/>
      <c r="E319" s="242"/>
      <c r="F319" s="242"/>
      <c r="G319" s="242"/>
      <c r="H319" s="278"/>
      <c r="I319" s="278"/>
      <c r="J319" s="242"/>
      <c r="K319" s="242"/>
      <c r="L319" s="242"/>
      <c r="M319" s="242"/>
      <c r="N319" s="242"/>
      <c r="O319" s="242"/>
      <c r="P319" s="242"/>
      <c r="Q319" s="242"/>
      <c r="R319" s="242"/>
      <c r="S319" s="242"/>
      <c r="T319" s="242"/>
      <c r="U319" s="242"/>
      <c r="V319" s="242"/>
      <c r="W319" s="242"/>
      <c r="X319" s="242"/>
      <c r="Y319" s="242"/>
      <c r="Z319" s="242"/>
      <c r="AA319" s="242"/>
      <c r="AB319" s="242"/>
      <c r="AC319" s="242"/>
      <c r="AD319" s="242"/>
      <c r="AE319" s="242"/>
      <c r="AF319" s="242"/>
      <c r="AG319" s="242"/>
      <c r="AH319" s="242"/>
      <c r="AI319" s="242"/>
      <c r="AJ319" s="242"/>
      <c r="AK319" s="242"/>
      <c r="AL319" s="242"/>
      <c r="AM319" s="242"/>
      <c r="AN319" s="242"/>
      <c r="AO319" s="242"/>
      <c r="AP319" s="242"/>
      <c r="AQ319" s="242"/>
      <c r="AR319" s="242"/>
      <c r="AS319" s="242"/>
      <c r="AT319" s="242"/>
      <c r="AU319" s="242"/>
      <c r="AV319" s="242"/>
      <c r="AW319" s="242"/>
      <c r="AX319" s="242"/>
      <c r="AY319" s="242"/>
      <c r="AZ319" s="242"/>
      <c r="BA319" s="242"/>
      <c r="BB319" s="242"/>
      <c r="BC319" s="242"/>
      <c r="BD319" s="242"/>
      <c r="BE319" s="242"/>
      <c r="BF319" s="242"/>
      <c r="BG319" s="242"/>
      <c r="BH319" s="242"/>
      <c r="BI319" s="242"/>
      <c r="BJ319" s="242"/>
      <c r="BK319" s="242"/>
      <c r="BL319" s="242"/>
      <c r="BM319" s="242"/>
      <c r="BN319" s="242"/>
      <c r="BO319" s="242"/>
      <c r="BP319" s="242"/>
      <c r="BQ319" s="242"/>
      <c r="BR319" s="242"/>
      <c r="BS319" s="242"/>
      <c r="BT319" s="242"/>
      <c r="BU319" s="242"/>
      <c r="BV319" s="242"/>
      <c r="BW319" s="242"/>
      <c r="BX319" s="242"/>
      <c r="BY319" s="242"/>
      <c r="BZ319" s="242"/>
      <c r="CA319" s="242"/>
      <c r="CB319" s="242"/>
      <c r="CC319" s="242"/>
      <c r="CD319" s="242"/>
    </row>
    <row r="320" spans="1:82" ht="12.75" customHeight="1">
      <c r="A320" s="242"/>
      <c r="B320" s="242"/>
      <c r="C320" s="242"/>
      <c r="D320" s="242"/>
      <c r="E320" s="242"/>
      <c r="F320" s="242"/>
      <c r="G320" s="242"/>
      <c r="H320" s="278"/>
      <c r="I320" s="278"/>
      <c r="J320" s="242"/>
      <c r="K320" s="242"/>
      <c r="L320" s="242"/>
      <c r="M320" s="242"/>
      <c r="N320" s="242"/>
      <c r="O320" s="242"/>
      <c r="P320" s="242"/>
      <c r="Q320" s="242"/>
      <c r="R320" s="242"/>
      <c r="S320" s="242"/>
      <c r="T320" s="242"/>
      <c r="U320" s="242"/>
      <c r="V320" s="242"/>
      <c r="W320" s="242"/>
      <c r="X320" s="242"/>
      <c r="Y320" s="242"/>
      <c r="Z320" s="242"/>
      <c r="AA320" s="242"/>
      <c r="AB320" s="242"/>
      <c r="AC320" s="242"/>
      <c r="AD320" s="242"/>
      <c r="AE320" s="242"/>
      <c r="AF320" s="242"/>
      <c r="AG320" s="242"/>
      <c r="AH320" s="242"/>
      <c r="AI320" s="242"/>
      <c r="AJ320" s="242"/>
      <c r="AK320" s="242"/>
      <c r="AL320" s="242"/>
      <c r="AM320" s="242"/>
      <c r="AN320" s="242"/>
      <c r="AO320" s="242"/>
      <c r="AP320" s="242"/>
      <c r="AQ320" s="242"/>
      <c r="AR320" s="242"/>
      <c r="AS320" s="242"/>
      <c r="AT320" s="242"/>
      <c r="AU320" s="242"/>
      <c r="AV320" s="242"/>
      <c r="AW320" s="242"/>
      <c r="AX320" s="242"/>
      <c r="AY320" s="242"/>
      <c r="AZ320" s="242"/>
      <c r="BA320" s="242"/>
      <c r="BB320" s="242"/>
      <c r="BC320" s="242"/>
      <c r="BD320" s="242"/>
      <c r="BE320" s="242"/>
      <c r="BF320" s="242"/>
      <c r="BG320" s="242"/>
      <c r="BH320" s="242"/>
      <c r="BI320" s="242"/>
      <c r="BJ320" s="242"/>
      <c r="BK320" s="242"/>
      <c r="BL320" s="242"/>
      <c r="BM320" s="242"/>
      <c r="BN320" s="242"/>
      <c r="BO320" s="242"/>
      <c r="BP320" s="242"/>
      <c r="BQ320" s="242"/>
      <c r="BR320" s="242"/>
      <c r="BS320" s="242"/>
      <c r="BT320" s="242"/>
      <c r="BU320" s="242"/>
      <c r="BV320" s="242"/>
      <c r="BW320" s="242"/>
      <c r="BX320" s="242"/>
      <c r="BY320" s="242"/>
      <c r="BZ320" s="242"/>
      <c r="CA320" s="242"/>
      <c r="CB320" s="242"/>
      <c r="CC320" s="242"/>
      <c r="CD320" s="242"/>
    </row>
    <row r="321" spans="1:82" ht="12.75" customHeight="1">
      <c r="A321" s="242"/>
      <c r="B321" s="242"/>
      <c r="C321" s="242"/>
      <c r="D321" s="242"/>
      <c r="E321" s="242"/>
      <c r="F321" s="242"/>
      <c r="G321" s="242"/>
      <c r="H321" s="278"/>
      <c r="I321" s="278"/>
      <c r="J321" s="242"/>
      <c r="K321" s="242"/>
      <c r="L321" s="242"/>
      <c r="M321" s="242"/>
      <c r="N321" s="242"/>
      <c r="O321" s="242"/>
      <c r="P321" s="242"/>
      <c r="Q321" s="242"/>
      <c r="R321" s="242"/>
      <c r="S321" s="242"/>
      <c r="T321" s="242"/>
      <c r="U321" s="242"/>
      <c r="V321" s="242"/>
      <c r="W321" s="242"/>
      <c r="X321" s="242"/>
      <c r="Y321" s="242"/>
      <c r="Z321" s="242"/>
      <c r="AA321" s="242"/>
      <c r="AB321" s="242"/>
      <c r="AC321" s="242"/>
      <c r="AD321" s="242"/>
      <c r="AE321" s="242"/>
      <c r="AF321" s="242"/>
      <c r="AG321" s="242"/>
      <c r="AH321" s="242"/>
      <c r="AI321" s="242"/>
      <c r="AJ321" s="242"/>
      <c r="AK321" s="242"/>
      <c r="AL321" s="242"/>
      <c r="AM321" s="242"/>
      <c r="AN321" s="242"/>
      <c r="AO321" s="242"/>
      <c r="AP321" s="242"/>
      <c r="AQ321" s="242"/>
      <c r="AR321" s="242"/>
      <c r="AS321" s="242"/>
      <c r="AT321" s="242"/>
      <c r="AU321" s="242"/>
      <c r="AV321" s="242"/>
      <c r="AW321" s="242"/>
      <c r="AX321" s="242"/>
      <c r="AY321" s="242"/>
      <c r="AZ321" s="242"/>
      <c r="BA321" s="242"/>
      <c r="BB321" s="242"/>
      <c r="BC321" s="242"/>
      <c r="BD321" s="242"/>
      <c r="BE321" s="242"/>
      <c r="BF321" s="242"/>
      <c r="BG321" s="242"/>
      <c r="BH321" s="242"/>
      <c r="BI321" s="242"/>
      <c r="BJ321" s="242"/>
      <c r="BK321" s="242"/>
      <c r="BL321" s="242"/>
      <c r="BM321" s="242"/>
      <c r="BN321" s="242"/>
      <c r="BO321" s="242"/>
      <c r="BP321" s="242"/>
      <c r="BQ321" s="242"/>
      <c r="BR321" s="242"/>
      <c r="BS321" s="242"/>
      <c r="BT321" s="242"/>
      <c r="BU321" s="242"/>
      <c r="BV321" s="242"/>
      <c r="BW321" s="242"/>
      <c r="BX321" s="242"/>
      <c r="BY321" s="242"/>
      <c r="BZ321" s="242"/>
      <c r="CA321" s="242"/>
      <c r="CB321" s="242"/>
      <c r="CC321" s="242"/>
      <c r="CD321" s="242"/>
    </row>
    <row r="322" spans="1:82" ht="12.75" customHeight="1">
      <c r="A322" s="242"/>
      <c r="B322" s="242"/>
      <c r="C322" s="242"/>
      <c r="D322" s="242"/>
      <c r="E322" s="242"/>
      <c r="F322" s="242"/>
      <c r="G322" s="242"/>
      <c r="H322" s="278"/>
      <c r="I322" s="278"/>
      <c r="J322" s="242"/>
      <c r="K322" s="242"/>
      <c r="L322" s="242"/>
      <c r="M322" s="242"/>
      <c r="N322" s="242"/>
      <c r="O322" s="242"/>
      <c r="P322" s="242"/>
      <c r="Q322" s="242"/>
      <c r="R322" s="242"/>
      <c r="S322" s="242"/>
      <c r="T322" s="242"/>
      <c r="U322" s="242"/>
      <c r="V322" s="242"/>
      <c r="W322" s="242"/>
      <c r="X322" s="242"/>
      <c r="Y322" s="242"/>
      <c r="Z322" s="242"/>
      <c r="AA322" s="242"/>
      <c r="AB322" s="242"/>
      <c r="AC322" s="242"/>
      <c r="AD322" s="242"/>
      <c r="AE322" s="242"/>
      <c r="AF322" s="242"/>
      <c r="AG322" s="242"/>
      <c r="AH322" s="242"/>
      <c r="AI322" s="242"/>
      <c r="AJ322" s="242"/>
      <c r="AK322" s="242"/>
      <c r="AL322" s="242"/>
      <c r="AM322" s="242"/>
      <c r="AN322" s="242"/>
      <c r="AO322" s="242"/>
      <c r="AP322" s="242"/>
      <c r="AQ322" s="242"/>
      <c r="AR322" s="242"/>
      <c r="AS322" s="242"/>
      <c r="AT322" s="242"/>
      <c r="AU322" s="242"/>
      <c r="AV322" s="242"/>
      <c r="AW322" s="242"/>
      <c r="AX322" s="242"/>
      <c r="AY322" s="242"/>
      <c r="AZ322" s="242"/>
      <c r="BA322" s="242"/>
      <c r="BB322" s="242"/>
      <c r="BC322" s="242"/>
      <c r="BD322" s="242"/>
      <c r="BE322" s="242"/>
      <c r="BF322" s="242"/>
      <c r="BG322" s="242"/>
      <c r="BH322" s="242"/>
      <c r="BI322" s="242"/>
      <c r="BJ322" s="242"/>
      <c r="BK322" s="242"/>
      <c r="BL322" s="242"/>
      <c r="BM322" s="242"/>
      <c r="BN322" s="242"/>
      <c r="BO322" s="242"/>
      <c r="BP322" s="242"/>
      <c r="BQ322" s="242"/>
      <c r="BR322" s="242"/>
      <c r="BS322" s="242"/>
      <c r="BT322" s="242"/>
      <c r="BU322" s="242"/>
      <c r="BV322" s="242"/>
      <c r="BW322" s="242"/>
      <c r="BX322" s="242"/>
      <c r="BY322" s="242"/>
      <c r="BZ322" s="242"/>
      <c r="CA322" s="242"/>
      <c r="CB322" s="242"/>
      <c r="CC322" s="242"/>
      <c r="CD322" s="242"/>
    </row>
    <row r="323" spans="1:82" ht="12.75" customHeight="1">
      <c r="A323" s="242"/>
      <c r="B323" s="242"/>
      <c r="C323" s="242"/>
      <c r="D323" s="242"/>
      <c r="E323" s="242"/>
      <c r="F323" s="242"/>
      <c r="G323" s="242"/>
      <c r="H323" s="278"/>
      <c r="I323" s="278"/>
      <c r="J323" s="242"/>
      <c r="K323" s="242"/>
      <c r="L323" s="242"/>
      <c r="M323" s="242"/>
      <c r="N323" s="242"/>
      <c r="O323" s="242"/>
      <c r="P323" s="242"/>
      <c r="Q323" s="242"/>
      <c r="R323" s="242"/>
      <c r="S323" s="242"/>
      <c r="T323" s="242"/>
      <c r="U323" s="242"/>
      <c r="V323" s="242"/>
      <c r="W323" s="242"/>
      <c r="X323" s="242"/>
      <c r="Y323" s="242"/>
      <c r="Z323" s="242"/>
      <c r="AA323" s="242"/>
      <c r="AB323" s="242"/>
      <c r="AC323" s="242"/>
      <c r="AD323" s="242"/>
      <c r="AE323" s="242"/>
      <c r="AF323" s="242"/>
      <c r="AG323" s="242"/>
      <c r="AH323" s="242"/>
      <c r="AI323" s="242"/>
      <c r="AJ323" s="242"/>
      <c r="AK323" s="242"/>
      <c r="AL323" s="242"/>
      <c r="AM323" s="242"/>
      <c r="AN323" s="242"/>
      <c r="AO323" s="242"/>
      <c r="AP323" s="242"/>
      <c r="AQ323" s="242"/>
      <c r="AR323" s="242"/>
      <c r="AS323" s="242"/>
      <c r="AT323" s="242"/>
      <c r="AU323" s="242"/>
      <c r="AV323" s="242"/>
      <c r="AW323" s="242"/>
      <c r="AX323" s="242"/>
      <c r="AY323" s="242"/>
      <c r="AZ323" s="242"/>
      <c r="BA323" s="242"/>
      <c r="BB323" s="242"/>
      <c r="BC323" s="242"/>
      <c r="BD323" s="242"/>
      <c r="BE323" s="242"/>
      <c r="BF323" s="242"/>
      <c r="BG323" s="242"/>
      <c r="BH323" s="242"/>
      <c r="BI323" s="242"/>
      <c r="BJ323" s="242"/>
      <c r="BK323" s="242"/>
      <c r="BL323" s="242"/>
      <c r="BM323" s="242"/>
      <c r="BN323" s="242"/>
      <c r="BO323" s="242"/>
      <c r="BP323" s="242"/>
      <c r="BQ323" s="242"/>
      <c r="BR323" s="242"/>
      <c r="BS323" s="242"/>
      <c r="BT323" s="242"/>
      <c r="BU323" s="242"/>
      <c r="BV323" s="242"/>
      <c r="BW323" s="242"/>
      <c r="BX323" s="242"/>
      <c r="BY323" s="242"/>
      <c r="BZ323" s="242"/>
      <c r="CA323" s="242"/>
      <c r="CB323" s="242"/>
      <c r="CC323" s="242"/>
      <c r="CD323" s="242"/>
    </row>
    <row r="324" spans="1:82" ht="12.75" customHeight="1">
      <c r="A324" s="242"/>
      <c r="B324" s="242"/>
      <c r="C324" s="242"/>
      <c r="D324" s="242"/>
      <c r="E324" s="242"/>
      <c r="F324" s="242"/>
      <c r="G324" s="242"/>
      <c r="H324" s="278"/>
      <c r="I324" s="278"/>
      <c r="J324" s="242"/>
      <c r="K324" s="242"/>
      <c r="L324" s="242"/>
      <c r="M324" s="242"/>
      <c r="N324" s="242"/>
      <c r="O324" s="242"/>
      <c r="P324" s="242"/>
      <c r="Q324" s="242"/>
      <c r="R324" s="242"/>
      <c r="S324" s="242"/>
      <c r="T324" s="242"/>
      <c r="U324" s="242"/>
      <c r="V324" s="242"/>
      <c r="W324" s="242"/>
      <c r="X324" s="242"/>
      <c r="Y324" s="242"/>
      <c r="Z324" s="242"/>
      <c r="AA324" s="242"/>
      <c r="AB324" s="242"/>
      <c r="AC324" s="242"/>
      <c r="AD324" s="242"/>
      <c r="AE324" s="242"/>
      <c r="AF324" s="242"/>
      <c r="AG324" s="242"/>
      <c r="AH324" s="242"/>
      <c r="AI324" s="242"/>
      <c r="AJ324" s="242"/>
      <c r="AK324" s="242"/>
      <c r="AL324" s="242"/>
      <c r="AM324" s="242"/>
      <c r="AN324" s="242"/>
      <c r="AO324" s="242"/>
      <c r="AP324" s="242"/>
      <c r="AQ324" s="242"/>
      <c r="AR324" s="242"/>
      <c r="AS324" s="242"/>
      <c r="AT324" s="242"/>
      <c r="AU324" s="242"/>
      <c r="AV324" s="242"/>
      <c r="AW324" s="242"/>
      <c r="AX324" s="242"/>
      <c r="AY324" s="242"/>
      <c r="AZ324" s="242"/>
      <c r="BA324" s="242"/>
      <c r="BB324" s="242"/>
      <c r="BC324" s="242"/>
      <c r="BD324" s="242"/>
      <c r="BE324" s="242"/>
      <c r="BF324" s="242"/>
      <c r="BG324" s="242"/>
      <c r="BH324" s="242"/>
      <c r="BI324" s="242"/>
      <c r="BJ324" s="242"/>
      <c r="BK324" s="242"/>
      <c r="BL324" s="242"/>
      <c r="BM324" s="242"/>
      <c r="BN324" s="242"/>
      <c r="BO324" s="242"/>
      <c r="BP324" s="242"/>
      <c r="BQ324" s="242"/>
      <c r="BR324" s="242"/>
      <c r="BS324" s="242"/>
      <c r="BT324" s="242"/>
      <c r="BU324" s="242"/>
      <c r="BV324" s="242"/>
      <c r="BW324" s="242"/>
      <c r="BX324" s="242"/>
      <c r="BY324" s="242"/>
      <c r="BZ324" s="242"/>
      <c r="CA324" s="242"/>
      <c r="CB324" s="242"/>
      <c r="CC324" s="242"/>
      <c r="CD324" s="242"/>
    </row>
    <row r="325" spans="1:82" ht="12.75" customHeight="1">
      <c r="A325" s="242"/>
      <c r="B325" s="242"/>
      <c r="C325" s="242"/>
      <c r="D325" s="242"/>
      <c r="E325" s="242"/>
      <c r="F325" s="242"/>
      <c r="G325" s="242"/>
      <c r="H325" s="278"/>
      <c r="I325" s="278"/>
      <c r="J325" s="242"/>
      <c r="K325" s="242"/>
      <c r="L325" s="242"/>
      <c r="M325" s="242"/>
      <c r="N325" s="242"/>
      <c r="O325" s="242"/>
      <c r="P325" s="242"/>
      <c r="Q325" s="242"/>
      <c r="R325" s="242"/>
      <c r="S325" s="242"/>
      <c r="T325" s="242"/>
      <c r="U325" s="242"/>
      <c r="V325" s="242"/>
      <c r="W325" s="242"/>
      <c r="X325" s="242"/>
      <c r="Y325" s="242"/>
      <c r="Z325" s="242"/>
      <c r="AA325" s="242"/>
      <c r="AB325" s="242"/>
      <c r="AC325" s="242"/>
      <c r="AD325" s="242"/>
      <c r="AE325" s="242"/>
      <c r="AF325" s="242"/>
      <c r="AG325" s="242"/>
      <c r="AH325" s="242"/>
      <c r="AI325" s="242"/>
      <c r="AJ325" s="242"/>
      <c r="AK325" s="242"/>
      <c r="AL325" s="242"/>
      <c r="AM325" s="242"/>
      <c r="AN325" s="242"/>
      <c r="AO325" s="242"/>
      <c r="AP325" s="242"/>
      <c r="AQ325" s="242"/>
      <c r="AR325" s="242"/>
      <c r="AS325" s="242"/>
      <c r="AT325" s="242"/>
      <c r="AU325" s="242"/>
      <c r="AV325" s="242"/>
      <c r="AW325" s="242"/>
      <c r="AX325" s="242"/>
      <c r="AY325" s="242"/>
      <c r="AZ325" s="242"/>
      <c r="BA325" s="242"/>
      <c r="BB325" s="242"/>
      <c r="BC325" s="242"/>
      <c r="BD325" s="242"/>
      <c r="BE325" s="242"/>
      <c r="BF325" s="242"/>
      <c r="BG325" s="242"/>
      <c r="BH325" s="242"/>
      <c r="BI325" s="242"/>
      <c r="BJ325" s="242"/>
      <c r="BK325" s="242"/>
      <c r="BL325" s="242"/>
      <c r="BM325" s="242"/>
      <c r="BN325" s="242"/>
      <c r="BO325" s="242"/>
      <c r="BP325" s="242"/>
      <c r="BQ325" s="242"/>
      <c r="BR325" s="242"/>
      <c r="BS325" s="242"/>
      <c r="BT325" s="242"/>
      <c r="BU325" s="242"/>
      <c r="BV325" s="242"/>
      <c r="BW325" s="242"/>
      <c r="BX325" s="242"/>
      <c r="BY325" s="242"/>
      <c r="BZ325" s="242"/>
      <c r="CA325" s="242"/>
      <c r="CB325" s="242"/>
      <c r="CC325" s="242"/>
      <c r="CD325" s="242"/>
    </row>
    <row r="326" spans="1:82" ht="12.75" customHeight="1">
      <c r="A326" s="242"/>
      <c r="B326" s="242"/>
      <c r="C326" s="242"/>
      <c r="D326" s="242"/>
      <c r="E326" s="242"/>
      <c r="F326" s="242"/>
      <c r="G326" s="242"/>
      <c r="H326" s="278"/>
      <c r="I326" s="278"/>
      <c r="J326" s="242"/>
      <c r="K326" s="242"/>
      <c r="L326" s="242"/>
      <c r="M326" s="242"/>
      <c r="N326" s="242"/>
      <c r="O326" s="242"/>
      <c r="P326" s="242"/>
      <c r="Q326" s="242"/>
      <c r="R326" s="242"/>
      <c r="S326" s="242"/>
      <c r="T326" s="242"/>
      <c r="U326" s="242"/>
      <c r="V326" s="242"/>
      <c r="W326" s="242"/>
      <c r="X326" s="242"/>
      <c r="Y326" s="242"/>
      <c r="Z326" s="242"/>
      <c r="AA326" s="242"/>
      <c r="AB326" s="242"/>
      <c r="AC326" s="242"/>
      <c r="AD326" s="242"/>
      <c r="AE326" s="242"/>
      <c r="AF326" s="242"/>
      <c r="AG326" s="242"/>
      <c r="AH326" s="242"/>
      <c r="AI326" s="242"/>
      <c r="AJ326" s="242"/>
      <c r="AK326" s="242"/>
      <c r="AL326" s="242"/>
      <c r="AM326" s="242"/>
      <c r="AN326" s="242"/>
      <c r="AO326" s="242"/>
      <c r="AP326" s="242"/>
      <c r="AQ326" s="242"/>
      <c r="AR326" s="242"/>
      <c r="AS326" s="242"/>
      <c r="AT326" s="242"/>
      <c r="AU326" s="242"/>
      <c r="AV326" s="242"/>
      <c r="AW326" s="242"/>
      <c r="AX326" s="242"/>
      <c r="AY326" s="242"/>
      <c r="AZ326" s="242"/>
      <c r="BA326" s="242"/>
      <c r="BB326" s="242"/>
      <c r="BC326" s="242"/>
      <c r="BD326" s="242"/>
      <c r="BE326" s="242"/>
      <c r="BF326" s="242"/>
      <c r="BG326" s="242"/>
      <c r="BH326" s="242"/>
      <c r="BI326" s="242"/>
      <c r="BJ326" s="242"/>
      <c r="BK326" s="242"/>
      <c r="BL326" s="242"/>
      <c r="BM326" s="242"/>
      <c r="BN326" s="242"/>
      <c r="BO326" s="242"/>
      <c r="BP326" s="242"/>
      <c r="BQ326" s="242"/>
      <c r="BR326" s="242"/>
      <c r="BS326" s="242"/>
      <c r="BT326" s="242"/>
      <c r="BU326" s="242"/>
      <c r="BV326" s="242"/>
      <c r="BW326" s="242"/>
      <c r="BX326" s="242"/>
      <c r="BY326" s="242"/>
      <c r="BZ326" s="242"/>
      <c r="CA326" s="242"/>
      <c r="CB326" s="242"/>
      <c r="CC326" s="242"/>
      <c r="CD326" s="242"/>
    </row>
    <row r="327" spans="1:82" ht="12.75" customHeight="1">
      <c r="A327" s="242"/>
      <c r="B327" s="242"/>
      <c r="C327" s="242"/>
      <c r="D327" s="242"/>
      <c r="E327" s="242"/>
      <c r="F327" s="242"/>
      <c r="G327" s="242"/>
      <c r="H327" s="278"/>
      <c r="I327" s="278"/>
      <c r="J327" s="242"/>
      <c r="K327" s="242"/>
      <c r="L327" s="242"/>
      <c r="M327" s="242"/>
      <c r="N327" s="242"/>
      <c r="O327" s="242"/>
      <c r="P327" s="242"/>
      <c r="Q327" s="242"/>
      <c r="R327" s="242"/>
      <c r="S327" s="242"/>
      <c r="T327" s="242"/>
      <c r="U327" s="242"/>
      <c r="V327" s="242"/>
      <c r="W327" s="242"/>
      <c r="X327" s="242"/>
      <c r="Y327" s="242"/>
      <c r="Z327" s="242"/>
      <c r="AA327" s="242"/>
      <c r="AB327" s="242"/>
      <c r="AC327" s="242"/>
      <c r="AD327" s="242"/>
      <c r="AE327" s="242"/>
      <c r="AF327" s="242"/>
      <c r="AG327" s="242"/>
      <c r="AH327" s="242"/>
      <c r="AI327" s="242"/>
      <c r="AJ327" s="242"/>
      <c r="AK327" s="242"/>
      <c r="AL327" s="242"/>
      <c r="AM327" s="242"/>
      <c r="AN327" s="242"/>
      <c r="AO327" s="242"/>
      <c r="AP327" s="242"/>
      <c r="AQ327" s="242"/>
      <c r="AR327" s="242"/>
      <c r="AS327" s="242"/>
      <c r="AT327" s="242"/>
      <c r="AU327" s="242"/>
      <c r="AV327" s="242"/>
      <c r="AW327" s="242"/>
      <c r="AX327" s="242"/>
      <c r="AY327" s="242"/>
      <c r="AZ327" s="242"/>
      <c r="BA327" s="242"/>
      <c r="BB327" s="242"/>
      <c r="BC327" s="242"/>
      <c r="BD327" s="242"/>
      <c r="BE327" s="242"/>
      <c r="BF327" s="242"/>
      <c r="BG327" s="242"/>
      <c r="BH327" s="242"/>
      <c r="BI327" s="242"/>
      <c r="BJ327" s="242"/>
      <c r="BK327" s="242"/>
      <c r="BL327" s="242"/>
      <c r="BM327" s="242"/>
      <c r="BN327" s="242"/>
      <c r="BO327" s="242"/>
      <c r="BP327" s="242"/>
      <c r="BQ327" s="242"/>
      <c r="BR327" s="242"/>
      <c r="BS327" s="242"/>
      <c r="BT327" s="242"/>
      <c r="BU327" s="242"/>
      <c r="BV327" s="242"/>
      <c r="BW327" s="242"/>
      <c r="BX327" s="242"/>
      <c r="BY327" s="242"/>
      <c r="BZ327" s="242"/>
      <c r="CA327" s="242"/>
      <c r="CB327" s="242"/>
      <c r="CC327" s="242"/>
      <c r="CD327" s="242"/>
    </row>
    <row r="328" spans="1:82" ht="12.75" customHeight="1">
      <c r="A328" s="242"/>
      <c r="B328" s="242"/>
      <c r="C328" s="242"/>
      <c r="D328" s="242"/>
      <c r="E328" s="242"/>
      <c r="F328" s="242"/>
      <c r="G328" s="242"/>
      <c r="H328" s="278"/>
      <c r="I328" s="278"/>
      <c r="J328" s="242"/>
      <c r="K328" s="242"/>
      <c r="L328" s="242"/>
      <c r="M328" s="242"/>
      <c r="N328" s="242"/>
      <c r="O328" s="242"/>
      <c r="P328" s="242"/>
      <c r="Q328" s="242"/>
      <c r="R328" s="242"/>
      <c r="S328" s="242"/>
      <c r="T328" s="242"/>
      <c r="U328" s="242"/>
      <c r="V328" s="242"/>
      <c r="W328" s="242"/>
      <c r="X328" s="242"/>
      <c r="Y328" s="242"/>
      <c r="Z328" s="242"/>
      <c r="AA328" s="242"/>
      <c r="AB328" s="242"/>
      <c r="AC328" s="242"/>
      <c r="AD328" s="242"/>
      <c r="AE328" s="242"/>
      <c r="AF328" s="242"/>
      <c r="AG328" s="242"/>
      <c r="AH328" s="242"/>
      <c r="AI328" s="242"/>
      <c r="AJ328" s="242"/>
      <c r="AK328" s="242"/>
      <c r="AL328" s="242"/>
      <c r="AM328" s="242"/>
      <c r="AN328" s="242"/>
      <c r="AO328" s="242"/>
      <c r="AP328" s="242"/>
      <c r="AQ328" s="242"/>
      <c r="AR328" s="242"/>
      <c r="AS328" s="242"/>
      <c r="AT328" s="242"/>
      <c r="AU328" s="242"/>
      <c r="AV328" s="242"/>
      <c r="AW328" s="242"/>
      <c r="AX328" s="242"/>
      <c r="AY328" s="242"/>
      <c r="AZ328" s="242"/>
      <c r="BA328" s="242"/>
      <c r="BB328" s="242"/>
      <c r="BC328" s="242"/>
      <c r="BD328" s="242"/>
      <c r="BE328" s="242"/>
      <c r="BF328" s="242"/>
      <c r="BG328" s="242"/>
      <c r="BH328" s="242"/>
      <c r="BI328" s="242"/>
      <c r="BJ328" s="242"/>
      <c r="BK328" s="242"/>
      <c r="BL328" s="242"/>
      <c r="BM328" s="242"/>
      <c r="BN328" s="242"/>
      <c r="BO328" s="242"/>
      <c r="BP328" s="242"/>
      <c r="BQ328" s="242"/>
      <c r="BR328" s="242"/>
      <c r="BS328" s="242"/>
      <c r="BT328" s="242"/>
      <c r="BU328" s="242"/>
      <c r="BV328" s="242"/>
      <c r="BW328" s="242"/>
      <c r="BX328" s="242"/>
      <c r="BY328" s="242"/>
      <c r="BZ328" s="242"/>
      <c r="CA328" s="242"/>
      <c r="CB328" s="242"/>
      <c r="CC328" s="242"/>
      <c r="CD328" s="242"/>
    </row>
    <row r="329" spans="1:82" ht="12.75" customHeight="1">
      <c r="A329" s="242"/>
      <c r="B329" s="242"/>
      <c r="C329" s="242"/>
      <c r="D329" s="242"/>
      <c r="E329" s="242"/>
      <c r="F329" s="242"/>
      <c r="G329" s="242"/>
      <c r="H329" s="278"/>
      <c r="I329" s="278"/>
      <c r="J329" s="242"/>
      <c r="K329" s="242"/>
      <c r="L329" s="242"/>
      <c r="M329" s="242"/>
      <c r="N329" s="242"/>
      <c r="O329" s="242"/>
      <c r="P329" s="242"/>
      <c r="Q329" s="242"/>
      <c r="R329" s="242"/>
      <c r="S329" s="242"/>
      <c r="T329" s="242"/>
      <c r="U329" s="242"/>
      <c r="V329" s="242"/>
      <c r="W329" s="242"/>
      <c r="X329" s="242"/>
      <c r="Y329" s="242"/>
      <c r="Z329" s="242"/>
      <c r="AA329" s="242"/>
      <c r="AB329" s="242"/>
      <c r="AC329" s="242"/>
      <c r="AD329" s="242"/>
      <c r="AE329" s="242"/>
      <c r="AF329" s="242"/>
      <c r="AG329" s="242"/>
      <c r="AH329" s="242"/>
      <c r="AI329" s="242"/>
      <c r="AJ329" s="242"/>
      <c r="AK329" s="242"/>
      <c r="AL329" s="242"/>
      <c r="AM329" s="242"/>
      <c r="AN329" s="242"/>
      <c r="AO329" s="242"/>
      <c r="AP329" s="242"/>
      <c r="AQ329" s="242"/>
      <c r="AR329" s="242"/>
      <c r="AS329" s="242"/>
      <c r="AT329" s="242"/>
      <c r="AU329" s="242"/>
      <c r="AV329" s="242"/>
      <c r="AW329" s="242"/>
      <c r="AX329" s="242"/>
      <c r="AY329" s="242"/>
      <c r="AZ329" s="242"/>
      <c r="BA329" s="242"/>
      <c r="BB329" s="242"/>
      <c r="BC329" s="242"/>
      <c r="BD329" s="242"/>
      <c r="BE329" s="242"/>
      <c r="BF329" s="242"/>
      <c r="BG329" s="242"/>
      <c r="BH329" s="242"/>
      <c r="BI329" s="242"/>
      <c r="BJ329" s="242"/>
      <c r="BK329" s="242"/>
      <c r="BL329" s="242"/>
      <c r="BM329" s="242"/>
      <c r="BN329" s="242"/>
      <c r="BO329" s="242"/>
      <c r="BP329" s="242"/>
      <c r="BQ329" s="242"/>
      <c r="BR329" s="242"/>
      <c r="BS329" s="242"/>
      <c r="BT329" s="242"/>
      <c r="BU329" s="242"/>
      <c r="BV329" s="242"/>
      <c r="BW329" s="242"/>
      <c r="BX329" s="242"/>
      <c r="BY329" s="242"/>
      <c r="BZ329" s="242"/>
      <c r="CA329" s="242"/>
      <c r="CB329" s="242"/>
      <c r="CC329" s="242"/>
      <c r="CD329" s="242"/>
    </row>
    <row r="330" spans="1:82" ht="12.75" customHeight="1">
      <c r="A330" s="242"/>
      <c r="B330" s="242"/>
      <c r="C330" s="242"/>
      <c r="D330" s="242"/>
      <c r="E330" s="242"/>
      <c r="F330" s="242"/>
      <c r="G330" s="242"/>
      <c r="H330" s="278"/>
      <c r="I330" s="278"/>
      <c r="J330" s="242"/>
      <c r="K330" s="242"/>
      <c r="L330" s="242"/>
      <c r="M330" s="242"/>
      <c r="N330" s="242"/>
      <c r="O330" s="242"/>
      <c r="P330" s="242"/>
      <c r="Q330" s="242"/>
      <c r="R330" s="242"/>
      <c r="S330" s="242"/>
      <c r="T330" s="242"/>
      <c r="U330" s="242"/>
      <c r="V330" s="242"/>
      <c r="W330" s="242"/>
      <c r="X330" s="242"/>
      <c r="Y330" s="242"/>
      <c r="Z330" s="242"/>
      <c r="AA330" s="242"/>
      <c r="AB330" s="242"/>
      <c r="AC330" s="242"/>
      <c r="AD330" s="242"/>
      <c r="AE330" s="242"/>
      <c r="AF330" s="242"/>
      <c r="AG330" s="242"/>
      <c r="AH330" s="242"/>
      <c r="AI330" s="242"/>
      <c r="AJ330" s="242"/>
      <c r="AK330" s="242"/>
      <c r="AL330" s="242"/>
      <c r="AM330" s="242"/>
      <c r="AN330" s="242"/>
      <c r="AO330" s="242"/>
      <c r="AP330" s="242"/>
      <c r="AQ330" s="242"/>
      <c r="AR330" s="242"/>
      <c r="AS330" s="242"/>
      <c r="AT330" s="242"/>
      <c r="AU330" s="242"/>
      <c r="AV330" s="242"/>
      <c r="AW330" s="242"/>
      <c r="AX330" s="242"/>
      <c r="AY330" s="242"/>
      <c r="AZ330" s="242"/>
      <c r="BA330" s="242"/>
      <c r="BB330" s="242"/>
      <c r="BC330" s="242"/>
      <c r="BD330" s="242"/>
      <c r="BE330" s="242"/>
      <c r="BF330" s="242"/>
      <c r="BG330" s="242"/>
      <c r="BH330" s="242"/>
      <c r="BI330" s="242"/>
      <c r="BJ330" s="242"/>
      <c r="BK330" s="242"/>
      <c r="BL330" s="242"/>
      <c r="BM330" s="242"/>
      <c r="BN330" s="242"/>
      <c r="BO330" s="242"/>
      <c r="BP330" s="242"/>
      <c r="BQ330" s="242"/>
      <c r="BR330" s="242"/>
      <c r="BS330" s="242"/>
      <c r="BT330" s="242"/>
      <c r="BU330" s="242"/>
      <c r="BV330" s="242"/>
      <c r="BW330" s="242"/>
      <c r="BX330" s="242"/>
      <c r="BY330" s="242"/>
      <c r="BZ330" s="242"/>
      <c r="CA330" s="242"/>
      <c r="CB330" s="242"/>
      <c r="CC330" s="242"/>
      <c r="CD330" s="242"/>
    </row>
    <row r="331" spans="1:82" ht="12.75" customHeight="1">
      <c r="A331" s="242"/>
      <c r="B331" s="242"/>
      <c r="C331" s="242"/>
      <c r="D331" s="242"/>
      <c r="E331" s="242"/>
      <c r="F331" s="242"/>
      <c r="G331" s="242"/>
      <c r="H331" s="278"/>
      <c r="I331" s="278"/>
      <c r="J331" s="242"/>
      <c r="K331" s="242"/>
      <c r="L331" s="242"/>
      <c r="M331" s="242"/>
      <c r="N331" s="242"/>
      <c r="O331" s="242"/>
      <c r="P331" s="242"/>
      <c r="Q331" s="242"/>
      <c r="R331" s="242"/>
      <c r="S331" s="242"/>
      <c r="T331" s="242"/>
      <c r="U331" s="242"/>
      <c r="V331" s="242"/>
      <c r="W331" s="242"/>
      <c r="X331" s="242"/>
      <c r="Y331" s="242"/>
      <c r="Z331" s="242"/>
      <c r="AA331" s="242"/>
      <c r="AB331" s="242"/>
      <c r="AC331" s="242"/>
      <c r="AD331" s="242"/>
      <c r="AE331" s="242"/>
      <c r="AF331" s="242"/>
      <c r="AG331" s="242"/>
      <c r="AH331" s="242"/>
      <c r="AI331" s="242"/>
      <c r="AJ331" s="242"/>
      <c r="AK331" s="242"/>
      <c r="AL331" s="242"/>
      <c r="AM331" s="242"/>
      <c r="AN331" s="242"/>
      <c r="AO331" s="242"/>
      <c r="AP331" s="242"/>
      <c r="AQ331" s="242"/>
      <c r="AR331" s="242"/>
      <c r="AS331" s="242"/>
      <c r="AT331" s="242"/>
      <c r="AU331" s="242"/>
      <c r="AV331" s="242"/>
      <c r="AW331" s="242"/>
      <c r="AX331" s="242"/>
      <c r="AY331" s="242"/>
      <c r="AZ331" s="242"/>
      <c r="BA331" s="242"/>
      <c r="BB331" s="242"/>
      <c r="BC331" s="242"/>
      <c r="BD331" s="242"/>
      <c r="BE331" s="242"/>
      <c r="BF331" s="242"/>
      <c r="BG331" s="242"/>
      <c r="BH331" s="242"/>
      <c r="BI331" s="242"/>
      <c r="BJ331" s="242"/>
      <c r="BK331" s="242"/>
      <c r="BL331" s="242"/>
      <c r="BM331" s="242"/>
      <c r="BN331" s="242"/>
      <c r="BO331" s="242"/>
      <c r="BP331" s="242"/>
      <c r="BQ331" s="242"/>
      <c r="BR331" s="242"/>
      <c r="BS331" s="242"/>
      <c r="BT331" s="242"/>
      <c r="BU331" s="242"/>
      <c r="BV331" s="242"/>
      <c r="BW331" s="242"/>
      <c r="BX331" s="242"/>
      <c r="BY331" s="242"/>
      <c r="BZ331" s="242"/>
      <c r="CA331" s="242"/>
      <c r="CB331" s="242"/>
      <c r="CC331" s="242"/>
      <c r="CD331" s="242"/>
    </row>
    <row r="332" spans="1:82" ht="12.75" customHeight="1">
      <c r="A332" s="242"/>
      <c r="B332" s="242"/>
      <c r="C332" s="242"/>
      <c r="D332" s="242"/>
      <c r="E332" s="242"/>
      <c r="F332" s="242"/>
      <c r="G332" s="242"/>
      <c r="H332" s="278"/>
      <c r="I332" s="278"/>
      <c r="J332" s="242"/>
      <c r="K332" s="242"/>
      <c r="L332" s="242"/>
      <c r="M332" s="242"/>
      <c r="N332" s="242"/>
      <c r="O332" s="242"/>
      <c r="P332" s="242"/>
      <c r="Q332" s="242"/>
      <c r="R332" s="242"/>
      <c r="S332" s="242"/>
      <c r="T332" s="242"/>
      <c r="U332" s="242"/>
      <c r="V332" s="242"/>
      <c r="W332" s="242"/>
      <c r="X332" s="242"/>
      <c r="Y332" s="242"/>
      <c r="Z332" s="242"/>
      <c r="AA332" s="242"/>
      <c r="AB332" s="242"/>
      <c r="AC332" s="242"/>
      <c r="AD332" s="242"/>
      <c r="AE332" s="242"/>
      <c r="AF332" s="242"/>
      <c r="AG332" s="242"/>
      <c r="AH332" s="242"/>
      <c r="AI332" s="242"/>
      <c r="AJ332" s="242"/>
      <c r="AK332" s="242"/>
      <c r="AL332" s="242"/>
      <c r="AM332" s="242"/>
      <c r="AN332" s="242"/>
      <c r="AO332" s="242"/>
      <c r="AP332" s="242"/>
      <c r="AQ332" s="242"/>
      <c r="AR332" s="242"/>
      <c r="AS332" s="242"/>
      <c r="AT332" s="242"/>
      <c r="AU332" s="242"/>
      <c r="AV332" s="242"/>
      <c r="AW332" s="242"/>
      <c r="AX332" s="242"/>
      <c r="AY332" s="242"/>
      <c r="AZ332" s="242"/>
      <c r="BA332" s="242"/>
      <c r="BB332" s="242"/>
      <c r="BC332" s="242"/>
      <c r="BD332" s="242"/>
      <c r="BE332" s="242"/>
      <c r="BF332" s="242"/>
      <c r="BG332" s="242"/>
      <c r="BH332" s="242"/>
      <c r="BI332" s="242"/>
      <c r="BJ332" s="242"/>
      <c r="BK332" s="242"/>
      <c r="BL332" s="242"/>
      <c r="BM332" s="242"/>
      <c r="BN332" s="242"/>
      <c r="BO332" s="242"/>
      <c r="BP332" s="242"/>
      <c r="BQ332" s="242"/>
      <c r="BR332" s="242"/>
      <c r="BS332" s="242"/>
      <c r="BT332" s="242"/>
      <c r="BU332" s="242"/>
      <c r="BV332" s="242"/>
      <c r="BW332" s="242"/>
      <c r="BX332" s="242"/>
      <c r="BY332" s="242"/>
      <c r="BZ332" s="242"/>
      <c r="CA332" s="242"/>
      <c r="CB332" s="242"/>
      <c r="CC332" s="242"/>
      <c r="CD332" s="242"/>
    </row>
    <row r="333" spans="1:82" ht="12.75" customHeight="1">
      <c r="A333" s="242"/>
      <c r="B333" s="242"/>
      <c r="C333" s="242"/>
      <c r="D333" s="242"/>
      <c r="E333" s="242"/>
      <c r="F333" s="242"/>
      <c r="G333" s="242"/>
      <c r="H333" s="278"/>
      <c r="I333" s="278"/>
      <c r="J333" s="242"/>
      <c r="K333" s="242"/>
      <c r="L333" s="242"/>
      <c r="M333" s="242"/>
      <c r="N333" s="242"/>
      <c r="O333" s="242"/>
      <c r="P333" s="242"/>
      <c r="Q333" s="242"/>
      <c r="R333" s="242"/>
      <c r="S333" s="242"/>
      <c r="T333" s="242"/>
      <c r="U333" s="242"/>
      <c r="V333" s="242"/>
      <c r="W333" s="242"/>
      <c r="X333" s="242"/>
      <c r="Y333" s="242"/>
      <c r="Z333" s="242"/>
      <c r="AA333" s="242"/>
      <c r="AB333" s="242"/>
      <c r="AC333" s="242"/>
      <c r="AD333" s="242"/>
      <c r="AE333" s="242"/>
      <c r="AF333" s="242"/>
      <c r="AG333" s="242"/>
      <c r="AH333" s="242"/>
      <c r="AI333" s="242"/>
      <c r="AJ333" s="242"/>
      <c r="AK333" s="242"/>
      <c r="AL333" s="242"/>
      <c r="AM333" s="242"/>
      <c r="AN333" s="242"/>
      <c r="AO333" s="242"/>
      <c r="AP333" s="242"/>
      <c r="AQ333" s="242"/>
      <c r="AR333" s="242"/>
      <c r="AS333" s="242"/>
      <c r="AT333" s="242"/>
      <c r="AU333" s="242"/>
      <c r="AV333" s="242"/>
      <c r="AW333" s="242"/>
      <c r="AX333" s="242"/>
      <c r="AY333" s="242"/>
      <c r="AZ333" s="242"/>
      <c r="BA333" s="242"/>
      <c r="BB333" s="242"/>
      <c r="BC333" s="242"/>
      <c r="BD333" s="242"/>
      <c r="BE333" s="242"/>
      <c r="BF333" s="242"/>
      <c r="BG333" s="242"/>
      <c r="BH333" s="242"/>
      <c r="BI333" s="242"/>
      <c r="BJ333" s="242"/>
      <c r="BK333" s="242"/>
      <c r="BL333" s="242"/>
      <c r="BM333" s="242"/>
      <c r="BN333" s="242"/>
      <c r="BO333" s="242"/>
      <c r="BP333" s="242"/>
      <c r="BQ333" s="242"/>
      <c r="BR333" s="242"/>
      <c r="BS333" s="242"/>
      <c r="BT333" s="242"/>
      <c r="BU333" s="242"/>
      <c r="BV333" s="242"/>
      <c r="BW333" s="242"/>
      <c r="BX333" s="242"/>
      <c r="BY333" s="242"/>
      <c r="BZ333" s="242"/>
      <c r="CA333" s="242"/>
      <c r="CB333" s="242"/>
      <c r="CC333" s="242"/>
      <c r="CD333" s="242"/>
    </row>
    <row r="334" spans="1:82" ht="12.75" customHeight="1">
      <c r="A334" s="242"/>
      <c r="B334" s="242"/>
      <c r="C334" s="242"/>
      <c r="D334" s="242"/>
      <c r="E334" s="242"/>
      <c r="F334" s="242"/>
      <c r="G334" s="242"/>
      <c r="H334" s="278"/>
      <c r="I334" s="278"/>
      <c r="J334" s="242"/>
      <c r="K334" s="242"/>
      <c r="L334" s="242"/>
      <c r="M334" s="242"/>
      <c r="N334" s="242"/>
      <c r="O334" s="242"/>
      <c r="P334" s="242"/>
      <c r="Q334" s="242"/>
      <c r="R334" s="242"/>
      <c r="S334" s="242"/>
      <c r="T334" s="242"/>
      <c r="U334" s="242"/>
      <c r="V334" s="242"/>
      <c r="W334" s="242"/>
      <c r="X334" s="242"/>
      <c r="Y334" s="242"/>
      <c r="Z334" s="242"/>
      <c r="AA334" s="242"/>
      <c r="AB334" s="242"/>
      <c r="AC334" s="242"/>
      <c r="AD334" s="242"/>
      <c r="AE334" s="242"/>
      <c r="AF334" s="242"/>
      <c r="AG334" s="242"/>
      <c r="AH334" s="242"/>
      <c r="AI334" s="242"/>
      <c r="AJ334" s="242"/>
      <c r="AK334" s="242"/>
      <c r="AL334" s="242"/>
      <c r="AM334" s="242"/>
      <c r="AN334" s="242"/>
      <c r="AO334" s="242"/>
      <c r="AP334" s="242"/>
      <c r="AQ334" s="242"/>
      <c r="AR334" s="242"/>
      <c r="AS334" s="242"/>
      <c r="AT334" s="242"/>
      <c r="AU334" s="242"/>
      <c r="AV334" s="242"/>
      <c r="AW334" s="242"/>
      <c r="AX334" s="242"/>
      <c r="AY334" s="242"/>
      <c r="AZ334" s="242"/>
      <c r="BA334" s="242"/>
      <c r="BB334" s="242"/>
      <c r="BC334" s="242"/>
      <c r="BD334" s="242"/>
      <c r="BE334" s="242"/>
      <c r="BF334" s="242"/>
      <c r="BG334" s="242"/>
      <c r="BH334" s="242"/>
      <c r="BI334" s="242"/>
      <c r="BJ334" s="242"/>
      <c r="BK334" s="242"/>
      <c r="BL334" s="242"/>
      <c r="BM334" s="242"/>
      <c r="BN334" s="242"/>
      <c r="BO334" s="242"/>
      <c r="BP334" s="242"/>
      <c r="BQ334" s="242"/>
      <c r="BR334" s="242"/>
      <c r="BS334" s="242"/>
      <c r="BT334" s="242"/>
      <c r="BU334" s="242"/>
      <c r="BV334" s="242"/>
      <c r="BW334" s="242"/>
      <c r="BX334" s="242"/>
      <c r="BY334" s="242"/>
      <c r="BZ334" s="242"/>
      <c r="CA334" s="242"/>
      <c r="CB334" s="242"/>
      <c r="CC334" s="242"/>
      <c r="CD334" s="242"/>
    </row>
    <row r="335" spans="1:82" ht="12.75" customHeight="1">
      <c r="A335" s="242"/>
      <c r="B335" s="242"/>
      <c r="C335" s="242"/>
      <c r="D335" s="242"/>
      <c r="E335" s="242"/>
      <c r="F335" s="242"/>
      <c r="G335" s="242"/>
      <c r="H335" s="278"/>
      <c r="I335" s="278"/>
      <c r="J335" s="242"/>
      <c r="K335" s="242"/>
      <c r="L335" s="242"/>
      <c r="M335" s="242"/>
      <c r="N335" s="242"/>
      <c r="O335" s="242"/>
      <c r="P335" s="242"/>
      <c r="Q335" s="242"/>
      <c r="R335" s="242"/>
      <c r="S335" s="242"/>
      <c r="T335" s="242"/>
      <c r="U335" s="242"/>
      <c r="V335" s="242"/>
      <c r="W335" s="242"/>
      <c r="X335" s="242"/>
      <c r="Y335" s="242"/>
      <c r="Z335" s="242"/>
      <c r="AA335" s="242"/>
      <c r="AB335" s="242"/>
      <c r="AC335" s="242"/>
      <c r="AD335" s="242"/>
      <c r="AE335" s="242"/>
      <c r="AF335" s="242"/>
      <c r="AG335" s="242"/>
      <c r="AH335" s="242"/>
      <c r="AI335" s="242"/>
      <c r="AJ335" s="242"/>
      <c r="AK335" s="242"/>
      <c r="AL335" s="242"/>
      <c r="AM335" s="242"/>
      <c r="AN335" s="242"/>
      <c r="AO335" s="242"/>
      <c r="AP335" s="242"/>
      <c r="AQ335" s="242"/>
      <c r="AR335" s="242"/>
      <c r="AS335" s="242"/>
      <c r="AT335" s="242"/>
      <c r="AU335" s="242"/>
      <c r="AV335" s="242"/>
      <c r="AW335" s="242"/>
      <c r="AX335" s="242"/>
      <c r="AY335" s="242"/>
      <c r="AZ335" s="242"/>
      <c r="BA335" s="242"/>
      <c r="BB335" s="242"/>
      <c r="BC335" s="242"/>
      <c r="BD335" s="242"/>
      <c r="BE335" s="242"/>
      <c r="BF335" s="242"/>
      <c r="BG335" s="242"/>
      <c r="BH335" s="242"/>
      <c r="BI335" s="242"/>
      <c r="BJ335" s="242"/>
      <c r="BK335" s="242"/>
      <c r="BL335" s="242"/>
      <c r="BM335" s="242"/>
      <c r="BN335" s="242"/>
      <c r="BO335" s="242"/>
      <c r="BP335" s="242"/>
      <c r="BQ335" s="242"/>
      <c r="BR335" s="242"/>
      <c r="BS335" s="242"/>
      <c r="BT335" s="242"/>
      <c r="BU335" s="242"/>
      <c r="BV335" s="242"/>
      <c r="BW335" s="242"/>
      <c r="BX335" s="242"/>
      <c r="BY335" s="242"/>
      <c r="BZ335" s="242"/>
      <c r="CA335" s="242"/>
      <c r="CB335" s="242"/>
      <c r="CC335" s="242"/>
      <c r="CD335" s="242"/>
    </row>
    <row r="336" spans="1:82" ht="12.75" customHeight="1">
      <c r="A336" s="242"/>
      <c r="B336" s="242"/>
      <c r="C336" s="242"/>
      <c r="D336" s="242"/>
      <c r="E336" s="242"/>
      <c r="F336" s="242"/>
      <c r="G336" s="242"/>
      <c r="H336" s="278"/>
      <c r="I336" s="278"/>
      <c r="J336" s="242"/>
      <c r="K336" s="242"/>
      <c r="L336" s="242"/>
      <c r="M336" s="242"/>
      <c r="N336" s="242"/>
      <c r="O336" s="242"/>
      <c r="P336" s="242"/>
      <c r="Q336" s="242"/>
      <c r="R336" s="242"/>
      <c r="S336" s="242"/>
      <c r="T336" s="242"/>
      <c r="U336" s="242"/>
      <c r="V336" s="242"/>
      <c r="W336" s="242"/>
      <c r="X336" s="242"/>
      <c r="Y336" s="242"/>
      <c r="Z336" s="242"/>
      <c r="AA336" s="242"/>
      <c r="AB336" s="242"/>
      <c r="AC336" s="242"/>
      <c r="AD336" s="242"/>
      <c r="AE336" s="242"/>
      <c r="AF336" s="242"/>
      <c r="AG336" s="242"/>
      <c r="AH336" s="242"/>
      <c r="AI336" s="242"/>
      <c r="AJ336" s="242"/>
      <c r="AK336" s="242"/>
      <c r="AL336" s="242"/>
      <c r="AM336" s="242"/>
      <c r="AN336" s="242"/>
      <c r="AO336" s="242"/>
      <c r="AP336" s="242"/>
      <c r="AQ336" s="242"/>
      <c r="AR336" s="242"/>
      <c r="AS336" s="242"/>
      <c r="AT336" s="242"/>
      <c r="AU336" s="242"/>
      <c r="AV336" s="242"/>
      <c r="AW336" s="242"/>
      <c r="AX336" s="242"/>
      <c r="AY336" s="242"/>
      <c r="AZ336" s="242"/>
      <c r="BA336" s="242"/>
      <c r="BB336" s="242"/>
      <c r="BC336" s="242"/>
      <c r="BD336" s="242"/>
      <c r="BE336" s="242"/>
      <c r="BF336" s="242"/>
      <c r="BG336" s="242"/>
      <c r="BH336" s="242"/>
      <c r="BI336" s="242"/>
      <c r="BJ336" s="242"/>
      <c r="BK336" s="242"/>
      <c r="BL336" s="242"/>
      <c r="BM336" s="242"/>
      <c r="BN336" s="242"/>
      <c r="BO336" s="242"/>
      <c r="BP336" s="242"/>
      <c r="BQ336" s="242"/>
      <c r="BR336" s="242"/>
      <c r="BS336" s="242"/>
      <c r="BT336" s="242"/>
      <c r="BU336" s="242"/>
      <c r="BV336" s="242"/>
      <c r="BW336" s="242"/>
      <c r="BX336" s="242"/>
      <c r="BY336" s="242"/>
      <c r="BZ336" s="242"/>
      <c r="CA336" s="242"/>
      <c r="CB336" s="242"/>
      <c r="CC336" s="242"/>
      <c r="CD336" s="242"/>
    </row>
    <row r="337" spans="1:82" ht="12.75" customHeight="1">
      <c r="A337" s="242"/>
      <c r="B337" s="242"/>
      <c r="C337" s="242"/>
      <c r="D337" s="242"/>
      <c r="E337" s="242"/>
      <c r="F337" s="242"/>
      <c r="G337" s="242"/>
      <c r="H337" s="278"/>
      <c r="I337" s="278"/>
      <c r="J337" s="242"/>
      <c r="K337" s="242"/>
      <c r="L337" s="242"/>
      <c r="M337" s="242"/>
      <c r="N337" s="242"/>
      <c r="O337" s="242"/>
      <c r="P337" s="242"/>
      <c r="Q337" s="242"/>
      <c r="R337" s="242"/>
      <c r="S337" s="242"/>
      <c r="T337" s="242"/>
      <c r="U337" s="242"/>
      <c r="V337" s="242"/>
      <c r="W337" s="242"/>
      <c r="X337" s="242"/>
      <c r="Y337" s="242"/>
      <c r="Z337" s="242"/>
      <c r="AA337" s="242"/>
      <c r="AB337" s="242"/>
      <c r="AC337" s="242"/>
      <c r="AD337" s="242"/>
      <c r="AE337" s="242"/>
      <c r="AF337" s="242"/>
      <c r="AG337" s="242"/>
      <c r="AH337" s="242"/>
      <c r="AI337" s="242"/>
      <c r="AJ337" s="242"/>
      <c r="AK337" s="242"/>
      <c r="AL337" s="242"/>
      <c r="AM337" s="242"/>
      <c r="AN337" s="242"/>
      <c r="AO337" s="242"/>
      <c r="AP337" s="242"/>
      <c r="AQ337" s="242"/>
      <c r="AR337" s="242"/>
      <c r="AS337" s="242"/>
      <c r="AT337" s="242"/>
      <c r="AU337" s="242"/>
      <c r="AV337" s="242"/>
      <c r="AW337" s="242"/>
      <c r="AX337" s="242"/>
      <c r="AY337" s="242"/>
      <c r="AZ337" s="242"/>
      <c r="BA337" s="242"/>
      <c r="BB337" s="242"/>
      <c r="BC337" s="242"/>
      <c r="BD337" s="242"/>
      <c r="BE337" s="242"/>
      <c r="BF337" s="242"/>
      <c r="BG337" s="242"/>
      <c r="BH337" s="242"/>
      <c r="BI337" s="242"/>
      <c r="BJ337" s="242"/>
      <c r="BK337" s="242"/>
      <c r="BL337" s="242"/>
      <c r="BM337" s="242"/>
      <c r="BN337" s="242"/>
      <c r="BO337" s="242"/>
      <c r="BP337" s="242"/>
      <c r="BQ337" s="242"/>
      <c r="BR337" s="242"/>
      <c r="BS337" s="242"/>
      <c r="BT337" s="242"/>
      <c r="BU337" s="242"/>
      <c r="BV337" s="242"/>
      <c r="BW337" s="242"/>
      <c r="BX337" s="242"/>
      <c r="BY337" s="242"/>
      <c r="BZ337" s="242"/>
      <c r="CA337" s="242"/>
      <c r="CB337" s="242"/>
      <c r="CC337" s="242"/>
      <c r="CD337" s="242"/>
    </row>
    <row r="338" spans="1:82" ht="12.75" customHeight="1">
      <c r="A338" s="242"/>
      <c r="B338" s="242"/>
      <c r="C338" s="242"/>
      <c r="D338" s="242"/>
      <c r="E338" s="242"/>
      <c r="F338" s="242"/>
      <c r="G338" s="242"/>
      <c r="H338" s="278"/>
      <c r="I338" s="278"/>
      <c r="J338" s="242"/>
      <c r="K338" s="242"/>
      <c r="L338" s="242"/>
      <c r="M338" s="242"/>
      <c r="N338" s="242"/>
      <c r="O338" s="242"/>
      <c r="P338" s="242"/>
      <c r="Q338" s="242"/>
      <c r="R338" s="242"/>
      <c r="S338" s="242"/>
      <c r="T338" s="242"/>
      <c r="U338" s="242"/>
      <c r="V338" s="242"/>
      <c r="W338" s="242"/>
      <c r="X338" s="242"/>
      <c r="Y338" s="242"/>
      <c r="Z338" s="242"/>
      <c r="AA338" s="242"/>
      <c r="AB338" s="242"/>
      <c r="AC338" s="242"/>
      <c r="AD338" s="242"/>
      <c r="AE338" s="242"/>
      <c r="AF338" s="242"/>
      <c r="AG338" s="242"/>
      <c r="AH338" s="242"/>
      <c r="AI338" s="242"/>
      <c r="AJ338" s="242"/>
      <c r="AK338" s="242"/>
      <c r="AL338" s="242"/>
      <c r="AM338" s="242"/>
      <c r="AN338" s="242"/>
      <c r="AO338" s="242"/>
      <c r="AP338" s="242"/>
      <c r="AQ338" s="242"/>
      <c r="AR338" s="242"/>
      <c r="AS338" s="242"/>
      <c r="AT338" s="242"/>
      <c r="AU338" s="242"/>
      <c r="AV338" s="242"/>
      <c r="AW338" s="242"/>
      <c r="AX338" s="242"/>
      <c r="AY338" s="242"/>
      <c r="AZ338" s="242"/>
      <c r="BA338" s="242"/>
      <c r="BB338" s="242"/>
      <c r="BC338" s="242"/>
      <c r="BD338" s="242"/>
      <c r="BE338" s="242"/>
      <c r="BF338" s="242"/>
      <c r="BG338" s="242"/>
      <c r="BH338" s="242"/>
      <c r="BI338" s="242"/>
      <c r="BJ338" s="242"/>
      <c r="BK338" s="242"/>
      <c r="BL338" s="242"/>
      <c r="BM338" s="242"/>
      <c r="BN338" s="242"/>
      <c r="BO338" s="242"/>
      <c r="BP338" s="242"/>
      <c r="BQ338" s="242"/>
      <c r="BR338" s="242"/>
      <c r="BS338" s="242"/>
      <c r="BT338" s="242"/>
      <c r="BU338" s="242"/>
      <c r="BV338" s="242"/>
      <c r="BW338" s="242"/>
      <c r="BX338" s="242"/>
      <c r="BY338" s="242"/>
      <c r="BZ338" s="242"/>
      <c r="CA338" s="242"/>
      <c r="CB338" s="242"/>
      <c r="CC338" s="242"/>
      <c r="CD338" s="242"/>
    </row>
    <row r="339" spans="1:82" ht="12.75" customHeight="1">
      <c r="A339" s="242"/>
      <c r="B339" s="242"/>
      <c r="C339" s="242"/>
      <c r="D339" s="242"/>
      <c r="E339" s="242"/>
      <c r="F339" s="242"/>
      <c r="G339" s="242"/>
      <c r="H339" s="278"/>
      <c r="I339" s="278"/>
      <c r="J339" s="242"/>
      <c r="K339" s="242"/>
      <c r="L339" s="242"/>
      <c r="M339" s="242"/>
      <c r="N339" s="242"/>
      <c r="O339" s="242"/>
      <c r="P339" s="242"/>
      <c r="Q339" s="242"/>
      <c r="R339" s="242"/>
      <c r="S339" s="242"/>
      <c r="T339" s="242"/>
      <c r="U339" s="242"/>
      <c r="V339" s="242"/>
      <c r="W339" s="242"/>
      <c r="X339" s="242"/>
      <c r="Y339" s="242"/>
      <c r="Z339" s="242"/>
      <c r="AA339" s="242"/>
      <c r="AB339" s="242"/>
      <c r="AC339" s="242"/>
      <c r="AD339" s="242"/>
      <c r="AE339" s="242"/>
      <c r="AF339" s="242"/>
      <c r="AG339" s="242"/>
      <c r="AH339" s="242"/>
      <c r="AI339" s="242"/>
      <c r="AJ339" s="242"/>
      <c r="AK339" s="242"/>
      <c r="AL339" s="242"/>
      <c r="AM339" s="242"/>
      <c r="AN339" s="242"/>
      <c r="AO339" s="242"/>
      <c r="AP339" s="242"/>
      <c r="AQ339" s="242"/>
      <c r="AR339" s="242"/>
      <c r="AS339" s="242"/>
      <c r="AT339" s="242"/>
      <c r="AU339" s="242"/>
      <c r="AV339" s="242"/>
      <c r="AW339" s="242"/>
      <c r="AX339" s="242"/>
      <c r="AY339" s="242"/>
      <c r="AZ339" s="242"/>
      <c r="BA339" s="242"/>
      <c r="BB339" s="242"/>
      <c r="BC339" s="242"/>
      <c r="BD339" s="242"/>
      <c r="BE339" s="242"/>
      <c r="BF339" s="242"/>
      <c r="BG339" s="242"/>
      <c r="BH339" s="242"/>
      <c r="BI339" s="242"/>
      <c r="BJ339" s="242"/>
      <c r="BK339" s="242"/>
      <c r="BL339" s="242"/>
      <c r="BM339" s="242"/>
      <c r="BN339" s="242"/>
      <c r="BO339" s="242"/>
      <c r="BP339" s="242"/>
      <c r="BQ339" s="242"/>
      <c r="BR339" s="242"/>
      <c r="BS339" s="242"/>
      <c r="BT339" s="242"/>
      <c r="BU339" s="242"/>
      <c r="BV339" s="242"/>
      <c r="BW339" s="242"/>
      <c r="BX339" s="242"/>
      <c r="BY339" s="242"/>
      <c r="BZ339" s="242"/>
      <c r="CA339" s="242"/>
      <c r="CB339" s="242"/>
      <c r="CC339" s="242"/>
      <c r="CD339" s="242"/>
    </row>
    <row r="340" spans="1:82" ht="12.75" customHeight="1">
      <c r="A340" s="242"/>
      <c r="B340" s="242"/>
      <c r="C340" s="242"/>
      <c r="D340" s="242"/>
      <c r="E340" s="242"/>
      <c r="F340" s="242"/>
      <c r="G340" s="242"/>
      <c r="H340" s="278"/>
      <c r="I340" s="278"/>
      <c r="J340" s="242"/>
      <c r="K340" s="242"/>
      <c r="L340" s="242"/>
      <c r="M340" s="242"/>
      <c r="N340" s="242"/>
      <c r="O340" s="242"/>
      <c r="P340" s="242"/>
      <c r="Q340" s="242"/>
      <c r="R340" s="242"/>
      <c r="S340" s="242"/>
      <c r="T340" s="242"/>
      <c r="U340" s="242"/>
      <c r="V340" s="242"/>
      <c r="W340" s="242"/>
      <c r="X340" s="242"/>
      <c r="Y340" s="242"/>
      <c r="Z340" s="242"/>
      <c r="AA340" s="242"/>
      <c r="AB340" s="242"/>
      <c r="AC340" s="242"/>
      <c r="AD340" s="242"/>
      <c r="AE340" s="242"/>
      <c r="AF340" s="242"/>
      <c r="AG340" s="242"/>
      <c r="AH340" s="242"/>
      <c r="AI340" s="242"/>
      <c r="AJ340" s="242"/>
      <c r="AK340" s="242"/>
      <c r="AL340" s="242"/>
      <c r="AM340" s="242"/>
      <c r="AN340" s="242"/>
      <c r="AO340" s="242"/>
      <c r="AP340" s="242"/>
      <c r="AQ340" s="242"/>
      <c r="AR340" s="242"/>
      <c r="AS340" s="242"/>
      <c r="AT340" s="242"/>
      <c r="AU340" s="242"/>
      <c r="AV340" s="242"/>
      <c r="AW340" s="242"/>
      <c r="AX340" s="242"/>
      <c r="AY340" s="242"/>
      <c r="AZ340" s="242"/>
      <c r="BA340" s="242"/>
      <c r="BB340" s="242"/>
      <c r="BC340" s="242"/>
      <c r="BD340" s="242"/>
      <c r="BE340" s="242"/>
      <c r="BF340" s="242"/>
      <c r="BG340" s="242"/>
      <c r="BH340" s="242"/>
      <c r="BI340" s="242"/>
      <c r="BJ340" s="242"/>
      <c r="BK340" s="242"/>
      <c r="BL340" s="242"/>
      <c r="BM340" s="242"/>
      <c r="BN340" s="242"/>
      <c r="BO340" s="242"/>
      <c r="BP340" s="242"/>
      <c r="BQ340" s="242"/>
      <c r="BR340" s="242"/>
      <c r="BS340" s="242"/>
      <c r="BT340" s="242"/>
      <c r="BU340" s="242"/>
      <c r="BV340" s="242"/>
      <c r="BW340" s="242"/>
      <c r="BX340" s="242"/>
      <c r="BY340" s="242"/>
      <c r="BZ340" s="242"/>
      <c r="CA340" s="242"/>
      <c r="CB340" s="242"/>
      <c r="CC340" s="242"/>
      <c r="CD340" s="242"/>
    </row>
    <row r="341" spans="1:82" ht="12.75" customHeight="1">
      <c r="A341" s="242"/>
      <c r="B341" s="242"/>
      <c r="C341" s="242"/>
      <c r="D341" s="242"/>
      <c r="E341" s="242"/>
      <c r="F341" s="242"/>
      <c r="G341" s="242"/>
      <c r="H341" s="278"/>
      <c r="I341" s="278"/>
      <c r="J341" s="242"/>
      <c r="K341" s="242"/>
      <c r="L341" s="242"/>
      <c r="M341" s="242"/>
      <c r="N341" s="242"/>
      <c r="O341" s="242"/>
      <c r="P341" s="242"/>
      <c r="Q341" s="242"/>
      <c r="R341" s="242"/>
      <c r="S341" s="242"/>
      <c r="T341" s="242"/>
      <c r="U341" s="242"/>
      <c r="V341" s="242"/>
      <c r="W341" s="242"/>
      <c r="X341" s="242"/>
      <c r="Y341" s="242"/>
      <c r="Z341" s="242"/>
      <c r="AA341" s="242"/>
      <c r="AB341" s="242"/>
      <c r="AC341" s="242"/>
      <c r="AD341" s="242"/>
      <c r="AE341" s="242"/>
      <c r="AF341" s="242"/>
      <c r="AG341" s="242"/>
      <c r="AH341" s="242"/>
      <c r="AI341" s="242"/>
      <c r="AJ341" s="242"/>
      <c r="AK341" s="242"/>
      <c r="AL341" s="242"/>
      <c r="AM341" s="242"/>
      <c r="AN341" s="242"/>
      <c r="AO341" s="242"/>
      <c r="AP341" s="242"/>
      <c r="AQ341" s="242"/>
      <c r="AR341" s="242"/>
      <c r="AS341" s="242"/>
      <c r="AT341" s="242"/>
      <c r="AU341" s="242"/>
      <c r="AV341" s="242"/>
      <c r="AW341" s="242"/>
      <c r="AX341" s="242"/>
      <c r="AY341" s="242"/>
      <c r="AZ341" s="242"/>
      <c r="BA341" s="242"/>
      <c r="BB341" s="242"/>
      <c r="BC341" s="242"/>
      <c r="BD341" s="242"/>
      <c r="BE341" s="242"/>
      <c r="BF341" s="242"/>
      <c r="BG341" s="242"/>
      <c r="BH341" s="242"/>
      <c r="BI341" s="242"/>
      <c r="BJ341" s="242"/>
      <c r="BK341" s="242"/>
      <c r="BL341" s="242"/>
      <c r="BM341" s="242"/>
      <c r="BN341" s="242"/>
      <c r="BO341" s="242"/>
      <c r="BP341" s="242"/>
      <c r="BQ341" s="242"/>
      <c r="BR341" s="242"/>
      <c r="BS341" s="242"/>
      <c r="BT341" s="242"/>
      <c r="BU341" s="242"/>
      <c r="BV341" s="242"/>
      <c r="BW341" s="242"/>
      <c r="BX341" s="242"/>
      <c r="BY341" s="242"/>
      <c r="BZ341" s="242"/>
      <c r="CA341" s="242"/>
      <c r="CB341" s="242"/>
      <c r="CC341" s="242"/>
      <c r="CD341" s="242"/>
    </row>
    <row r="342" spans="1:82" ht="12.75" customHeight="1">
      <c r="A342" s="242"/>
      <c r="B342" s="242"/>
      <c r="C342" s="242"/>
      <c r="D342" s="242"/>
      <c r="E342" s="242"/>
      <c r="F342" s="242"/>
      <c r="G342" s="242"/>
      <c r="H342" s="278"/>
      <c r="I342" s="278"/>
      <c r="J342" s="242"/>
      <c r="K342" s="242"/>
      <c r="L342" s="242"/>
      <c r="M342" s="242"/>
      <c r="N342" s="242"/>
      <c r="O342" s="242"/>
      <c r="P342" s="242"/>
      <c r="Q342" s="242"/>
      <c r="R342" s="242"/>
      <c r="S342" s="242"/>
      <c r="T342" s="242"/>
      <c r="U342" s="242"/>
      <c r="V342" s="242"/>
      <c r="W342" s="242"/>
      <c r="X342" s="242"/>
      <c r="Y342" s="242"/>
      <c r="Z342" s="242"/>
      <c r="AA342" s="242"/>
      <c r="AB342" s="242"/>
      <c r="AC342" s="242"/>
      <c r="AD342" s="242"/>
      <c r="AE342" s="242"/>
      <c r="AF342" s="242"/>
      <c r="AG342" s="242"/>
      <c r="AH342" s="242"/>
      <c r="AI342" s="242"/>
      <c r="AJ342" s="242"/>
      <c r="AK342" s="242"/>
      <c r="AL342" s="242"/>
      <c r="AM342" s="242"/>
      <c r="AN342" s="242"/>
      <c r="AO342" s="242"/>
      <c r="AP342" s="242"/>
      <c r="AQ342" s="242"/>
      <c r="AR342" s="242"/>
      <c r="AS342" s="242"/>
      <c r="AT342" s="242"/>
      <c r="AU342" s="242"/>
      <c r="AV342" s="242"/>
      <c r="AW342" s="242"/>
      <c r="AX342" s="242"/>
      <c r="AY342" s="242"/>
      <c r="AZ342" s="242"/>
      <c r="BA342" s="242"/>
      <c r="BB342" s="242"/>
      <c r="BC342" s="242"/>
      <c r="BD342" s="242"/>
      <c r="BE342" s="242"/>
      <c r="BF342" s="242"/>
      <c r="BG342" s="242"/>
      <c r="BH342" s="242"/>
      <c r="BI342" s="242"/>
      <c r="BJ342" s="242"/>
      <c r="BK342" s="242"/>
      <c r="BL342" s="242"/>
      <c r="BM342" s="242"/>
      <c r="BN342" s="242"/>
      <c r="BO342" s="242"/>
      <c r="BP342" s="242"/>
      <c r="BQ342" s="242"/>
      <c r="BR342" s="242"/>
      <c r="BS342" s="242"/>
      <c r="BT342" s="242"/>
      <c r="BU342" s="242"/>
      <c r="BV342" s="242"/>
      <c r="BW342" s="242"/>
      <c r="BX342" s="242"/>
      <c r="BY342" s="242"/>
      <c r="BZ342" s="242"/>
      <c r="CA342" s="242"/>
      <c r="CB342" s="242"/>
      <c r="CC342" s="242"/>
      <c r="CD342" s="242"/>
    </row>
    <row r="343" spans="1:82" ht="12.75" customHeight="1">
      <c r="A343" s="242"/>
      <c r="B343" s="242"/>
      <c r="C343" s="242"/>
      <c r="D343" s="242"/>
      <c r="E343" s="242"/>
      <c r="F343" s="242"/>
      <c r="G343" s="242"/>
      <c r="H343" s="278"/>
      <c r="I343" s="278"/>
      <c r="J343" s="242"/>
      <c r="K343" s="242"/>
      <c r="L343" s="242"/>
      <c r="M343" s="242"/>
      <c r="N343" s="242"/>
      <c r="O343" s="242"/>
      <c r="P343" s="242"/>
      <c r="Q343" s="242"/>
      <c r="R343" s="242"/>
      <c r="S343" s="242"/>
      <c r="T343" s="242"/>
      <c r="U343" s="242"/>
      <c r="V343" s="242"/>
      <c r="W343" s="242"/>
      <c r="X343" s="242"/>
      <c r="Y343" s="242"/>
      <c r="Z343" s="242"/>
      <c r="AA343" s="242"/>
      <c r="AB343" s="242"/>
      <c r="AC343" s="242"/>
      <c r="AD343" s="242"/>
      <c r="AE343" s="242"/>
      <c r="AF343" s="242"/>
      <c r="AG343" s="242"/>
      <c r="AH343" s="242"/>
      <c r="AI343" s="242"/>
      <c r="AJ343" s="242"/>
      <c r="AK343" s="242"/>
      <c r="AL343" s="242"/>
      <c r="AM343" s="242"/>
      <c r="AN343" s="242"/>
      <c r="AO343" s="242"/>
      <c r="AP343" s="242"/>
      <c r="AQ343" s="242"/>
      <c r="AR343" s="242"/>
      <c r="AS343" s="242"/>
      <c r="AT343" s="242"/>
      <c r="AU343" s="242"/>
      <c r="AV343" s="242"/>
      <c r="AW343" s="242"/>
      <c r="AX343" s="242"/>
      <c r="AY343" s="242"/>
      <c r="AZ343" s="242"/>
      <c r="BA343" s="242"/>
      <c r="BB343" s="242"/>
      <c r="BC343" s="242"/>
      <c r="BD343" s="242"/>
      <c r="BE343" s="242"/>
      <c r="BF343" s="242"/>
      <c r="BG343" s="242"/>
      <c r="BH343" s="242"/>
      <c r="BI343" s="242"/>
      <c r="BJ343" s="242"/>
      <c r="BK343" s="242"/>
      <c r="BL343" s="242"/>
      <c r="BM343" s="242"/>
      <c r="BN343" s="242"/>
      <c r="BO343" s="242"/>
      <c r="BP343" s="242"/>
      <c r="BQ343" s="242"/>
      <c r="BR343" s="242"/>
      <c r="BS343" s="242"/>
      <c r="BT343" s="242"/>
      <c r="BU343" s="242"/>
      <c r="BV343" s="242"/>
      <c r="BW343" s="242"/>
      <c r="BX343" s="242"/>
      <c r="BY343" s="242"/>
      <c r="BZ343" s="242"/>
      <c r="CA343" s="242"/>
      <c r="CB343" s="242"/>
      <c r="CC343" s="242"/>
      <c r="CD343" s="242"/>
    </row>
    <row r="344" spans="1:82" ht="12.75" customHeight="1">
      <c r="A344" s="242"/>
      <c r="B344" s="242"/>
      <c r="C344" s="242"/>
      <c r="D344" s="242"/>
      <c r="E344" s="242"/>
      <c r="F344" s="242"/>
      <c r="G344" s="242"/>
      <c r="H344" s="278"/>
      <c r="I344" s="278"/>
      <c r="J344" s="242"/>
      <c r="K344" s="242"/>
      <c r="L344" s="242"/>
      <c r="M344" s="242"/>
      <c r="N344" s="242"/>
      <c r="O344" s="242"/>
      <c r="P344" s="242"/>
      <c r="Q344" s="242"/>
      <c r="R344" s="242"/>
      <c r="S344" s="242"/>
      <c r="T344" s="242"/>
      <c r="U344" s="242"/>
      <c r="V344" s="242"/>
      <c r="W344" s="242"/>
      <c r="X344" s="242"/>
      <c r="Y344" s="242"/>
      <c r="Z344" s="242"/>
      <c r="AA344" s="242"/>
      <c r="AB344" s="242"/>
      <c r="AC344" s="242"/>
      <c r="AD344" s="242"/>
      <c r="AE344" s="242"/>
      <c r="AF344" s="242"/>
      <c r="AG344" s="242"/>
      <c r="AH344" s="242"/>
      <c r="AI344" s="242"/>
      <c r="AJ344" s="242"/>
      <c r="AK344" s="242"/>
      <c r="AL344" s="242"/>
      <c r="AM344" s="242"/>
      <c r="AN344" s="242"/>
      <c r="AO344" s="242"/>
      <c r="AP344" s="242"/>
      <c r="AQ344" s="242"/>
      <c r="AR344" s="242"/>
      <c r="AS344" s="242"/>
      <c r="AT344" s="242"/>
      <c r="AU344" s="242"/>
      <c r="AV344" s="242"/>
      <c r="AW344" s="242"/>
      <c r="AX344" s="242"/>
      <c r="AY344" s="242"/>
      <c r="AZ344" s="242"/>
      <c r="BA344" s="242"/>
      <c r="BB344" s="242"/>
      <c r="BC344" s="242"/>
      <c r="BD344" s="242"/>
      <c r="BE344" s="242"/>
      <c r="BF344" s="242"/>
      <c r="BG344" s="242"/>
      <c r="BH344" s="242"/>
      <c r="BI344" s="242"/>
      <c r="BJ344" s="242"/>
      <c r="BK344" s="242"/>
      <c r="BL344" s="242"/>
      <c r="BM344" s="242"/>
      <c r="BN344" s="242"/>
      <c r="BO344" s="242"/>
      <c r="BP344" s="242"/>
      <c r="BQ344" s="242"/>
      <c r="BR344" s="242"/>
      <c r="BS344" s="242"/>
      <c r="BT344" s="242"/>
      <c r="BU344" s="242"/>
      <c r="BV344" s="242"/>
      <c r="BW344" s="242"/>
      <c r="BX344" s="242"/>
      <c r="BY344" s="242"/>
      <c r="BZ344" s="242"/>
      <c r="CA344" s="242"/>
      <c r="CB344" s="242"/>
      <c r="CC344" s="242"/>
      <c r="CD344" s="242"/>
    </row>
    <row r="345" spans="1:82" ht="12.75" customHeight="1">
      <c r="A345" s="242"/>
      <c r="B345" s="242"/>
      <c r="C345" s="242"/>
      <c r="D345" s="242"/>
      <c r="E345" s="242"/>
      <c r="F345" s="242"/>
      <c r="G345" s="242"/>
      <c r="H345" s="278"/>
      <c r="I345" s="278"/>
      <c r="J345" s="242"/>
      <c r="K345" s="242"/>
      <c r="L345" s="242"/>
      <c r="M345" s="242"/>
      <c r="N345" s="242"/>
      <c r="O345" s="242"/>
      <c r="P345" s="242"/>
      <c r="Q345" s="242"/>
      <c r="R345" s="242"/>
      <c r="S345" s="242"/>
      <c r="T345" s="242"/>
      <c r="U345" s="242"/>
      <c r="V345" s="242"/>
      <c r="W345" s="242"/>
      <c r="X345" s="242"/>
      <c r="Y345" s="242"/>
      <c r="Z345" s="242"/>
      <c r="AA345" s="242"/>
      <c r="AB345" s="242"/>
      <c r="AC345" s="242"/>
      <c r="AD345" s="242"/>
      <c r="AE345" s="242"/>
      <c r="AF345" s="242"/>
      <c r="AG345" s="242"/>
      <c r="AH345" s="242"/>
      <c r="AI345" s="242"/>
      <c r="AJ345" s="242"/>
      <c r="AK345" s="242"/>
      <c r="AL345" s="242"/>
      <c r="AM345" s="242"/>
      <c r="AN345" s="242"/>
      <c r="AO345" s="242"/>
      <c r="AP345" s="242"/>
      <c r="AQ345" s="242"/>
      <c r="AR345" s="242"/>
      <c r="AS345" s="242"/>
      <c r="AT345" s="242"/>
      <c r="AU345" s="242"/>
      <c r="AV345" s="242"/>
      <c r="AW345" s="242"/>
      <c r="AX345" s="242"/>
      <c r="AY345" s="242"/>
      <c r="AZ345" s="242"/>
      <c r="BA345" s="242"/>
      <c r="BB345" s="242"/>
      <c r="BC345" s="242"/>
      <c r="BD345" s="242"/>
      <c r="BE345" s="242"/>
      <c r="BF345" s="242"/>
      <c r="BG345" s="242"/>
      <c r="BH345" s="242"/>
      <c r="BI345" s="242"/>
      <c r="BJ345" s="242"/>
      <c r="BK345" s="242"/>
      <c r="BL345" s="242"/>
      <c r="BM345" s="242"/>
      <c r="BN345" s="242"/>
      <c r="BO345" s="242"/>
      <c r="BP345" s="242"/>
      <c r="BQ345" s="242"/>
      <c r="BR345" s="242"/>
      <c r="BS345" s="242"/>
      <c r="BT345" s="242"/>
      <c r="BU345" s="242"/>
      <c r="BV345" s="242"/>
      <c r="BW345" s="242"/>
      <c r="BX345" s="242"/>
      <c r="BY345" s="242"/>
      <c r="BZ345" s="242"/>
      <c r="CA345" s="242"/>
      <c r="CB345" s="242"/>
      <c r="CC345" s="242"/>
      <c r="CD345" s="242"/>
    </row>
    <row r="346" spans="1:82" ht="12.75" customHeight="1">
      <c r="A346" s="242"/>
      <c r="B346" s="242"/>
      <c r="C346" s="242"/>
      <c r="D346" s="242"/>
      <c r="E346" s="242"/>
      <c r="F346" s="242"/>
      <c r="G346" s="242"/>
      <c r="H346" s="278"/>
      <c r="I346" s="278"/>
      <c r="J346" s="242"/>
      <c r="K346" s="242"/>
      <c r="L346" s="242"/>
      <c r="M346" s="242"/>
      <c r="N346" s="242"/>
      <c r="O346" s="242"/>
      <c r="P346" s="242"/>
      <c r="Q346" s="242"/>
      <c r="R346" s="242"/>
      <c r="S346" s="242"/>
      <c r="T346" s="242"/>
      <c r="U346" s="242"/>
      <c r="V346" s="242"/>
      <c r="W346" s="242"/>
      <c r="X346" s="242"/>
      <c r="Y346" s="242"/>
      <c r="Z346" s="242"/>
      <c r="AA346" s="242"/>
      <c r="AB346" s="242"/>
      <c r="AC346" s="242"/>
      <c r="AD346" s="242"/>
      <c r="AE346" s="242"/>
      <c r="AF346" s="242"/>
      <c r="AG346" s="242"/>
      <c r="AH346" s="242"/>
      <c r="AI346" s="242"/>
      <c r="AJ346" s="242"/>
      <c r="AK346" s="242"/>
      <c r="AL346" s="242"/>
      <c r="AM346" s="242"/>
      <c r="AN346" s="242"/>
      <c r="AO346" s="242"/>
      <c r="AP346" s="242"/>
      <c r="AQ346" s="242"/>
      <c r="AR346" s="242"/>
      <c r="AS346" s="242"/>
      <c r="AT346" s="242"/>
      <c r="AU346" s="242"/>
      <c r="AV346" s="242"/>
      <c r="AW346" s="242"/>
      <c r="AX346" s="242"/>
      <c r="AY346" s="242"/>
      <c r="AZ346" s="242"/>
      <c r="BA346" s="242"/>
      <c r="BB346" s="242"/>
      <c r="BC346" s="242"/>
      <c r="BD346" s="242"/>
      <c r="BE346" s="242"/>
      <c r="BF346" s="242"/>
      <c r="BG346" s="242"/>
      <c r="BH346" s="242"/>
      <c r="BI346" s="242"/>
      <c r="BJ346" s="242"/>
      <c r="BK346" s="242"/>
      <c r="BL346" s="242"/>
      <c r="BM346" s="242"/>
      <c r="BN346" s="242"/>
      <c r="BO346" s="242"/>
      <c r="BP346" s="242"/>
      <c r="BQ346" s="242"/>
      <c r="BR346" s="242"/>
      <c r="BS346" s="242"/>
      <c r="BT346" s="242"/>
      <c r="BU346" s="242"/>
      <c r="BV346" s="242"/>
      <c r="BW346" s="242"/>
      <c r="BX346" s="242"/>
      <c r="BY346" s="242"/>
      <c r="BZ346" s="242"/>
      <c r="CA346" s="242"/>
      <c r="CB346" s="242"/>
      <c r="CC346" s="242"/>
      <c r="CD346" s="242"/>
    </row>
    <row r="347" spans="1:82" ht="12.75" customHeight="1">
      <c r="A347" s="242"/>
      <c r="B347" s="242"/>
      <c r="C347" s="242"/>
      <c r="D347" s="242"/>
      <c r="E347" s="242"/>
      <c r="F347" s="242"/>
      <c r="G347" s="242"/>
      <c r="H347" s="278"/>
      <c r="I347" s="278"/>
      <c r="J347" s="242"/>
      <c r="K347" s="242"/>
      <c r="L347" s="242"/>
      <c r="M347" s="242"/>
      <c r="N347" s="242"/>
      <c r="O347" s="242"/>
      <c r="P347" s="242"/>
      <c r="Q347" s="242"/>
      <c r="R347" s="242"/>
      <c r="S347" s="242"/>
      <c r="T347" s="242"/>
      <c r="U347" s="242"/>
      <c r="V347" s="242"/>
      <c r="W347" s="242"/>
      <c r="X347" s="242"/>
      <c r="Y347" s="242"/>
      <c r="Z347" s="242"/>
      <c r="AA347" s="242"/>
      <c r="AB347" s="242"/>
      <c r="AC347" s="242"/>
      <c r="AD347" s="242"/>
      <c r="AE347" s="242"/>
      <c r="AF347" s="242"/>
      <c r="AG347" s="242"/>
      <c r="AH347" s="242"/>
      <c r="AI347" s="242"/>
      <c r="AJ347" s="242"/>
      <c r="AK347" s="242"/>
      <c r="AL347" s="242"/>
      <c r="AM347" s="242"/>
      <c r="AN347" s="242"/>
      <c r="AO347" s="242"/>
      <c r="AP347" s="242"/>
      <c r="AQ347" s="242"/>
      <c r="AR347" s="242"/>
      <c r="AS347" s="242"/>
      <c r="AT347" s="242"/>
      <c r="AU347" s="242"/>
      <c r="AV347" s="242"/>
      <c r="AW347" s="242"/>
      <c r="AX347" s="242"/>
      <c r="AY347" s="242"/>
      <c r="AZ347" s="242"/>
      <c r="BA347" s="242"/>
      <c r="BB347" s="242"/>
      <c r="BC347" s="242"/>
      <c r="BD347" s="242"/>
      <c r="BE347" s="242"/>
      <c r="BF347" s="242"/>
      <c r="BG347" s="242"/>
      <c r="BH347" s="242"/>
      <c r="BI347" s="242"/>
      <c r="BJ347" s="242"/>
      <c r="BK347" s="242"/>
      <c r="BL347" s="242"/>
      <c r="BM347" s="242"/>
      <c r="BN347" s="242"/>
      <c r="BO347" s="242"/>
      <c r="BP347" s="242"/>
      <c r="BQ347" s="242"/>
      <c r="BR347" s="242"/>
      <c r="BS347" s="242"/>
      <c r="BT347" s="242"/>
      <c r="BU347" s="242"/>
      <c r="BV347" s="242"/>
      <c r="BW347" s="242"/>
      <c r="BX347" s="242"/>
      <c r="BY347" s="242"/>
      <c r="BZ347" s="242"/>
      <c r="CA347" s="242"/>
      <c r="CB347" s="242"/>
      <c r="CC347" s="242"/>
      <c r="CD347" s="242"/>
    </row>
    <row r="348" spans="1:82" ht="12.75" customHeight="1">
      <c r="A348" s="242"/>
      <c r="B348" s="242"/>
      <c r="C348" s="242"/>
      <c r="D348" s="242"/>
      <c r="E348" s="242"/>
      <c r="F348" s="242"/>
      <c r="G348" s="242"/>
      <c r="H348" s="278"/>
      <c r="I348" s="278"/>
      <c r="J348" s="242"/>
      <c r="K348" s="242"/>
      <c r="L348" s="242"/>
      <c r="M348" s="242"/>
      <c r="N348" s="242"/>
      <c r="O348" s="242"/>
      <c r="P348" s="242"/>
      <c r="Q348" s="242"/>
      <c r="R348" s="242"/>
      <c r="S348" s="242"/>
      <c r="T348" s="242"/>
      <c r="U348" s="242"/>
      <c r="V348" s="242"/>
      <c r="W348" s="242"/>
      <c r="X348" s="242"/>
      <c r="Y348" s="242"/>
      <c r="Z348" s="242"/>
      <c r="AA348" s="242"/>
      <c r="AB348" s="242"/>
      <c r="AC348" s="242"/>
      <c r="AD348" s="242"/>
      <c r="AE348" s="242"/>
      <c r="AF348" s="242"/>
      <c r="AG348" s="242"/>
      <c r="AH348" s="242"/>
      <c r="AI348" s="242"/>
      <c r="AJ348" s="242"/>
      <c r="AK348" s="242"/>
      <c r="AL348" s="242"/>
      <c r="AM348" s="242"/>
      <c r="AN348" s="242"/>
      <c r="AO348" s="242"/>
      <c r="AP348" s="242"/>
      <c r="AQ348" s="242"/>
      <c r="AR348" s="242"/>
      <c r="AS348" s="242"/>
      <c r="AT348" s="242"/>
      <c r="AU348" s="242"/>
      <c r="AV348" s="242"/>
      <c r="AW348" s="242"/>
      <c r="AX348" s="242"/>
      <c r="AY348" s="242"/>
      <c r="AZ348" s="242"/>
      <c r="BA348" s="242"/>
      <c r="BB348" s="242"/>
      <c r="BC348" s="242"/>
      <c r="BD348" s="242"/>
      <c r="BE348" s="242"/>
      <c r="BF348" s="242"/>
      <c r="BG348" s="242"/>
      <c r="BH348" s="242"/>
      <c r="BI348" s="242"/>
      <c r="BJ348" s="242"/>
      <c r="BK348" s="242"/>
      <c r="BL348" s="242"/>
      <c r="BM348" s="242"/>
      <c r="BN348" s="242"/>
      <c r="BO348" s="242"/>
      <c r="BP348" s="242"/>
      <c r="BQ348" s="242"/>
      <c r="BR348" s="242"/>
      <c r="BS348" s="242"/>
      <c r="BT348" s="242"/>
      <c r="BU348" s="242"/>
      <c r="BV348" s="242"/>
      <c r="BW348" s="242"/>
      <c r="BX348" s="242"/>
      <c r="BY348" s="242"/>
      <c r="BZ348" s="242"/>
      <c r="CA348" s="242"/>
      <c r="CB348" s="242"/>
      <c r="CC348" s="242"/>
      <c r="CD348" s="242"/>
    </row>
    <row r="349" spans="1:82" ht="12.75" customHeight="1">
      <c r="A349" s="242"/>
      <c r="B349" s="242"/>
      <c r="C349" s="242"/>
      <c r="D349" s="242"/>
      <c r="E349" s="242"/>
      <c r="F349" s="242"/>
      <c r="G349" s="242"/>
      <c r="H349" s="278"/>
      <c r="I349" s="278"/>
      <c r="J349" s="242"/>
      <c r="K349" s="242"/>
      <c r="L349" s="242"/>
      <c r="M349" s="242"/>
      <c r="N349" s="242"/>
      <c r="O349" s="242"/>
      <c r="P349" s="242"/>
      <c r="Q349" s="242"/>
      <c r="R349" s="242"/>
      <c r="S349" s="242"/>
      <c r="T349" s="242"/>
      <c r="U349" s="242"/>
      <c r="V349" s="242"/>
      <c r="W349" s="242"/>
      <c r="X349" s="242"/>
      <c r="Y349" s="242"/>
      <c r="Z349" s="242"/>
      <c r="AA349" s="242"/>
      <c r="AB349" s="242"/>
      <c r="AC349" s="242"/>
      <c r="AD349" s="242"/>
      <c r="AE349" s="242"/>
      <c r="AF349" s="242"/>
      <c r="AG349" s="242"/>
      <c r="AH349" s="242"/>
      <c r="AI349" s="242"/>
      <c r="AJ349" s="242"/>
      <c r="AK349" s="242"/>
      <c r="AL349" s="242"/>
      <c r="AM349" s="242"/>
      <c r="AN349" s="242"/>
      <c r="AO349" s="242"/>
      <c r="AP349" s="242"/>
      <c r="AQ349" s="242"/>
      <c r="AR349" s="242"/>
      <c r="AS349" s="242"/>
      <c r="AT349" s="242"/>
      <c r="AU349" s="242"/>
      <c r="AV349" s="242"/>
      <c r="AW349" s="242"/>
      <c r="AX349" s="242"/>
      <c r="AY349" s="242"/>
      <c r="AZ349" s="242"/>
      <c r="BA349" s="242"/>
      <c r="BB349" s="242"/>
      <c r="BC349" s="242"/>
      <c r="BD349" s="242"/>
      <c r="BE349" s="242"/>
      <c r="BF349" s="242"/>
      <c r="BG349" s="242"/>
      <c r="BH349" s="242"/>
      <c r="BI349" s="242"/>
      <c r="BJ349" s="242"/>
      <c r="BK349" s="242"/>
      <c r="BL349" s="242"/>
      <c r="BM349" s="242"/>
      <c r="BN349" s="242"/>
      <c r="BO349" s="242"/>
      <c r="BP349" s="242"/>
      <c r="BQ349" s="242"/>
      <c r="BR349" s="242"/>
      <c r="BS349" s="242"/>
      <c r="BT349" s="242"/>
      <c r="BU349" s="242"/>
      <c r="BV349" s="242"/>
      <c r="BW349" s="242"/>
      <c r="BX349" s="242"/>
      <c r="BY349" s="242"/>
      <c r="BZ349" s="242"/>
      <c r="CA349" s="242"/>
      <c r="CB349" s="242"/>
      <c r="CC349" s="242"/>
      <c r="CD349" s="242"/>
    </row>
    <row r="350" spans="1:82" ht="12.75" customHeight="1">
      <c r="A350" s="242"/>
      <c r="B350" s="242"/>
      <c r="C350" s="242"/>
      <c r="D350" s="242"/>
      <c r="E350" s="242"/>
      <c r="F350" s="242"/>
      <c r="G350" s="242"/>
      <c r="H350" s="278"/>
      <c r="I350" s="278"/>
      <c r="J350" s="242"/>
      <c r="K350" s="242"/>
      <c r="L350" s="242"/>
      <c r="M350" s="242"/>
      <c r="N350" s="242"/>
      <c r="O350" s="242"/>
      <c r="P350" s="242"/>
      <c r="Q350" s="242"/>
      <c r="R350" s="242"/>
      <c r="S350" s="242"/>
      <c r="T350" s="242"/>
      <c r="U350" s="242"/>
      <c r="V350" s="242"/>
      <c r="W350" s="242"/>
      <c r="X350" s="242"/>
      <c r="Y350" s="242"/>
      <c r="Z350" s="242"/>
      <c r="AA350" s="242"/>
      <c r="AB350" s="242"/>
      <c r="AC350" s="242"/>
      <c r="AD350" s="242"/>
      <c r="AE350" s="242"/>
      <c r="AF350" s="242"/>
      <c r="AG350" s="242"/>
      <c r="AH350" s="242"/>
      <c r="AI350" s="242"/>
      <c r="AJ350" s="242"/>
      <c r="AK350" s="242"/>
      <c r="AL350" s="242"/>
      <c r="AM350" s="242"/>
      <c r="AN350" s="242"/>
      <c r="AO350" s="242"/>
      <c r="AP350" s="242"/>
      <c r="AQ350" s="242"/>
      <c r="AR350" s="242"/>
      <c r="AS350" s="242"/>
      <c r="AT350" s="242"/>
      <c r="AU350" s="242"/>
      <c r="AV350" s="242"/>
      <c r="AW350" s="242"/>
      <c r="AX350" s="242"/>
      <c r="AY350" s="242"/>
      <c r="AZ350" s="242"/>
      <c r="BA350" s="242"/>
      <c r="BB350" s="242"/>
      <c r="BC350" s="242"/>
      <c r="BD350" s="242"/>
      <c r="BE350" s="242"/>
      <c r="BF350" s="242"/>
      <c r="BG350" s="242"/>
      <c r="BH350" s="242"/>
      <c r="BI350" s="242"/>
      <c r="BJ350" s="242"/>
      <c r="BK350" s="242"/>
      <c r="BL350" s="242"/>
      <c r="BM350" s="242"/>
      <c r="BN350" s="242"/>
      <c r="BO350" s="242"/>
      <c r="BP350" s="242"/>
      <c r="BQ350" s="242"/>
      <c r="BR350" s="242"/>
      <c r="BS350" s="242"/>
      <c r="BT350" s="242"/>
      <c r="BU350" s="242"/>
      <c r="BV350" s="242"/>
      <c r="BW350" s="242"/>
      <c r="BX350" s="242"/>
      <c r="BY350" s="242"/>
      <c r="BZ350" s="242"/>
      <c r="CA350" s="242"/>
      <c r="CB350" s="242"/>
      <c r="CC350" s="242"/>
      <c r="CD350" s="242"/>
    </row>
    <row r="351" spans="1:82" ht="12.75" customHeight="1">
      <c r="A351" s="242"/>
      <c r="B351" s="242"/>
      <c r="C351" s="242"/>
      <c r="D351" s="242"/>
      <c r="E351" s="242"/>
      <c r="F351" s="242"/>
      <c r="G351" s="242"/>
      <c r="H351" s="278"/>
      <c r="I351" s="278"/>
      <c r="J351" s="242"/>
      <c r="K351" s="242"/>
      <c r="L351" s="242"/>
      <c r="M351" s="242"/>
      <c r="N351" s="242"/>
      <c r="O351" s="242"/>
      <c r="P351" s="242"/>
      <c r="Q351" s="242"/>
      <c r="R351" s="242"/>
      <c r="S351" s="242"/>
      <c r="T351" s="242"/>
      <c r="U351" s="242"/>
      <c r="V351" s="242"/>
      <c r="W351" s="242"/>
      <c r="X351" s="242"/>
      <c r="Y351" s="242"/>
      <c r="Z351" s="242"/>
      <c r="AA351" s="242"/>
      <c r="AB351" s="242"/>
      <c r="AC351" s="242"/>
      <c r="AD351" s="242"/>
      <c r="AE351" s="242"/>
      <c r="AF351" s="242"/>
      <c r="AG351" s="242"/>
      <c r="AH351" s="242"/>
      <c r="AI351" s="242"/>
      <c r="AJ351" s="242"/>
      <c r="AK351" s="242"/>
      <c r="AL351" s="242"/>
      <c r="AM351" s="242"/>
      <c r="AN351" s="242"/>
      <c r="AO351" s="242"/>
      <c r="AP351" s="242"/>
      <c r="AQ351" s="242"/>
      <c r="AR351" s="242"/>
      <c r="AS351" s="242"/>
      <c r="AT351" s="242"/>
      <c r="AU351" s="242"/>
      <c r="AV351" s="242"/>
      <c r="AW351" s="242"/>
      <c r="AX351" s="242"/>
      <c r="AY351" s="242"/>
      <c r="AZ351" s="242"/>
      <c r="BA351" s="242"/>
      <c r="BB351" s="242"/>
      <c r="BC351" s="242"/>
      <c r="BD351" s="242"/>
      <c r="BE351" s="242"/>
      <c r="BF351" s="242"/>
      <c r="BG351" s="242"/>
      <c r="BH351" s="242"/>
      <c r="BI351" s="242"/>
      <c r="BJ351" s="242"/>
      <c r="BK351" s="242"/>
      <c r="BL351" s="242"/>
      <c r="BM351" s="242"/>
      <c r="BN351" s="242"/>
      <c r="BO351" s="242"/>
      <c r="BP351" s="242"/>
      <c r="BQ351" s="242"/>
      <c r="BR351" s="242"/>
      <c r="BS351" s="242"/>
      <c r="BT351" s="242"/>
      <c r="BU351" s="242"/>
      <c r="BV351" s="242"/>
      <c r="BW351" s="242"/>
      <c r="BX351" s="242"/>
      <c r="BY351" s="242"/>
      <c r="BZ351" s="242"/>
      <c r="CA351" s="242"/>
      <c r="CB351" s="242"/>
      <c r="CC351" s="242"/>
      <c r="CD351" s="242"/>
    </row>
    <row r="352" spans="1:82" ht="12.75" customHeight="1">
      <c r="A352" s="242"/>
      <c r="B352" s="242"/>
      <c r="C352" s="242"/>
      <c r="D352" s="242"/>
      <c r="E352" s="242"/>
      <c r="F352" s="242"/>
      <c r="G352" s="242"/>
      <c r="H352" s="278"/>
      <c r="I352" s="278"/>
      <c r="J352" s="242"/>
      <c r="K352" s="242"/>
      <c r="L352" s="242"/>
      <c r="M352" s="242"/>
      <c r="N352" s="242"/>
      <c r="O352" s="242"/>
      <c r="P352" s="242"/>
      <c r="Q352" s="242"/>
      <c r="R352" s="242"/>
      <c r="S352" s="242"/>
      <c r="T352" s="242"/>
      <c r="U352" s="242"/>
      <c r="V352" s="242"/>
      <c r="W352" s="242"/>
      <c r="X352" s="242"/>
      <c r="Y352" s="242"/>
      <c r="Z352" s="242"/>
      <c r="AA352" s="242"/>
      <c r="AB352" s="242"/>
      <c r="AC352" s="242"/>
      <c r="AD352" s="242"/>
      <c r="AE352" s="242"/>
      <c r="AF352" s="242"/>
      <c r="AG352" s="242"/>
      <c r="AH352" s="242"/>
      <c r="AI352" s="242"/>
      <c r="AJ352" s="242"/>
      <c r="AK352" s="242"/>
      <c r="AL352" s="242"/>
      <c r="AM352" s="242"/>
      <c r="AN352" s="242"/>
      <c r="AO352" s="242"/>
      <c r="AP352" s="242"/>
      <c r="AQ352" s="242"/>
      <c r="AR352" s="242"/>
      <c r="AS352" s="242"/>
      <c r="AT352" s="242"/>
      <c r="AU352" s="242"/>
      <c r="AV352" s="242"/>
      <c r="AW352" s="242"/>
      <c r="AX352" s="242"/>
      <c r="AY352" s="242"/>
      <c r="AZ352" s="242"/>
      <c r="BA352" s="242"/>
      <c r="BB352" s="242"/>
      <c r="BC352" s="242"/>
      <c r="BD352" s="242"/>
      <c r="BE352" s="242"/>
      <c r="BF352" s="242"/>
      <c r="BG352" s="242"/>
      <c r="BH352" s="242"/>
      <c r="BI352" s="242"/>
      <c r="BJ352" s="242"/>
      <c r="BK352" s="242"/>
      <c r="BL352" s="242"/>
      <c r="BM352" s="242"/>
      <c r="BN352" s="242"/>
      <c r="BO352" s="242"/>
      <c r="BP352" s="242"/>
      <c r="BQ352" s="242"/>
      <c r="BR352" s="242"/>
      <c r="BS352" s="242"/>
      <c r="BT352" s="242"/>
      <c r="BU352" s="242"/>
      <c r="BV352" s="242"/>
      <c r="BW352" s="242"/>
      <c r="BX352" s="242"/>
      <c r="BY352" s="242"/>
      <c r="BZ352" s="242"/>
      <c r="CA352" s="242"/>
      <c r="CB352" s="242"/>
      <c r="CC352" s="242"/>
      <c r="CD352" s="242"/>
    </row>
    <row r="353" spans="1:82" ht="12.75" customHeight="1">
      <c r="A353" s="242"/>
      <c r="B353" s="242"/>
      <c r="C353" s="242"/>
      <c r="D353" s="242"/>
      <c r="E353" s="242"/>
      <c r="F353" s="242"/>
      <c r="G353" s="242"/>
      <c r="H353" s="278"/>
      <c r="I353" s="278"/>
      <c r="J353" s="242"/>
      <c r="K353" s="242"/>
      <c r="L353" s="242"/>
      <c r="M353" s="242"/>
      <c r="N353" s="242"/>
      <c r="O353" s="242"/>
      <c r="P353" s="242"/>
      <c r="Q353" s="242"/>
      <c r="R353" s="242"/>
      <c r="S353" s="242"/>
      <c r="T353" s="242"/>
      <c r="U353" s="242"/>
      <c r="V353" s="242"/>
      <c r="W353" s="242"/>
      <c r="X353" s="242"/>
      <c r="Y353" s="242"/>
      <c r="Z353" s="242"/>
      <c r="AA353" s="242"/>
      <c r="AB353" s="242"/>
      <c r="AC353" s="242"/>
      <c r="AD353" s="242"/>
      <c r="AE353" s="242"/>
      <c r="AF353" s="242"/>
      <c r="AG353" s="242"/>
      <c r="AH353" s="242"/>
      <c r="AI353" s="242"/>
      <c r="AJ353" s="242"/>
      <c r="AK353" s="242"/>
      <c r="AL353" s="242"/>
      <c r="AM353" s="242"/>
      <c r="AN353" s="242"/>
      <c r="AO353" s="242"/>
      <c r="AP353" s="242"/>
      <c r="AQ353" s="242"/>
      <c r="AR353" s="242"/>
      <c r="AS353" s="242"/>
      <c r="AT353" s="242"/>
      <c r="AU353" s="242"/>
      <c r="AV353" s="242"/>
      <c r="AW353" s="242"/>
      <c r="AX353" s="242"/>
      <c r="AY353" s="242"/>
      <c r="AZ353" s="242"/>
      <c r="BA353" s="242"/>
      <c r="BB353" s="242"/>
      <c r="BC353" s="242"/>
      <c r="BD353" s="242"/>
      <c r="BE353" s="242"/>
      <c r="BF353" s="242"/>
      <c r="BG353" s="242"/>
      <c r="BH353" s="242"/>
      <c r="BI353" s="242"/>
      <c r="BJ353" s="242"/>
      <c r="BK353" s="242"/>
      <c r="BL353" s="242"/>
      <c r="BM353" s="242"/>
      <c r="BN353" s="242"/>
      <c r="BO353" s="242"/>
      <c r="BP353" s="242"/>
      <c r="BQ353" s="242"/>
      <c r="BR353" s="242"/>
      <c r="BS353" s="242"/>
      <c r="BT353" s="242"/>
      <c r="BU353" s="242"/>
      <c r="BV353" s="242"/>
      <c r="BW353" s="242"/>
      <c r="BX353" s="242"/>
      <c r="BY353" s="242"/>
      <c r="BZ353" s="242"/>
      <c r="CA353" s="242"/>
      <c r="CB353" s="242"/>
      <c r="CC353" s="242"/>
      <c r="CD353" s="242"/>
    </row>
    <row r="354" spans="1:82" ht="12.75" customHeight="1">
      <c r="A354" s="242"/>
      <c r="B354" s="242"/>
      <c r="C354" s="242"/>
      <c r="D354" s="242"/>
      <c r="E354" s="242"/>
      <c r="F354" s="242"/>
      <c r="G354" s="242"/>
      <c r="H354" s="278"/>
      <c r="I354" s="278"/>
      <c r="J354" s="242"/>
      <c r="K354" s="242"/>
      <c r="L354" s="242"/>
      <c r="M354" s="242"/>
      <c r="N354" s="242"/>
      <c r="O354" s="242"/>
      <c r="P354" s="242"/>
      <c r="Q354" s="242"/>
      <c r="R354" s="242"/>
      <c r="S354" s="242"/>
      <c r="T354" s="242"/>
      <c r="U354" s="242"/>
      <c r="V354" s="242"/>
      <c r="W354" s="242"/>
      <c r="X354" s="242"/>
      <c r="Y354" s="242"/>
      <c r="Z354" s="242"/>
      <c r="AA354" s="242"/>
      <c r="AB354" s="242"/>
      <c r="AC354" s="242"/>
      <c r="AD354" s="242"/>
      <c r="AE354" s="242"/>
      <c r="AF354" s="242"/>
      <c r="AG354" s="242"/>
      <c r="AH354" s="242"/>
      <c r="AI354" s="242"/>
      <c r="AJ354" s="242"/>
      <c r="AK354" s="242"/>
      <c r="AL354" s="242"/>
      <c r="AM354" s="242"/>
      <c r="AN354" s="242"/>
      <c r="AO354" s="242"/>
      <c r="AP354" s="242"/>
      <c r="AQ354" s="242"/>
      <c r="AR354" s="242"/>
      <c r="AS354" s="242"/>
      <c r="AT354" s="242"/>
      <c r="AU354" s="242"/>
      <c r="AV354" s="242"/>
      <c r="AW354" s="242"/>
      <c r="AX354" s="242"/>
      <c r="AY354" s="242"/>
      <c r="AZ354" s="242"/>
      <c r="BA354" s="242"/>
      <c r="BB354" s="242"/>
      <c r="BC354" s="242"/>
      <c r="BD354" s="242"/>
      <c r="BE354" s="242"/>
      <c r="BF354" s="242"/>
      <c r="BG354" s="242"/>
      <c r="BH354" s="242"/>
      <c r="BI354" s="242"/>
      <c r="BJ354" s="242"/>
      <c r="BK354" s="242"/>
      <c r="BL354" s="242"/>
      <c r="BM354" s="242"/>
      <c r="BN354" s="242"/>
      <c r="BO354" s="242"/>
      <c r="BP354" s="242"/>
      <c r="BQ354" s="242"/>
      <c r="BR354" s="242"/>
      <c r="BS354" s="242"/>
      <c r="BT354" s="242"/>
      <c r="BU354" s="242"/>
      <c r="BV354" s="242"/>
      <c r="BW354" s="242"/>
      <c r="BX354" s="242"/>
      <c r="BY354" s="242"/>
      <c r="BZ354" s="242"/>
      <c r="CA354" s="242"/>
      <c r="CB354" s="242"/>
      <c r="CC354" s="242"/>
      <c r="CD354" s="242"/>
    </row>
    <row r="355" spans="1:82" ht="12.75" customHeight="1">
      <c r="A355" s="242"/>
      <c r="B355" s="242"/>
      <c r="C355" s="242"/>
      <c r="D355" s="242"/>
      <c r="E355" s="242"/>
      <c r="F355" s="242"/>
      <c r="G355" s="242"/>
      <c r="H355" s="278"/>
      <c r="I355" s="278"/>
      <c r="J355" s="242"/>
      <c r="K355" s="242"/>
      <c r="L355" s="242"/>
      <c r="M355" s="242"/>
      <c r="N355" s="242"/>
      <c r="O355" s="242"/>
      <c r="P355" s="242"/>
      <c r="Q355" s="242"/>
      <c r="R355" s="242"/>
      <c r="S355" s="242"/>
      <c r="T355" s="242"/>
      <c r="U355" s="242"/>
      <c r="V355" s="242"/>
      <c r="W355" s="242"/>
      <c r="X355" s="242"/>
      <c r="Y355" s="242"/>
      <c r="Z355" s="242"/>
      <c r="AA355" s="242"/>
      <c r="AB355" s="242"/>
      <c r="AC355" s="242"/>
      <c r="AD355" s="242"/>
      <c r="AE355" s="242"/>
      <c r="AF355" s="242"/>
      <c r="AG355" s="242"/>
      <c r="AH355" s="242"/>
      <c r="AI355" s="242"/>
      <c r="AJ355" s="242"/>
      <c r="AK355" s="242"/>
      <c r="AL355" s="242"/>
      <c r="AM355" s="242"/>
      <c r="AN355" s="242"/>
      <c r="AO355" s="242"/>
      <c r="AP355" s="242"/>
      <c r="AQ355" s="242"/>
      <c r="AR355" s="242"/>
      <c r="AS355" s="242"/>
      <c r="AT355" s="242"/>
      <c r="AU355" s="242"/>
      <c r="AV355" s="242"/>
      <c r="AW355" s="242"/>
      <c r="AX355" s="242"/>
      <c r="AY355" s="242"/>
      <c r="AZ355" s="242"/>
      <c r="BA355" s="242"/>
      <c r="BB355" s="242"/>
      <c r="BC355" s="242"/>
      <c r="BD355" s="242"/>
      <c r="BE355" s="242"/>
      <c r="BF355" s="242"/>
      <c r="BG355" s="242"/>
      <c r="BH355" s="242"/>
      <c r="BI355" s="242"/>
      <c r="BJ355" s="242"/>
      <c r="BK355" s="242"/>
      <c r="BL355" s="242"/>
      <c r="BM355" s="242"/>
      <c r="BN355" s="242"/>
      <c r="BO355" s="242"/>
      <c r="BP355" s="242"/>
      <c r="BQ355" s="242"/>
      <c r="BR355" s="242"/>
      <c r="BS355" s="242"/>
      <c r="BT355" s="242"/>
      <c r="BU355" s="242"/>
      <c r="BV355" s="242"/>
      <c r="BW355" s="242"/>
      <c r="BX355" s="242"/>
      <c r="BY355" s="242"/>
      <c r="BZ355" s="242"/>
      <c r="CA355" s="242"/>
      <c r="CB355" s="242"/>
      <c r="CC355" s="242"/>
      <c r="CD355" s="242"/>
    </row>
    <row r="356" spans="1:82" ht="12.75" customHeight="1">
      <c r="A356" s="242"/>
      <c r="B356" s="242"/>
      <c r="C356" s="242"/>
      <c r="D356" s="242"/>
      <c r="E356" s="242"/>
      <c r="F356" s="242"/>
      <c r="G356" s="242"/>
      <c r="H356" s="278"/>
      <c r="I356" s="278"/>
      <c r="J356" s="242"/>
      <c r="K356" s="242"/>
      <c r="L356" s="242"/>
      <c r="M356" s="242"/>
      <c r="N356" s="242"/>
      <c r="O356" s="242"/>
      <c r="P356" s="242"/>
      <c r="Q356" s="242"/>
      <c r="R356" s="242"/>
      <c r="S356" s="242"/>
      <c r="T356" s="242"/>
      <c r="U356" s="242"/>
      <c r="V356" s="242"/>
      <c r="W356" s="242"/>
      <c r="X356" s="242"/>
      <c r="Y356" s="242"/>
      <c r="Z356" s="242"/>
      <c r="AA356" s="242"/>
      <c r="AB356" s="242"/>
      <c r="AC356" s="242"/>
      <c r="AD356" s="242"/>
      <c r="AE356" s="242"/>
      <c r="AF356" s="242"/>
      <c r="AG356" s="242"/>
      <c r="AH356" s="242"/>
      <c r="AI356" s="242"/>
      <c r="AJ356" s="242"/>
      <c r="AK356" s="242"/>
      <c r="AL356" s="242"/>
      <c r="AM356" s="242"/>
      <c r="AN356" s="242"/>
      <c r="AO356" s="242"/>
      <c r="AP356" s="242"/>
      <c r="AQ356" s="242"/>
      <c r="AR356" s="242"/>
      <c r="AS356" s="242"/>
      <c r="AT356" s="242"/>
      <c r="AU356" s="242"/>
      <c r="AV356" s="242"/>
      <c r="AW356" s="242"/>
      <c r="AX356" s="242"/>
      <c r="AY356" s="242"/>
      <c r="AZ356" s="242"/>
      <c r="BA356" s="242"/>
      <c r="BB356" s="242"/>
      <c r="BC356" s="242"/>
      <c r="BD356" s="242"/>
      <c r="BE356" s="242"/>
      <c r="BF356" s="242"/>
      <c r="BG356" s="242"/>
      <c r="BH356" s="242"/>
      <c r="BI356" s="242"/>
      <c r="BJ356" s="242"/>
      <c r="BK356" s="242"/>
      <c r="BL356" s="242"/>
      <c r="BM356" s="242"/>
      <c r="BN356" s="242"/>
      <c r="BO356" s="242"/>
      <c r="BP356" s="242"/>
      <c r="BQ356" s="242"/>
      <c r="BR356" s="242"/>
      <c r="BS356" s="242"/>
      <c r="BT356" s="242"/>
      <c r="BU356" s="242"/>
      <c r="BV356" s="242"/>
      <c r="BW356" s="242"/>
      <c r="BX356" s="242"/>
      <c r="BY356" s="242"/>
      <c r="BZ356" s="242"/>
      <c r="CA356" s="242"/>
      <c r="CB356" s="242"/>
      <c r="CC356" s="242"/>
      <c r="CD356" s="242"/>
    </row>
    <row r="357" spans="1:82" ht="12.75" customHeight="1">
      <c r="A357" s="242"/>
      <c r="B357" s="242"/>
      <c r="C357" s="242"/>
      <c r="D357" s="242"/>
      <c r="E357" s="242"/>
      <c r="F357" s="242"/>
      <c r="G357" s="242"/>
      <c r="H357" s="278"/>
      <c r="I357" s="278"/>
      <c r="J357" s="242"/>
      <c r="K357" s="242"/>
      <c r="L357" s="242"/>
      <c r="M357" s="242"/>
      <c r="N357" s="242"/>
      <c r="O357" s="242"/>
      <c r="P357" s="242"/>
      <c r="Q357" s="242"/>
      <c r="R357" s="242"/>
      <c r="S357" s="242"/>
      <c r="T357" s="242"/>
      <c r="U357" s="242"/>
      <c r="V357" s="242"/>
      <c r="W357" s="242"/>
      <c r="X357" s="242"/>
      <c r="Y357" s="242"/>
      <c r="Z357" s="242"/>
      <c r="AA357" s="242"/>
      <c r="AB357" s="242"/>
      <c r="AC357" s="242"/>
      <c r="AD357" s="242"/>
      <c r="AE357" s="242"/>
      <c r="AF357" s="242"/>
      <c r="AG357" s="242"/>
      <c r="AH357" s="242"/>
      <c r="AI357" s="242"/>
      <c r="AJ357" s="242"/>
      <c r="AK357" s="242"/>
      <c r="AL357" s="242"/>
      <c r="AM357" s="242"/>
      <c r="AN357" s="242"/>
      <c r="AO357" s="242"/>
      <c r="AP357" s="242"/>
      <c r="AQ357" s="242"/>
      <c r="AR357" s="242"/>
      <c r="AS357" s="242"/>
      <c r="AT357" s="242"/>
      <c r="AU357" s="242"/>
      <c r="AV357" s="242"/>
      <c r="AW357" s="242"/>
      <c r="AX357" s="242"/>
      <c r="AY357" s="242"/>
      <c r="AZ357" s="242"/>
      <c r="BA357" s="242"/>
      <c r="BB357" s="242"/>
      <c r="BC357" s="242"/>
      <c r="BD357" s="242"/>
      <c r="BE357" s="242"/>
      <c r="BF357" s="242"/>
      <c r="BG357" s="242"/>
      <c r="BH357" s="242"/>
      <c r="BI357" s="242"/>
      <c r="BJ357" s="242"/>
      <c r="BK357" s="242"/>
      <c r="BL357" s="242"/>
      <c r="BM357" s="242"/>
      <c r="BN357" s="242"/>
      <c r="BO357" s="242"/>
      <c r="BP357" s="242"/>
      <c r="BQ357" s="242"/>
      <c r="BR357" s="242"/>
      <c r="BS357" s="242"/>
      <c r="BT357" s="242"/>
      <c r="BU357" s="242"/>
      <c r="BV357" s="242"/>
      <c r="BW357" s="242"/>
      <c r="BX357" s="242"/>
      <c r="BY357" s="242"/>
      <c r="BZ357" s="242"/>
      <c r="CA357" s="242"/>
      <c r="CB357" s="242"/>
      <c r="CC357" s="242"/>
      <c r="CD357" s="242"/>
    </row>
    <row r="358" spans="1:82" ht="12.75" customHeight="1">
      <c r="A358" s="242"/>
      <c r="B358" s="242"/>
      <c r="C358" s="242"/>
      <c r="D358" s="242"/>
      <c r="E358" s="242"/>
      <c r="F358" s="242"/>
      <c r="G358" s="242"/>
      <c r="H358" s="278"/>
      <c r="I358" s="278"/>
      <c r="J358" s="242"/>
      <c r="K358" s="242"/>
      <c r="L358" s="242"/>
      <c r="M358" s="242"/>
      <c r="N358" s="242"/>
      <c r="O358" s="242"/>
      <c r="P358" s="242"/>
      <c r="Q358" s="242"/>
      <c r="R358" s="242"/>
      <c r="S358" s="242"/>
      <c r="T358" s="242"/>
      <c r="U358" s="242"/>
      <c r="V358" s="242"/>
      <c r="W358" s="242"/>
      <c r="X358" s="242"/>
      <c r="Y358" s="242"/>
      <c r="Z358" s="242"/>
      <c r="AA358" s="242"/>
      <c r="AB358" s="242"/>
      <c r="AC358" s="242"/>
      <c r="AD358" s="242"/>
      <c r="AE358" s="242"/>
      <c r="AF358" s="242"/>
      <c r="AG358" s="242"/>
      <c r="AH358" s="242"/>
      <c r="AI358" s="242"/>
      <c r="AJ358" s="242"/>
      <c r="AK358" s="242"/>
      <c r="AL358" s="242"/>
      <c r="AM358" s="242"/>
      <c r="AN358" s="242"/>
      <c r="AO358" s="242"/>
      <c r="AP358" s="242"/>
      <c r="AQ358" s="242"/>
      <c r="AR358" s="242"/>
      <c r="AS358" s="242"/>
      <c r="AT358" s="242"/>
      <c r="AU358" s="242"/>
      <c r="AV358" s="242"/>
      <c r="AW358" s="242"/>
      <c r="AX358" s="242"/>
      <c r="AY358" s="242"/>
      <c r="AZ358" s="242"/>
      <c r="BA358" s="242"/>
      <c r="BB358" s="242"/>
      <c r="BC358" s="242"/>
      <c r="BD358" s="242"/>
      <c r="BE358" s="242"/>
      <c r="BF358" s="242"/>
      <c r="BG358" s="242"/>
      <c r="BH358" s="242"/>
      <c r="BI358" s="242"/>
      <c r="BJ358" s="242"/>
      <c r="BK358" s="242"/>
      <c r="BL358" s="242"/>
      <c r="BM358" s="242"/>
      <c r="BN358" s="242"/>
      <c r="BO358" s="242"/>
      <c r="BP358" s="242"/>
      <c r="BQ358" s="242"/>
      <c r="BR358" s="242"/>
      <c r="BS358" s="242"/>
      <c r="BT358" s="242"/>
      <c r="BU358" s="242"/>
      <c r="BV358" s="242"/>
      <c r="BW358" s="242"/>
      <c r="BX358" s="242"/>
      <c r="BY358" s="242"/>
      <c r="BZ358" s="242"/>
      <c r="CA358" s="242"/>
      <c r="CB358" s="242"/>
      <c r="CC358" s="242"/>
      <c r="CD358" s="242"/>
    </row>
    <row r="359" spans="1:82" ht="12.75" customHeight="1">
      <c r="A359" s="242"/>
      <c r="B359" s="242"/>
      <c r="C359" s="242"/>
      <c r="D359" s="242"/>
      <c r="E359" s="242"/>
      <c r="F359" s="242"/>
      <c r="G359" s="242"/>
      <c r="H359" s="278"/>
      <c r="I359" s="278"/>
      <c r="J359" s="242"/>
      <c r="K359" s="242"/>
      <c r="L359" s="242"/>
      <c r="M359" s="242"/>
      <c r="N359" s="242"/>
      <c r="O359" s="242"/>
      <c r="P359" s="242"/>
      <c r="Q359" s="242"/>
      <c r="R359" s="242"/>
      <c r="S359" s="242"/>
      <c r="T359" s="242"/>
      <c r="U359" s="242"/>
      <c r="V359" s="242"/>
      <c r="W359" s="242"/>
      <c r="X359" s="242"/>
      <c r="Y359" s="242"/>
      <c r="Z359" s="242"/>
      <c r="AA359" s="242"/>
      <c r="AB359" s="242"/>
      <c r="AC359" s="242"/>
      <c r="AD359" s="242"/>
      <c r="AE359" s="242"/>
      <c r="AF359" s="242"/>
      <c r="AG359" s="242"/>
      <c r="AH359" s="242"/>
      <c r="AI359" s="242"/>
      <c r="AJ359" s="242"/>
      <c r="AK359" s="242"/>
      <c r="AL359" s="242"/>
      <c r="AM359" s="242"/>
      <c r="AN359" s="242"/>
      <c r="AO359" s="242"/>
      <c r="AP359" s="242"/>
      <c r="AQ359" s="242"/>
      <c r="AR359" s="242"/>
      <c r="AS359" s="242"/>
      <c r="AT359" s="242"/>
      <c r="AU359" s="242"/>
      <c r="AV359" s="242"/>
      <c r="AW359" s="242"/>
      <c r="AX359" s="242"/>
      <c r="AY359" s="242"/>
      <c r="AZ359" s="242"/>
      <c r="BA359" s="242"/>
      <c r="BB359" s="242"/>
      <c r="BC359" s="242"/>
      <c r="BD359" s="242"/>
      <c r="BE359" s="242"/>
      <c r="BF359" s="242"/>
      <c r="BG359" s="242"/>
      <c r="BH359" s="242"/>
      <c r="BI359" s="242"/>
      <c r="BJ359" s="242"/>
      <c r="BK359" s="242"/>
      <c r="BL359" s="242"/>
      <c r="BM359" s="242"/>
      <c r="BN359" s="242"/>
      <c r="BO359" s="242"/>
      <c r="BP359" s="242"/>
      <c r="BQ359" s="242"/>
      <c r="BR359" s="242"/>
      <c r="BS359" s="242"/>
      <c r="BT359" s="242"/>
      <c r="BU359" s="242"/>
      <c r="BV359" s="242"/>
      <c r="BW359" s="242"/>
      <c r="BX359" s="242"/>
      <c r="BY359" s="242"/>
      <c r="BZ359" s="242"/>
      <c r="CA359" s="242"/>
      <c r="CB359" s="242"/>
      <c r="CC359" s="242"/>
      <c r="CD359" s="242"/>
    </row>
    <row r="360" spans="1:82" ht="12.75" customHeight="1">
      <c r="A360" s="242"/>
      <c r="B360" s="242"/>
      <c r="C360" s="242"/>
      <c r="D360" s="242"/>
      <c r="E360" s="242"/>
      <c r="F360" s="242"/>
      <c r="G360" s="242"/>
      <c r="H360" s="278"/>
      <c r="I360" s="278"/>
      <c r="J360" s="242"/>
      <c r="K360" s="242"/>
      <c r="L360" s="242"/>
      <c r="M360" s="242"/>
      <c r="N360" s="242"/>
      <c r="O360" s="242"/>
      <c r="P360" s="242"/>
      <c r="Q360" s="242"/>
      <c r="R360" s="242"/>
      <c r="S360" s="242"/>
      <c r="T360" s="242"/>
      <c r="U360" s="242"/>
      <c r="V360" s="242"/>
      <c r="W360" s="242"/>
      <c r="X360" s="242"/>
      <c r="Y360" s="242"/>
      <c r="Z360" s="242"/>
      <c r="AA360" s="242"/>
      <c r="AB360" s="242"/>
      <c r="AC360" s="242"/>
      <c r="AD360" s="242"/>
      <c r="AE360" s="242"/>
      <c r="AF360" s="242"/>
      <c r="AG360" s="242"/>
      <c r="AH360" s="242"/>
      <c r="AI360" s="242"/>
      <c r="AJ360" s="242"/>
      <c r="AK360" s="242"/>
      <c r="AL360" s="242"/>
      <c r="AM360" s="242"/>
      <c r="AN360" s="242"/>
      <c r="AO360" s="242"/>
      <c r="AP360" s="242"/>
      <c r="AQ360" s="242"/>
      <c r="AR360" s="242"/>
      <c r="AS360" s="242"/>
      <c r="AT360" s="242"/>
      <c r="AU360" s="242"/>
      <c r="AV360" s="242"/>
      <c r="AW360" s="242"/>
      <c r="AX360" s="242"/>
      <c r="AY360" s="242"/>
      <c r="AZ360" s="242"/>
      <c r="BA360" s="242"/>
      <c r="BB360" s="242"/>
      <c r="BC360" s="242"/>
      <c r="BD360" s="242"/>
      <c r="BE360" s="242"/>
      <c r="BF360" s="242"/>
      <c r="BG360" s="242"/>
      <c r="BH360" s="242"/>
      <c r="BI360" s="242"/>
      <c r="BJ360" s="242"/>
      <c r="BK360" s="242"/>
      <c r="BL360" s="242"/>
      <c r="BM360" s="242"/>
      <c r="BN360" s="242"/>
      <c r="BO360" s="242"/>
      <c r="BP360" s="242"/>
      <c r="BQ360" s="242"/>
      <c r="BR360" s="242"/>
      <c r="BS360" s="242"/>
      <c r="BT360" s="242"/>
      <c r="BU360" s="242"/>
      <c r="BV360" s="242"/>
      <c r="BW360" s="242"/>
      <c r="BX360" s="242"/>
      <c r="BY360" s="242"/>
      <c r="BZ360" s="242"/>
      <c r="CA360" s="242"/>
      <c r="CB360" s="242"/>
      <c r="CC360" s="242"/>
      <c r="CD360" s="242"/>
    </row>
    <row r="361" spans="1:82" ht="12.75" customHeight="1">
      <c r="A361" s="242"/>
      <c r="B361" s="242"/>
      <c r="C361" s="242"/>
      <c r="D361" s="242"/>
      <c r="E361" s="242"/>
      <c r="F361" s="242"/>
      <c r="G361" s="242"/>
      <c r="H361" s="278"/>
      <c r="I361" s="278"/>
      <c r="J361" s="242"/>
      <c r="K361" s="242"/>
      <c r="L361" s="242"/>
      <c r="M361" s="242"/>
      <c r="N361" s="242"/>
      <c r="O361" s="242"/>
      <c r="P361" s="242"/>
      <c r="Q361" s="242"/>
      <c r="R361" s="242"/>
      <c r="S361" s="242"/>
      <c r="T361" s="242"/>
      <c r="U361" s="242"/>
      <c r="V361" s="242"/>
      <c r="W361" s="242"/>
      <c r="X361" s="242"/>
      <c r="Y361" s="242"/>
      <c r="Z361" s="242"/>
      <c r="AA361" s="242"/>
      <c r="AB361" s="242"/>
      <c r="AC361" s="242"/>
      <c r="AD361" s="242"/>
      <c r="AE361" s="242"/>
      <c r="AF361" s="242"/>
      <c r="AG361" s="242"/>
      <c r="AH361" s="242"/>
      <c r="AI361" s="242"/>
      <c r="AJ361" s="242"/>
      <c r="AK361" s="242"/>
      <c r="AL361" s="242"/>
      <c r="AM361" s="242"/>
      <c r="AN361" s="242"/>
      <c r="AO361" s="242"/>
      <c r="AP361" s="242"/>
      <c r="AQ361" s="242"/>
      <c r="AR361" s="242"/>
      <c r="AS361" s="242"/>
      <c r="AT361" s="242"/>
      <c r="AU361" s="242"/>
      <c r="AV361" s="242"/>
      <c r="AW361" s="242"/>
      <c r="AX361" s="242"/>
      <c r="AY361" s="242"/>
      <c r="AZ361" s="242"/>
      <c r="BA361" s="242"/>
      <c r="BB361" s="242"/>
      <c r="BC361" s="242"/>
      <c r="BD361" s="242"/>
      <c r="BE361" s="242"/>
      <c r="BF361" s="242"/>
      <c r="BG361" s="242"/>
      <c r="BH361" s="242"/>
      <c r="BI361" s="242"/>
      <c r="BJ361" s="242"/>
      <c r="BK361" s="242"/>
      <c r="BL361" s="242"/>
      <c r="BM361" s="242"/>
      <c r="BN361" s="242"/>
      <c r="BO361" s="242"/>
      <c r="BP361" s="242"/>
      <c r="BQ361" s="242"/>
      <c r="BR361" s="242"/>
      <c r="BS361" s="242"/>
      <c r="BT361" s="242"/>
      <c r="BU361" s="242"/>
      <c r="BV361" s="242"/>
      <c r="BW361" s="242"/>
      <c r="BX361" s="242"/>
      <c r="BY361" s="242"/>
      <c r="BZ361" s="242"/>
      <c r="CA361" s="242"/>
      <c r="CB361" s="242"/>
      <c r="CC361" s="242"/>
      <c r="CD361" s="242"/>
    </row>
    <row r="362" spans="1:82" ht="12.75" customHeight="1">
      <c r="A362" s="242"/>
      <c r="B362" s="242"/>
      <c r="C362" s="242"/>
      <c r="D362" s="242"/>
      <c r="E362" s="242"/>
      <c r="F362" s="242"/>
      <c r="G362" s="242"/>
      <c r="H362" s="278"/>
      <c r="I362" s="278"/>
      <c r="J362" s="242"/>
      <c r="K362" s="242"/>
      <c r="L362" s="242"/>
      <c r="M362" s="242"/>
      <c r="N362" s="242"/>
      <c r="O362" s="242"/>
      <c r="P362" s="242"/>
      <c r="Q362" s="242"/>
      <c r="R362" s="242"/>
      <c r="S362" s="242"/>
      <c r="T362" s="242"/>
      <c r="U362" s="242"/>
      <c r="V362" s="242"/>
      <c r="W362" s="242"/>
      <c r="X362" s="242"/>
      <c r="Y362" s="242"/>
      <c r="Z362" s="242"/>
      <c r="AA362" s="242"/>
      <c r="AB362" s="242"/>
      <c r="AC362" s="242"/>
      <c r="AD362" s="242"/>
      <c r="AE362" s="242"/>
      <c r="AF362" s="242"/>
      <c r="AG362" s="242"/>
      <c r="AH362" s="242"/>
      <c r="AI362" s="242"/>
      <c r="AJ362" s="242"/>
      <c r="AK362" s="242"/>
      <c r="AL362" s="242"/>
      <c r="AM362" s="242"/>
      <c r="AN362" s="242"/>
      <c r="AO362" s="242"/>
      <c r="AP362" s="242"/>
      <c r="AQ362" s="242"/>
      <c r="AR362" s="242"/>
      <c r="AS362" s="242"/>
      <c r="AT362" s="242"/>
      <c r="AU362" s="242"/>
      <c r="AV362" s="242"/>
      <c r="AW362" s="242"/>
      <c r="AX362" s="242"/>
      <c r="AY362" s="242"/>
      <c r="AZ362" s="242"/>
      <c r="BA362" s="242"/>
      <c r="BB362" s="242"/>
      <c r="BC362" s="242"/>
      <c r="BD362" s="242"/>
      <c r="BE362" s="242"/>
      <c r="BF362" s="242"/>
      <c r="BG362" s="242"/>
      <c r="BH362" s="242"/>
      <c r="BI362" s="242"/>
      <c r="BJ362" s="242"/>
      <c r="BK362" s="242"/>
      <c r="BL362" s="242"/>
      <c r="BM362" s="242"/>
      <c r="BN362" s="242"/>
      <c r="BO362" s="242"/>
      <c r="BP362" s="242"/>
      <c r="BQ362" s="242"/>
      <c r="BR362" s="242"/>
      <c r="BS362" s="242"/>
      <c r="BT362" s="242"/>
      <c r="BU362" s="242"/>
      <c r="BV362" s="242"/>
      <c r="BW362" s="242"/>
      <c r="BX362" s="242"/>
      <c r="BY362" s="242"/>
      <c r="BZ362" s="242"/>
      <c r="CA362" s="242"/>
      <c r="CB362" s="242"/>
      <c r="CC362" s="242"/>
      <c r="CD362" s="242"/>
    </row>
    <row r="363" spans="1:82" ht="12.75" customHeight="1">
      <c r="A363" s="242"/>
      <c r="B363" s="242"/>
      <c r="C363" s="242"/>
      <c r="D363" s="242"/>
      <c r="E363" s="242"/>
      <c r="F363" s="242"/>
      <c r="G363" s="242"/>
      <c r="H363" s="278"/>
      <c r="I363" s="278"/>
      <c r="J363" s="242"/>
      <c r="K363" s="242"/>
      <c r="L363" s="242"/>
      <c r="M363" s="242"/>
      <c r="N363" s="242"/>
      <c r="O363" s="242"/>
      <c r="P363" s="242"/>
      <c r="Q363" s="242"/>
      <c r="R363" s="242"/>
      <c r="S363" s="242"/>
      <c r="T363" s="242"/>
      <c r="U363" s="242"/>
      <c r="V363" s="242"/>
      <c r="W363" s="242"/>
      <c r="X363" s="242"/>
      <c r="Y363" s="242"/>
      <c r="Z363" s="242"/>
      <c r="AA363" s="242"/>
      <c r="AB363" s="242"/>
      <c r="AC363" s="242"/>
      <c r="AD363" s="242"/>
      <c r="AE363" s="242"/>
      <c r="AF363" s="242"/>
      <c r="AG363" s="242"/>
      <c r="AH363" s="242"/>
      <c r="AI363" s="242"/>
      <c r="AJ363" s="242"/>
      <c r="AK363" s="242"/>
      <c r="AL363" s="242"/>
      <c r="AM363" s="242"/>
      <c r="AN363" s="242"/>
      <c r="AO363" s="242"/>
      <c r="AP363" s="242"/>
      <c r="AQ363" s="242"/>
      <c r="AR363" s="242"/>
      <c r="AS363" s="242"/>
      <c r="AT363" s="242"/>
      <c r="AU363" s="242"/>
      <c r="AV363" s="242"/>
      <c r="AW363" s="242"/>
      <c r="AX363" s="242"/>
      <c r="AY363" s="242"/>
      <c r="AZ363" s="242"/>
      <c r="BA363" s="242"/>
      <c r="BB363" s="242"/>
      <c r="BC363" s="242"/>
      <c r="BD363" s="242"/>
      <c r="BE363" s="242"/>
      <c r="BF363" s="242"/>
      <c r="BG363" s="242"/>
      <c r="BH363" s="242"/>
      <c r="BI363" s="242"/>
      <c r="BJ363" s="242"/>
      <c r="BK363" s="242"/>
      <c r="BL363" s="242"/>
      <c r="BM363" s="242"/>
      <c r="BN363" s="242"/>
      <c r="BO363" s="242"/>
      <c r="BP363" s="242"/>
      <c r="BQ363" s="242"/>
      <c r="BR363" s="242"/>
      <c r="BS363" s="242"/>
      <c r="BT363" s="242"/>
      <c r="BU363" s="242"/>
      <c r="BV363" s="242"/>
      <c r="BW363" s="242"/>
      <c r="BX363" s="242"/>
      <c r="BY363" s="242"/>
      <c r="BZ363" s="242"/>
      <c r="CA363" s="242"/>
      <c r="CB363" s="242"/>
      <c r="CC363" s="242"/>
      <c r="CD363" s="242"/>
    </row>
    <row r="364" spans="1:82" ht="12.75" customHeight="1">
      <c r="A364" s="242"/>
      <c r="B364" s="242"/>
      <c r="C364" s="242"/>
      <c r="D364" s="242"/>
      <c r="E364" s="242"/>
      <c r="F364" s="242"/>
      <c r="G364" s="242"/>
      <c r="H364" s="278"/>
      <c r="I364" s="278"/>
      <c r="J364" s="242"/>
      <c r="K364" s="242"/>
      <c r="L364" s="242"/>
      <c r="M364" s="242"/>
      <c r="N364" s="242"/>
      <c r="O364" s="242"/>
      <c r="P364" s="242"/>
      <c r="Q364" s="242"/>
      <c r="R364" s="242"/>
      <c r="S364" s="242"/>
      <c r="T364" s="242"/>
      <c r="U364" s="242"/>
      <c r="V364" s="242"/>
      <c r="W364" s="242"/>
      <c r="X364" s="242"/>
      <c r="Y364" s="242"/>
      <c r="Z364" s="242"/>
      <c r="AA364" s="242"/>
      <c r="AB364" s="242"/>
      <c r="AC364" s="242"/>
      <c r="AD364" s="242"/>
      <c r="AE364" s="242"/>
      <c r="AF364" s="242"/>
      <c r="AG364" s="242"/>
      <c r="AH364" s="242"/>
      <c r="AI364" s="242"/>
      <c r="AJ364" s="242"/>
      <c r="AK364" s="242"/>
      <c r="AL364" s="242"/>
      <c r="AM364" s="242"/>
      <c r="AN364" s="242"/>
      <c r="AO364" s="242"/>
      <c r="AP364" s="242"/>
      <c r="AQ364" s="242"/>
      <c r="AR364" s="242"/>
      <c r="AS364" s="242"/>
      <c r="AT364" s="242"/>
      <c r="AU364" s="242"/>
      <c r="AV364" s="242"/>
      <c r="AW364" s="242"/>
      <c r="AX364" s="242"/>
      <c r="AY364" s="242"/>
      <c r="AZ364" s="242"/>
      <c r="BA364" s="242"/>
      <c r="BB364" s="242"/>
      <c r="BC364" s="242"/>
      <c r="BD364" s="242"/>
      <c r="BE364" s="242"/>
      <c r="BF364" s="242"/>
      <c r="BG364" s="242"/>
      <c r="BH364" s="242"/>
      <c r="BI364" s="242"/>
      <c r="BJ364" s="242"/>
      <c r="BK364" s="242"/>
      <c r="BL364" s="242"/>
      <c r="BM364" s="242"/>
      <c r="BN364" s="242"/>
      <c r="BO364" s="242"/>
      <c r="BP364" s="242"/>
      <c r="BQ364" s="242"/>
      <c r="BR364" s="242"/>
      <c r="BS364" s="242"/>
      <c r="BT364" s="242"/>
      <c r="BU364" s="242"/>
      <c r="BV364" s="242"/>
      <c r="BW364" s="242"/>
      <c r="BX364" s="242"/>
      <c r="BY364" s="242"/>
      <c r="BZ364" s="242"/>
      <c r="CA364" s="242"/>
      <c r="CB364" s="242"/>
      <c r="CC364" s="242"/>
      <c r="CD364" s="242"/>
    </row>
    <row r="365" spans="1:82" ht="12.75" customHeight="1">
      <c r="A365" s="242"/>
      <c r="B365" s="242"/>
      <c r="C365" s="242"/>
      <c r="D365" s="242"/>
      <c r="E365" s="242"/>
      <c r="F365" s="242"/>
      <c r="G365" s="242"/>
      <c r="H365" s="278"/>
      <c r="I365" s="278"/>
      <c r="J365" s="242"/>
      <c r="K365" s="242"/>
      <c r="L365" s="242"/>
      <c r="M365" s="242"/>
      <c r="N365" s="242"/>
      <c r="O365" s="242"/>
      <c r="P365" s="242"/>
      <c r="Q365" s="242"/>
      <c r="R365" s="242"/>
      <c r="S365" s="242"/>
      <c r="T365" s="242"/>
      <c r="U365" s="242"/>
      <c r="V365" s="242"/>
      <c r="W365" s="242"/>
      <c r="X365" s="242"/>
      <c r="Y365" s="242"/>
      <c r="Z365" s="242"/>
      <c r="AA365" s="242"/>
      <c r="AB365" s="242"/>
      <c r="AC365" s="242"/>
      <c r="AD365" s="242"/>
      <c r="AE365" s="242"/>
      <c r="AF365" s="242"/>
      <c r="AG365" s="242"/>
      <c r="AH365" s="242"/>
      <c r="AI365" s="242"/>
      <c r="AJ365" s="242"/>
      <c r="AK365" s="242"/>
      <c r="AL365" s="242"/>
      <c r="AM365" s="242"/>
      <c r="AN365" s="242"/>
      <c r="AO365" s="242"/>
      <c r="AP365" s="242"/>
      <c r="AQ365" s="242"/>
      <c r="AR365" s="242"/>
      <c r="AS365" s="242"/>
      <c r="AT365" s="242"/>
      <c r="AU365" s="242"/>
      <c r="AV365" s="242"/>
      <c r="AW365" s="242"/>
      <c r="AX365" s="242"/>
      <c r="AY365" s="242"/>
      <c r="AZ365" s="242"/>
      <c r="BA365" s="242"/>
      <c r="BB365" s="242"/>
      <c r="BC365" s="242"/>
      <c r="BD365" s="242"/>
      <c r="BE365" s="242"/>
      <c r="BF365" s="242"/>
      <c r="BG365" s="242"/>
      <c r="BH365" s="242"/>
      <c r="BI365" s="242"/>
      <c r="BJ365" s="242"/>
      <c r="BK365" s="242"/>
      <c r="BL365" s="242"/>
      <c r="BM365" s="242"/>
      <c r="BN365" s="242"/>
      <c r="BO365" s="242"/>
      <c r="BP365" s="242"/>
      <c r="BQ365" s="242"/>
      <c r="BR365" s="242"/>
      <c r="BS365" s="242"/>
      <c r="BT365" s="242"/>
      <c r="BU365" s="242"/>
      <c r="BV365" s="242"/>
      <c r="BW365" s="242"/>
      <c r="BX365" s="242"/>
      <c r="BY365" s="242"/>
      <c r="BZ365" s="242"/>
      <c r="CA365" s="242"/>
      <c r="CB365" s="242"/>
      <c r="CC365" s="242"/>
      <c r="CD365" s="242"/>
    </row>
    <row r="366" spans="1:82" ht="12.75" customHeight="1">
      <c r="A366" s="242"/>
      <c r="B366" s="242"/>
      <c r="C366" s="242"/>
      <c r="D366" s="242"/>
      <c r="E366" s="242"/>
      <c r="F366" s="242"/>
      <c r="G366" s="242"/>
      <c r="H366" s="278"/>
      <c r="I366" s="278"/>
      <c r="J366" s="242"/>
      <c r="K366" s="242"/>
      <c r="L366" s="242"/>
      <c r="M366" s="242"/>
      <c r="N366" s="242"/>
      <c r="O366" s="242"/>
      <c r="P366" s="242"/>
      <c r="Q366" s="242"/>
      <c r="R366" s="242"/>
      <c r="S366" s="242"/>
      <c r="T366" s="242"/>
      <c r="U366" s="242"/>
      <c r="V366" s="242"/>
      <c r="W366" s="242"/>
      <c r="X366" s="242"/>
      <c r="Y366" s="242"/>
      <c r="Z366" s="242"/>
      <c r="AA366" s="242"/>
      <c r="AB366" s="242"/>
      <c r="AC366" s="242"/>
      <c r="AD366" s="242"/>
      <c r="AE366" s="242"/>
      <c r="AF366" s="242"/>
      <c r="AG366" s="242"/>
      <c r="AH366" s="242"/>
      <c r="AI366" s="242"/>
      <c r="AJ366" s="242"/>
      <c r="AK366" s="242"/>
      <c r="AL366" s="242"/>
      <c r="AM366" s="242"/>
      <c r="AN366" s="242"/>
      <c r="AO366" s="242"/>
      <c r="AP366" s="242"/>
      <c r="AQ366" s="242"/>
      <c r="AR366" s="242"/>
      <c r="AS366" s="242"/>
      <c r="AT366" s="242"/>
      <c r="AU366" s="242"/>
      <c r="AV366" s="242"/>
      <c r="AW366" s="242"/>
      <c r="AX366" s="242"/>
      <c r="AY366" s="242"/>
      <c r="AZ366" s="242"/>
      <c r="BA366" s="242"/>
      <c r="BB366" s="242"/>
      <c r="BC366" s="242"/>
      <c r="BD366" s="242"/>
      <c r="BE366" s="242"/>
      <c r="BF366" s="242"/>
      <c r="BG366" s="242"/>
      <c r="BH366" s="242"/>
      <c r="BI366" s="242"/>
      <c r="BJ366" s="242"/>
      <c r="BK366" s="242"/>
      <c r="BL366" s="242"/>
      <c r="BM366" s="242"/>
      <c r="BN366" s="242"/>
      <c r="BO366" s="242"/>
      <c r="BP366" s="242"/>
      <c r="BQ366" s="242"/>
      <c r="BR366" s="242"/>
      <c r="BS366" s="242"/>
      <c r="BT366" s="242"/>
      <c r="BU366" s="242"/>
      <c r="BV366" s="242"/>
      <c r="BW366" s="242"/>
      <c r="BX366" s="242"/>
      <c r="BY366" s="242"/>
      <c r="BZ366" s="242"/>
      <c r="CA366" s="242"/>
      <c r="CB366" s="242"/>
      <c r="CC366" s="242"/>
      <c r="CD366" s="242"/>
    </row>
    <row r="367" spans="1:82" ht="12.75" customHeight="1">
      <c r="A367" s="242"/>
      <c r="B367" s="242"/>
      <c r="C367" s="242"/>
      <c r="D367" s="242"/>
      <c r="E367" s="242"/>
      <c r="F367" s="242"/>
      <c r="G367" s="242"/>
      <c r="H367" s="278"/>
      <c r="I367" s="278"/>
      <c r="J367" s="242"/>
      <c r="K367" s="242"/>
      <c r="L367" s="242"/>
      <c r="M367" s="242"/>
      <c r="N367" s="242"/>
      <c r="O367" s="242"/>
      <c r="P367" s="242"/>
      <c r="Q367" s="242"/>
      <c r="R367" s="242"/>
      <c r="S367" s="242"/>
      <c r="T367" s="242"/>
      <c r="U367" s="242"/>
      <c r="V367" s="242"/>
      <c r="W367" s="242"/>
      <c r="X367" s="242"/>
      <c r="Y367" s="242"/>
      <c r="Z367" s="242"/>
      <c r="AA367" s="242"/>
      <c r="AB367" s="242"/>
      <c r="AC367" s="242"/>
      <c r="AD367" s="242"/>
      <c r="AE367" s="242"/>
      <c r="AF367" s="242"/>
      <c r="AG367" s="242"/>
      <c r="AH367" s="242"/>
      <c r="AI367" s="242"/>
      <c r="AJ367" s="242"/>
      <c r="AK367" s="242"/>
      <c r="AL367" s="242"/>
      <c r="AM367" s="242"/>
      <c r="AN367" s="242"/>
      <c r="AO367" s="242"/>
      <c r="AP367" s="242"/>
      <c r="AQ367" s="242"/>
      <c r="AR367" s="242"/>
      <c r="AS367" s="242"/>
      <c r="AT367" s="242"/>
      <c r="AU367" s="242"/>
      <c r="AV367" s="242"/>
      <c r="AW367" s="242"/>
      <c r="AX367" s="242"/>
      <c r="AY367" s="242"/>
      <c r="AZ367" s="242"/>
      <c r="BA367" s="242"/>
      <c r="BB367" s="242"/>
      <c r="BC367" s="242"/>
      <c r="BD367" s="242"/>
      <c r="BE367" s="242"/>
      <c r="BF367" s="242"/>
      <c r="BG367" s="242"/>
      <c r="BH367" s="242"/>
      <c r="BI367" s="242"/>
      <c r="BJ367" s="242"/>
      <c r="BK367" s="242"/>
      <c r="BL367" s="242"/>
      <c r="BM367" s="242"/>
      <c r="BN367" s="242"/>
      <c r="BO367" s="242"/>
      <c r="BP367" s="242"/>
      <c r="BQ367" s="242"/>
      <c r="BR367" s="242"/>
      <c r="BS367" s="242"/>
      <c r="BT367" s="242"/>
      <c r="BU367" s="242"/>
      <c r="BV367" s="242"/>
      <c r="BW367" s="242"/>
      <c r="BX367" s="242"/>
      <c r="BY367" s="242"/>
      <c r="BZ367" s="242"/>
      <c r="CA367" s="242"/>
      <c r="CB367" s="242"/>
      <c r="CC367" s="242"/>
      <c r="CD367" s="242"/>
    </row>
    <row r="368" spans="1:82" ht="12.75" customHeight="1">
      <c r="A368" s="242"/>
      <c r="B368" s="242"/>
      <c r="C368" s="242"/>
      <c r="D368" s="242"/>
      <c r="E368" s="242"/>
      <c r="F368" s="242"/>
      <c r="G368" s="242"/>
      <c r="H368" s="278"/>
      <c r="I368" s="278"/>
      <c r="J368" s="242"/>
      <c r="K368" s="242"/>
      <c r="L368" s="242"/>
      <c r="M368" s="242"/>
      <c r="N368" s="242"/>
      <c r="O368" s="242"/>
      <c r="P368" s="242"/>
      <c r="Q368" s="242"/>
      <c r="R368" s="242"/>
      <c r="S368" s="242"/>
      <c r="T368" s="242"/>
      <c r="U368" s="242"/>
      <c r="V368" s="242"/>
      <c r="W368" s="242"/>
      <c r="X368" s="242"/>
      <c r="Y368" s="242"/>
      <c r="Z368" s="242"/>
      <c r="AA368" s="242"/>
      <c r="AB368" s="242"/>
      <c r="AC368" s="242"/>
      <c r="AD368" s="242"/>
      <c r="AE368" s="242"/>
      <c r="AF368" s="242"/>
      <c r="AG368" s="242"/>
      <c r="AH368" s="242"/>
      <c r="AI368" s="242"/>
      <c r="AJ368" s="242"/>
      <c r="AK368" s="242"/>
      <c r="AL368" s="242"/>
      <c r="AM368" s="242"/>
      <c r="AN368" s="242"/>
      <c r="AO368" s="242"/>
      <c r="AP368" s="242"/>
      <c r="AQ368" s="242"/>
      <c r="AR368" s="242"/>
      <c r="AS368" s="242"/>
      <c r="AT368" s="242"/>
      <c r="AU368" s="242"/>
      <c r="AV368" s="242"/>
      <c r="AW368" s="242"/>
      <c r="AX368" s="242"/>
      <c r="AY368" s="242"/>
      <c r="AZ368" s="242"/>
      <c r="BA368" s="242"/>
      <c r="BB368" s="242"/>
      <c r="BC368" s="242"/>
      <c r="BD368" s="242"/>
      <c r="BE368" s="242"/>
      <c r="BF368" s="242"/>
      <c r="BG368" s="242"/>
      <c r="BH368" s="242"/>
      <c r="BI368" s="242"/>
      <c r="BJ368" s="242"/>
      <c r="BK368" s="242"/>
      <c r="BL368" s="242"/>
      <c r="BM368" s="242"/>
      <c r="BN368" s="242"/>
      <c r="BO368" s="242"/>
      <c r="BP368" s="242"/>
      <c r="BQ368" s="242"/>
      <c r="BR368" s="242"/>
      <c r="BS368" s="242"/>
      <c r="BT368" s="242"/>
      <c r="BU368" s="242"/>
      <c r="BV368" s="242"/>
      <c r="BW368" s="242"/>
      <c r="BX368" s="242"/>
      <c r="BY368" s="242"/>
      <c r="BZ368" s="242"/>
      <c r="CA368" s="242"/>
      <c r="CB368" s="242"/>
      <c r="CC368" s="242"/>
      <c r="CD368" s="242"/>
    </row>
    <row r="369" spans="1:82" ht="12.75" customHeight="1">
      <c r="A369" s="242"/>
      <c r="B369" s="242"/>
      <c r="C369" s="242"/>
      <c r="D369" s="242"/>
      <c r="E369" s="242"/>
      <c r="F369" s="242"/>
      <c r="G369" s="242"/>
      <c r="H369" s="278"/>
      <c r="I369" s="278"/>
      <c r="J369" s="242"/>
      <c r="K369" s="242"/>
      <c r="L369" s="242"/>
      <c r="M369" s="242"/>
      <c r="N369" s="242"/>
      <c r="O369" s="242"/>
      <c r="P369" s="242"/>
      <c r="Q369" s="242"/>
      <c r="R369" s="242"/>
      <c r="S369" s="242"/>
      <c r="T369" s="242"/>
      <c r="U369" s="242"/>
      <c r="V369" s="242"/>
      <c r="W369" s="242"/>
      <c r="X369" s="242"/>
      <c r="Y369" s="242"/>
      <c r="Z369" s="242"/>
      <c r="AA369" s="242"/>
      <c r="AB369" s="242"/>
      <c r="AC369" s="242"/>
      <c r="AD369" s="242"/>
      <c r="AE369" s="242"/>
      <c r="AF369" s="242"/>
      <c r="AG369" s="242"/>
      <c r="AH369" s="242"/>
      <c r="AI369" s="242"/>
      <c r="AJ369" s="242"/>
      <c r="AK369" s="242"/>
      <c r="AL369" s="242"/>
      <c r="AM369" s="242"/>
      <c r="AN369" s="242"/>
      <c r="AO369" s="242"/>
      <c r="AP369" s="242"/>
      <c r="AQ369" s="242"/>
      <c r="AR369" s="242"/>
      <c r="AS369" s="242"/>
      <c r="AT369" s="242"/>
      <c r="AU369" s="242"/>
      <c r="AV369" s="242"/>
      <c r="AW369" s="242"/>
      <c r="AX369" s="242"/>
      <c r="AY369" s="242"/>
      <c r="AZ369" s="242"/>
      <c r="BA369" s="242"/>
      <c r="BB369" s="242"/>
      <c r="BC369" s="242"/>
      <c r="BD369" s="242"/>
      <c r="BE369" s="242"/>
      <c r="BF369" s="242"/>
      <c r="BG369" s="242"/>
      <c r="BH369" s="242"/>
      <c r="BI369" s="242"/>
      <c r="BJ369" s="242"/>
      <c r="BK369" s="242"/>
      <c r="BL369" s="242"/>
      <c r="BM369" s="242"/>
      <c r="BN369" s="242"/>
      <c r="BO369" s="242"/>
      <c r="BP369" s="242"/>
      <c r="BQ369" s="242"/>
      <c r="BR369" s="242"/>
      <c r="BS369" s="242"/>
      <c r="BT369" s="242"/>
      <c r="BU369" s="242"/>
      <c r="BV369" s="242"/>
      <c r="BW369" s="242"/>
      <c r="BX369" s="242"/>
      <c r="BY369" s="242"/>
      <c r="BZ369" s="242"/>
      <c r="CA369" s="242"/>
      <c r="CB369" s="242"/>
      <c r="CC369" s="242"/>
      <c r="CD369" s="242"/>
    </row>
    <row r="370" spans="1:82" ht="12.75" customHeight="1">
      <c r="A370" s="242"/>
      <c r="B370" s="242"/>
      <c r="C370" s="242"/>
      <c r="D370" s="242"/>
      <c r="E370" s="242"/>
      <c r="F370" s="242"/>
      <c r="G370" s="242"/>
      <c r="H370" s="278"/>
      <c r="I370" s="278"/>
      <c r="J370" s="242"/>
      <c r="K370" s="242"/>
      <c r="L370" s="242"/>
      <c r="M370" s="242"/>
      <c r="N370" s="242"/>
      <c r="O370" s="242"/>
      <c r="P370" s="242"/>
      <c r="Q370" s="242"/>
      <c r="R370" s="242"/>
      <c r="S370" s="242"/>
      <c r="T370" s="242"/>
      <c r="U370" s="242"/>
      <c r="V370" s="242"/>
      <c r="W370" s="242"/>
      <c r="X370" s="242"/>
      <c r="Y370" s="242"/>
      <c r="Z370" s="242"/>
      <c r="AA370" s="242"/>
      <c r="AB370" s="242"/>
      <c r="AC370" s="242"/>
      <c r="AD370" s="242"/>
      <c r="AE370" s="242"/>
      <c r="AF370" s="242"/>
      <c r="AG370" s="242"/>
      <c r="AH370" s="242"/>
      <c r="AI370" s="242"/>
      <c r="AJ370" s="242"/>
      <c r="AK370" s="242"/>
      <c r="AL370" s="242"/>
      <c r="AM370" s="242"/>
      <c r="AN370" s="242"/>
      <c r="AO370" s="242"/>
      <c r="AP370" s="242"/>
      <c r="AQ370" s="242"/>
      <c r="AR370" s="242"/>
      <c r="AS370" s="242"/>
      <c r="AT370" s="242"/>
      <c r="AU370" s="242"/>
      <c r="AV370" s="242"/>
      <c r="AW370" s="242"/>
      <c r="AX370" s="242"/>
      <c r="AY370" s="242"/>
      <c r="AZ370" s="242"/>
      <c r="BA370" s="242"/>
      <c r="BB370" s="242"/>
      <c r="BC370" s="242"/>
      <c r="BD370" s="242"/>
      <c r="BE370" s="242"/>
      <c r="BF370" s="242"/>
      <c r="BG370" s="242"/>
      <c r="BH370" s="242"/>
      <c r="BI370" s="242"/>
      <c r="BJ370" s="242"/>
      <c r="BK370" s="242"/>
      <c r="BL370" s="242"/>
      <c r="BM370" s="242"/>
      <c r="BN370" s="242"/>
      <c r="BO370" s="242"/>
      <c r="BP370" s="242"/>
      <c r="BQ370" s="242"/>
      <c r="BR370" s="242"/>
      <c r="BS370" s="242"/>
      <c r="BT370" s="242"/>
      <c r="BU370" s="242"/>
      <c r="BV370" s="242"/>
      <c r="BW370" s="242"/>
      <c r="BX370" s="242"/>
      <c r="BY370" s="242"/>
      <c r="BZ370" s="242"/>
      <c r="CA370" s="242"/>
      <c r="CB370" s="242"/>
      <c r="CC370" s="242"/>
      <c r="CD370" s="242"/>
    </row>
    <row r="371" spans="1:82" ht="12.75" customHeight="1">
      <c r="A371" s="242"/>
      <c r="B371" s="242"/>
      <c r="C371" s="242"/>
      <c r="D371" s="242"/>
      <c r="E371" s="242"/>
      <c r="F371" s="242"/>
      <c r="G371" s="242"/>
      <c r="H371" s="278"/>
      <c r="I371" s="278"/>
      <c r="J371" s="242"/>
      <c r="K371" s="242"/>
      <c r="L371" s="242"/>
      <c r="M371" s="242"/>
      <c r="N371" s="242"/>
      <c r="O371" s="242"/>
      <c r="P371" s="242"/>
      <c r="Q371" s="242"/>
      <c r="R371" s="242"/>
      <c r="S371" s="242"/>
      <c r="T371" s="242"/>
      <c r="U371" s="242"/>
      <c r="V371" s="242"/>
      <c r="W371" s="242"/>
      <c r="X371" s="242"/>
      <c r="Y371" s="242"/>
      <c r="Z371" s="242"/>
      <c r="AA371" s="242"/>
      <c r="AB371" s="242"/>
      <c r="AC371" s="242"/>
      <c r="AD371" s="242"/>
      <c r="AE371" s="242"/>
      <c r="AF371" s="242"/>
      <c r="AG371" s="242"/>
      <c r="AH371" s="242"/>
      <c r="AI371" s="242"/>
      <c r="AJ371" s="242"/>
      <c r="AK371" s="242"/>
      <c r="AL371" s="242"/>
      <c r="AM371" s="242"/>
      <c r="AN371" s="242"/>
      <c r="AO371" s="242"/>
      <c r="AP371" s="242"/>
      <c r="AQ371" s="242"/>
      <c r="AR371" s="242"/>
      <c r="AS371" s="242"/>
      <c r="AT371" s="242"/>
      <c r="AU371" s="242"/>
      <c r="AV371" s="242"/>
      <c r="AW371" s="242"/>
      <c r="AX371" s="242"/>
      <c r="AY371" s="242"/>
      <c r="AZ371" s="242"/>
      <c r="BA371" s="242"/>
      <c r="BB371" s="242"/>
      <c r="BC371" s="242"/>
      <c r="BD371" s="242"/>
      <c r="BE371" s="242"/>
      <c r="BF371" s="242"/>
      <c r="BG371" s="242"/>
      <c r="BH371" s="242"/>
      <c r="BI371" s="242"/>
      <c r="BJ371" s="242"/>
      <c r="BK371" s="242"/>
      <c r="BL371" s="242"/>
      <c r="BM371" s="242"/>
      <c r="BN371" s="242"/>
      <c r="BO371" s="242"/>
      <c r="BP371" s="242"/>
      <c r="BQ371" s="242"/>
      <c r="BR371" s="242"/>
      <c r="BS371" s="242"/>
      <c r="BT371" s="242"/>
      <c r="BU371" s="242"/>
      <c r="BV371" s="242"/>
      <c r="BW371" s="242"/>
      <c r="BX371" s="242"/>
      <c r="BY371" s="242"/>
      <c r="BZ371" s="242"/>
      <c r="CA371" s="242"/>
      <c r="CB371" s="242"/>
      <c r="CC371" s="242"/>
      <c r="CD371" s="242"/>
    </row>
    <row r="372" spans="1:82" ht="12.75" customHeight="1">
      <c r="A372" s="242"/>
      <c r="B372" s="242"/>
      <c r="C372" s="242"/>
      <c r="D372" s="242"/>
      <c r="E372" s="242"/>
      <c r="F372" s="242"/>
      <c r="G372" s="242"/>
      <c r="H372" s="278"/>
      <c r="I372" s="278"/>
      <c r="J372" s="242"/>
      <c r="K372" s="242"/>
      <c r="L372" s="242"/>
      <c r="M372" s="242"/>
      <c r="N372" s="242"/>
      <c r="O372" s="242"/>
      <c r="P372" s="242"/>
      <c r="Q372" s="242"/>
      <c r="R372" s="242"/>
      <c r="S372" s="242"/>
      <c r="T372" s="242"/>
      <c r="U372" s="242"/>
      <c r="V372" s="242"/>
      <c r="W372" s="242"/>
      <c r="X372" s="242"/>
      <c r="Y372" s="242"/>
      <c r="Z372" s="242"/>
      <c r="AA372" s="242"/>
      <c r="AB372" s="242"/>
      <c r="AC372" s="242"/>
      <c r="AD372" s="242"/>
      <c r="AE372" s="242"/>
      <c r="AF372" s="242"/>
      <c r="AG372" s="242"/>
      <c r="AH372" s="242"/>
      <c r="AI372" s="242"/>
      <c r="AJ372" s="242"/>
      <c r="AK372" s="242"/>
      <c r="AL372" s="242"/>
      <c r="AM372" s="242"/>
      <c r="AN372" s="242"/>
      <c r="AO372" s="242"/>
      <c r="AP372" s="242"/>
      <c r="AQ372" s="242"/>
      <c r="AR372" s="242"/>
      <c r="AS372" s="242"/>
      <c r="AT372" s="242"/>
      <c r="AU372" s="242"/>
      <c r="AV372" s="242"/>
      <c r="AW372" s="242"/>
      <c r="AX372" s="242"/>
      <c r="AY372" s="242"/>
      <c r="AZ372" s="242"/>
      <c r="BA372" s="242"/>
      <c r="BB372" s="242"/>
      <c r="BC372" s="242"/>
      <c r="BD372" s="242"/>
      <c r="BE372" s="242"/>
      <c r="BF372" s="242"/>
      <c r="BG372" s="242"/>
      <c r="BH372" s="242"/>
      <c r="BI372" s="242"/>
      <c r="BJ372" s="242"/>
      <c r="BK372" s="242"/>
      <c r="BL372" s="242"/>
      <c r="BM372" s="242"/>
      <c r="BN372" s="242"/>
      <c r="BO372" s="242"/>
      <c r="BP372" s="242"/>
      <c r="BQ372" s="242"/>
      <c r="BR372" s="242"/>
      <c r="BS372" s="242"/>
      <c r="BT372" s="242"/>
      <c r="BU372" s="242"/>
      <c r="BV372" s="242"/>
      <c r="BW372" s="242"/>
      <c r="BX372" s="242"/>
      <c r="BY372" s="242"/>
      <c r="BZ372" s="242"/>
      <c r="CA372" s="242"/>
      <c r="CB372" s="242"/>
      <c r="CC372" s="242"/>
      <c r="CD372" s="242"/>
    </row>
    <row r="373" spans="1:82" ht="12.75" customHeight="1">
      <c r="A373" s="242"/>
      <c r="B373" s="242"/>
      <c r="C373" s="242"/>
      <c r="D373" s="242"/>
      <c r="E373" s="242"/>
      <c r="F373" s="242"/>
      <c r="G373" s="242"/>
      <c r="H373" s="278"/>
      <c r="I373" s="278"/>
      <c r="J373" s="242"/>
      <c r="K373" s="242"/>
      <c r="L373" s="242"/>
      <c r="M373" s="242"/>
      <c r="N373" s="242"/>
      <c r="O373" s="242"/>
      <c r="P373" s="242"/>
      <c r="Q373" s="242"/>
      <c r="R373" s="242"/>
      <c r="S373" s="242"/>
      <c r="T373" s="242"/>
      <c r="U373" s="242"/>
      <c r="V373" s="242"/>
      <c r="W373" s="242"/>
      <c r="X373" s="242"/>
      <c r="Y373" s="242"/>
      <c r="Z373" s="242"/>
      <c r="AA373" s="242"/>
      <c r="AB373" s="242"/>
      <c r="AC373" s="242"/>
      <c r="AD373" s="242"/>
      <c r="AE373" s="242"/>
      <c r="AF373" s="242"/>
      <c r="AG373" s="242"/>
      <c r="AH373" s="242"/>
      <c r="AI373" s="242"/>
      <c r="AJ373" s="242"/>
      <c r="AK373" s="242"/>
      <c r="AL373" s="242"/>
      <c r="AM373" s="242"/>
      <c r="AN373" s="242"/>
      <c r="AO373" s="242"/>
      <c r="AP373" s="242"/>
      <c r="AQ373" s="242"/>
      <c r="AR373" s="242"/>
      <c r="AS373" s="242"/>
      <c r="AT373" s="242"/>
      <c r="AU373" s="242"/>
      <c r="AV373" s="242"/>
      <c r="AW373" s="242"/>
      <c r="AX373" s="242"/>
      <c r="AY373" s="242"/>
      <c r="AZ373" s="242"/>
      <c r="BA373" s="242"/>
      <c r="BB373" s="242"/>
      <c r="BC373" s="242"/>
      <c r="BD373" s="242"/>
      <c r="BE373" s="242"/>
      <c r="BF373" s="242"/>
      <c r="BG373" s="242"/>
      <c r="BH373" s="242"/>
      <c r="BI373" s="242"/>
      <c r="BJ373" s="242"/>
      <c r="BK373" s="242"/>
      <c r="BL373" s="242"/>
      <c r="BM373" s="242"/>
      <c r="BN373" s="242"/>
      <c r="BO373" s="242"/>
      <c r="BP373" s="242"/>
      <c r="BQ373" s="242"/>
      <c r="BR373" s="242"/>
      <c r="BS373" s="242"/>
      <c r="BT373" s="242"/>
      <c r="BU373" s="242"/>
      <c r="BV373" s="242"/>
      <c r="BW373" s="242"/>
      <c r="BX373" s="242"/>
      <c r="BY373" s="242"/>
      <c r="BZ373" s="242"/>
      <c r="CA373" s="242"/>
      <c r="CB373" s="242"/>
      <c r="CC373" s="242"/>
      <c r="CD373" s="242"/>
    </row>
    <row r="374" spans="1:82" ht="12.75" customHeight="1">
      <c r="A374" s="242"/>
      <c r="B374" s="242"/>
      <c r="C374" s="242"/>
      <c r="D374" s="242"/>
      <c r="E374" s="242"/>
      <c r="F374" s="242"/>
      <c r="G374" s="242"/>
      <c r="H374" s="278"/>
      <c r="I374" s="278"/>
      <c r="J374" s="242"/>
      <c r="K374" s="242"/>
      <c r="L374" s="242"/>
      <c r="M374" s="242"/>
      <c r="N374" s="242"/>
      <c r="O374" s="242"/>
      <c r="P374" s="242"/>
      <c r="Q374" s="242"/>
      <c r="R374" s="242"/>
      <c r="S374" s="242"/>
      <c r="T374" s="242"/>
      <c r="U374" s="242"/>
      <c r="V374" s="242"/>
      <c r="W374" s="242"/>
      <c r="X374" s="242"/>
      <c r="Y374" s="242"/>
      <c r="Z374" s="242"/>
      <c r="AA374" s="242"/>
      <c r="AB374" s="242"/>
      <c r="AC374" s="242"/>
      <c r="AD374" s="242"/>
      <c r="AE374" s="242"/>
      <c r="AF374" s="242"/>
      <c r="AG374" s="242"/>
      <c r="AH374" s="242"/>
      <c r="AI374" s="242"/>
      <c r="AJ374" s="242"/>
      <c r="AK374" s="242"/>
      <c r="AL374" s="242"/>
      <c r="AM374" s="242"/>
      <c r="AN374" s="242"/>
      <c r="AO374" s="242"/>
      <c r="AP374" s="242"/>
      <c r="AQ374" s="242"/>
      <c r="AR374" s="242"/>
      <c r="AS374" s="242"/>
      <c r="AT374" s="242"/>
      <c r="AU374" s="242"/>
      <c r="AV374" s="242"/>
      <c r="AW374" s="242"/>
      <c r="AX374" s="242"/>
      <c r="AY374" s="242"/>
      <c r="AZ374" s="242"/>
      <c r="BA374" s="242"/>
      <c r="BB374" s="242"/>
      <c r="BC374" s="242"/>
      <c r="BD374" s="242"/>
      <c r="BE374" s="242"/>
      <c r="BF374" s="242"/>
      <c r="BG374" s="242"/>
      <c r="BH374" s="242"/>
      <c r="BI374" s="242"/>
      <c r="BJ374" s="242"/>
      <c r="BK374" s="242"/>
      <c r="BL374" s="242"/>
      <c r="BM374" s="242"/>
      <c r="BN374" s="242"/>
      <c r="BO374" s="242"/>
      <c r="BP374" s="242"/>
      <c r="BQ374" s="242"/>
      <c r="BR374" s="242"/>
      <c r="BS374" s="242"/>
      <c r="BT374" s="242"/>
      <c r="BU374" s="242"/>
      <c r="BV374" s="242"/>
      <c r="BW374" s="242"/>
      <c r="BX374" s="242"/>
      <c r="BY374" s="242"/>
      <c r="BZ374" s="242"/>
      <c r="CA374" s="242"/>
      <c r="CB374" s="242"/>
      <c r="CC374" s="242"/>
      <c r="CD374" s="242"/>
    </row>
    <row r="375" spans="1:82" ht="12.75" customHeight="1">
      <c r="A375" s="242"/>
      <c r="B375" s="242"/>
      <c r="C375" s="242"/>
      <c r="D375" s="242"/>
      <c r="E375" s="242"/>
      <c r="F375" s="242"/>
      <c r="G375" s="242"/>
      <c r="H375" s="278"/>
      <c r="I375" s="278"/>
      <c r="J375" s="242"/>
      <c r="K375" s="242"/>
      <c r="L375" s="242"/>
      <c r="M375" s="242"/>
      <c r="N375" s="242"/>
      <c r="O375" s="242"/>
      <c r="P375" s="242"/>
      <c r="Q375" s="242"/>
      <c r="R375" s="242"/>
      <c r="S375" s="242"/>
      <c r="T375" s="242"/>
      <c r="U375" s="242"/>
      <c r="V375" s="242"/>
      <c r="W375" s="242"/>
      <c r="X375" s="242"/>
      <c r="Y375" s="242"/>
      <c r="Z375" s="242"/>
      <c r="AA375" s="242"/>
      <c r="AB375" s="242"/>
      <c r="AC375" s="242"/>
      <c r="AD375" s="242"/>
      <c r="AE375" s="242"/>
      <c r="AF375" s="242"/>
      <c r="AG375" s="242"/>
      <c r="AH375" s="242"/>
      <c r="AI375" s="242"/>
      <c r="AJ375" s="242"/>
      <c r="AK375" s="242"/>
      <c r="AL375" s="242"/>
      <c r="AM375" s="242"/>
      <c r="AN375" s="242"/>
      <c r="AO375" s="242"/>
      <c r="AP375" s="242"/>
      <c r="AQ375" s="242"/>
      <c r="AR375" s="242"/>
      <c r="AS375" s="242"/>
      <c r="AT375" s="242"/>
      <c r="AU375" s="242"/>
      <c r="AV375" s="242"/>
      <c r="AW375" s="242"/>
      <c r="AX375" s="242"/>
      <c r="AY375" s="242"/>
      <c r="AZ375" s="242"/>
      <c r="BA375" s="242"/>
      <c r="BB375" s="242"/>
      <c r="BC375" s="242"/>
      <c r="BD375" s="242"/>
      <c r="BE375" s="242"/>
      <c r="BF375" s="242"/>
      <c r="BG375" s="242"/>
      <c r="BH375" s="242"/>
      <c r="BI375" s="242"/>
      <c r="BJ375" s="242"/>
      <c r="BK375" s="242"/>
      <c r="BL375" s="242"/>
      <c r="BM375" s="242"/>
      <c r="BN375" s="242"/>
      <c r="BO375" s="242"/>
      <c r="BP375" s="242"/>
      <c r="BQ375" s="242"/>
      <c r="BR375" s="242"/>
      <c r="BS375" s="242"/>
      <c r="BT375" s="242"/>
      <c r="BU375" s="242"/>
      <c r="BV375" s="242"/>
      <c r="BW375" s="242"/>
      <c r="BX375" s="242"/>
      <c r="BY375" s="242"/>
      <c r="BZ375" s="242"/>
      <c r="CA375" s="242"/>
      <c r="CB375" s="242"/>
      <c r="CC375" s="242"/>
      <c r="CD375" s="242"/>
    </row>
    <row r="376" spans="1:82" ht="12.75" customHeight="1">
      <c r="A376" s="242"/>
      <c r="B376" s="242"/>
      <c r="C376" s="242"/>
      <c r="D376" s="242"/>
      <c r="E376" s="242"/>
      <c r="F376" s="242"/>
      <c r="G376" s="242"/>
      <c r="H376" s="278"/>
      <c r="I376" s="278"/>
      <c r="J376" s="242"/>
      <c r="K376" s="242"/>
      <c r="L376" s="242"/>
      <c r="M376" s="242"/>
      <c r="N376" s="242"/>
      <c r="O376" s="242"/>
      <c r="P376" s="242"/>
      <c r="Q376" s="242"/>
      <c r="R376" s="242"/>
      <c r="S376" s="242"/>
      <c r="T376" s="242"/>
      <c r="U376" s="242"/>
      <c r="V376" s="242"/>
      <c r="W376" s="242"/>
      <c r="X376" s="242"/>
      <c r="Y376" s="242"/>
      <c r="Z376" s="242"/>
      <c r="AA376" s="242"/>
      <c r="AB376" s="242"/>
      <c r="AC376" s="242"/>
      <c r="AD376" s="242"/>
      <c r="AE376" s="242"/>
      <c r="AF376" s="242"/>
      <c r="AG376" s="242"/>
      <c r="AH376" s="242"/>
      <c r="AI376" s="242"/>
      <c r="AJ376" s="242"/>
      <c r="AK376" s="242"/>
      <c r="AL376" s="242"/>
      <c r="AM376" s="242"/>
      <c r="AN376" s="242"/>
      <c r="AO376" s="242"/>
      <c r="AP376" s="242"/>
      <c r="AQ376" s="242"/>
      <c r="AR376" s="242"/>
      <c r="AS376" s="242"/>
      <c r="AT376" s="242"/>
      <c r="AU376" s="242"/>
      <c r="AV376" s="242"/>
      <c r="AW376" s="242"/>
      <c r="AX376" s="242"/>
      <c r="AY376" s="242"/>
      <c r="AZ376" s="242"/>
      <c r="BA376" s="242"/>
      <c r="BB376" s="242"/>
      <c r="BC376" s="242"/>
      <c r="BD376" s="242"/>
      <c r="BE376" s="242"/>
      <c r="BF376" s="242"/>
      <c r="BG376" s="242"/>
      <c r="BH376" s="242"/>
      <c r="BI376" s="242"/>
      <c r="BJ376" s="242"/>
      <c r="BK376" s="242"/>
      <c r="BL376" s="242"/>
      <c r="BM376" s="242"/>
      <c r="BN376" s="242"/>
      <c r="BO376" s="242"/>
      <c r="BP376" s="242"/>
      <c r="BQ376" s="242"/>
      <c r="BR376" s="242"/>
      <c r="BS376" s="242"/>
      <c r="BT376" s="242"/>
      <c r="BU376" s="242"/>
      <c r="BV376" s="242"/>
      <c r="BW376" s="242"/>
      <c r="BX376" s="242"/>
      <c r="BY376" s="242"/>
      <c r="BZ376" s="242"/>
      <c r="CA376" s="242"/>
      <c r="CB376" s="242"/>
      <c r="CC376" s="242"/>
      <c r="CD376" s="242"/>
    </row>
    <row r="377" spans="1:82" ht="12.75" customHeight="1">
      <c r="A377" s="242"/>
      <c r="B377" s="242"/>
      <c r="C377" s="242"/>
      <c r="D377" s="242"/>
      <c r="E377" s="242"/>
      <c r="F377" s="242"/>
      <c r="G377" s="242"/>
      <c r="H377" s="278"/>
      <c r="I377" s="278"/>
      <c r="J377" s="242"/>
      <c r="K377" s="242"/>
      <c r="L377" s="242"/>
      <c r="M377" s="242"/>
      <c r="N377" s="242"/>
      <c r="O377" s="242"/>
      <c r="P377" s="242"/>
      <c r="Q377" s="242"/>
      <c r="R377" s="242"/>
      <c r="S377" s="242"/>
      <c r="T377" s="242"/>
      <c r="U377" s="242"/>
      <c r="V377" s="242"/>
      <c r="W377" s="242"/>
      <c r="X377" s="242"/>
      <c r="Y377" s="242"/>
      <c r="Z377" s="242"/>
      <c r="AA377" s="242"/>
      <c r="AB377" s="242"/>
      <c r="AC377" s="242"/>
      <c r="AD377" s="242"/>
      <c r="AE377" s="242"/>
      <c r="AF377" s="242"/>
      <c r="AG377" s="242"/>
      <c r="AH377" s="242"/>
      <c r="AI377" s="242"/>
      <c r="AJ377" s="242"/>
      <c r="AK377" s="242"/>
      <c r="AL377" s="242"/>
      <c r="AM377" s="242"/>
      <c r="AN377" s="242"/>
      <c r="AO377" s="242"/>
      <c r="AP377" s="242"/>
      <c r="AQ377" s="242"/>
      <c r="AR377" s="242"/>
      <c r="AS377" s="242"/>
      <c r="AT377" s="242"/>
      <c r="AU377" s="242"/>
      <c r="AV377" s="242"/>
      <c r="AW377" s="242"/>
      <c r="AX377" s="242"/>
      <c r="AY377" s="242"/>
      <c r="AZ377" s="242"/>
      <c r="BA377" s="242"/>
      <c r="BB377" s="242"/>
      <c r="BC377" s="242"/>
      <c r="BD377" s="242"/>
      <c r="BE377" s="242"/>
      <c r="BF377" s="242"/>
      <c r="BG377" s="242"/>
      <c r="BH377" s="242"/>
      <c r="BI377" s="242"/>
      <c r="BJ377" s="242"/>
      <c r="BK377" s="242"/>
      <c r="BL377" s="242"/>
      <c r="BM377" s="242"/>
      <c r="BN377" s="242"/>
      <c r="BO377" s="242"/>
      <c r="BP377" s="242"/>
      <c r="BQ377" s="242"/>
      <c r="BR377" s="242"/>
      <c r="BS377" s="242"/>
      <c r="BT377" s="242"/>
      <c r="BU377" s="242"/>
      <c r="BV377" s="242"/>
      <c r="BW377" s="242"/>
      <c r="BX377" s="242"/>
      <c r="BY377" s="242"/>
      <c r="BZ377" s="242"/>
      <c r="CA377" s="242"/>
      <c r="CB377" s="242"/>
      <c r="CC377" s="242"/>
      <c r="CD377" s="242"/>
    </row>
    <row r="378" spans="1:82" ht="12.75" customHeight="1">
      <c r="A378" s="242"/>
      <c r="B378" s="242"/>
      <c r="C378" s="242"/>
      <c r="D378" s="242"/>
      <c r="E378" s="242"/>
      <c r="F378" s="242"/>
      <c r="G378" s="242"/>
      <c r="H378" s="278"/>
      <c r="I378" s="278"/>
      <c r="J378" s="242"/>
      <c r="K378" s="242"/>
      <c r="L378" s="242"/>
      <c r="M378" s="242"/>
      <c r="N378" s="242"/>
      <c r="O378" s="242"/>
      <c r="P378" s="242"/>
      <c r="Q378" s="242"/>
      <c r="R378" s="242"/>
      <c r="S378" s="242"/>
      <c r="T378" s="242"/>
      <c r="U378" s="242"/>
      <c r="V378" s="242"/>
      <c r="W378" s="242"/>
      <c r="X378" s="242"/>
      <c r="Y378" s="242"/>
      <c r="Z378" s="242"/>
      <c r="AA378" s="242"/>
      <c r="AB378" s="242"/>
      <c r="AC378" s="242"/>
      <c r="AD378" s="242"/>
      <c r="AE378" s="242"/>
      <c r="AF378" s="242"/>
      <c r="AG378" s="242"/>
      <c r="AH378" s="242"/>
      <c r="AI378" s="242"/>
      <c r="AJ378" s="242"/>
      <c r="AK378" s="242"/>
      <c r="AL378" s="242"/>
      <c r="AM378" s="242"/>
      <c r="AN378" s="242"/>
      <c r="AO378" s="242"/>
      <c r="AP378" s="242"/>
      <c r="AQ378" s="242"/>
      <c r="AR378" s="242"/>
      <c r="AS378" s="242"/>
      <c r="AT378" s="242"/>
      <c r="AU378" s="242"/>
      <c r="AV378" s="242"/>
      <c r="AW378" s="242"/>
      <c r="AX378" s="242"/>
      <c r="AY378" s="242"/>
      <c r="AZ378" s="242"/>
      <c r="BA378" s="242"/>
      <c r="BB378" s="242"/>
      <c r="BC378" s="242"/>
      <c r="BD378" s="242"/>
      <c r="BE378" s="242"/>
      <c r="BF378" s="242"/>
      <c r="BG378" s="242"/>
      <c r="BH378" s="242"/>
      <c r="BI378" s="242"/>
      <c r="BJ378" s="242"/>
      <c r="BK378" s="242"/>
      <c r="BL378" s="242"/>
      <c r="BM378" s="242"/>
      <c r="BN378" s="242"/>
      <c r="BO378" s="242"/>
      <c r="BP378" s="242"/>
      <c r="BQ378" s="242"/>
      <c r="BR378" s="242"/>
      <c r="BS378" s="242"/>
      <c r="BT378" s="242"/>
      <c r="BU378" s="242"/>
      <c r="BV378" s="242"/>
      <c r="BW378" s="242"/>
      <c r="BX378" s="242"/>
      <c r="BY378" s="242"/>
      <c r="BZ378" s="242"/>
      <c r="CA378" s="242"/>
      <c r="CB378" s="242"/>
      <c r="CC378" s="242"/>
      <c r="CD378" s="242"/>
    </row>
    <row r="379" spans="1:82" ht="12.75" customHeight="1">
      <c r="A379" s="242"/>
      <c r="B379" s="242"/>
      <c r="C379" s="242"/>
      <c r="D379" s="242"/>
      <c r="E379" s="242"/>
      <c r="F379" s="242"/>
      <c r="G379" s="242"/>
      <c r="H379" s="278"/>
      <c r="I379" s="278"/>
      <c r="J379" s="242"/>
      <c r="K379" s="242"/>
      <c r="L379" s="242"/>
      <c r="M379" s="242"/>
      <c r="N379" s="242"/>
      <c r="O379" s="242"/>
      <c r="P379" s="242"/>
      <c r="Q379" s="242"/>
      <c r="R379" s="242"/>
      <c r="S379" s="242"/>
      <c r="T379" s="242"/>
      <c r="U379" s="242"/>
      <c r="V379" s="242"/>
      <c r="W379" s="242"/>
      <c r="X379" s="242"/>
      <c r="Y379" s="242"/>
      <c r="Z379" s="242"/>
      <c r="AA379" s="242"/>
      <c r="AB379" s="242"/>
      <c r="AC379" s="242"/>
      <c r="AD379" s="242"/>
      <c r="AE379" s="242"/>
      <c r="AF379" s="242"/>
      <c r="AG379" s="242"/>
      <c r="AH379" s="242"/>
      <c r="AI379" s="242"/>
      <c r="AJ379" s="242"/>
      <c r="AK379" s="242"/>
      <c r="AL379" s="242"/>
      <c r="AM379" s="242"/>
      <c r="AN379" s="242"/>
      <c r="AO379" s="242"/>
      <c r="AP379" s="242"/>
      <c r="AQ379" s="242"/>
      <c r="AR379" s="242"/>
      <c r="AS379" s="242"/>
      <c r="AT379" s="242"/>
      <c r="AU379" s="242"/>
      <c r="AV379" s="242"/>
      <c r="AW379" s="242"/>
      <c r="AX379" s="242"/>
      <c r="AY379" s="242"/>
      <c r="AZ379" s="242"/>
      <c r="BA379" s="242"/>
      <c r="BB379" s="242"/>
      <c r="BC379" s="242"/>
      <c r="BD379" s="242"/>
      <c r="BE379" s="242"/>
      <c r="BF379" s="242"/>
      <c r="BG379" s="242"/>
      <c r="BH379" s="242"/>
      <c r="BI379" s="242"/>
      <c r="BJ379" s="242"/>
      <c r="BK379" s="242"/>
      <c r="BL379" s="242"/>
      <c r="BM379" s="242"/>
      <c r="BN379" s="242"/>
      <c r="BO379" s="242"/>
      <c r="BP379" s="242"/>
      <c r="BQ379" s="242"/>
      <c r="BR379" s="242"/>
      <c r="BS379" s="242"/>
      <c r="BT379" s="242"/>
      <c r="BU379" s="242"/>
      <c r="BV379" s="242"/>
      <c r="BW379" s="242"/>
      <c r="BX379" s="242"/>
      <c r="BY379" s="242"/>
      <c r="BZ379" s="242"/>
      <c r="CA379" s="242"/>
      <c r="CB379" s="242"/>
      <c r="CC379" s="242"/>
      <c r="CD379" s="242"/>
    </row>
    <row r="380" spans="1:82" ht="12.75" customHeight="1">
      <c r="A380" s="242"/>
      <c r="B380" s="242"/>
      <c r="C380" s="242"/>
      <c r="D380" s="242"/>
      <c r="E380" s="242"/>
      <c r="F380" s="242"/>
      <c r="G380" s="242"/>
      <c r="H380" s="278"/>
      <c r="I380" s="278"/>
      <c r="J380" s="242"/>
      <c r="K380" s="242"/>
      <c r="L380" s="242"/>
      <c r="M380" s="242"/>
      <c r="N380" s="242"/>
      <c r="O380" s="242"/>
      <c r="P380" s="242"/>
      <c r="Q380" s="242"/>
      <c r="R380" s="242"/>
      <c r="S380" s="242"/>
      <c r="T380" s="242"/>
      <c r="U380" s="242"/>
      <c r="V380" s="242"/>
      <c r="W380" s="242"/>
      <c r="X380" s="242"/>
      <c r="Y380" s="242"/>
      <c r="Z380" s="242"/>
      <c r="AA380" s="242"/>
      <c r="AB380" s="242"/>
      <c r="AC380" s="242"/>
      <c r="AD380" s="242"/>
      <c r="AE380" s="242"/>
      <c r="AF380" s="242"/>
      <c r="AG380" s="242"/>
      <c r="AH380" s="242"/>
      <c r="AI380" s="242"/>
      <c r="AJ380" s="242"/>
      <c r="AK380" s="242"/>
      <c r="AL380" s="242"/>
      <c r="AM380" s="242"/>
      <c r="AN380" s="242"/>
      <c r="AO380" s="242"/>
      <c r="AP380" s="242"/>
      <c r="AQ380" s="242"/>
      <c r="AR380" s="242"/>
      <c r="AS380" s="242"/>
      <c r="AT380" s="242"/>
      <c r="AU380" s="242"/>
      <c r="AV380" s="242"/>
      <c r="AW380" s="242"/>
      <c r="AX380" s="242"/>
      <c r="AY380" s="242"/>
      <c r="AZ380" s="242"/>
      <c r="BA380" s="242"/>
      <c r="BB380" s="242"/>
      <c r="BC380" s="242"/>
      <c r="BD380" s="242"/>
      <c r="BE380" s="242"/>
      <c r="BF380" s="242"/>
      <c r="BG380" s="242"/>
      <c r="BH380" s="242"/>
      <c r="BI380" s="242"/>
      <c r="BJ380" s="242"/>
      <c r="BK380" s="242"/>
      <c r="BL380" s="242"/>
      <c r="BM380" s="242"/>
      <c r="BN380" s="242"/>
      <c r="BO380" s="242"/>
      <c r="BP380" s="242"/>
      <c r="BQ380" s="242"/>
      <c r="BR380" s="242"/>
      <c r="BS380" s="242"/>
      <c r="BT380" s="242"/>
      <c r="BU380" s="242"/>
      <c r="BV380" s="242"/>
      <c r="BW380" s="242"/>
      <c r="BX380" s="242"/>
      <c r="BY380" s="242"/>
      <c r="BZ380" s="242"/>
      <c r="CA380" s="242"/>
      <c r="CB380" s="242"/>
      <c r="CC380" s="242"/>
      <c r="CD380" s="242"/>
    </row>
    <row r="381" spans="1:82" ht="12.75" customHeight="1">
      <c r="A381" s="242"/>
      <c r="B381" s="242"/>
      <c r="C381" s="242"/>
      <c r="D381" s="242"/>
      <c r="E381" s="242"/>
      <c r="F381" s="242"/>
      <c r="G381" s="242"/>
      <c r="H381" s="278"/>
      <c r="I381" s="278"/>
      <c r="J381" s="242"/>
      <c r="K381" s="242"/>
      <c r="L381" s="242"/>
      <c r="M381" s="242"/>
      <c r="N381" s="242"/>
      <c r="O381" s="242"/>
      <c r="P381" s="242"/>
      <c r="Q381" s="242"/>
      <c r="R381" s="242"/>
      <c r="S381" s="242"/>
      <c r="T381" s="242"/>
      <c r="U381" s="242"/>
      <c r="V381" s="242"/>
      <c r="W381" s="242"/>
      <c r="X381" s="242"/>
      <c r="Y381" s="242"/>
      <c r="Z381" s="242"/>
      <c r="AA381" s="242"/>
      <c r="AB381" s="242"/>
      <c r="AC381" s="242"/>
      <c r="AD381" s="242"/>
      <c r="AE381" s="242"/>
      <c r="AF381" s="242"/>
      <c r="AG381" s="242"/>
      <c r="AH381" s="242"/>
      <c r="AI381" s="242"/>
      <c r="AJ381" s="242"/>
      <c r="AK381" s="242"/>
      <c r="AL381" s="242"/>
      <c r="AM381" s="242"/>
      <c r="AN381" s="242"/>
      <c r="AO381" s="242"/>
      <c r="AP381" s="242"/>
      <c r="AQ381" s="242"/>
      <c r="AR381" s="242"/>
      <c r="AS381" s="242"/>
      <c r="AT381" s="242"/>
      <c r="AU381" s="242"/>
      <c r="AV381" s="242"/>
      <c r="AW381" s="242"/>
      <c r="AX381" s="242"/>
      <c r="AY381" s="242"/>
      <c r="AZ381" s="242"/>
      <c r="BA381" s="242"/>
      <c r="BB381" s="242"/>
      <c r="BC381" s="242"/>
      <c r="BD381" s="242"/>
      <c r="BE381" s="242"/>
      <c r="BF381" s="242"/>
      <c r="BG381" s="242"/>
      <c r="BH381" s="242"/>
      <c r="BI381" s="242"/>
      <c r="BJ381" s="242"/>
      <c r="BK381" s="242"/>
      <c r="BL381" s="242"/>
      <c r="BM381" s="242"/>
      <c r="BN381" s="242"/>
      <c r="BO381" s="242"/>
      <c r="BP381" s="242"/>
      <c r="BQ381" s="242"/>
      <c r="BR381" s="242"/>
      <c r="BS381" s="242"/>
      <c r="BT381" s="242"/>
      <c r="BU381" s="242"/>
      <c r="BV381" s="242"/>
      <c r="BW381" s="242"/>
      <c r="BX381" s="242"/>
      <c r="BY381" s="242"/>
      <c r="BZ381" s="242"/>
      <c r="CA381" s="242"/>
      <c r="CB381" s="242"/>
      <c r="CC381" s="242"/>
      <c r="CD381" s="242"/>
    </row>
    <row r="382" spans="1:82" ht="12.75" customHeight="1">
      <c r="A382" s="242"/>
      <c r="B382" s="242"/>
      <c r="C382" s="242"/>
      <c r="D382" s="242"/>
      <c r="E382" s="242"/>
      <c r="F382" s="242"/>
      <c r="G382" s="242"/>
      <c r="H382" s="278"/>
      <c r="I382" s="278"/>
      <c r="J382" s="242"/>
      <c r="K382" s="242"/>
      <c r="L382" s="242"/>
      <c r="M382" s="242"/>
      <c r="N382" s="242"/>
      <c r="O382" s="242"/>
      <c r="P382" s="242"/>
      <c r="Q382" s="242"/>
      <c r="R382" s="242"/>
      <c r="S382" s="242"/>
      <c r="T382" s="242"/>
      <c r="U382" s="242"/>
      <c r="V382" s="242"/>
      <c r="W382" s="242"/>
      <c r="X382" s="242"/>
      <c r="Y382" s="242"/>
      <c r="Z382" s="242"/>
      <c r="AA382" s="242"/>
      <c r="AB382" s="242"/>
      <c r="AC382" s="242"/>
      <c r="AD382" s="242"/>
      <c r="AE382" s="242"/>
      <c r="AF382" s="242"/>
      <c r="AG382" s="242"/>
      <c r="AH382" s="242"/>
      <c r="AI382" s="242"/>
      <c r="AJ382" s="242"/>
      <c r="AK382" s="242"/>
      <c r="AL382" s="242"/>
      <c r="AM382" s="242"/>
      <c r="AN382" s="242"/>
      <c r="AO382" s="242"/>
      <c r="AP382" s="242"/>
      <c r="AQ382" s="242"/>
      <c r="AR382" s="242"/>
      <c r="AS382" s="242"/>
      <c r="AT382" s="242"/>
      <c r="AU382" s="242"/>
      <c r="AV382" s="242"/>
      <c r="AW382" s="242"/>
      <c r="AX382" s="242"/>
      <c r="AY382" s="242"/>
      <c r="AZ382" s="242"/>
      <c r="BA382" s="242"/>
      <c r="BB382" s="242"/>
      <c r="BC382" s="242"/>
      <c r="BD382" s="242"/>
      <c r="BE382" s="242"/>
      <c r="BF382" s="242"/>
      <c r="BG382" s="242"/>
      <c r="BH382" s="242"/>
      <c r="BI382" s="242"/>
      <c r="BJ382" s="242"/>
      <c r="BK382" s="242"/>
      <c r="BL382" s="242"/>
      <c r="BM382" s="242"/>
      <c r="BN382" s="242"/>
      <c r="BO382" s="242"/>
      <c r="BP382" s="242"/>
      <c r="BQ382" s="242"/>
      <c r="BR382" s="242"/>
      <c r="BS382" s="242"/>
      <c r="BT382" s="242"/>
      <c r="BU382" s="242"/>
      <c r="BV382" s="242"/>
      <c r="BW382" s="242"/>
      <c r="BX382" s="242"/>
      <c r="BY382" s="242"/>
      <c r="BZ382" s="242"/>
      <c r="CA382" s="242"/>
      <c r="CB382" s="242"/>
      <c r="CC382" s="242"/>
      <c r="CD382" s="242"/>
    </row>
    <row r="383" spans="1:82" ht="12.75" customHeight="1">
      <c r="A383" s="242"/>
      <c r="B383" s="242"/>
      <c r="C383" s="242"/>
      <c r="D383" s="242"/>
      <c r="E383" s="242"/>
      <c r="F383" s="242"/>
      <c r="G383" s="242"/>
      <c r="H383" s="278"/>
      <c r="I383" s="278"/>
      <c r="J383" s="242"/>
      <c r="K383" s="242"/>
      <c r="L383" s="242"/>
      <c r="M383" s="242"/>
      <c r="N383" s="242"/>
      <c r="O383" s="242"/>
      <c r="P383" s="242"/>
      <c r="Q383" s="242"/>
      <c r="R383" s="242"/>
      <c r="S383" s="242"/>
      <c r="T383" s="242"/>
      <c r="U383" s="242"/>
      <c r="V383" s="242"/>
      <c r="W383" s="242"/>
      <c r="X383" s="242"/>
      <c r="Y383" s="242"/>
      <c r="Z383" s="242"/>
      <c r="AA383" s="242"/>
      <c r="AB383" s="242"/>
      <c r="AC383" s="242"/>
      <c r="AD383" s="242"/>
      <c r="AE383" s="242"/>
      <c r="AF383" s="242"/>
      <c r="AG383" s="242"/>
      <c r="AH383" s="242"/>
      <c r="AI383" s="242"/>
      <c r="AJ383" s="242"/>
      <c r="AK383" s="242"/>
      <c r="AL383" s="242"/>
      <c r="AM383" s="242"/>
      <c r="AN383" s="242"/>
      <c r="AO383" s="242"/>
      <c r="AP383" s="242"/>
      <c r="AQ383" s="242"/>
      <c r="AR383" s="242"/>
      <c r="AS383" s="242"/>
      <c r="AT383" s="242"/>
      <c r="AU383" s="242"/>
      <c r="AV383" s="242"/>
      <c r="AW383" s="242"/>
      <c r="AX383" s="242"/>
      <c r="AY383" s="242"/>
      <c r="AZ383" s="242"/>
      <c r="BA383" s="242"/>
      <c r="BB383" s="242"/>
      <c r="BC383" s="242"/>
      <c r="BD383" s="242"/>
      <c r="BE383" s="242"/>
      <c r="BF383" s="242"/>
      <c r="BG383" s="242"/>
      <c r="BH383" s="242"/>
      <c r="BI383" s="242"/>
      <c r="BJ383" s="242"/>
      <c r="BK383" s="242"/>
      <c r="BL383" s="242"/>
      <c r="BM383" s="242"/>
      <c r="BN383" s="242"/>
      <c r="BO383" s="242"/>
      <c r="BP383" s="242"/>
      <c r="BQ383" s="242"/>
      <c r="BR383" s="242"/>
      <c r="BS383" s="242"/>
      <c r="BT383" s="242"/>
      <c r="BU383" s="242"/>
      <c r="BV383" s="242"/>
      <c r="BW383" s="242"/>
      <c r="BX383" s="242"/>
      <c r="BY383" s="242"/>
      <c r="BZ383" s="242"/>
      <c r="CA383" s="242"/>
      <c r="CB383" s="242"/>
      <c r="CC383" s="242"/>
      <c r="CD383" s="242"/>
    </row>
    <row r="384" spans="1:82" ht="12.75" customHeight="1">
      <c r="A384" s="242"/>
      <c r="B384" s="242"/>
      <c r="C384" s="242"/>
      <c r="D384" s="242"/>
      <c r="E384" s="242"/>
      <c r="F384" s="242"/>
      <c r="G384" s="242"/>
      <c r="H384" s="278"/>
      <c r="I384" s="278"/>
      <c r="J384" s="242"/>
      <c r="K384" s="242"/>
      <c r="L384" s="242"/>
      <c r="M384" s="242"/>
      <c r="N384" s="242"/>
      <c r="O384" s="242"/>
      <c r="P384" s="242"/>
      <c r="Q384" s="242"/>
      <c r="R384" s="242"/>
      <c r="S384" s="242"/>
      <c r="T384" s="242"/>
      <c r="U384" s="242"/>
      <c r="V384" s="242"/>
      <c r="W384" s="242"/>
      <c r="X384" s="242"/>
      <c r="Y384" s="242"/>
      <c r="Z384" s="242"/>
      <c r="AA384" s="242"/>
      <c r="AB384" s="242"/>
      <c r="AC384" s="242"/>
      <c r="AD384" s="242"/>
      <c r="AE384" s="242"/>
      <c r="AF384" s="242"/>
      <c r="AG384" s="242"/>
      <c r="AH384" s="242"/>
      <c r="AI384" s="242"/>
      <c r="AJ384" s="242"/>
      <c r="AK384" s="242"/>
      <c r="AL384" s="242"/>
      <c r="AM384" s="242"/>
      <c r="AN384" s="242"/>
      <c r="AO384" s="242"/>
      <c r="AP384" s="242"/>
      <c r="AQ384" s="242"/>
      <c r="AR384" s="242"/>
      <c r="AS384" s="242"/>
      <c r="AT384" s="242"/>
      <c r="AU384" s="242"/>
      <c r="AV384" s="242"/>
      <c r="AW384" s="242"/>
      <c r="AX384" s="242"/>
      <c r="AY384" s="242"/>
      <c r="AZ384" s="242"/>
      <c r="BA384" s="242"/>
      <c r="BB384" s="242"/>
      <c r="BC384" s="242"/>
      <c r="BD384" s="242"/>
      <c r="BE384" s="242"/>
      <c r="BF384" s="242"/>
      <c r="BG384" s="242"/>
      <c r="BH384" s="242"/>
      <c r="BI384" s="242"/>
      <c r="BJ384" s="242"/>
      <c r="BK384" s="242"/>
      <c r="BL384" s="242"/>
      <c r="BM384" s="242"/>
      <c r="BN384" s="242"/>
      <c r="BO384" s="242"/>
      <c r="BP384" s="242"/>
      <c r="BQ384" s="242"/>
      <c r="BR384" s="242"/>
      <c r="BS384" s="242"/>
      <c r="BT384" s="242"/>
      <c r="BU384" s="242"/>
      <c r="BV384" s="242"/>
      <c r="BW384" s="242"/>
      <c r="BX384" s="242"/>
      <c r="BY384" s="242"/>
      <c r="BZ384" s="242"/>
      <c r="CA384" s="242"/>
      <c r="CB384" s="242"/>
      <c r="CC384" s="242"/>
      <c r="CD384" s="242"/>
    </row>
    <row r="385" spans="1:82" ht="12.75" customHeight="1">
      <c r="A385" s="242"/>
      <c r="B385" s="242"/>
      <c r="C385" s="242"/>
      <c r="D385" s="242"/>
      <c r="E385" s="242"/>
      <c r="F385" s="242"/>
      <c r="G385" s="242"/>
      <c r="H385" s="278"/>
      <c r="I385" s="278"/>
      <c r="J385" s="242"/>
      <c r="K385" s="242"/>
      <c r="L385" s="242"/>
      <c r="M385" s="242"/>
      <c r="N385" s="242"/>
      <c r="O385" s="242"/>
      <c r="P385" s="242"/>
      <c r="Q385" s="242"/>
      <c r="R385" s="242"/>
      <c r="S385" s="242"/>
      <c r="T385" s="242"/>
      <c r="U385" s="242"/>
      <c r="V385" s="242"/>
      <c r="W385" s="242"/>
      <c r="X385" s="242"/>
      <c r="Y385" s="242"/>
      <c r="Z385" s="242"/>
      <c r="AA385" s="242"/>
      <c r="AB385" s="242"/>
      <c r="AC385" s="242"/>
      <c r="AD385" s="242"/>
      <c r="AE385" s="242"/>
      <c r="AF385" s="242"/>
      <c r="AG385" s="242"/>
      <c r="AH385" s="242"/>
      <c r="AI385" s="242"/>
      <c r="AJ385" s="242"/>
      <c r="AK385" s="242"/>
      <c r="AL385" s="242"/>
      <c r="AM385" s="242"/>
      <c r="AN385" s="242"/>
      <c r="AO385" s="242"/>
      <c r="AP385" s="242"/>
      <c r="AQ385" s="242"/>
      <c r="AR385" s="242"/>
      <c r="AS385" s="242"/>
      <c r="AT385" s="242"/>
      <c r="AU385" s="242"/>
      <c r="AV385" s="242"/>
      <c r="AW385" s="242"/>
      <c r="AX385" s="242"/>
      <c r="AY385" s="242"/>
      <c r="AZ385" s="242"/>
      <c r="BA385" s="242"/>
      <c r="BB385" s="242"/>
      <c r="BC385" s="242"/>
      <c r="BD385" s="242"/>
      <c r="BE385" s="242"/>
      <c r="BF385" s="242"/>
      <c r="BG385" s="242"/>
      <c r="BH385" s="242"/>
      <c r="BI385" s="242"/>
      <c r="BJ385" s="242"/>
      <c r="BK385" s="242"/>
      <c r="BL385" s="242"/>
      <c r="BM385" s="242"/>
      <c r="BN385" s="242"/>
      <c r="BO385" s="242"/>
      <c r="BP385" s="242"/>
      <c r="BQ385" s="242"/>
      <c r="BR385" s="242"/>
      <c r="BS385" s="242"/>
      <c r="BT385" s="242"/>
      <c r="BU385" s="242"/>
      <c r="BV385" s="242"/>
      <c r="BW385" s="242"/>
      <c r="BX385" s="242"/>
      <c r="BY385" s="242"/>
      <c r="BZ385" s="242"/>
      <c r="CA385" s="242"/>
      <c r="CB385" s="242"/>
      <c r="CC385" s="242"/>
      <c r="CD385" s="242"/>
    </row>
    <row r="386" spans="1:82" ht="12.75" customHeight="1">
      <c r="A386" s="242"/>
      <c r="B386" s="242"/>
      <c r="C386" s="242"/>
      <c r="D386" s="242"/>
      <c r="E386" s="242"/>
      <c r="F386" s="242"/>
      <c r="G386" s="242"/>
      <c r="H386" s="278"/>
      <c r="I386" s="278"/>
      <c r="J386" s="242"/>
      <c r="K386" s="242"/>
      <c r="L386" s="242"/>
      <c r="M386" s="242"/>
      <c r="N386" s="242"/>
      <c r="O386" s="242"/>
      <c r="P386" s="242"/>
      <c r="Q386" s="242"/>
      <c r="R386" s="242"/>
      <c r="S386" s="242"/>
      <c r="T386" s="242"/>
      <c r="U386" s="242"/>
      <c r="V386" s="242"/>
      <c r="W386" s="242"/>
      <c r="X386" s="242"/>
      <c r="Y386" s="242"/>
      <c r="Z386" s="242"/>
      <c r="AA386" s="242"/>
      <c r="AB386" s="242"/>
      <c r="AC386" s="242"/>
      <c r="AD386" s="242"/>
      <c r="AE386" s="242"/>
      <c r="AF386" s="242"/>
      <c r="AG386" s="242"/>
      <c r="AH386" s="242"/>
      <c r="AI386" s="242"/>
      <c r="AJ386" s="242"/>
      <c r="AK386" s="242"/>
      <c r="AL386" s="242"/>
      <c r="AM386" s="242"/>
      <c r="AN386" s="242"/>
      <c r="AO386" s="242"/>
      <c r="AP386" s="242"/>
      <c r="AQ386" s="242"/>
      <c r="AR386" s="242"/>
      <c r="AS386" s="242"/>
      <c r="AT386" s="242"/>
      <c r="AU386" s="242"/>
      <c r="AV386" s="242"/>
      <c r="AW386" s="242"/>
      <c r="AX386" s="242"/>
      <c r="AY386" s="242"/>
      <c r="AZ386" s="242"/>
      <c r="BA386" s="242"/>
      <c r="BB386" s="242"/>
      <c r="BC386" s="242"/>
      <c r="BD386" s="242"/>
      <c r="BE386" s="242"/>
      <c r="BF386" s="242"/>
      <c r="BG386" s="242"/>
      <c r="BH386" s="242"/>
      <c r="BI386" s="242"/>
      <c r="BJ386" s="242"/>
      <c r="BK386" s="242"/>
      <c r="BL386" s="242"/>
      <c r="BM386" s="242"/>
      <c r="BN386" s="242"/>
      <c r="BO386" s="242"/>
      <c r="BP386" s="242"/>
      <c r="BQ386" s="242"/>
      <c r="BR386" s="242"/>
      <c r="BS386" s="242"/>
      <c r="BT386" s="242"/>
      <c r="BU386" s="242"/>
      <c r="BV386" s="242"/>
      <c r="BW386" s="242"/>
      <c r="BX386" s="242"/>
      <c r="BY386" s="242"/>
      <c r="BZ386" s="242"/>
      <c r="CA386" s="242"/>
      <c r="CB386" s="242"/>
      <c r="CC386" s="242"/>
      <c r="CD386" s="242"/>
    </row>
    <row r="387" spans="1:82" ht="12.75" customHeight="1">
      <c r="A387" s="242"/>
      <c r="B387" s="242"/>
      <c r="C387" s="242"/>
      <c r="D387" s="242"/>
      <c r="E387" s="242"/>
      <c r="F387" s="242"/>
      <c r="G387" s="242"/>
      <c r="H387" s="278"/>
      <c r="I387" s="278"/>
      <c r="J387" s="242"/>
      <c r="K387" s="242"/>
      <c r="L387" s="242"/>
      <c r="M387" s="242"/>
      <c r="N387" s="242"/>
      <c r="O387" s="242"/>
      <c r="P387" s="242"/>
      <c r="Q387" s="242"/>
      <c r="R387" s="242"/>
      <c r="S387" s="242"/>
      <c r="T387" s="242"/>
      <c r="U387" s="242"/>
      <c r="V387" s="242"/>
      <c r="W387" s="242"/>
      <c r="X387" s="242"/>
      <c r="Y387" s="242"/>
      <c r="Z387" s="242"/>
      <c r="AA387" s="242"/>
      <c r="AB387" s="242"/>
      <c r="AC387" s="242"/>
      <c r="AD387" s="242"/>
      <c r="AE387" s="242"/>
      <c r="AF387" s="242"/>
      <c r="AG387" s="242"/>
      <c r="AH387" s="242"/>
      <c r="AI387" s="242"/>
      <c r="AJ387" s="242"/>
      <c r="AK387" s="242"/>
      <c r="AL387" s="242"/>
      <c r="AM387" s="242"/>
      <c r="AN387" s="242"/>
      <c r="AO387" s="242"/>
      <c r="AP387" s="242"/>
      <c r="AQ387" s="242"/>
      <c r="AR387" s="242"/>
      <c r="AS387" s="242"/>
      <c r="AT387" s="242"/>
      <c r="AU387" s="242"/>
      <c r="AV387" s="242"/>
      <c r="AW387" s="242"/>
      <c r="AX387" s="242"/>
      <c r="AY387" s="242"/>
      <c r="AZ387" s="242"/>
      <c r="BA387" s="242"/>
      <c r="BB387" s="242"/>
      <c r="BC387" s="242"/>
      <c r="BD387" s="242"/>
      <c r="BE387" s="242"/>
      <c r="BF387" s="242"/>
      <c r="BG387" s="242"/>
      <c r="BH387" s="242"/>
      <c r="BI387" s="242"/>
      <c r="BJ387" s="242"/>
      <c r="BK387" s="242"/>
      <c r="BL387" s="242"/>
      <c r="BM387" s="242"/>
      <c r="BN387" s="242"/>
      <c r="BO387" s="242"/>
      <c r="BP387" s="242"/>
      <c r="BQ387" s="242"/>
      <c r="BR387" s="242"/>
      <c r="BS387" s="242"/>
      <c r="BT387" s="242"/>
      <c r="BU387" s="242"/>
      <c r="BV387" s="242"/>
      <c r="BW387" s="242"/>
      <c r="BX387" s="242"/>
      <c r="BY387" s="242"/>
      <c r="BZ387" s="242"/>
      <c r="CA387" s="242"/>
      <c r="CB387" s="242"/>
      <c r="CC387" s="242"/>
      <c r="CD387" s="242"/>
    </row>
    <row r="388" spans="1:82" ht="12.75" customHeight="1">
      <c r="A388" s="242"/>
      <c r="B388" s="242"/>
      <c r="C388" s="242"/>
      <c r="D388" s="242"/>
      <c r="E388" s="242"/>
      <c r="F388" s="242"/>
      <c r="G388" s="242"/>
      <c r="H388" s="278"/>
      <c r="I388" s="278"/>
      <c r="J388" s="242"/>
      <c r="K388" s="242"/>
      <c r="L388" s="242"/>
      <c r="M388" s="242"/>
      <c r="N388" s="242"/>
      <c r="O388" s="242"/>
      <c r="P388" s="242"/>
      <c r="Q388" s="242"/>
      <c r="R388" s="242"/>
      <c r="S388" s="242"/>
      <c r="T388" s="242"/>
      <c r="U388" s="242"/>
      <c r="V388" s="242"/>
      <c r="W388" s="242"/>
      <c r="X388" s="242"/>
      <c r="Y388" s="242"/>
      <c r="Z388" s="242"/>
      <c r="AA388" s="242"/>
      <c r="AB388" s="242"/>
      <c r="AC388" s="242"/>
      <c r="AD388" s="242"/>
      <c r="AE388" s="242"/>
      <c r="AF388" s="242"/>
      <c r="AG388" s="242"/>
      <c r="AH388" s="242"/>
      <c r="AI388" s="242"/>
      <c r="AJ388" s="242"/>
      <c r="AK388" s="242"/>
      <c r="AL388" s="242"/>
      <c r="AM388" s="242"/>
      <c r="AN388" s="242"/>
      <c r="AO388" s="242"/>
      <c r="AP388" s="242"/>
      <c r="AQ388" s="242"/>
      <c r="AR388" s="242"/>
      <c r="AS388" s="242"/>
      <c r="AT388" s="242"/>
      <c r="AU388" s="242"/>
      <c r="AV388" s="242"/>
      <c r="AW388" s="242"/>
      <c r="AX388" s="242"/>
      <c r="AY388" s="242"/>
      <c r="AZ388" s="242"/>
      <c r="BA388" s="242"/>
      <c r="BB388" s="242"/>
      <c r="BC388" s="242"/>
      <c r="BD388" s="242"/>
      <c r="BE388" s="242"/>
      <c r="BF388" s="242"/>
      <c r="BG388" s="242"/>
      <c r="BH388" s="242"/>
      <c r="BI388" s="242"/>
      <c r="BJ388" s="242"/>
      <c r="BK388" s="242"/>
      <c r="BL388" s="242"/>
      <c r="BM388" s="242"/>
      <c r="BN388" s="242"/>
      <c r="BO388" s="242"/>
      <c r="BP388" s="242"/>
      <c r="BQ388" s="242"/>
      <c r="BR388" s="242"/>
      <c r="BS388" s="242"/>
      <c r="BT388" s="242"/>
      <c r="BU388" s="242"/>
      <c r="BV388" s="242"/>
      <c r="BW388" s="242"/>
      <c r="BX388" s="242"/>
      <c r="BY388" s="242"/>
      <c r="BZ388" s="242"/>
      <c r="CA388" s="242"/>
      <c r="CB388" s="242"/>
      <c r="CC388" s="242"/>
      <c r="CD388" s="242"/>
    </row>
    <row r="389" spans="1:82" ht="12.75" customHeight="1">
      <c r="A389" s="242"/>
      <c r="B389" s="242"/>
      <c r="C389" s="242"/>
      <c r="D389" s="242"/>
      <c r="E389" s="242"/>
      <c r="F389" s="242"/>
      <c r="G389" s="242"/>
      <c r="H389" s="278"/>
      <c r="I389" s="278"/>
      <c r="J389" s="242"/>
      <c r="K389" s="242"/>
      <c r="L389" s="242"/>
      <c r="M389" s="242"/>
      <c r="N389" s="242"/>
      <c r="O389" s="242"/>
      <c r="P389" s="242"/>
      <c r="Q389" s="242"/>
      <c r="R389" s="242"/>
      <c r="S389" s="242"/>
      <c r="T389" s="242"/>
      <c r="U389" s="242"/>
      <c r="V389" s="242"/>
      <c r="W389" s="242"/>
      <c r="X389" s="242"/>
      <c r="Y389" s="242"/>
      <c r="Z389" s="242"/>
      <c r="AA389" s="242"/>
      <c r="AB389" s="242"/>
      <c r="AC389" s="242"/>
      <c r="AD389" s="242"/>
      <c r="AE389" s="242"/>
      <c r="AF389" s="242"/>
      <c r="AG389" s="242"/>
      <c r="AH389" s="242"/>
      <c r="AI389" s="242"/>
      <c r="AJ389" s="242"/>
      <c r="AK389" s="242"/>
      <c r="AL389" s="242"/>
      <c r="AM389" s="242"/>
      <c r="AN389" s="242"/>
      <c r="AO389" s="242"/>
      <c r="AP389" s="242"/>
      <c r="AQ389" s="242"/>
      <c r="AR389" s="242"/>
      <c r="AS389" s="242"/>
      <c r="AT389" s="242"/>
      <c r="AU389" s="242"/>
      <c r="AV389" s="242"/>
      <c r="AW389" s="242"/>
      <c r="AX389" s="242"/>
      <c r="AY389" s="242"/>
      <c r="AZ389" s="242"/>
      <c r="BA389" s="242"/>
      <c r="BB389" s="242"/>
      <c r="BC389" s="242"/>
      <c r="BD389" s="242"/>
      <c r="BE389" s="242"/>
      <c r="BF389" s="242"/>
      <c r="BG389" s="242"/>
      <c r="BH389" s="242"/>
      <c r="BI389" s="242"/>
      <c r="BJ389" s="242"/>
      <c r="BK389" s="242"/>
      <c r="BL389" s="242"/>
      <c r="BM389" s="242"/>
      <c r="BN389" s="242"/>
      <c r="BO389" s="242"/>
      <c r="BP389" s="242"/>
      <c r="BQ389" s="242"/>
      <c r="BR389" s="242"/>
      <c r="BS389" s="242"/>
      <c r="BT389" s="242"/>
      <c r="BU389" s="242"/>
      <c r="BV389" s="242"/>
      <c r="BW389" s="242"/>
      <c r="BX389" s="242"/>
      <c r="BY389" s="242"/>
      <c r="BZ389" s="242"/>
      <c r="CA389" s="242"/>
      <c r="CB389" s="242"/>
      <c r="CC389" s="242"/>
      <c r="CD389" s="242"/>
    </row>
    <row r="390" spans="1:82" ht="12.75" customHeight="1">
      <c r="A390" s="242"/>
      <c r="B390" s="242"/>
      <c r="C390" s="242"/>
      <c r="D390" s="242"/>
      <c r="E390" s="242"/>
      <c r="F390" s="242"/>
      <c r="G390" s="242"/>
      <c r="H390" s="278"/>
      <c r="I390" s="278"/>
      <c r="J390" s="242"/>
      <c r="K390" s="242"/>
      <c r="L390" s="242"/>
      <c r="M390" s="242"/>
      <c r="N390" s="242"/>
      <c r="O390" s="242"/>
      <c r="P390" s="242"/>
      <c r="Q390" s="242"/>
      <c r="R390" s="242"/>
      <c r="S390" s="242"/>
      <c r="T390" s="242"/>
      <c r="U390" s="242"/>
      <c r="V390" s="242"/>
      <c r="W390" s="242"/>
      <c r="X390" s="242"/>
      <c r="Y390" s="242"/>
      <c r="Z390" s="242"/>
      <c r="AA390" s="242"/>
      <c r="AB390" s="242"/>
      <c r="AC390" s="242"/>
      <c r="AD390" s="242"/>
      <c r="AE390" s="242"/>
      <c r="AF390" s="242"/>
      <c r="AG390" s="242"/>
      <c r="AH390" s="242"/>
      <c r="AI390" s="242"/>
      <c r="AJ390" s="242"/>
      <c r="AK390" s="242"/>
      <c r="AL390" s="242"/>
      <c r="AM390" s="242"/>
      <c r="AN390" s="242"/>
      <c r="AO390" s="242"/>
      <c r="AP390" s="242"/>
      <c r="AQ390" s="242"/>
      <c r="AR390" s="242"/>
      <c r="AS390" s="242"/>
      <c r="AT390" s="242"/>
      <c r="AU390" s="242"/>
      <c r="AV390" s="242"/>
      <c r="AW390" s="242"/>
      <c r="AX390" s="242"/>
      <c r="AY390" s="242"/>
      <c r="AZ390" s="242"/>
      <c r="BA390" s="242"/>
      <c r="BB390" s="242"/>
      <c r="BC390" s="242"/>
      <c r="BD390" s="242"/>
      <c r="BE390" s="242"/>
      <c r="BF390" s="242"/>
      <c r="BG390" s="242"/>
      <c r="BH390" s="242"/>
      <c r="BI390" s="242"/>
      <c r="BJ390" s="242"/>
      <c r="BK390" s="242"/>
      <c r="BL390" s="242"/>
      <c r="BM390" s="242"/>
      <c r="BN390" s="242"/>
      <c r="BO390" s="242"/>
      <c r="BP390" s="242"/>
      <c r="BQ390" s="242"/>
      <c r="BR390" s="242"/>
      <c r="BS390" s="242"/>
      <c r="BT390" s="242"/>
      <c r="BU390" s="242"/>
      <c r="BV390" s="242"/>
      <c r="BW390" s="242"/>
      <c r="BX390" s="242"/>
      <c r="BY390" s="242"/>
      <c r="BZ390" s="242"/>
      <c r="CA390" s="242"/>
      <c r="CB390" s="242"/>
      <c r="CC390" s="242"/>
      <c r="CD390" s="242"/>
    </row>
    <row r="391" spans="1:82" ht="12.75" customHeight="1">
      <c r="A391" s="242"/>
      <c r="B391" s="242"/>
      <c r="C391" s="242"/>
      <c r="D391" s="242"/>
      <c r="E391" s="242"/>
      <c r="F391" s="242"/>
      <c r="G391" s="242"/>
      <c r="H391" s="278"/>
      <c r="I391" s="278"/>
      <c r="J391" s="242"/>
      <c r="K391" s="242"/>
      <c r="L391" s="242"/>
      <c r="M391" s="242"/>
      <c r="N391" s="242"/>
      <c r="O391" s="242"/>
      <c r="P391" s="242"/>
      <c r="Q391" s="242"/>
      <c r="R391" s="242"/>
      <c r="S391" s="242"/>
      <c r="T391" s="242"/>
      <c r="U391" s="242"/>
      <c r="V391" s="242"/>
      <c r="W391" s="242"/>
      <c r="X391" s="242"/>
      <c r="Y391" s="242"/>
      <c r="Z391" s="242"/>
      <c r="AA391" s="242"/>
      <c r="AB391" s="242"/>
      <c r="AC391" s="242"/>
      <c r="AD391" s="242"/>
      <c r="AE391" s="242"/>
      <c r="AF391" s="242"/>
      <c r="AG391" s="242"/>
      <c r="AH391" s="242"/>
      <c r="AI391" s="242"/>
      <c r="AJ391" s="242"/>
      <c r="AK391" s="242"/>
      <c r="AL391" s="242"/>
      <c r="AM391" s="242"/>
      <c r="AN391" s="242"/>
      <c r="AO391" s="242"/>
      <c r="AP391" s="242"/>
      <c r="AQ391" s="242"/>
      <c r="AR391" s="242"/>
      <c r="AS391" s="242"/>
      <c r="AT391" s="242"/>
      <c r="AU391" s="242"/>
      <c r="AV391" s="242"/>
      <c r="AW391" s="242"/>
      <c r="AX391" s="242"/>
      <c r="AY391" s="242"/>
      <c r="AZ391" s="242"/>
      <c r="BA391" s="242"/>
      <c r="BB391" s="242"/>
      <c r="BC391" s="242"/>
      <c r="BD391" s="242"/>
      <c r="BE391" s="242"/>
      <c r="BF391" s="242"/>
      <c r="BG391" s="242"/>
      <c r="BH391" s="242"/>
      <c r="BI391" s="242"/>
      <c r="BJ391" s="242"/>
      <c r="BK391" s="242"/>
      <c r="BL391" s="242"/>
      <c r="BM391" s="242"/>
      <c r="BN391" s="242"/>
      <c r="BO391" s="242"/>
      <c r="BP391" s="242"/>
      <c r="BQ391" s="242"/>
      <c r="BR391" s="242"/>
      <c r="BS391" s="242"/>
      <c r="BT391" s="242"/>
      <c r="BU391" s="242"/>
      <c r="BV391" s="242"/>
      <c r="BW391" s="242"/>
      <c r="BX391" s="242"/>
      <c r="BY391" s="242"/>
      <c r="BZ391" s="242"/>
      <c r="CA391" s="242"/>
      <c r="CB391" s="242"/>
      <c r="CC391" s="242"/>
      <c r="CD391" s="242"/>
    </row>
    <row r="392" spans="1:82" ht="12.75" customHeight="1">
      <c r="A392" s="242"/>
      <c r="B392" s="242"/>
      <c r="C392" s="242"/>
      <c r="D392" s="242"/>
      <c r="E392" s="242"/>
      <c r="F392" s="242"/>
      <c r="G392" s="242"/>
      <c r="H392" s="278"/>
      <c r="I392" s="278"/>
      <c r="J392" s="242"/>
      <c r="K392" s="242"/>
      <c r="L392" s="242"/>
      <c r="M392" s="242"/>
      <c r="N392" s="242"/>
      <c r="O392" s="242"/>
      <c r="P392" s="242"/>
      <c r="Q392" s="242"/>
      <c r="R392" s="242"/>
      <c r="S392" s="242"/>
      <c r="T392" s="242"/>
      <c r="U392" s="242"/>
      <c r="V392" s="242"/>
      <c r="W392" s="242"/>
      <c r="X392" s="242"/>
      <c r="Y392" s="242"/>
      <c r="Z392" s="242"/>
      <c r="AA392" s="242"/>
      <c r="AB392" s="242"/>
      <c r="AC392" s="242"/>
      <c r="AD392" s="242"/>
      <c r="AE392" s="242"/>
      <c r="AF392" s="242"/>
      <c r="AG392" s="242"/>
      <c r="AH392" s="242"/>
      <c r="AI392" s="242"/>
      <c r="AJ392" s="242"/>
      <c r="AK392" s="242"/>
      <c r="AL392" s="242"/>
      <c r="AM392" s="242"/>
      <c r="AN392" s="242"/>
      <c r="AO392" s="242"/>
      <c r="AP392" s="242"/>
      <c r="AQ392" s="242"/>
      <c r="AR392" s="242"/>
      <c r="AS392" s="242"/>
      <c r="AT392" s="242"/>
      <c r="AU392" s="242"/>
      <c r="AV392" s="242"/>
      <c r="AW392" s="242"/>
      <c r="AX392" s="242"/>
      <c r="AY392" s="242"/>
      <c r="AZ392" s="242"/>
      <c r="BA392" s="242"/>
      <c r="BB392" s="242"/>
      <c r="BC392" s="242"/>
      <c r="BD392" s="242"/>
      <c r="BE392" s="242"/>
      <c r="BF392" s="242"/>
      <c r="BG392" s="242"/>
      <c r="BH392" s="242"/>
      <c r="BI392" s="242"/>
      <c r="BJ392" s="242"/>
      <c r="BK392" s="242"/>
      <c r="BL392" s="242"/>
      <c r="BM392" s="242"/>
      <c r="BN392" s="242"/>
      <c r="BO392" s="242"/>
      <c r="BP392" s="242"/>
      <c r="BQ392" s="242"/>
      <c r="BR392" s="242"/>
      <c r="BS392" s="242"/>
      <c r="BT392" s="242"/>
      <c r="BU392" s="242"/>
      <c r="BV392" s="242"/>
      <c r="BW392" s="242"/>
      <c r="BX392" s="242"/>
      <c r="BY392" s="242"/>
      <c r="BZ392" s="242"/>
      <c r="CA392" s="242"/>
      <c r="CB392" s="242"/>
      <c r="CC392" s="242"/>
      <c r="CD392" s="242"/>
    </row>
    <row r="393" spans="1:82" ht="12.75" customHeight="1">
      <c r="A393" s="242"/>
      <c r="B393" s="242"/>
      <c r="C393" s="242"/>
      <c r="D393" s="242"/>
      <c r="E393" s="242"/>
      <c r="F393" s="242"/>
      <c r="G393" s="242"/>
      <c r="H393" s="278"/>
      <c r="I393" s="278"/>
      <c r="J393" s="242"/>
      <c r="K393" s="242"/>
      <c r="L393" s="242"/>
      <c r="M393" s="242"/>
      <c r="N393" s="242"/>
      <c r="O393" s="242"/>
      <c r="P393" s="242"/>
      <c r="Q393" s="242"/>
      <c r="R393" s="242"/>
      <c r="S393" s="242"/>
      <c r="T393" s="242"/>
      <c r="U393" s="242"/>
      <c r="V393" s="242"/>
      <c r="W393" s="242"/>
      <c r="X393" s="242"/>
      <c r="Y393" s="242"/>
      <c r="Z393" s="242"/>
      <c r="AA393" s="242"/>
      <c r="AB393" s="242"/>
      <c r="AC393" s="242"/>
      <c r="AD393" s="242"/>
      <c r="AE393" s="242"/>
      <c r="AF393" s="242"/>
      <c r="AG393" s="242"/>
      <c r="AH393" s="242"/>
      <c r="AI393" s="242"/>
      <c r="AJ393" s="242"/>
      <c r="AK393" s="242"/>
      <c r="AL393" s="242"/>
      <c r="AM393" s="242"/>
      <c r="AN393" s="242"/>
      <c r="AO393" s="242"/>
      <c r="AP393" s="242"/>
      <c r="AQ393" s="242"/>
      <c r="AR393" s="242"/>
      <c r="AS393" s="242"/>
      <c r="AT393" s="242"/>
      <c r="AU393" s="242"/>
      <c r="AV393" s="242"/>
      <c r="AW393" s="242"/>
      <c r="AX393" s="242"/>
      <c r="AY393" s="242"/>
      <c r="AZ393" s="242"/>
      <c r="BA393" s="242"/>
      <c r="BB393" s="242"/>
      <c r="BC393" s="242"/>
      <c r="BD393" s="242"/>
      <c r="BE393" s="242"/>
      <c r="BF393" s="242"/>
      <c r="BG393" s="242"/>
      <c r="BH393" s="242"/>
      <c r="BI393" s="242"/>
      <c r="BJ393" s="242"/>
      <c r="BK393" s="242"/>
      <c r="BL393" s="242"/>
      <c r="BM393" s="242"/>
      <c r="BN393" s="242"/>
      <c r="BO393" s="242"/>
      <c r="BP393" s="242"/>
      <c r="BQ393" s="242"/>
      <c r="BR393" s="242"/>
      <c r="BS393" s="242"/>
      <c r="BT393" s="242"/>
      <c r="BU393" s="242"/>
      <c r="BV393" s="242"/>
      <c r="BW393" s="242"/>
      <c r="BX393" s="242"/>
      <c r="BY393" s="242"/>
      <c r="BZ393" s="242"/>
      <c r="CA393" s="242"/>
      <c r="CB393" s="242"/>
      <c r="CC393" s="242"/>
      <c r="CD393" s="242"/>
    </row>
    <row r="394" spans="1:82" ht="12.75" customHeight="1">
      <c r="A394" s="242"/>
      <c r="B394" s="242"/>
      <c r="C394" s="242"/>
      <c r="D394" s="242"/>
      <c r="E394" s="242"/>
      <c r="F394" s="242"/>
      <c r="G394" s="242"/>
      <c r="H394" s="278"/>
      <c r="I394" s="278"/>
      <c r="J394" s="242"/>
      <c r="K394" s="242"/>
      <c r="L394" s="242"/>
      <c r="M394" s="242"/>
      <c r="N394" s="242"/>
      <c r="O394" s="242"/>
      <c r="P394" s="242"/>
      <c r="Q394" s="242"/>
      <c r="R394" s="242"/>
      <c r="S394" s="242"/>
      <c r="T394" s="242"/>
      <c r="U394" s="242"/>
      <c r="V394" s="242"/>
      <c r="W394" s="242"/>
      <c r="X394" s="242"/>
      <c r="Y394" s="242"/>
      <c r="Z394" s="242"/>
      <c r="AA394" s="242"/>
      <c r="AB394" s="242"/>
      <c r="AC394" s="242"/>
      <c r="AD394" s="242"/>
      <c r="AE394" s="242"/>
      <c r="AF394" s="242"/>
      <c r="AG394" s="242"/>
      <c r="AH394" s="242"/>
      <c r="AI394" s="242"/>
      <c r="AJ394" s="242"/>
      <c r="AK394" s="242"/>
      <c r="AL394" s="242"/>
      <c r="AM394" s="242"/>
      <c r="AN394" s="242"/>
      <c r="AO394" s="242"/>
      <c r="AP394" s="242"/>
      <c r="AQ394" s="242"/>
      <c r="AR394" s="242"/>
      <c r="AS394" s="242"/>
      <c r="AT394" s="242"/>
      <c r="AU394" s="242"/>
      <c r="AV394" s="242"/>
      <c r="AW394" s="242"/>
      <c r="AX394" s="242"/>
      <c r="AY394" s="242"/>
      <c r="AZ394" s="242"/>
      <c r="BA394" s="242"/>
      <c r="BB394" s="242"/>
      <c r="BC394" s="242"/>
      <c r="BD394" s="242"/>
      <c r="BE394" s="242"/>
      <c r="BF394" s="242"/>
      <c r="BG394" s="242"/>
      <c r="BH394" s="242"/>
      <c r="BI394" s="242"/>
      <c r="BJ394" s="242"/>
      <c r="BK394" s="242"/>
      <c r="BL394" s="242"/>
      <c r="BM394" s="242"/>
      <c r="BN394" s="242"/>
      <c r="BO394" s="242"/>
      <c r="BP394" s="242"/>
      <c r="BQ394" s="242"/>
      <c r="BR394" s="242"/>
      <c r="BS394" s="242"/>
      <c r="BT394" s="242"/>
      <c r="BU394" s="242"/>
      <c r="BV394" s="242"/>
      <c r="BW394" s="242"/>
      <c r="BX394" s="242"/>
      <c r="BY394" s="242"/>
      <c r="BZ394" s="242"/>
      <c r="CA394" s="242"/>
      <c r="CB394" s="242"/>
      <c r="CC394" s="242"/>
      <c r="CD394" s="242"/>
    </row>
    <row r="395" spans="1:82" ht="12.75" customHeight="1">
      <c r="A395" s="242"/>
      <c r="B395" s="242"/>
      <c r="C395" s="242"/>
      <c r="D395" s="242"/>
      <c r="E395" s="242"/>
      <c r="F395" s="242"/>
      <c r="G395" s="242"/>
      <c r="H395" s="278"/>
      <c r="I395" s="278"/>
      <c r="J395" s="242"/>
      <c r="K395" s="242"/>
      <c r="L395" s="242"/>
      <c r="M395" s="242"/>
      <c r="N395" s="242"/>
      <c r="O395" s="242"/>
      <c r="P395" s="242"/>
      <c r="Q395" s="242"/>
      <c r="R395" s="242"/>
      <c r="S395" s="242"/>
      <c r="T395" s="242"/>
      <c r="U395" s="242"/>
      <c r="V395" s="242"/>
      <c r="W395" s="242"/>
      <c r="X395" s="242"/>
      <c r="Y395" s="242"/>
      <c r="Z395" s="242"/>
      <c r="AA395" s="242"/>
      <c r="AB395" s="242"/>
      <c r="AC395" s="242"/>
      <c r="AD395" s="242"/>
      <c r="AE395" s="242"/>
      <c r="AF395" s="242"/>
      <c r="AG395" s="242"/>
      <c r="AH395" s="242"/>
      <c r="AI395" s="242"/>
      <c r="AJ395" s="242"/>
      <c r="AK395" s="242"/>
      <c r="AL395" s="242"/>
      <c r="AM395" s="242"/>
      <c r="AN395" s="242"/>
      <c r="AO395" s="242"/>
      <c r="AP395" s="242"/>
      <c r="AQ395" s="242"/>
      <c r="AR395" s="242"/>
      <c r="AS395" s="242"/>
      <c r="AT395" s="242"/>
      <c r="AU395" s="242"/>
      <c r="AV395" s="242"/>
      <c r="AW395" s="242"/>
      <c r="AX395" s="242"/>
      <c r="AY395" s="242"/>
      <c r="AZ395" s="242"/>
      <c r="BA395" s="242"/>
      <c r="BB395" s="242"/>
      <c r="BC395" s="242"/>
      <c r="BD395" s="242"/>
      <c r="BE395" s="242"/>
      <c r="BF395" s="242"/>
      <c r="BG395" s="242"/>
      <c r="BH395" s="242"/>
      <c r="BI395" s="242"/>
      <c r="BJ395" s="242"/>
      <c r="BK395" s="242"/>
      <c r="BL395" s="242"/>
      <c r="BM395" s="242"/>
      <c r="BN395" s="242"/>
      <c r="BO395" s="242"/>
      <c r="BP395" s="242"/>
      <c r="BQ395" s="242"/>
      <c r="BR395" s="242"/>
      <c r="BS395" s="242"/>
      <c r="BT395" s="242"/>
      <c r="BU395" s="242"/>
      <c r="BV395" s="242"/>
      <c r="BW395" s="242"/>
      <c r="BX395" s="242"/>
      <c r="BY395" s="242"/>
      <c r="BZ395" s="242"/>
      <c r="CA395" s="242"/>
      <c r="CB395" s="242"/>
      <c r="CC395" s="242"/>
      <c r="CD395" s="242"/>
    </row>
    <row r="396" spans="1:82" ht="12.75" customHeight="1">
      <c r="A396" s="242"/>
      <c r="B396" s="242"/>
      <c r="C396" s="242"/>
      <c r="D396" s="242"/>
      <c r="E396" s="242"/>
      <c r="F396" s="242"/>
      <c r="G396" s="242"/>
      <c r="H396" s="278"/>
      <c r="I396" s="278"/>
      <c r="J396" s="242"/>
      <c r="K396" s="242"/>
      <c r="L396" s="242"/>
      <c r="M396" s="242"/>
      <c r="N396" s="242"/>
      <c r="O396" s="242"/>
      <c r="P396" s="242"/>
      <c r="Q396" s="242"/>
      <c r="R396" s="242"/>
      <c r="S396" s="242"/>
      <c r="T396" s="242"/>
      <c r="U396" s="242"/>
      <c r="V396" s="242"/>
      <c r="W396" s="242"/>
      <c r="X396" s="242"/>
      <c r="Y396" s="242"/>
      <c r="Z396" s="242"/>
      <c r="AA396" s="242"/>
      <c r="AB396" s="242"/>
      <c r="AC396" s="242"/>
      <c r="AD396" s="242"/>
      <c r="AE396" s="242"/>
      <c r="AF396" s="242"/>
      <c r="AG396" s="242"/>
      <c r="AH396" s="242"/>
      <c r="AI396" s="242"/>
      <c r="AJ396" s="242"/>
      <c r="AK396" s="242"/>
      <c r="AL396" s="242"/>
      <c r="AM396" s="242"/>
      <c r="AN396" s="242"/>
      <c r="AO396" s="242"/>
      <c r="AP396" s="242"/>
      <c r="AQ396" s="242"/>
      <c r="AR396" s="242"/>
      <c r="AS396" s="242"/>
      <c r="AT396" s="242"/>
      <c r="AU396" s="242"/>
      <c r="AV396" s="242"/>
      <c r="AW396" s="242"/>
      <c r="AX396" s="242"/>
      <c r="AY396" s="242"/>
      <c r="AZ396" s="242"/>
      <c r="BA396" s="242"/>
      <c r="BB396" s="242"/>
      <c r="BC396" s="242"/>
      <c r="BD396" s="242"/>
      <c r="BE396" s="242"/>
      <c r="BF396" s="242"/>
      <c r="BG396" s="242"/>
      <c r="BH396" s="242"/>
      <c r="BI396" s="242"/>
      <c r="BJ396" s="242"/>
      <c r="BK396" s="242"/>
      <c r="BL396" s="242"/>
      <c r="BM396" s="242"/>
      <c r="BN396" s="242"/>
      <c r="BO396" s="242"/>
      <c r="BP396" s="242"/>
      <c r="BQ396" s="242"/>
      <c r="BR396" s="242"/>
      <c r="BS396" s="242"/>
      <c r="BT396" s="242"/>
      <c r="BU396" s="242"/>
      <c r="BV396" s="242"/>
      <c r="BW396" s="242"/>
      <c r="BX396" s="242"/>
      <c r="BY396" s="242"/>
      <c r="BZ396" s="242"/>
      <c r="CA396" s="242"/>
      <c r="CB396" s="242"/>
      <c r="CC396" s="242"/>
      <c r="CD396" s="242"/>
    </row>
    <row r="397" spans="1:82" ht="12.75" customHeight="1">
      <c r="A397" s="242"/>
      <c r="B397" s="242"/>
      <c r="C397" s="242"/>
      <c r="D397" s="242"/>
      <c r="E397" s="242"/>
      <c r="F397" s="242"/>
      <c r="G397" s="242"/>
      <c r="H397" s="278"/>
      <c r="I397" s="278"/>
      <c r="J397" s="242"/>
      <c r="K397" s="242"/>
      <c r="L397" s="242"/>
      <c r="M397" s="242"/>
      <c r="N397" s="242"/>
      <c r="O397" s="242"/>
      <c r="P397" s="242"/>
      <c r="Q397" s="242"/>
      <c r="R397" s="242"/>
      <c r="S397" s="242"/>
      <c r="T397" s="242"/>
      <c r="U397" s="242"/>
      <c r="V397" s="242"/>
      <c r="W397" s="242"/>
      <c r="X397" s="242"/>
      <c r="Y397" s="242"/>
      <c r="Z397" s="242"/>
      <c r="AA397" s="242"/>
      <c r="AB397" s="242"/>
      <c r="AC397" s="242"/>
      <c r="AD397" s="242"/>
      <c r="AE397" s="242"/>
      <c r="AF397" s="242"/>
      <c r="AG397" s="242"/>
      <c r="AH397" s="242"/>
      <c r="AI397" s="242"/>
      <c r="AJ397" s="242"/>
      <c r="AK397" s="242"/>
      <c r="AL397" s="242"/>
      <c r="AM397" s="242"/>
      <c r="AN397" s="242"/>
      <c r="AO397" s="242"/>
      <c r="AP397" s="242"/>
      <c r="AQ397" s="242"/>
      <c r="AR397" s="242"/>
      <c r="AS397" s="242"/>
      <c r="AT397" s="242"/>
      <c r="AU397" s="242"/>
      <c r="AV397" s="242"/>
      <c r="AW397" s="242"/>
      <c r="AX397" s="242"/>
      <c r="AY397" s="242"/>
      <c r="AZ397" s="242"/>
      <c r="BA397" s="242"/>
      <c r="BB397" s="242"/>
      <c r="BC397" s="242"/>
      <c r="BD397" s="242"/>
      <c r="BE397" s="242"/>
      <c r="BF397" s="242"/>
      <c r="BG397" s="242"/>
      <c r="BH397" s="242"/>
      <c r="BI397" s="242"/>
      <c r="BJ397" s="242"/>
      <c r="BK397" s="242"/>
      <c r="BL397" s="242"/>
      <c r="BM397" s="242"/>
      <c r="BN397" s="242"/>
      <c r="BO397" s="242"/>
      <c r="BP397" s="242"/>
      <c r="BQ397" s="242"/>
      <c r="BR397" s="242"/>
      <c r="BS397" s="242"/>
      <c r="BT397" s="242"/>
      <c r="BU397" s="242"/>
      <c r="BV397" s="242"/>
      <c r="BW397" s="242"/>
      <c r="BX397" s="242"/>
      <c r="BY397" s="242"/>
      <c r="BZ397" s="242"/>
      <c r="CA397" s="242"/>
      <c r="CB397" s="242"/>
      <c r="CC397" s="242"/>
      <c r="CD397" s="242"/>
    </row>
    <row r="398" spans="1:82" ht="12.75" customHeight="1">
      <c r="A398" s="242"/>
      <c r="B398" s="242"/>
      <c r="C398" s="242"/>
      <c r="D398" s="242"/>
      <c r="E398" s="242"/>
      <c r="F398" s="242"/>
      <c r="G398" s="242"/>
      <c r="H398" s="278"/>
      <c r="I398" s="278"/>
      <c r="J398" s="242"/>
      <c r="K398" s="242"/>
      <c r="L398" s="242"/>
      <c r="M398" s="242"/>
      <c r="N398" s="242"/>
      <c r="O398" s="242"/>
      <c r="P398" s="242"/>
      <c r="Q398" s="242"/>
      <c r="R398" s="242"/>
      <c r="S398" s="242"/>
      <c r="T398" s="242"/>
      <c r="U398" s="242"/>
      <c r="V398" s="242"/>
      <c r="W398" s="242"/>
      <c r="X398" s="242"/>
      <c r="Y398" s="242"/>
      <c r="Z398" s="242"/>
      <c r="AA398" s="242"/>
      <c r="AB398" s="242"/>
      <c r="AC398" s="242"/>
      <c r="AD398" s="242"/>
      <c r="AE398" s="242"/>
      <c r="AF398" s="242"/>
      <c r="AG398" s="242"/>
      <c r="AH398" s="242"/>
      <c r="AI398" s="242"/>
      <c r="AJ398" s="242"/>
      <c r="AK398" s="242"/>
      <c r="AL398" s="242"/>
      <c r="AM398" s="242"/>
      <c r="AN398" s="242"/>
      <c r="AO398" s="242"/>
      <c r="AP398" s="242"/>
      <c r="AQ398" s="242"/>
      <c r="AR398" s="242"/>
      <c r="AS398" s="242"/>
      <c r="AT398" s="242"/>
      <c r="AU398" s="242"/>
      <c r="AV398" s="242"/>
      <c r="AW398" s="242"/>
      <c r="AX398" s="242"/>
      <c r="AY398" s="242"/>
      <c r="AZ398" s="242"/>
      <c r="BA398" s="242"/>
      <c r="BB398" s="242"/>
      <c r="BC398" s="242"/>
      <c r="BD398" s="242"/>
      <c r="BE398" s="242"/>
      <c r="BF398" s="242"/>
      <c r="BG398" s="242"/>
      <c r="BH398" s="242"/>
      <c r="BI398" s="242"/>
      <c r="BJ398" s="242"/>
      <c r="BK398" s="242"/>
      <c r="BL398" s="242"/>
      <c r="BM398" s="242"/>
      <c r="BN398" s="242"/>
      <c r="BO398" s="242"/>
      <c r="BP398" s="242"/>
      <c r="BQ398" s="242"/>
      <c r="BR398" s="242"/>
      <c r="BS398" s="242"/>
      <c r="BT398" s="242"/>
      <c r="BU398" s="242"/>
      <c r="BV398" s="242"/>
      <c r="BW398" s="242"/>
      <c r="BX398" s="242"/>
      <c r="BY398" s="242"/>
      <c r="BZ398" s="242"/>
      <c r="CA398" s="242"/>
      <c r="CB398" s="242"/>
      <c r="CC398" s="242"/>
      <c r="CD398" s="242"/>
    </row>
    <row r="399" spans="1:82" ht="12.75" customHeight="1">
      <c r="A399" s="242"/>
      <c r="B399" s="242"/>
      <c r="C399" s="242"/>
      <c r="D399" s="242"/>
      <c r="E399" s="242"/>
      <c r="F399" s="242"/>
      <c r="G399" s="242"/>
      <c r="H399" s="278"/>
      <c r="I399" s="278"/>
      <c r="J399" s="242"/>
      <c r="K399" s="242"/>
      <c r="L399" s="242"/>
      <c r="M399" s="242"/>
      <c r="N399" s="242"/>
      <c r="O399" s="242"/>
      <c r="P399" s="242"/>
      <c r="Q399" s="242"/>
      <c r="R399" s="242"/>
      <c r="S399" s="242"/>
      <c r="T399" s="242"/>
      <c r="U399" s="242"/>
      <c r="V399" s="242"/>
      <c r="W399" s="242"/>
      <c r="X399" s="242"/>
      <c r="Y399" s="242"/>
      <c r="Z399" s="242"/>
      <c r="AA399" s="242"/>
      <c r="AB399" s="242"/>
      <c r="AC399" s="242"/>
      <c r="AD399" s="242"/>
      <c r="AE399" s="242"/>
      <c r="AF399" s="242"/>
      <c r="AG399" s="242"/>
      <c r="AH399" s="242"/>
      <c r="AI399" s="242"/>
      <c r="AJ399" s="242"/>
      <c r="AK399" s="242"/>
      <c r="AL399" s="242"/>
      <c r="AM399" s="242"/>
      <c r="AN399" s="242"/>
      <c r="AO399" s="242"/>
      <c r="AP399" s="242"/>
      <c r="AQ399" s="242"/>
      <c r="AR399" s="242"/>
      <c r="AS399" s="242"/>
      <c r="AT399" s="242"/>
      <c r="AU399" s="242"/>
      <c r="AV399" s="242"/>
      <c r="AW399" s="242"/>
      <c r="AX399" s="242"/>
      <c r="AY399" s="242"/>
      <c r="AZ399" s="242"/>
      <c r="BA399" s="242"/>
      <c r="BB399" s="242"/>
      <c r="BC399" s="242"/>
      <c r="BD399" s="242"/>
      <c r="BE399" s="242"/>
      <c r="BF399" s="242"/>
      <c r="BG399" s="242"/>
      <c r="BH399" s="242"/>
      <c r="BI399" s="242"/>
      <c r="BJ399" s="242"/>
      <c r="BK399" s="242"/>
      <c r="BL399" s="242"/>
      <c r="BM399" s="242"/>
      <c r="BN399" s="242"/>
      <c r="BO399" s="242"/>
      <c r="BP399" s="242"/>
      <c r="BQ399" s="242"/>
      <c r="BR399" s="242"/>
      <c r="BS399" s="242"/>
      <c r="BT399" s="242"/>
      <c r="BU399" s="242"/>
      <c r="BV399" s="242"/>
      <c r="BW399" s="242"/>
      <c r="BX399" s="242"/>
      <c r="BY399" s="242"/>
      <c r="BZ399" s="242"/>
      <c r="CA399" s="242"/>
      <c r="CB399" s="242"/>
      <c r="CC399" s="242"/>
      <c r="CD399" s="242"/>
    </row>
    <row r="400" spans="1:82" ht="12.75" customHeight="1">
      <c r="A400" s="242"/>
      <c r="B400" s="242"/>
      <c r="C400" s="242"/>
      <c r="D400" s="242"/>
      <c r="E400" s="242"/>
      <c r="F400" s="242"/>
      <c r="G400" s="242"/>
      <c r="H400" s="278"/>
      <c r="I400" s="278"/>
      <c r="J400" s="242"/>
      <c r="K400" s="242"/>
      <c r="L400" s="242"/>
      <c r="M400" s="242"/>
      <c r="N400" s="242"/>
      <c r="O400" s="242"/>
      <c r="P400" s="242"/>
      <c r="Q400" s="242"/>
      <c r="R400" s="242"/>
      <c r="S400" s="242"/>
      <c r="T400" s="242"/>
      <c r="U400" s="242"/>
      <c r="V400" s="242"/>
      <c r="W400" s="242"/>
      <c r="X400" s="242"/>
      <c r="Y400" s="242"/>
      <c r="Z400" s="242"/>
      <c r="AA400" s="242"/>
      <c r="AB400" s="242"/>
      <c r="AC400" s="242"/>
      <c r="AD400" s="242"/>
      <c r="AE400" s="242"/>
      <c r="AF400" s="242"/>
      <c r="AG400" s="242"/>
      <c r="AH400" s="242"/>
      <c r="AI400" s="242"/>
      <c r="AJ400" s="242"/>
      <c r="AK400" s="242"/>
      <c r="AL400" s="242"/>
      <c r="AM400" s="242"/>
      <c r="AN400" s="242"/>
      <c r="AO400" s="242"/>
      <c r="AP400" s="242"/>
      <c r="AQ400" s="242"/>
      <c r="AR400" s="242"/>
      <c r="AS400" s="242"/>
      <c r="AT400" s="242"/>
      <c r="AU400" s="242"/>
      <c r="AV400" s="242"/>
      <c r="AW400" s="242"/>
      <c r="AX400" s="242"/>
      <c r="AY400" s="242"/>
      <c r="AZ400" s="242"/>
      <c r="BA400" s="242"/>
      <c r="BB400" s="242"/>
      <c r="BC400" s="242"/>
      <c r="BD400" s="242"/>
      <c r="BE400" s="242"/>
      <c r="BF400" s="242"/>
      <c r="BG400" s="242"/>
      <c r="BH400" s="242"/>
      <c r="BI400" s="242"/>
      <c r="BJ400" s="242"/>
      <c r="BK400" s="242"/>
      <c r="BL400" s="242"/>
      <c r="BM400" s="242"/>
      <c r="BN400" s="242"/>
      <c r="BO400" s="242"/>
      <c r="BP400" s="242"/>
      <c r="BQ400" s="242"/>
      <c r="BR400" s="242"/>
      <c r="BS400" s="242"/>
      <c r="BT400" s="242"/>
      <c r="BU400" s="242"/>
      <c r="BV400" s="242"/>
      <c r="BW400" s="242"/>
      <c r="BX400" s="242"/>
      <c r="BY400" s="242"/>
      <c r="BZ400" s="242"/>
      <c r="CA400" s="242"/>
      <c r="CB400" s="242"/>
      <c r="CC400" s="242"/>
      <c r="CD400" s="242"/>
    </row>
    <row r="401" spans="1:82" ht="12.75" customHeight="1">
      <c r="A401" s="242"/>
      <c r="B401" s="242"/>
      <c r="C401" s="242"/>
      <c r="D401" s="242"/>
      <c r="E401" s="242"/>
      <c r="F401" s="242"/>
      <c r="G401" s="242"/>
      <c r="H401" s="278"/>
      <c r="I401" s="278"/>
      <c r="J401" s="242"/>
      <c r="K401" s="242"/>
      <c r="L401" s="242"/>
      <c r="M401" s="242"/>
      <c r="N401" s="242"/>
      <c r="O401" s="242"/>
      <c r="P401" s="242"/>
      <c r="Q401" s="242"/>
      <c r="R401" s="242"/>
      <c r="S401" s="242"/>
      <c r="T401" s="242"/>
      <c r="U401" s="242"/>
      <c r="V401" s="242"/>
      <c r="W401" s="242"/>
      <c r="X401" s="242"/>
      <c r="Y401" s="242"/>
      <c r="Z401" s="242"/>
      <c r="AA401" s="242"/>
      <c r="AB401" s="242"/>
      <c r="AC401" s="242"/>
      <c r="AD401" s="242"/>
      <c r="AE401" s="242"/>
      <c r="AF401" s="242"/>
      <c r="AG401" s="242"/>
      <c r="AH401" s="242"/>
      <c r="AI401" s="242"/>
      <c r="AJ401" s="242"/>
      <c r="AK401" s="242"/>
      <c r="AL401" s="242"/>
      <c r="AM401" s="242"/>
      <c r="AN401" s="242"/>
      <c r="AO401" s="242"/>
      <c r="AP401" s="242"/>
      <c r="AQ401" s="242"/>
      <c r="AR401" s="242"/>
      <c r="AS401" s="242"/>
      <c r="AT401" s="242"/>
      <c r="AU401" s="242"/>
      <c r="AV401" s="242"/>
      <c r="AW401" s="242"/>
      <c r="AX401" s="242"/>
      <c r="AY401" s="242"/>
      <c r="AZ401" s="242"/>
      <c r="BA401" s="242"/>
      <c r="BB401" s="242"/>
      <c r="BC401" s="242"/>
      <c r="BD401" s="242"/>
      <c r="BE401" s="242"/>
      <c r="BF401" s="242"/>
      <c r="BG401" s="242"/>
      <c r="BH401" s="242"/>
      <c r="BI401" s="242"/>
      <c r="BJ401" s="242"/>
      <c r="BK401" s="242"/>
      <c r="BL401" s="242"/>
      <c r="BM401" s="242"/>
      <c r="BN401" s="242"/>
      <c r="BO401" s="242"/>
      <c r="BP401" s="242"/>
      <c r="BQ401" s="242"/>
      <c r="BR401" s="242"/>
      <c r="BS401" s="242"/>
      <c r="BT401" s="242"/>
      <c r="BU401" s="242"/>
      <c r="BV401" s="242"/>
      <c r="BW401" s="242"/>
      <c r="BX401" s="242"/>
      <c r="BY401" s="242"/>
      <c r="BZ401" s="242"/>
      <c r="CA401" s="242"/>
      <c r="CB401" s="242"/>
      <c r="CC401" s="242"/>
      <c r="CD401" s="242"/>
    </row>
    <row r="402" spans="1:82" ht="12.75" customHeight="1">
      <c r="A402" s="242"/>
      <c r="B402" s="242"/>
      <c r="C402" s="242"/>
      <c r="D402" s="242"/>
      <c r="E402" s="242"/>
      <c r="F402" s="242"/>
      <c r="G402" s="242"/>
      <c r="H402" s="278"/>
      <c r="I402" s="278"/>
      <c r="J402" s="242"/>
      <c r="K402" s="242"/>
      <c r="L402" s="242"/>
      <c r="M402" s="242"/>
      <c r="N402" s="242"/>
      <c r="O402" s="242"/>
      <c r="P402" s="242"/>
      <c r="Q402" s="242"/>
      <c r="R402" s="242"/>
      <c r="S402" s="242"/>
      <c r="T402" s="242"/>
      <c r="U402" s="242"/>
      <c r="V402" s="242"/>
      <c r="W402" s="242"/>
      <c r="X402" s="242"/>
      <c r="Y402" s="242"/>
      <c r="Z402" s="242"/>
      <c r="AA402" s="242"/>
      <c r="AB402" s="242"/>
      <c r="AC402" s="242"/>
      <c r="AD402" s="242"/>
      <c r="AE402" s="242"/>
      <c r="AF402" s="242"/>
      <c r="AG402" s="242"/>
      <c r="AH402" s="242"/>
      <c r="AI402" s="242"/>
      <c r="AJ402" s="242"/>
      <c r="AK402" s="242"/>
      <c r="AL402" s="242"/>
      <c r="AM402" s="242"/>
      <c r="AN402" s="242"/>
      <c r="AO402" s="242"/>
      <c r="AP402" s="242"/>
      <c r="AQ402" s="242"/>
      <c r="AR402" s="242"/>
      <c r="AS402" s="242"/>
      <c r="AT402" s="242"/>
      <c r="AU402" s="242"/>
      <c r="AV402" s="242"/>
      <c r="AW402" s="242"/>
      <c r="AX402" s="242"/>
      <c r="AY402" s="242"/>
      <c r="AZ402" s="242"/>
      <c r="BA402" s="242"/>
      <c r="BB402" s="242"/>
      <c r="BC402" s="242"/>
      <c r="BD402" s="242"/>
      <c r="BE402" s="242"/>
      <c r="BF402" s="242"/>
      <c r="BG402" s="242"/>
      <c r="BH402" s="242"/>
      <c r="BI402" s="242"/>
      <c r="BJ402" s="242"/>
      <c r="BK402" s="242"/>
      <c r="BL402" s="242"/>
      <c r="BM402" s="242"/>
      <c r="BN402" s="242"/>
      <c r="BO402" s="242"/>
      <c r="BP402" s="242"/>
      <c r="BQ402" s="242"/>
      <c r="BR402" s="242"/>
      <c r="BS402" s="242"/>
      <c r="BT402" s="242"/>
      <c r="BU402" s="242"/>
      <c r="BV402" s="242"/>
      <c r="BW402" s="242"/>
      <c r="BX402" s="242"/>
      <c r="BY402" s="242"/>
      <c r="BZ402" s="242"/>
      <c r="CA402" s="242"/>
      <c r="CB402" s="242"/>
      <c r="CC402" s="242"/>
      <c r="CD402" s="242"/>
    </row>
    <row r="403" spans="1:82" ht="12.75" customHeight="1">
      <c r="A403" s="242"/>
      <c r="B403" s="242"/>
      <c r="C403" s="242"/>
      <c r="D403" s="242"/>
      <c r="E403" s="242"/>
      <c r="F403" s="242"/>
      <c r="G403" s="242"/>
      <c r="H403" s="278"/>
      <c r="I403" s="278"/>
      <c r="J403" s="242"/>
      <c r="K403" s="242"/>
      <c r="L403" s="242"/>
      <c r="M403" s="242"/>
      <c r="N403" s="242"/>
      <c r="O403" s="242"/>
      <c r="P403" s="242"/>
      <c r="Q403" s="242"/>
      <c r="R403" s="242"/>
      <c r="S403" s="242"/>
      <c r="T403" s="242"/>
      <c r="U403" s="242"/>
      <c r="V403" s="242"/>
      <c r="W403" s="242"/>
      <c r="X403" s="242"/>
      <c r="Y403" s="242"/>
      <c r="Z403" s="242"/>
      <c r="AA403" s="242"/>
      <c r="AB403" s="242"/>
      <c r="AC403" s="242"/>
      <c r="AD403" s="242"/>
      <c r="AE403" s="242"/>
      <c r="AF403" s="242"/>
      <c r="AG403" s="242"/>
      <c r="AH403" s="242"/>
      <c r="AI403" s="242"/>
      <c r="AJ403" s="242"/>
      <c r="AK403" s="242"/>
      <c r="AL403" s="242"/>
      <c r="AM403" s="242"/>
      <c r="AN403" s="242"/>
      <c r="AO403" s="242"/>
      <c r="AP403" s="242"/>
      <c r="AQ403" s="242"/>
      <c r="AR403" s="242"/>
      <c r="AS403" s="242"/>
      <c r="AT403" s="242"/>
      <c r="AU403" s="242"/>
      <c r="AV403" s="242"/>
      <c r="AW403" s="242"/>
      <c r="AX403" s="242"/>
      <c r="AY403" s="242"/>
      <c r="AZ403" s="242"/>
      <c r="BA403" s="242"/>
      <c r="BB403" s="242"/>
      <c r="BC403" s="242"/>
      <c r="BD403" s="242"/>
      <c r="BE403" s="242"/>
      <c r="BF403" s="242"/>
      <c r="BG403" s="242"/>
      <c r="BH403" s="242"/>
      <c r="BI403" s="242"/>
      <c r="BJ403" s="242"/>
      <c r="BK403" s="242"/>
      <c r="BL403" s="242"/>
      <c r="BM403" s="242"/>
      <c r="BN403" s="242"/>
      <c r="BO403" s="242"/>
      <c r="BP403" s="242"/>
      <c r="BQ403" s="242"/>
      <c r="BR403" s="242"/>
      <c r="BS403" s="242"/>
      <c r="BT403" s="242"/>
      <c r="BU403" s="242"/>
      <c r="BV403" s="242"/>
      <c r="BW403" s="242"/>
      <c r="BX403" s="242"/>
      <c r="BY403" s="242"/>
      <c r="BZ403" s="242"/>
      <c r="CA403" s="242"/>
      <c r="CB403" s="242"/>
      <c r="CC403" s="242"/>
      <c r="CD403" s="242"/>
    </row>
    <row r="404" spans="1:82" ht="12.75" customHeight="1">
      <c r="A404" s="242"/>
      <c r="B404" s="242"/>
      <c r="C404" s="242"/>
      <c r="D404" s="242"/>
      <c r="E404" s="242"/>
      <c r="F404" s="242"/>
      <c r="G404" s="242"/>
      <c r="H404" s="278"/>
      <c r="I404" s="278"/>
      <c r="J404" s="242"/>
      <c r="K404" s="242"/>
      <c r="L404" s="242"/>
      <c r="M404" s="242"/>
      <c r="N404" s="242"/>
      <c r="O404" s="242"/>
      <c r="P404" s="242"/>
      <c r="Q404" s="242"/>
      <c r="R404" s="242"/>
      <c r="S404" s="242"/>
      <c r="T404" s="242"/>
      <c r="U404" s="242"/>
      <c r="V404" s="242"/>
      <c r="W404" s="242"/>
      <c r="X404" s="242"/>
      <c r="Y404" s="242"/>
      <c r="Z404" s="242"/>
      <c r="AA404" s="242"/>
      <c r="AB404" s="242"/>
      <c r="AC404" s="242"/>
      <c r="AD404" s="242"/>
      <c r="AE404" s="242"/>
      <c r="AF404" s="242"/>
      <c r="AG404" s="242"/>
      <c r="AH404" s="242"/>
      <c r="AI404" s="242"/>
      <c r="AJ404" s="242"/>
      <c r="AK404" s="242"/>
      <c r="AL404" s="242"/>
      <c r="AM404" s="242"/>
      <c r="AN404" s="242"/>
      <c r="AO404" s="242"/>
      <c r="AP404" s="242"/>
      <c r="AQ404" s="242"/>
      <c r="AR404" s="242"/>
      <c r="AS404" s="242"/>
      <c r="AT404" s="242"/>
      <c r="AU404" s="242"/>
      <c r="AV404" s="242"/>
      <c r="AW404" s="242"/>
      <c r="AX404" s="242"/>
      <c r="AY404" s="242"/>
      <c r="AZ404" s="242"/>
      <c r="BA404" s="242"/>
      <c r="BB404" s="242"/>
      <c r="BC404" s="242"/>
      <c r="BD404" s="242"/>
      <c r="BE404" s="242"/>
      <c r="BF404" s="242"/>
      <c r="BG404" s="242"/>
      <c r="BH404" s="242"/>
      <c r="BI404" s="242"/>
      <c r="BJ404" s="242"/>
      <c r="BK404" s="242"/>
      <c r="BL404" s="242"/>
      <c r="BM404" s="242"/>
      <c r="BN404" s="242"/>
      <c r="BO404" s="242"/>
      <c r="BP404" s="242"/>
      <c r="BQ404" s="242"/>
      <c r="BR404" s="242"/>
      <c r="BS404" s="242"/>
      <c r="BT404" s="242"/>
      <c r="BU404" s="242"/>
      <c r="BV404" s="242"/>
      <c r="BW404" s="242"/>
      <c r="BX404" s="242"/>
      <c r="BY404" s="242"/>
      <c r="BZ404" s="242"/>
      <c r="CA404" s="242"/>
      <c r="CB404" s="242"/>
      <c r="CC404" s="242"/>
      <c r="CD404" s="242"/>
    </row>
    <row r="405" spans="1:82" ht="12.75" customHeight="1">
      <c r="A405" s="242"/>
      <c r="B405" s="242"/>
      <c r="C405" s="242"/>
      <c r="D405" s="242"/>
      <c r="E405" s="242"/>
      <c r="F405" s="242"/>
      <c r="G405" s="242"/>
      <c r="H405" s="278"/>
      <c r="I405" s="278"/>
      <c r="J405" s="242"/>
      <c r="K405" s="242"/>
      <c r="L405" s="242"/>
      <c r="M405" s="242"/>
      <c r="N405" s="242"/>
      <c r="O405" s="242"/>
      <c r="P405" s="242"/>
      <c r="Q405" s="242"/>
      <c r="R405" s="242"/>
      <c r="S405" s="242"/>
      <c r="T405" s="242"/>
      <c r="U405" s="242"/>
      <c r="V405" s="242"/>
      <c r="W405" s="242"/>
      <c r="X405" s="242"/>
      <c r="Y405" s="242"/>
      <c r="Z405" s="242"/>
      <c r="AA405" s="242"/>
      <c r="AB405" s="242"/>
      <c r="AC405" s="242"/>
      <c r="AD405" s="242"/>
      <c r="AE405" s="242"/>
      <c r="AF405" s="242"/>
      <c r="AG405" s="242"/>
      <c r="AH405" s="242"/>
      <c r="AI405" s="242"/>
      <c r="AJ405" s="242"/>
      <c r="AK405" s="242"/>
      <c r="AL405" s="242"/>
      <c r="AM405" s="242"/>
      <c r="AN405" s="242"/>
      <c r="AO405" s="242"/>
      <c r="AP405" s="242"/>
      <c r="AQ405" s="242"/>
      <c r="AR405" s="242"/>
      <c r="AS405" s="242"/>
      <c r="AT405" s="242"/>
      <c r="AU405" s="242"/>
      <c r="AV405" s="242"/>
      <c r="AW405" s="242"/>
      <c r="AX405" s="242"/>
      <c r="AY405" s="242"/>
      <c r="AZ405" s="242"/>
      <c r="BA405" s="242"/>
      <c r="BB405" s="242"/>
      <c r="BC405" s="242"/>
      <c r="BD405" s="242"/>
      <c r="BE405" s="242"/>
      <c r="BF405" s="242"/>
      <c r="BG405" s="242"/>
      <c r="BH405" s="242"/>
      <c r="BI405" s="242"/>
      <c r="BJ405" s="242"/>
      <c r="BK405" s="242"/>
      <c r="BL405" s="242"/>
      <c r="BM405" s="242"/>
      <c r="BN405" s="242"/>
      <c r="BO405" s="242"/>
      <c r="BP405" s="242"/>
      <c r="BQ405" s="242"/>
      <c r="BR405" s="242"/>
      <c r="BS405" s="242"/>
      <c r="BT405" s="242"/>
      <c r="BU405" s="242"/>
      <c r="BV405" s="242"/>
      <c r="BW405" s="242"/>
      <c r="BX405" s="242"/>
      <c r="BY405" s="242"/>
      <c r="BZ405" s="242"/>
      <c r="CA405" s="242"/>
      <c r="CB405" s="242"/>
      <c r="CC405" s="242"/>
      <c r="CD405" s="242"/>
    </row>
    <row r="406" spans="1:82" ht="12.75" customHeight="1">
      <c r="A406" s="242"/>
      <c r="B406" s="242"/>
      <c r="C406" s="242"/>
      <c r="D406" s="242"/>
      <c r="E406" s="242"/>
      <c r="F406" s="242"/>
      <c r="G406" s="242"/>
      <c r="H406" s="278"/>
      <c r="I406" s="278"/>
      <c r="J406" s="242"/>
      <c r="K406" s="242"/>
      <c r="L406" s="242"/>
      <c r="M406" s="242"/>
      <c r="N406" s="242"/>
      <c r="O406" s="242"/>
      <c r="P406" s="242"/>
      <c r="Q406" s="242"/>
      <c r="R406" s="242"/>
      <c r="S406" s="242"/>
      <c r="T406" s="242"/>
      <c r="U406" s="242"/>
      <c r="V406" s="242"/>
      <c r="W406" s="242"/>
      <c r="X406" s="242"/>
      <c r="Y406" s="242"/>
      <c r="Z406" s="242"/>
      <c r="AA406" s="242"/>
      <c r="AB406" s="242"/>
      <c r="AC406" s="242"/>
      <c r="AD406" s="242"/>
      <c r="AE406" s="242"/>
      <c r="AF406" s="242"/>
      <c r="AG406" s="242"/>
      <c r="AH406" s="242"/>
      <c r="AI406" s="242"/>
      <c r="AJ406" s="242"/>
      <c r="AK406" s="242"/>
      <c r="AL406" s="242"/>
      <c r="AM406" s="242"/>
      <c r="AN406" s="242"/>
      <c r="AO406" s="242"/>
      <c r="AP406" s="242"/>
      <c r="AQ406" s="242"/>
      <c r="AR406" s="242"/>
      <c r="AS406" s="242"/>
      <c r="AT406" s="242"/>
      <c r="AU406" s="242"/>
      <c r="AV406" s="242"/>
      <c r="AW406" s="242"/>
      <c r="AX406" s="242"/>
      <c r="AY406" s="242"/>
      <c r="AZ406" s="242"/>
      <c r="BA406" s="242"/>
      <c r="BB406" s="242"/>
      <c r="BC406" s="242"/>
      <c r="BD406" s="242"/>
      <c r="BE406" s="242"/>
      <c r="BF406" s="242"/>
      <c r="BG406" s="242"/>
      <c r="BH406" s="242"/>
      <c r="BI406" s="242"/>
      <c r="BJ406" s="242"/>
      <c r="BK406" s="242"/>
      <c r="BL406" s="242"/>
      <c r="BM406" s="242"/>
      <c r="BN406" s="242"/>
      <c r="BO406" s="242"/>
      <c r="BP406" s="242"/>
      <c r="BQ406" s="242"/>
      <c r="BR406" s="242"/>
      <c r="BS406" s="242"/>
      <c r="BT406" s="242"/>
      <c r="BU406" s="242"/>
      <c r="BV406" s="242"/>
      <c r="BW406" s="242"/>
      <c r="BX406" s="242"/>
      <c r="BY406" s="242"/>
      <c r="BZ406" s="242"/>
      <c r="CA406" s="242"/>
      <c r="CB406" s="242"/>
      <c r="CC406" s="242"/>
      <c r="CD406" s="242"/>
    </row>
    <row r="407" spans="1:82" ht="12.75" customHeight="1">
      <c r="A407" s="242"/>
      <c r="B407" s="242"/>
      <c r="C407" s="242"/>
      <c r="D407" s="242"/>
      <c r="E407" s="242"/>
      <c r="F407" s="242"/>
      <c r="G407" s="242"/>
      <c r="H407" s="278"/>
      <c r="I407" s="278"/>
      <c r="J407" s="242"/>
      <c r="K407" s="242"/>
      <c r="L407" s="242"/>
      <c r="M407" s="242"/>
      <c r="N407" s="242"/>
      <c r="O407" s="242"/>
      <c r="P407" s="242"/>
      <c r="Q407" s="242"/>
      <c r="R407" s="242"/>
      <c r="S407" s="242"/>
      <c r="T407" s="242"/>
      <c r="U407" s="242"/>
      <c r="V407" s="242"/>
      <c r="W407" s="242"/>
      <c r="X407" s="242"/>
      <c r="Y407" s="242"/>
      <c r="Z407" s="242"/>
      <c r="AA407" s="242"/>
      <c r="AB407" s="242"/>
      <c r="AC407" s="242"/>
      <c r="AD407" s="242"/>
      <c r="AE407" s="242"/>
      <c r="AF407" s="242"/>
      <c r="AG407" s="242"/>
      <c r="AH407" s="242"/>
      <c r="AI407" s="242"/>
      <c r="AJ407" s="242"/>
      <c r="AK407" s="242"/>
      <c r="AL407" s="242"/>
      <c r="AM407" s="242"/>
      <c r="AN407" s="242"/>
      <c r="AO407" s="242"/>
      <c r="AP407" s="242"/>
      <c r="AQ407" s="242"/>
      <c r="AR407" s="242"/>
      <c r="AS407" s="242"/>
      <c r="AT407" s="242"/>
      <c r="AU407" s="242"/>
      <c r="AV407" s="242"/>
      <c r="AW407" s="242"/>
      <c r="AX407" s="242"/>
      <c r="AY407" s="242"/>
      <c r="AZ407" s="242"/>
      <c r="BA407" s="242"/>
      <c r="BB407" s="242"/>
      <c r="BC407" s="242"/>
      <c r="BD407" s="242"/>
      <c r="BE407" s="242"/>
      <c r="BF407" s="242"/>
      <c r="BG407" s="242"/>
      <c r="BH407" s="242"/>
      <c r="BI407" s="242"/>
      <c r="BJ407" s="242"/>
      <c r="BK407" s="242"/>
      <c r="BL407" s="242"/>
      <c r="BM407" s="242"/>
      <c r="BN407" s="242"/>
      <c r="BO407" s="242"/>
      <c r="BP407" s="242"/>
      <c r="BQ407" s="242"/>
      <c r="BR407" s="242"/>
      <c r="BS407" s="242"/>
      <c r="BT407" s="242"/>
      <c r="BU407" s="242"/>
      <c r="BV407" s="242"/>
      <c r="BW407" s="242"/>
      <c r="BX407" s="242"/>
      <c r="BY407" s="242"/>
      <c r="BZ407" s="242"/>
      <c r="CA407" s="242"/>
      <c r="CB407" s="242"/>
      <c r="CC407" s="242"/>
      <c r="CD407" s="242"/>
    </row>
    <row r="408" spans="1:82" ht="12.75" customHeight="1">
      <c r="A408" s="242"/>
      <c r="B408" s="242"/>
      <c r="C408" s="242"/>
      <c r="D408" s="242"/>
      <c r="E408" s="242"/>
      <c r="F408" s="242"/>
      <c r="G408" s="242"/>
      <c r="H408" s="278"/>
      <c r="I408" s="278"/>
      <c r="J408" s="242"/>
      <c r="K408" s="242"/>
      <c r="L408" s="242"/>
      <c r="M408" s="242"/>
      <c r="N408" s="242"/>
      <c r="O408" s="242"/>
      <c r="P408" s="242"/>
      <c r="Q408" s="242"/>
      <c r="R408" s="242"/>
      <c r="S408" s="242"/>
      <c r="T408" s="242"/>
      <c r="U408" s="242"/>
      <c r="V408" s="242"/>
      <c r="W408" s="242"/>
      <c r="X408" s="242"/>
      <c r="Y408" s="242"/>
      <c r="Z408" s="242"/>
      <c r="AA408" s="242"/>
      <c r="AB408" s="242"/>
      <c r="AC408" s="242"/>
      <c r="AD408" s="242"/>
      <c r="AE408" s="242"/>
      <c r="AF408" s="242"/>
      <c r="AG408" s="242"/>
      <c r="AH408" s="242"/>
      <c r="AI408" s="242"/>
      <c r="AJ408" s="242"/>
      <c r="AK408" s="242"/>
      <c r="AL408" s="242"/>
      <c r="AM408" s="242"/>
      <c r="AN408" s="242"/>
      <c r="AO408" s="242"/>
      <c r="AP408" s="242"/>
      <c r="AQ408" s="242"/>
      <c r="AR408" s="242"/>
      <c r="AS408" s="242"/>
      <c r="AT408" s="242"/>
      <c r="AU408" s="242"/>
      <c r="AV408" s="242"/>
      <c r="AW408" s="242"/>
      <c r="AX408" s="242"/>
      <c r="AY408" s="242"/>
      <c r="AZ408" s="242"/>
      <c r="BA408" s="242"/>
      <c r="BB408" s="242"/>
      <c r="BC408" s="242"/>
      <c r="BD408" s="242"/>
      <c r="BE408" s="242"/>
      <c r="BF408" s="242"/>
      <c r="BG408" s="242"/>
      <c r="BH408" s="242"/>
      <c r="BI408" s="242"/>
      <c r="BJ408" s="242"/>
      <c r="BK408" s="242"/>
      <c r="BL408" s="242"/>
      <c r="BM408" s="242"/>
      <c r="BN408" s="242"/>
      <c r="BO408" s="242"/>
      <c r="BP408" s="242"/>
      <c r="BQ408" s="242"/>
      <c r="BR408" s="242"/>
      <c r="BS408" s="242"/>
      <c r="BT408" s="242"/>
      <c r="BU408" s="242"/>
      <c r="BV408" s="242"/>
      <c r="BW408" s="242"/>
      <c r="BX408" s="242"/>
      <c r="BY408" s="242"/>
      <c r="BZ408" s="242"/>
      <c r="CA408" s="242"/>
      <c r="CB408" s="242"/>
      <c r="CC408" s="242"/>
      <c r="CD408" s="242"/>
    </row>
    <row r="409" spans="1:82" ht="12.75" customHeight="1">
      <c r="A409" s="242"/>
      <c r="B409" s="242"/>
      <c r="C409" s="242"/>
      <c r="D409" s="242"/>
      <c r="E409" s="242"/>
      <c r="F409" s="242"/>
      <c r="G409" s="242"/>
      <c r="H409" s="278"/>
      <c r="I409" s="278"/>
      <c r="J409" s="242"/>
      <c r="K409" s="242"/>
      <c r="L409" s="242"/>
      <c r="M409" s="242"/>
      <c r="N409" s="242"/>
      <c r="O409" s="242"/>
      <c r="P409" s="242"/>
      <c r="Q409" s="242"/>
      <c r="R409" s="242"/>
      <c r="S409" s="242"/>
      <c r="T409" s="242"/>
      <c r="U409" s="242"/>
      <c r="V409" s="242"/>
      <c r="W409" s="242"/>
      <c r="X409" s="242"/>
      <c r="Y409" s="242"/>
      <c r="Z409" s="242"/>
      <c r="AA409" s="242"/>
      <c r="AB409" s="242"/>
      <c r="AC409" s="242"/>
      <c r="AD409" s="242"/>
      <c r="AE409" s="242"/>
      <c r="AF409" s="242"/>
      <c r="AG409" s="242"/>
      <c r="AH409" s="242"/>
      <c r="AI409" s="242"/>
      <c r="AJ409" s="242"/>
      <c r="AK409" s="242"/>
      <c r="AL409" s="242"/>
      <c r="AM409" s="242"/>
      <c r="AN409" s="242"/>
      <c r="AO409" s="242"/>
      <c r="AP409" s="242"/>
      <c r="AQ409" s="242"/>
      <c r="AR409" s="242"/>
      <c r="AS409" s="242"/>
      <c r="AT409" s="242"/>
      <c r="AU409" s="242"/>
      <c r="AV409" s="242"/>
      <c r="AW409" s="242"/>
      <c r="AX409" s="242"/>
      <c r="AY409" s="242"/>
      <c r="AZ409" s="242"/>
      <c r="BA409" s="242"/>
      <c r="BB409" s="242"/>
      <c r="BC409" s="242"/>
      <c r="BD409" s="242"/>
      <c r="BE409" s="242"/>
      <c r="BF409" s="242"/>
      <c r="BG409" s="242"/>
      <c r="BH409" s="242"/>
      <c r="BI409" s="242"/>
      <c r="BJ409" s="242"/>
      <c r="BK409" s="242"/>
      <c r="BL409" s="242"/>
      <c r="BM409" s="242"/>
      <c r="BN409" s="242"/>
      <c r="BO409" s="242"/>
      <c r="BP409" s="242"/>
      <c r="BQ409" s="242"/>
      <c r="BR409" s="242"/>
      <c r="BS409" s="242"/>
      <c r="BT409" s="242"/>
      <c r="BU409" s="242"/>
      <c r="BV409" s="242"/>
      <c r="BW409" s="242"/>
      <c r="BX409" s="242"/>
      <c r="BY409" s="242"/>
      <c r="BZ409" s="242"/>
      <c r="CA409" s="242"/>
      <c r="CB409" s="242"/>
      <c r="CC409" s="242"/>
      <c r="CD409" s="242"/>
    </row>
    <row r="410" spans="1:82" ht="12.75" customHeight="1">
      <c r="A410" s="242"/>
      <c r="B410" s="242"/>
      <c r="C410" s="242"/>
      <c r="D410" s="242"/>
      <c r="E410" s="242"/>
      <c r="F410" s="242"/>
      <c r="G410" s="242"/>
      <c r="H410" s="278"/>
      <c r="I410" s="278"/>
      <c r="J410" s="242"/>
      <c r="K410" s="242"/>
      <c r="L410" s="242"/>
      <c r="M410" s="242"/>
      <c r="N410" s="242"/>
      <c r="O410" s="242"/>
      <c r="P410" s="242"/>
      <c r="Q410" s="242"/>
      <c r="R410" s="242"/>
      <c r="S410" s="242"/>
      <c r="T410" s="242"/>
      <c r="U410" s="242"/>
      <c r="V410" s="242"/>
      <c r="W410" s="242"/>
      <c r="X410" s="242"/>
      <c r="Y410" s="242"/>
      <c r="Z410" s="242"/>
      <c r="AA410" s="242"/>
      <c r="AB410" s="242"/>
      <c r="AC410" s="242"/>
      <c r="AD410" s="242"/>
      <c r="AE410" s="242"/>
      <c r="AF410" s="242"/>
      <c r="AG410" s="242"/>
      <c r="AH410" s="242"/>
      <c r="AI410" s="242"/>
      <c r="AJ410" s="242"/>
      <c r="AK410" s="242"/>
      <c r="AL410" s="242"/>
      <c r="AM410" s="242"/>
      <c r="AN410" s="242"/>
      <c r="AO410" s="242"/>
      <c r="AP410" s="242"/>
      <c r="AQ410" s="242"/>
      <c r="AR410" s="242"/>
      <c r="AS410" s="242"/>
      <c r="AT410" s="242"/>
      <c r="AU410" s="242"/>
      <c r="AV410" s="242"/>
      <c r="AW410" s="242"/>
      <c r="AX410" s="242"/>
      <c r="AY410" s="242"/>
      <c r="AZ410" s="242"/>
      <c r="BA410" s="242"/>
      <c r="BB410" s="242"/>
      <c r="BC410" s="242"/>
      <c r="BD410" s="242"/>
      <c r="BE410" s="242"/>
      <c r="BF410" s="242"/>
      <c r="BG410" s="242"/>
      <c r="BH410" s="242"/>
      <c r="BI410" s="242"/>
      <c r="BJ410" s="242"/>
      <c r="BK410" s="242"/>
      <c r="BL410" s="242"/>
      <c r="BM410" s="242"/>
      <c r="BN410" s="242"/>
      <c r="BO410" s="242"/>
      <c r="BP410" s="242"/>
      <c r="BQ410" s="242"/>
      <c r="BR410" s="242"/>
      <c r="BS410" s="242"/>
      <c r="BT410" s="242"/>
      <c r="BU410" s="242"/>
      <c r="BV410" s="242"/>
      <c r="BW410" s="242"/>
      <c r="BX410" s="242"/>
      <c r="BY410" s="242"/>
      <c r="BZ410" s="242"/>
      <c r="CA410" s="242"/>
      <c r="CB410" s="242"/>
      <c r="CC410" s="242"/>
      <c r="CD410" s="242"/>
    </row>
    <row r="411" spans="1:82" ht="12.75" customHeight="1">
      <c r="A411" s="242"/>
      <c r="B411" s="242"/>
      <c r="C411" s="242"/>
      <c r="D411" s="242"/>
      <c r="E411" s="242"/>
      <c r="F411" s="242"/>
      <c r="G411" s="242"/>
      <c r="H411" s="278"/>
      <c r="I411" s="278"/>
      <c r="J411" s="242"/>
      <c r="K411" s="242"/>
      <c r="L411" s="242"/>
      <c r="M411" s="242"/>
      <c r="N411" s="242"/>
      <c r="O411" s="242"/>
      <c r="P411" s="242"/>
      <c r="Q411" s="242"/>
      <c r="R411" s="242"/>
      <c r="S411" s="242"/>
      <c r="T411" s="242"/>
      <c r="U411" s="242"/>
      <c r="V411" s="242"/>
      <c r="W411" s="242"/>
      <c r="X411" s="242"/>
      <c r="Y411" s="242"/>
      <c r="Z411" s="242"/>
      <c r="AA411" s="242"/>
      <c r="AB411" s="242"/>
      <c r="AC411" s="242"/>
      <c r="AD411" s="242"/>
      <c r="AE411" s="242"/>
      <c r="AF411" s="242"/>
      <c r="AG411" s="242"/>
      <c r="AH411" s="242"/>
      <c r="AI411" s="242"/>
      <c r="AJ411" s="242"/>
      <c r="AK411" s="242"/>
      <c r="AL411" s="242"/>
      <c r="AM411" s="242"/>
      <c r="AN411" s="242"/>
      <c r="AO411" s="242"/>
      <c r="AP411" s="242"/>
      <c r="AQ411" s="242"/>
      <c r="AR411" s="242"/>
      <c r="AS411" s="242"/>
      <c r="AT411" s="242"/>
      <c r="AU411" s="242"/>
      <c r="AV411" s="242"/>
      <c r="AW411" s="242"/>
      <c r="AX411" s="242"/>
      <c r="AY411" s="242"/>
      <c r="AZ411" s="242"/>
      <c r="BA411" s="242"/>
      <c r="BB411" s="242"/>
      <c r="BC411" s="242"/>
      <c r="BD411" s="242"/>
      <c r="BE411" s="242"/>
      <c r="BF411" s="242"/>
      <c r="BG411" s="242"/>
      <c r="BH411" s="242"/>
      <c r="BI411" s="242"/>
      <c r="BJ411" s="242"/>
      <c r="BK411" s="242"/>
      <c r="BL411" s="242"/>
      <c r="BM411" s="242"/>
      <c r="BN411" s="242"/>
      <c r="BO411" s="242"/>
      <c r="BP411" s="242"/>
      <c r="BQ411" s="242"/>
      <c r="BR411" s="242"/>
      <c r="BS411" s="242"/>
      <c r="BT411" s="242"/>
      <c r="BU411" s="242"/>
      <c r="BV411" s="242"/>
      <c r="BW411" s="242"/>
      <c r="BX411" s="242"/>
      <c r="BY411" s="242"/>
      <c r="BZ411" s="242"/>
      <c r="CA411" s="242"/>
      <c r="CB411" s="242"/>
      <c r="CC411" s="242"/>
      <c r="CD411" s="242"/>
    </row>
    <row r="412" spans="1:82" ht="12.75" customHeight="1">
      <c r="A412" s="242"/>
      <c r="B412" s="242"/>
      <c r="C412" s="242"/>
      <c r="D412" s="242"/>
      <c r="E412" s="242"/>
      <c r="F412" s="242"/>
      <c r="G412" s="242"/>
      <c r="H412" s="278"/>
      <c r="I412" s="278"/>
      <c r="J412" s="242"/>
      <c r="K412" s="242"/>
      <c r="L412" s="242"/>
      <c r="M412" s="242"/>
      <c r="N412" s="242"/>
      <c r="O412" s="242"/>
      <c r="P412" s="242"/>
      <c r="Q412" s="242"/>
      <c r="R412" s="242"/>
      <c r="S412" s="242"/>
      <c r="T412" s="242"/>
      <c r="U412" s="242"/>
      <c r="V412" s="242"/>
      <c r="W412" s="242"/>
      <c r="X412" s="242"/>
      <c r="Y412" s="242"/>
      <c r="Z412" s="242"/>
      <c r="AA412" s="242"/>
      <c r="AB412" s="242"/>
      <c r="AC412" s="242"/>
      <c r="AD412" s="242"/>
      <c r="AE412" s="242"/>
      <c r="AF412" s="242"/>
      <c r="AG412" s="242"/>
      <c r="AH412" s="242"/>
      <c r="AI412" s="242"/>
      <c r="AJ412" s="242"/>
      <c r="AK412" s="242"/>
      <c r="AL412" s="242"/>
      <c r="AM412" s="242"/>
      <c r="AN412" s="242"/>
      <c r="AO412" s="242"/>
      <c r="AP412" s="242"/>
      <c r="AQ412" s="242"/>
      <c r="AR412" s="242"/>
      <c r="AS412" s="242"/>
      <c r="AT412" s="242"/>
      <c r="AU412" s="242"/>
      <c r="AV412" s="242"/>
      <c r="AW412" s="242"/>
      <c r="AX412" s="242"/>
      <c r="AY412" s="242"/>
      <c r="AZ412" s="242"/>
      <c r="BA412" s="242"/>
      <c r="BB412" s="242"/>
      <c r="BC412" s="242"/>
      <c r="BD412" s="242"/>
      <c r="BE412" s="242"/>
      <c r="BF412" s="242"/>
      <c r="BG412" s="242"/>
      <c r="BH412" s="242"/>
      <c r="BI412" s="242"/>
      <c r="BJ412" s="242"/>
      <c r="BK412" s="242"/>
      <c r="BL412" s="242"/>
      <c r="BM412" s="242"/>
      <c r="BN412" s="242"/>
      <c r="BO412" s="242"/>
      <c r="BP412" s="242"/>
      <c r="BQ412" s="242"/>
      <c r="BR412" s="242"/>
      <c r="BS412" s="242"/>
      <c r="BT412" s="242"/>
      <c r="BU412" s="242"/>
      <c r="BV412" s="242"/>
      <c r="BW412" s="242"/>
      <c r="BX412" s="242"/>
      <c r="BY412" s="242"/>
      <c r="BZ412" s="242"/>
      <c r="CA412" s="242"/>
      <c r="CB412" s="242"/>
      <c r="CC412" s="242"/>
      <c r="CD412" s="242"/>
    </row>
    <row r="413" spans="1:82" ht="12.75" customHeight="1">
      <c r="A413" s="242"/>
      <c r="B413" s="242"/>
      <c r="C413" s="242"/>
      <c r="D413" s="242"/>
      <c r="E413" s="242"/>
      <c r="F413" s="242"/>
      <c r="G413" s="242"/>
      <c r="H413" s="278"/>
      <c r="I413" s="278"/>
      <c r="J413" s="242"/>
      <c r="K413" s="242"/>
      <c r="L413" s="242"/>
      <c r="M413" s="242"/>
      <c r="N413" s="242"/>
      <c r="O413" s="242"/>
      <c r="P413" s="242"/>
      <c r="Q413" s="242"/>
      <c r="R413" s="242"/>
      <c r="S413" s="242"/>
      <c r="T413" s="242"/>
      <c r="U413" s="242"/>
      <c r="V413" s="242"/>
      <c r="W413" s="242"/>
      <c r="X413" s="242"/>
      <c r="Y413" s="242"/>
      <c r="Z413" s="242"/>
      <c r="AA413" s="242"/>
      <c r="AB413" s="242"/>
      <c r="AC413" s="242"/>
      <c r="AD413" s="242"/>
      <c r="AE413" s="242"/>
      <c r="AF413" s="242"/>
      <c r="AG413" s="242"/>
      <c r="AH413" s="242"/>
      <c r="AI413" s="242"/>
      <c r="AJ413" s="242"/>
      <c r="AK413" s="242"/>
      <c r="AL413" s="242"/>
      <c r="AM413" s="242"/>
      <c r="AN413" s="242"/>
      <c r="AO413" s="242"/>
      <c r="AP413" s="242"/>
      <c r="AQ413" s="242"/>
      <c r="AR413" s="242"/>
      <c r="AS413" s="242"/>
      <c r="AT413" s="242"/>
      <c r="AU413" s="242"/>
      <c r="AV413" s="242"/>
      <c r="AW413" s="242"/>
      <c r="AX413" s="242"/>
      <c r="AY413" s="242"/>
      <c r="AZ413" s="242"/>
      <c r="BA413" s="242"/>
      <c r="BB413" s="242"/>
      <c r="BC413" s="242"/>
      <c r="BD413" s="242"/>
      <c r="BE413" s="242"/>
      <c r="BF413" s="242"/>
      <c r="BG413" s="242"/>
      <c r="BH413" s="242"/>
      <c r="BI413" s="242"/>
      <c r="BJ413" s="242"/>
      <c r="BK413" s="242"/>
      <c r="BL413" s="242"/>
      <c r="BM413" s="242"/>
      <c r="BN413" s="242"/>
      <c r="BO413" s="242"/>
      <c r="BP413" s="242"/>
      <c r="BQ413" s="242"/>
      <c r="BR413" s="242"/>
      <c r="BS413" s="242"/>
      <c r="BT413" s="242"/>
      <c r="BU413" s="242"/>
      <c r="BV413" s="242"/>
      <c r="BW413" s="242"/>
      <c r="BX413" s="242"/>
      <c r="BY413" s="242"/>
      <c r="BZ413" s="242"/>
      <c r="CA413" s="242"/>
      <c r="CB413" s="242"/>
      <c r="CC413" s="242"/>
      <c r="CD413" s="242"/>
    </row>
    <row r="414" spans="1:82" ht="12.75" customHeight="1">
      <c r="A414" s="242"/>
      <c r="B414" s="242"/>
      <c r="C414" s="242"/>
      <c r="D414" s="242"/>
      <c r="E414" s="242"/>
      <c r="F414" s="242"/>
      <c r="G414" s="242"/>
      <c r="H414" s="278"/>
      <c r="I414" s="278"/>
      <c r="J414" s="242"/>
      <c r="K414" s="242"/>
      <c r="L414" s="242"/>
      <c r="M414" s="242"/>
      <c r="N414" s="242"/>
      <c r="O414" s="242"/>
      <c r="P414" s="242"/>
      <c r="Q414" s="242"/>
      <c r="R414" s="242"/>
      <c r="S414" s="242"/>
      <c r="T414" s="242"/>
      <c r="U414" s="242"/>
      <c r="V414" s="242"/>
      <c r="W414" s="242"/>
      <c r="X414" s="242"/>
      <c r="Y414" s="242"/>
      <c r="Z414" s="242"/>
      <c r="AA414" s="242"/>
      <c r="AB414" s="242"/>
      <c r="AC414" s="242"/>
      <c r="AD414" s="242"/>
      <c r="AE414" s="242"/>
      <c r="AF414" s="242"/>
      <c r="AG414" s="242"/>
      <c r="AH414" s="242"/>
      <c r="AI414" s="242"/>
      <c r="AJ414" s="242"/>
      <c r="AK414" s="242"/>
      <c r="AL414" s="242"/>
      <c r="AM414" s="242"/>
      <c r="AN414" s="242"/>
      <c r="AO414" s="242"/>
      <c r="AP414" s="242"/>
      <c r="AQ414" s="242"/>
      <c r="AR414" s="242"/>
      <c r="AS414" s="242"/>
      <c r="AT414" s="242"/>
      <c r="AU414" s="242"/>
      <c r="AV414" s="242"/>
      <c r="AW414" s="242"/>
      <c r="AX414" s="242"/>
      <c r="AY414" s="242"/>
      <c r="AZ414" s="242"/>
      <c r="BA414" s="242"/>
      <c r="BB414" s="242"/>
      <c r="BC414" s="242"/>
      <c r="BD414" s="242"/>
      <c r="BE414" s="242"/>
      <c r="BF414" s="242"/>
      <c r="BG414" s="242"/>
      <c r="BH414" s="242"/>
      <c r="BI414" s="242"/>
      <c r="BJ414" s="242"/>
      <c r="BK414" s="242"/>
      <c r="BL414" s="242"/>
      <c r="BM414" s="242"/>
      <c r="BN414" s="242"/>
      <c r="BO414" s="242"/>
      <c r="BP414" s="242"/>
      <c r="BQ414" s="242"/>
      <c r="BR414" s="242"/>
      <c r="BS414" s="242"/>
      <c r="BT414" s="242"/>
      <c r="BU414" s="242"/>
      <c r="BV414" s="242"/>
      <c r="BW414" s="242"/>
      <c r="BX414" s="242"/>
      <c r="BY414" s="242"/>
      <c r="BZ414" s="242"/>
      <c r="CA414" s="242"/>
      <c r="CB414" s="242"/>
      <c r="CC414" s="242"/>
      <c r="CD414" s="242"/>
    </row>
    <row r="415" spans="1:82" ht="12.75" customHeight="1">
      <c r="A415" s="242"/>
      <c r="B415" s="242"/>
      <c r="C415" s="242"/>
      <c r="D415" s="242"/>
      <c r="E415" s="242"/>
      <c r="F415" s="242"/>
      <c r="G415" s="242"/>
      <c r="H415" s="278"/>
      <c r="I415" s="278"/>
      <c r="J415" s="242"/>
      <c r="K415" s="242"/>
      <c r="L415" s="242"/>
      <c r="M415" s="242"/>
      <c r="N415" s="242"/>
      <c r="O415" s="242"/>
      <c r="P415" s="242"/>
      <c r="Q415" s="242"/>
      <c r="R415" s="242"/>
      <c r="S415" s="242"/>
      <c r="T415" s="242"/>
      <c r="U415" s="242"/>
      <c r="V415" s="242"/>
      <c r="W415" s="242"/>
      <c r="X415" s="242"/>
      <c r="Y415" s="242"/>
      <c r="Z415" s="242"/>
      <c r="AA415" s="242"/>
      <c r="AB415" s="242"/>
      <c r="AC415" s="242"/>
      <c r="AD415" s="242"/>
      <c r="AE415" s="242"/>
      <c r="AF415" s="242"/>
      <c r="AG415" s="242"/>
      <c r="AH415" s="242"/>
      <c r="AI415" s="242"/>
      <c r="AJ415" s="242"/>
      <c r="AK415" s="242"/>
      <c r="AL415" s="242"/>
      <c r="AM415" s="242"/>
      <c r="AN415" s="242"/>
      <c r="AO415" s="242"/>
      <c r="AP415" s="242"/>
      <c r="AQ415" s="242"/>
      <c r="AR415" s="242"/>
      <c r="AS415" s="242"/>
      <c r="AT415" s="242"/>
      <c r="AU415" s="242"/>
      <c r="AV415" s="242"/>
      <c r="AW415" s="242"/>
      <c r="AX415" s="242"/>
      <c r="AY415" s="242"/>
      <c r="AZ415" s="242"/>
      <c r="BA415" s="242"/>
      <c r="BB415" s="242"/>
      <c r="BC415" s="242"/>
      <c r="BD415" s="242"/>
      <c r="BE415" s="242"/>
      <c r="BF415" s="242"/>
      <c r="BG415" s="242"/>
      <c r="BH415" s="242"/>
      <c r="BI415" s="242"/>
      <c r="BJ415" s="242"/>
      <c r="BK415" s="242"/>
      <c r="BL415" s="242"/>
      <c r="BM415" s="242"/>
      <c r="BN415" s="242"/>
      <c r="BO415" s="242"/>
      <c r="BP415" s="242"/>
      <c r="BQ415" s="242"/>
      <c r="BR415" s="242"/>
      <c r="BS415" s="242"/>
      <c r="BT415" s="242"/>
      <c r="BU415" s="242"/>
      <c r="BV415" s="242"/>
      <c r="BW415" s="242"/>
      <c r="BX415" s="242"/>
      <c r="BY415" s="242"/>
      <c r="BZ415" s="242"/>
      <c r="CA415" s="242"/>
      <c r="CB415" s="242"/>
      <c r="CC415" s="242"/>
      <c r="CD415" s="242"/>
    </row>
    <row r="416" spans="1:82" ht="12.75" customHeight="1">
      <c r="A416" s="242"/>
      <c r="B416" s="242"/>
      <c r="C416" s="242"/>
      <c r="D416" s="242"/>
      <c r="E416" s="242"/>
      <c r="F416" s="242"/>
      <c r="G416" s="242"/>
      <c r="H416" s="278"/>
      <c r="I416" s="278"/>
      <c r="J416" s="242"/>
      <c r="K416" s="242"/>
      <c r="L416" s="242"/>
      <c r="M416" s="242"/>
      <c r="N416" s="242"/>
      <c r="O416" s="242"/>
      <c r="P416" s="242"/>
      <c r="Q416" s="242"/>
      <c r="R416" s="242"/>
      <c r="S416" s="242"/>
      <c r="T416" s="242"/>
      <c r="U416" s="242"/>
      <c r="V416" s="242"/>
      <c r="W416" s="242"/>
      <c r="X416" s="242"/>
      <c r="Y416" s="242"/>
      <c r="Z416" s="242"/>
      <c r="AA416" s="242"/>
      <c r="AB416" s="242"/>
      <c r="AC416" s="242"/>
      <c r="AD416" s="242"/>
      <c r="AE416" s="242"/>
      <c r="AF416" s="242"/>
      <c r="AG416" s="242"/>
      <c r="AH416" s="242"/>
      <c r="AI416" s="242"/>
      <c r="AJ416" s="242"/>
      <c r="AK416" s="242"/>
      <c r="AL416" s="242"/>
      <c r="AM416" s="242"/>
      <c r="AN416" s="242"/>
      <c r="AO416" s="242"/>
      <c r="AP416" s="242"/>
      <c r="AQ416" s="242"/>
      <c r="AR416" s="242"/>
      <c r="AS416" s="242"/>
      <c r="AT416" s="242"/>
      <c r="AU416" s="242"/>
      <c r="AV416" s="242"/>
      <c r="AW416" s="242"/>
      <c r="AX416" s="242"/>
      <c r="AY416" s="242"/>
      <c r="AZ416" s="242"/>
      <c r="BA416" s="242"/>
      <c r="BB416" s="242"/>
      <c r="BC416" s="242"/>
      <c r="BD416" s="242"/>
      <c r="BE416" s="242"/>
      <c r="BF416" s="242"/>
      <c r="BG416" s="242"/>
      <c r="BH416" s="242"/>
      <c r="BI416" s="242"/>
      <c r="BJ416" s="242"/>
      <c r="BK416" s="242"/>
      <c r="BL416" s="242"/>
      <c r="BM416" s="242"/>
      <c r="BN416" s="242"/>
      <c r="BO416" s="242"/>
      <c r="BP416" s="242"/>
      <c r="BQ416" s="242"/>
      <c r="BR416" s="242"/>
      <c r="BS416" s="242"/>
      <c r="BT416" s="242"/>
      <c r="BU416" s="242"/>
      <c r="BV416" s="242"/>
      <c r="BW416" s="242"/>
      <c r="BX416" s="242"/>
      <c r="BY416" s="242"/>
      <c r="BZ416" s="242"/>
      <c r="CA416" s="242"/>
      <c r="CB416" s="242"/>
      <c r="CC416" s="242"/>
      <c r="CD416" s="242"/>
    </row>
    <row r="417" spans="1:82" ht="12.75" customHeight="1">
      <c r="A417" s="242"/>
      <c r="B417" s="242"/>
      <c r="C417" s="242"/>
      <c r="D417" s="242"/>
      <c r="E417" s="242"/>
      <c r="F417" s="242"/>
      <c r="G417" s="242"/>
      <c r="H417" s="278"/>
      <c r="I417" s="278"/>
      <c r="J417" s="242"/>
      <c r="K417" s="242"/>
      <c r="L417" s="242"/>
      <c r="M417" s="242"/>
      <c r="N417" s="242"/>
      <c r="O417" s="242"/>
      <c r="P417" s="242"/>
      <c r="Q417" s="242"/>
      <c r="R417" s="242"/>
      <c r="S417" s="242"/>
      <c r="T417" s="242"/>
      <c r="U417" s="242"/>
      <c r="V417" s="242"/>
      <c r="W417" s="242"/>
      <c r="X417" s="242"/>
      <c r="Y417" s="242"/>
      <c r="Z417" s="242"/>
      <c r="AA417" s="242"/>
      <c r="AB417" s="242"/>
      <c r="AC417" s="242"/>
      <c r="AD417" s="242"/>
      <c r="AE417" s="242"/>
      <c r="AF417" s="242"/>
      <c r="AG417" s="242"/>
      <c r="AH417" s="242"/>
      <c r="AI417" s="242"/>
      <c r="AJ417" s="242"/>
      <c r="AK417" s="242"/>
      <c r="AL417" s="242"/>
      <c r="AM417" s="242"/>
      <c r="AN417" s="242"/>
      <c r="AO417" s="242"/>
      <c r="AP417" s="242"/>
      <c r="AQ417" s="242"/>
      <c r="AR417" s="242"/>
      <c r="AS417" s="242"/>
      <c r="AT417" s="242"/>
      <c r="AU417" s="242"/>
      <c r="AV417" s="242"/>
      <c r="AW417" s="242"/>
      <c r="AX417" s="242"/>
      <c r="AY417" s="242"/>
      <c r="AZ417" s="242"/>
      <c r="BA417" s="242"/>
      <c r="BB417" s="242"/>
      <c r="BC417" s="242"/>
      <c r="BD417" s="242"/>
      <c r="BE417" s="242"/>
      <c r="BF417" s="242"/>
      <c r="BG417" s="242"/>
      <c r="BH417" s="242"/>
      <c r="BI417" s="242"/>
      <c r="BJ417" s="242"/>
      <c r="BK417" s="242"/>
      <c r="BL417" s="242"/>
      <c r="BM417" s="242"/>
      <c r="BN417" s="242"/>
      <c r="BO417" s="242"/>
      <c r="BP417" s="242"/>
      <c r="BQ417" s="242"/>
      <c r="BR417" s="242"/>
      <c r="BS417" s="242"/>
      <c r="BT417" s="242"/>
      <c r="BU417" s="242"/>
      <c r="BV417" s="242"/>
      <c r="BW417" s="242"/>
      <c r="BX417" s="242"/>
      <c r="BY417" s="242"/>
      <c r="BZ417" s="242"/>
      <c r="CA417" s="242"/>
      <c r="CB417" s="242"/>
      <c r="CC417" s="242"/>
      <c r="CD417" s="242"/>
    </row>
    <row r="418" spans="1:82" ht="12.75" customHeight="1">
      <c r="A418" s="242"/>
      <c r="B418" s="242"/>
      <c r="C418" s="242"/>
      <c r="D418" s="242"/>
      <c r="E418" s="242"/>
      <c r="F418" s="242"/>
      <c r="G418" s="242"/>
      <c r="H418" s="278"/>
      <c r="I418" s="278"/>
      <c r="J418" s="242"/>
      <c r="K418" s="242"/>
      <c r="L418" s="242"/>
      <c r="M418" s="242"/>
      <c r="N418" s="242"/>
      <c r="O418" s="242"/>
      <c r="P418" s="242"/>
      <c r="Q418" s="242"/>
      <c r="R418" s="242"/>
      <c r="S418" s="242"/>
      <c r="T418" s="242"/>
      <c r="U418" s="242"/>
      <c r="V418" s="242"/>
      <c r="W418" s="242"/>
      <c r="X418" s="242"/>
      <c r="Y418" s="242"/>
      <c r="Z418" s="242"/>
      <c r="AA418" s="242"/>
      <c r="AB418" s="242"/>
      <c r="AC418" s="242"/>
      <c r="AD418" s="242"/>
      <c r="AE418" s="242"/>
      <c r="AF418" s="242"/>
      <c r="AG418" s="242"/>
      <c r="AH418" s="242"/>
      <c r="AI418" s="242"/>
      <c r="AJ418" s="242"/>
      <c r="AK418" s="242"/>
      <c r="AL418" s="242"/>
      <c r="AM418" s="242"/>
      <c r="AN418" s="242"/>
      <c r="AO418" s="242"/>
      <c r="AP418" s="242"/>
      <c r="AQ418" s="242"/>
      <c r="AR418" s="242"/>
      <c r="AS418" s="242"/>
      <c r="AT418" s="242"/>
      <c r="AU418" s="242"/>
      <c r="AV418" s="242"/>
      <c r="AW418" s="242"/>
      <c r="AX418" s="242"/>
      <c r="AY418" s="242"/>
      <c r="AZ418" s="242"/>
      <c r="BA418" s="242"/>
      <c r="BB418" s="242"/>
      <c r="BC418" s="242"/>
      <c r="BD418" s="242"/>
      <c r="BE418" s="242"/>
      <c r="BF418" s="242"/>
      <c r="BG418" s="242"/>
      <c r="BH418" s="242"/>
      <c r="BI418" s="242"/>
      <c r="BJ418" s="242"/>
      <c r="BK418" s="242"/>
      <c r="BL418" s="242"/>
      <c r="BM418" s="242"/>
      <c r="BN418" s="242"/>
      <c r="BO418" s="242"/>
      <c r="BP418" s="242"/>
      <c r="BQ418" s="242"/>
      <c r="BR418" s="242"/>
      <c r="BS418" s="242"/>
      <c r="BT418" s="242"/>
      <c r="BU418" s="242"/>
      <c r="BV418" s="242"/>
      <c r="BW418" s="242"/>
      <c r="BX418" s="242"/>
      <c r="BY418" s="242"/>
      <c r="BZ418" s="242"/>
      <c r="CA418" s="242"/>
      <c r="CB418" s="242"/>
      <c r="CC418" s="242"/>
      <c r="CD418" s="242"/>
    </row>
    <row r="419" spans="1:82" ht="12.75" customHeight="1">
      <c r="A419" s="242"/>
      <c r="B419" s="242"/>
      <c r="C419" s="242"/>
      <c r="D419" s="242"/>
      <c r="E419" s="242"/>
      <c r="F419" s="242"/>
      <c r="G419" s="242"/>
      <c r="H419" s="278"/>
      <c r="I419" s="278"/>
      <c r="J419" s="242"/>
      <c r="K419" s="242"/>
      <c r="L419" s="242"/>
      <c r="M419" s="242"/>
      <c r="N419" s="242"/>
      <c r="O419" s="242"/>
      <c r="P419" s="242"/>
      <c r="Q419" s="242"/>
      <c r="R419" s="242"/>
      <c r="S419" s="242"/>
      <c r="T419" s="242"/>
      <c r="U419" s="242"/>
      <c r="V419" s="242"/>
      <c r="W419" s="242"/>
      <c r="X419" s="242"/>
      <c r="Y419" s="242"/>
      <c r="Z419" s="242"/>
      <c r="AA419" s="242"/>
      <c r="AB419" s="242"/>
      <c r="AC419" s="242"/>
      <c r="AD419" s="242"/>
      <c r="AE419" s="242"/>
      <c r="AF419" s="242"/>
      <c r="AG419" s="242"/>
      <c r="AH419" s="242"/>
      <c r="AI419" s="242"/>
      <c r="AJ419" s="242"/>
      <c r="AK419" s="242"/>
      <c r="AL419" s="242"/>
      <c r="AM419" s="242"/>
      <c r="AN419" s="242"/>
      <c r="AO419" s="242"/>
      <c r="AP419" s="242"/>
      <c r="AQ419" s="242"/>
      <c r="AR419" s="242"/>
      <c r="AS419" s="242"/>
      <c r="AT419" s="242"/>
      <c r="AU419" s="242"/>
      <c r="AV419" s="242"/>
      <c r="AW419" s="242"/>
      <c r="AX419" s="242"/>
      <c r="AY419" s="242"/>
      <c r="AZ419" s="242"/>
      <c r="BA419" s="242"/>
      <c r="BB419" s="242"/>
      <c r="BC419" s="242"/>
      <c r="BD419" s="242"/>
      <c r="BE419" s="242"/>
      <c r="BF419" s="242"/>
      <c r="BG419" s="242"/>
      <c r="BH419" s="242"/>
      <c r="BI419" s="242"/>
      <c r="BJ419" s="242"/>
      <c r="BK419" s="242"/>
      <c r="BL419" s="242"/>
      <c r="BM419" s="242"/>
      <c r="BN419" s="242"/>
      <c r="BO419" s="242"/>
      <c r="BP419" s="242"/>
      <c r="BQ419" s="242"/>
      <c r="BR419" s="242"/>
      <c r="BS419" s="242"/>
      <c r="BT419" s="242"/>
      <c r="BU419" s="242"/>
      <c r="BV419" s="242"/>
      <c r="BW419" s="242"/>
      <c r="BX419" s="242"/>
      <c r="BY419" s="242"/>
      <c r="BZ419" s="242"/>
      <c r="CA419" s="242"/>
      <c r="CB419" s="242"/>
      <c r="CC419" s="242"/>
      <c r="CD419" s="242"/>
    </row>
    <row r="420" spans="1:82" ht="12.75" customHeight="1">
      <c r="A420" s="242"/>
      <c r="B420" s="242"/>
      <c r="C420" s="242"/>
      <c r="D420" s="242"/>
      <c r="E420" s="242"/>
      <c r="F420" s="242"/>
      <c r="G420" s="242"/>
      <c r="H420" s="278"/>
      <c r="I420" s="278"/>
      <c r="J420" s="242"/>
      <c r="K420" s="242"/>
      <c r="L420" s="242"/>
      <c r="M420" s="242"/>
      <c r="N420" s="242"/>
      <c r="O420" s="242"/>
      <c r="P420" s="242"/>
      <c r="Q420" s="242"/>
      <c r="R420" s="242"/>
      <c r="S420" s="242"/>
      <c r="T420" s="242"/>
      <c r="U420" s="242"/>
      <c r="V420" s="242"/>
      <c r="W420" s="242"/>
      <c r="X420" s="242"/>
      <c r="Y420" s="242"/>
      <c r="Z420" s="242"/>
      <c r="AA420" s="242"/>
      <c r="AB420" s="242"/>
      <c r="AC420" s="242"/>
      <c r="AD420" s="242"/>
      <c r="AE420" s="242"/>
      <c r="AF420" s="242"/>
      <c r="AG420" s="242"/>
      <c r="AH420" s="242"/>
      <c r="AI420" s="242"/>
      <c r="AJ420" s="242"/>
      <c r="AK420" s="242"/>
      <c r="AL420" s="242"/>
      <c r="AM420" s="242"/>
      <c r="AN420" s="242"/>
      <c r="AO420" s="242"/>
      <c r="AP420" s="242"/>
      <c r="AQ420" s="242"/>
      <c r="AR420" s="242"/>
      <c r="AS420" s="242"/>
      <c r="AT420" s="242"/>
      <c r="AU420" s="242"/>
      <c r="AV420" s="242"/>
      <c r="AW420" s="242"/>
      <c r="AX420" s="242"/>
      <c r="AY420" s="242"/>
      <c r="AZ420" s="242"/>
      <c r="BA420" s="242"/>
      <c r="BB420" s="242"/>
      <c r="BC420" s="242"/>
      <c r="BD420" s="242"/>
      <c r="BE420" s="242"/>
      <c r="BF420" s="242"/>
      <c r="BG420" s="242"/>
      <c r="BH420" s="242"/>
      <c r="BI420" s="242"/>
      <c r="BJ420" s="242"/>
      <c r="BK420" s="242"/>
      <c r="BL420" s="242"/>
      <c r="BM420" s="242"/>
      <c r="BN420" s="242"/>
      <c r="BO420" s="242"/>
      <c r="BP420" s="242"/>
      <c r="BQ420" s="242"/>
      <c r="BR420" s="242"/>
      <c r="BS420" s="242"/>
      <c r="BT420" s="242"/>
      <c r="BU420" s="242"/>
      <c r="BV420" s="242"/>
      <c r="BW420" s="242"/>
      <c r="BX420" s="242"/>
      <c r="BY420" s="242"/>
      <c r="BZ420" s="242"/>
      <c r="CA420" s="242"/>
      <c r="CB420" s="242"/>
      <c r="CC420" s="242"/>
      <c r="CD420" s="242"/>
    </row>
    <row r="421" spans="1:82" ht="12.75" customHeight="1">
      <c r="A421" s="242"/>
      <c r="B421" s="242"/>
      <c r="C421" s="242"/>
      <c r="D421" s="242"/>
      <c r="E421" s="242"/>
      <c r="F421" s="242"/>
      <c r="G421" s="242"/>
      <c r="H421" s="278"/>
      <c r="I421" s="278"/>
      <c r="J421" s="242"/>
      <c r="K421" s="242"/>
      <c r="L421" s="242"/>
      <c r="M421" s="242"/>
      <c r="N421" s="242"/>
      <c r="O421" s="242"/>
      <c r="P421" s="242"/>
      <c r="Q421" s="242"/>
      <c r="R421" s="242"/>
      <c r="S421" s="242"/>
      <c r="T421" s="242"/>
      <c r="U421" s="242"/>
      <c r="V421" s="242"/>
      <c r="W421" s="242"/>
      <c r="X421" s="242"/>
      <c r="Y421" s="242"/>
      <c r="Z421" s="242"/>
      <c r="AA421" s="242"/>
      <c r="AB421" s="242"/>
      <c r="AC421" s="242"/>
      <c r="AD421" s="242"/>
      <c r="AE421" s="242"/>
      <c r="AF421" s="242"/>
      <c r="AG421" s="242"/>
      <c r="AH421" s="242"/>
      <c r="AI421" s="242"/>
      <c r="AJ421" s="242"/>
      <c r="AK421" s="242"/>
      <c r="AL421" s="242"/>
      <c r="AM421" s="242"/>
      <c r="AN421" s="242"/>
      <c r="AO421" s="242"/>
      <c r="AP421" s="242"/>
      <c r="AQ421" s="242"/>
      <c r="AR421" s="242"/>
      <c r="AS421" s="242"/>
      <c r="AT421" s="242"/>
      <c r="AU421" s="242"/>
      <c r="AV421" s="242"/>
      <c r="AW421" s="242"/>
      <c r="AX421" s="242"/>
      <c r="AY421" s="242"/>
      <c r="AZ421" s="242"/>
      <c r="BA421" s="242"/>
      <c r="BB421" s="242"/>
      <c r="BC421" s="242"/>
      <c r="BD421" s="242"/>
      <c r="BE421" s="242"/>
      <c r="BF421" s="242"/>
      <c r="BG421" s="242"/>
      <c r="BH421" s="242"/>
      <c r="BI421" s="242"/>
      <c r="BJ421" s="242"/>
      <c r="BK421" s="242"/>
      <c r="BL421" s="242"/>
      <c r="BM421" s="242"/>
      <c r="BN421" s="242"/>
      <c r="BO421" s="242"/>
      <c r="BP421" s="242"/>
      <c r="BQ421" s="242"/>
      <c r="BR421" s="242"/>
      <c r="BS421" s="242"/>
      <c r="BT421" s="242"/>
      <c r="BU421" s="242"/>
      <c r="BV421" s="242"/>
      <c r="BW421" s="242"/>
      <c r="BX421" s="242"/>
      <c r="BY421" s="242"/>
      <c r="BZ421" s="242"/>
      <c r="CA421" s="242"/>
      <c r="CB421" s="242"/>
      <c r="CC421" s="242"/>
      <c r="CD421" s="242"/>
    </row>
    <row r="422" spans="1:82" ht="12.75" customHeight="1">
      <c r="A422" s="242"/>
      <c r="B422" s="242"/>
      <c r="C422" s="242"/>
      <c r="D422" s="242"/>
      <c r="E422" s="242"/>
      <c r="F422" s="242"/>
      <c r="G422" s="242"/>
      <c r="H422" s="278"/>
      <c r="I422" s="278"/>
      <c r="J422" s="242"/>
      <c r="K422" s="242"/>
      <c r="L422" s="242"/>
      <c r="M422" s="242"/>
      <c r="N422" s="242"/>
      <c r="O422" s="242"/>
      <c r="P422" s="242"/>
      <c r="Q422" s="242"/>
      <c r="R422" s="242"/>
      <c r="S422" s="242"/>
      <c r="T422" s="242"/>
      <c r="U422" s="242"/>
      <c r="V422" s="242"/>
      <c r="W422" s="242"/>
      <c r="X422" s="242"/>
      <c r="Y422" s="242"/>
      <c r="Z422" s="242"/>
      <c r="AA422" s="242"/>
      <c r="AB422" s="242"/>
      <c r="AC422" s="242"/>
      <c r="AD422" s="242"/>
      <c r="AE422" s="242"/>
      <c r="AF422" s="242"/>
      <c r="AG422" s="242"/>
      <c r="AH422" s="242"/>
      <c r="AI422" s="242"/>
      <c r="AJ422" s="242"/>
      <c r="AK422" s="242"/>
      <c r="AL422" s="242"/>
      <c r="AM422" s="242"/>
      <c r="AN422" s="242"/>
      <c r="AO422" s="242"/>
      <c r="AP422" s="242"/>
      <c r="AQ422" s="242"/>
      <c r="AR422" s="242"/>
      <c r="AS422" s="242"/>
      <c r="AT422" s="242"/>
      <c r="AU422" s="242"/>
      <c r="AV422" s="242"/>
      <c r="AW422" s="242"/>
      <c r="AX422" s="242"/>
      <c r="AY422" s="242"/>
      <c r="AZ422" s="242"/>
      <c r="BA422" s="242"/>
      <c r="BB422" s="242"/>
      <c r="BC422" s="242"/>
      <c r="BD422" s="242"/>
      <c r="BE422" s="242"/>
      <c r="BF422" s="242"/>
      <c r="BG422" s="242"/>
      <c r="BH422" s="242"/>
      <c r="BI422" s="242"/>
      <c r="BJ422" s="242"/>
      <c r="BK422" s="242"/>
      <c r="BL422" s="242"/>
      <c r="BM422" s="242"/>
      <c r="BN422" s="242"/>
      <c r="BO422" s="242"/>
      <c r="BP422" s="242"/>
      <c r="BQ422" s="242"/>
      <c r="BR422" s="242"/>
      <c r="BS422" s="242"/>
      <c r="BT422" s="242"/>
      <c r="BU422" s="242"/>
      <c r="BV422" s="242"/>
      <c r="BW422" s="242"/>
      <c r="BX422" s="242"/>
      <c r="BY422" s="242"/>
      <c r="BZ422" s="242"/>
      <c r="CA422" s="242"/>
      <c r="CB422" s="242"/>
      <c r="CC422" s="242"/>
      <c r="CD422" s="242"/>
    </row>
    <row r="423" spans="1:82" ht="12.75" customHeight="1">
      <c r="A423" s="242"/>
      <c r="B423" s="242"/>
      <c r="C423" s="242"/>
      <c r="D423" s="242"/>
      <c r="E423" s="242"/>
      <c r="F423" s="242"/>
      <c r="G423" s="242"/>
      <c r="H423" s="278"/>
      <c r="I423" s="278"/>
      <c r="J423" s="242"/>
      <c r="K423" s="242"/>
      <c r="L423" s="242"/>
      <c r="M423" s="242"/>
      <c r="N423" s="242"/>
      <c r="O423" s="242"/>
      <c r="P423" s="242"/>
      <c r="Q423" s="242"/>
      <c r="R423" s="242"/>
      <c r="S423" s="242"/>
      <c r="T423" s="242"/>
      <c r="U423" s="242"/>
      <c r="V423" s="242"/>
      <c r="W423" s="242"/>
      <c r="X423" s="242"/>
      <c r="Y423" s="242"/>
      <c r="Z423" s="242"/>
      <c r="AA423" s="242"/>
      <c r="AB423" s="242"/>
      <c r="AC423" s="242"/>
      <c r="AD423" s="242"/>
      <c r="AE423" s="242"/>
      <c r="AF423" s="242"/>
      <c r="AG423" s="242"/>
      <c r="AH423" s="242"/>
      <c r="AI423" s="242"/>
      <c r="AJ423" s="242"/>
      <c r="AK423" s="242"/>
      <c r="AL423" s="242"/>
      <c r="AM423" s="242"/>
      <c r="AN423" s="242"/>
      <c r="AO423" s="242"/>
      <c r="AP423" s="242"/>
      <c r="AQ423" s="242"/>
      <c r="AR423" s="242"/>
      <c r="AS423" s="242"/>
      <c r="AT423" s="242"/>
      <c r="AU423" s="242"/>
      <c r="AV423" s="242"/>
      <c r="AW423" s="242"/>
      <c r="AX423" s="242"/>
      <c r="AY423" s="242"/>
      <c r="AZ423" s="242"/>
      <c r="BA423" s="242"/>
      <c r="BB423" s="242"/>
      <c r="BC423" s="242"/>
      <c r="BD423" s="242"/>
      <c r="BE423" s="242"/>
      <c r="BF423" s="242"/>
      <c r="BG423" s="242"/>
      <c r="BH423" s="242"/>
      <c r="BI423" s="242"/>
      <c r="BJ423" s="242"/>
      <c r="BK423" s="242"/>
      <c r="BL423" s="242"/>
      <c r="BM423" s="242"/>
      <c r="BN423" s="242"/>
      <c r="BO423" s="242"/>
      <c r="BP423" s="242"/>
      <c r="BQ423" s="242"/>
      <c r="BR423" s="242"/>
      <c r="BS423" s="242"/>
      <c r="BT423" s="242"/>
      <c r="BU423" s="242"/>
      <c r="BV423" s="242"/>
      <c r="BW423" s="242"/>
      <c r="BX423" s="242"/>
      <c r="BY423" s="242"/>
      <c r="BZ423" s="242"/>
      <c r="CA423" s="242"/>
      <c r="CB423" s="242"/>
      <c r="CC423" s="242"/>
      <c r="CD423" s="242"/>
    </row>
    <row r="424" spans="1:82" ht="12.75" customHeight="1">
      <c r="A424" s="242"/>
      <c r="B424" s="242"/>
      <c r="C424" s="242"/>
      <c r="D424" s="242"/>
      <c r="E424" s="242"/>
      <c r="F424" s="242"/>
      <c r="G424" s="242"/>
      <c r="H424" s="278"/>
      <c r="I424" s="278"/>
      <c r="J424" s="242"/>
      <c r="K424" s="242"/>
      <c r="L424" s="242"/>
      <c r="M424" s="242"/>
      <c r="N424" s="242"/>
      <c r="O424" s="242"/>
      <c r="P424" s="242"/>
      <c r="Q424" s="242"/>
      <c r="R424" s="242"/>
      <c r="S424" s="242"/>
      <c r="T424" s="242"/>
      <c r="U424" s="242"/>
      <c r="V424" s="242"/>
      <c r="W424" s="242"/>
      <c r="X424" s="242"/>
      <c r="Y424" s="242"/>
      <c r="Z424" s="242"/>
      <c r="AA424" s="242"/>
      <c r="AB424" s="242"/>
      <c r="AC424" s="242"/>
      <c r="AD424" s="242"/>
      <c r="AE424" s="242"/>
      <c r="AF424" s="242"/>
      <c r="AG424" s="242"/>
      <c r="AH424" s="242"/>
      <c r="AI424" s="242"/>
      <c r="AJ424" s="242"/>
      <c r="AK424" s="242"/>
      <c r="AL424" s="242"/>
      <c r="AM424" s="242"/>
      <c r="AN424" s="242"/>
      <c r="AO424" s="242"/>
      <c r="AP424" s="242"/>
      <c r="AQ424" s="242"/>
      <c r="AR424" s="242"/>
      <c r="AS424" s="242"/>
      <c r="AT424" s="242"/>
      <c r="AU424" s="242"/>
      <c r="AV424" s="242"/>
      <c r="AW424" s="242"/>
      <c r="AX424" s="242"/>
      <c r="AY424" s="242"/>
      <c r="AZ424" s="242"/>
      <c r="BA424" s="242"/>
      <c r="BB424" s="242"/>
      <c r="BC424" s="242"/>
      <c r="BD424" s="242"/>
      <c r="BE424" s="242"/>
      <c r="BF424" s="242"/>
      <c r="BG424" s="242"/>
      <c r="BH424" s="242"/>
      <c r="BI424" s="242"/>
      <c r="BJ424" s="242"/>
      <c r="BK424" s="242"/>
      <c r="BL424" s="242"/>
      <c r="BM424" s="242"/>
      <c r="BN424" s="242"/>
      <c r="BO424" s="242"/>
      <c r="BP424" s="242"/>
      <c r="BQ424" s="242"/>
      <c r="BR424" s="242"/>
      <c r="BS424" s="242"/>
      <c r="BT424" s="242"/>
      <c r="BU424" s="242"/>
      <c r="BV424" s="242"/>
      <c r="BW424" s="242"/>
      <c r="BX424" s="242"/>
      <c r="BY424" s="242"/>
      <c r="BZ424" s="242"/>
      <c r="CA424" s="242"/>
      <c r="CB424" s="242"/>
      <c r="CC424" s="242"/>
      <c r="CD424" s="242"/>
    </row>
    <row r="425" spans="1:82" ht="12.75" customHeight="1">
      <c r="A425" s="242"/>
      <c r="B425" s="242"/>
      <c r="C425" s="242"/>
      <c r="D425" s="242"/>
      <c r="E425" s="242"/>
      <c r="F425" s="242"/>
      <c r="G425" s="242"/>
      <c r="H425" s="278"/>
      <c r="I425" s="278"/>
      <c r="J425" s="242"/>
      <c r="K425" s="242"/>
      <c r="L425" s="242"/>
      <c r="M425" s="242"/>
      <c r="N425" s="242"/>
      <c r="O425" s="242"/>
      <c r="P425" s="242"/>
      <c r="Q425" s="242"/>
      <c r="R425" s="242"/>
      <c r="S425" s="242"/>
      <c r="T425" s="242"/>
      <c r="U425" s="242"/>
      <c r="V425" s="242"/>
      <c r="W425" s="242"/>
      <c r="X425" s="242"/>
      <c r="Y425" s="242"/>
      <c r="Z425" s="242"/>
      <c r="AA425" s="242"/>
      <c r="AB425" s="242"/>
      <c r="AC425" s="242"/>
      <c r="AD425" s="242"/>
      <c r="AE425" s="242"/>
      <c r="AF425" s="242"/>
      <c r="AG425" s="242"/>
      <c r="AH425" s="242"/>
      <c r="AI425" s="242"/>
      <c r="AJ425" s="242"/>
      <c r="AK425" s="242"/>
      <c r="AL425" s="242"/>
      <c r="AM425" s="242"/>
      <c r="AN425" s="242"/>
      <c r="AO425" s="242"/>
      <c r="AP425" s="242"/>
      <c r="AQ425" s="242"/>
      <c r="AR425" s="242"/>
      <c r="AS425" s="242"/>
      <c r="AT425" s="242"/>
      <c r="AU425" s="242"/>
      <c r="AV425" s="242"/>
      <c r="AW425" s="242"/>
      <c r="AX425" s="242"/>
      <c r="AY425" s="242"/>
      <c r="AZ425" s="242"/>
      <c r="BA425" s="242"/>
      <c r="BB425" s="242"/>
      <c r="BC425" s="242"/>
      <c r="BD425" s="242"/>
      <c r="BE425" s="242"/>
      <c r="BF425" s="242"/>
      <c r="BG425" s="242"/>
      <c r="BH425" s="242"/>
      <c r="BI425" s="242"/>
      <c r="BJ425" s="242"/>
      <c r="BK425" s="242"/>
      <c r="BL425" s="242"/>
      <c r="BM425" s="242"/>
      <c r="BN425" s="242"/>
      <c r="BO425" s="242"/>
      <c r="BP425" s="242"/>
      <c r="BQ425" s="242"/>
      <c r="BR425" s="242"/>
      <c r="BS425" s="242"/>
      <c r="BT425" s="242"/>
      <c r="BU425" s="242"/>
      <c r="BV425" s="242"/>
      <c r="BW425" s="242"/>
      <c r="BX425" s="242"/>
      <c r="BY425" s="242"/>
      <c r="BZ425" s="242"/>
      <c r="CA425" s="242"/>
      <c r="CB425" s="242"/>
      <c r="CC425" s="242"/>
      <c r="CD425" s="242"/>
    </row>
    <row r="426" spans="1:82" ht="12.75" customHeight="1">
      <c r="A426" s="242"/>
      <c r="B426" s="242"/>
      <c r="C426" s="242"/>
      <c r="D426" s="242"/>
      <c r="E426" s="242"/>
      <c r="F426" s="242"/>
      <c r="G426" s="242"/>
      <c r="H426" s="278"/>
      <c r="I426" s="278"/>
      <c r="J426" s="242"/>
      <c r="K426" s="242"/>
      <c r="L426" s="242"/>
      <c r="M426" s="242"/>
      <c r="N426" s="242"/>
      <c r="O426" s="242"/>
      <c r="P426" s="242"/>
      <c r="Q426" s="242"/>
      <c r="R426" s="242"/>
      <c r="S426" s="242"/>
      <c r="T426" s="242"/>
      <c r="U426" s="242"/>
      <c r="V426" s="242"/>
      <c r="W426" s="242"/>
      <c r="X426" s="242"/>
      <c r="Y426" s="242"/>
      <c r="Z426" s="242"/>
      <c r="AA426" s="242"/>
      <c r="AB426" s="242"/>
      <c r="AC426" s="242"/>
      <c r="AD426" s="242"/>
      <c r="AE426" s="242"/>
      <c r="AF426" s="242"/>
      <c r="AG426" s="242"/>
      <c r="AH426" s="242"/>
      <c r="AI426" s="242"/>
      <c r="AJ426" s="242"/>
      <c r="AK426" s="242"/>
      <c r="AL426" s="242"/>
      <c r="AM426" s="242"/>
      <c r="AN426" s="242"/>
      <c r="AO426" s="242"/>
      <c r="AP426" s="242"/>
      <c r="AQ426" s="242"/>
      <c r="AR426" s="242"/>
      <c r="AS426" s="242"/>
      <c r="AT426" s="242"/>
      <c r="AU426" s="242"/>
      <c r="AV426" s="242"/>
      <c r="AW426" s="242"/>
      <c r="AX426" s="242"/>
      <c r="AY426" s="242"/>
      <c r="AZ426" s="242"/>
      <c r="BA426" s="242"/>
      <c r="BB426" s="242"/>
      <c r="BC426" s="242"/>
      <c r="BD426" s="242"/>
      <c r="BE426" s="242"/>
      <c r="BF426" s="242"/>
      <c r="BG426" s="242"/>
      <c r="BH426" s="242"/>
      <c r="BI426" s="242"/>
      <c r="BJ426" s="242"/>
      <c r="BK426" s="242"/>
      <c r="BL426" s="242"/>
      <c r="BM426" s="242"/>
      <c r="BN426" s="242"/>
      <c r="BO426" s="242"/>
      <c r="BP426" s="242"/>
      <c r="BQ426" s="242"/>
      <c r="BR426" s="242"/>
      <c r="BS426" s="242"/>
      <c r="BT426" s="242"/>
      <c r="BU426" s="242"/>
      <c r="BV426" s="242"/>
      <c r="BW426" s="242"/>
      <c r="BX426" s="242"/>
      <c r="BY426" s="242"/>
      <c r="BZ426" s="242"/>
      <c r="CA426" s="242"/>
      <c r="CB426" s="242"/>
      <c r="CC426" s="242"/>
      <c r="CD426" s="242"/>
    </row>
    <row r="427" spans="1:82" ht="12.75" customHeight="1">
      <c r="A427" s="242"/>
      <c r="B427" s="242"/>
      <c r="C427" s="242"/>
      <c r="D427" s="242"/>
      <c r="E427" s="242"/>
      <c r="F427" s="242"/>
      <c r="G427" s="242"/>
      <c r="H427" s="278"/>
      <c r="I427" s="278"/>
      <c r="J427" s="242"/>
      <c r="K427" s="242"/>
      <c r="L427" s="242"/>
      <c r="M427" s="242"/>
      <c r="N427" s="242"/>
      <c r="O427" s="242"/>
      <c r="P427" s="242"/>
      <c r="Q427" s="242"/>
      <c r="R427" s="242"/>
      <c r="S427" s="242"/>
      <c r="T427" s="242"/>
      <c r="U427" s="242"/>
      <c r="V427" s="242"/>
      <c r="W427" s="242"/>
      <c r="X427" s="242"/>
      <c r="Y427" s="242"/>
      <c r="Z427" s="242"/>
      <c r="AA427" s="242"/>
      <c r="AB427" s="242"/>
      <c r="AC427" s="242"/>
      <c r="AD427" s="242"/>
      <c r="AE427" s="242"/>
      <c r="AF427" s="242"/>
      <c r="AG427" s="242"/>
      <c r="AH427" s="242"/>
      <c r="AI427" s="242"/>
      <c r="AJ427" s="242"/>
      <c r="AK427" s="242"/>
      <c r="AL427" s="242"/>
      <c r="AM427" s="242"/>
      <c r="AN427" s="242"/>
      <c r="AO427" s="242"/>
      <c r="AP427" s="242"/>
      <c r="AQ427" s="242"/>
      <c r="AR427" s="242"/>
      <c r="AS427" s="242"/>
      <c r="AT427" s="242"/>
      <c r="AU427" s="242"/>
      <c r="AV427" s="242"/>
      <c r="AW427" s="242"/>
      <c r="AX427" s="242"/>
      <c r="AY427" s="242"/>
      <c r="AZ427" s="242"/>
      <c r="BA427" s="242"/>
      <c r="BB427" s="242"/>
      <c r="BC427" s="242"/>
      <c r="BD427" s="242"/>
      <c r="BE427" s="242"/>
      <c r="BF427" s="242"/>
      <c r="BG427" s="242"/>
      <c r="BH427" s="242"/>
      <c r="BI427" s="242"/>
      <c r="BJ427" s="242"/>
      <c r="BK427" s="242"/>
      <c r="BL427" s="242"/>
      <c r="BM427" s="242"/>
      <c r="BN427" s="242"/>
      <c r="BO427" s="242"/>
      <c r="BP427" s="242"/>
      <c r="BQ427" s="242"/>
      <c r="BR427" s="242"/>
      <c r="BS427" s="242"/>
      <c r="BT427" s="242"/>
      <c r="BU427" s="242"/>
      <c r="BV427" s="242"/>
      <c r="BW427" s="242"/>
      <c r="BX427" s="242"/>
      <c r="BY427" s="242"/>
      <c r="BZ427" s="242"/>
      <c r="CA427" s="242"/>
      <c r="CB427" s="242"/>
      <c r="CC427" s="242"/>
      <c r="CD427" s="242"/>
    </row>
    <row r="428" spans="1:82" ht="12.75" customHeight="1">
      <c r="A428" s="242"/>
      <c r="B428" s="242"/>
      <c r="C428" s="242"/>
      <c r="D428" s="242"/>
      <c r="E428" s="242"/>
      <c r="F428" s="242"/>
      <c r="G428" s="242"/>
      <c r="H428" s="278"/>
      <c r="I428" s="278"/>
      <c r="J428" s="242"/>
      <c r="K428" s="242"/>
      <c r="L428" s="242"/>
      <c r="M428" s="242"/>
      <c r="N428" s="242"/>
      <c r="O428" s="242"/>
      <c r="P428" s="242"/>
      <c r="Q428" s="242"/>
      <c r="R428" s="242"/>
      <c r="S428" s="242"/>
      <c r="T428" s="242"/>
      <c r="U428" s="242"/>
      <c r="V428" s="242"/>
      <c r="W428" s="242"/>
      <c r="X428" s="242"/>
      <c r="Y428" s="242"/>
      <c r="Z428" s="242"/>
      <c r="AA428" s="242"/>
      <c r="AB428" s="242"/>
      <c r="AC428" s="242"/>
      <c r="AD428" s="242"/>
      <c r="AE428" s="242"/>
      <c r="AF428" s="242"/>
      <c r="AG428" s="242"/>
      <c r="AH428" s="242"/>
      <c r="AI428" s="242"/>
      <c r="AJ428" s="242"/>
      <c r="AK428" s="242"/>
      <c r="AL428" s="242"/>
      <c r="AM428" s="242"/>
      <c r="AN428" s="242"/>
      <c r="AO428" s="242"/>
      <c r="AP428" s="242"/>
      <c r="AQ428" s="242"/>
      <c r="AR428" s="242"/>
      <c r="AS428" s="242"/>
      <c r="AT428" s="242"/>
      <c r="AU428" s="242"/>
      <c r="AV428" s="242"/>
      <c r="AW428" s="242"/>
      <c r="AX428" s="242"/>
      <c r="AY428" s="242"/>
      <c r="AZ428" s="242"/>
      <c r="BA428" s="242"/>
      <c r="BB428" s="242"/>
      <c r="BC428" s="242"/>
      <c r="BD428" s="242"/>
      <c r="BE428" s="242"/>
      <c r="BF428" s="242"/>
      <c r="BG428" s="242"/>
      <c r="BH428" s="242"/>
      <c r="BI428" s="242"/>
      <c r="BJ428" s="242"/>
      <c r="BK428" s="242"/>
      <c r="BL428" s="242"/>
      <c r="BM428" s="242"/>
      <c r="BN428" s="242"/>
      <c r="BO428" s="242"/>
      <c r="BP428" s="242"/>
      <c r="BQ428" s="242"/>
      <c r="BR428" s="242"/>
      <c r="BS428" s="242"/>
      <c r="BT428" s="242"/>
      <c r="BU428" s="242"/>
      <c r="BV428" s="242"/>
      <c r="BW428" s="242"/>
      <c r="BX428" s="242"/>
      <c r="BY428" s="242"/>
      <c r="BZ428" s="242"/>
      <c r="CA428" s="242"/>
      <c r="CB428" s="242"/>
      <c r="CC428" s="242"/>
      <c r="CD428" s="242"/>
    </row>
    <row r="429" spans="1:82" ht="12.75" customHeight="1">
      <c r="A429" s="242"/>
      <c r="B429" s="242"/>
      <c r="C429" s="242"/>
      <c r="D429" s="242"/>
      <c r="E429" s="242"/>
      <c r="F429" s="242"/>
      <c r="G429" s="242"/>
      <c r="H429" s="278"/>
      <c r="I429" s="278"/>
      <c r="J429" s="242"/>
      <c r="K429" s="242"/>
      <c r="L429" s="242"/>
      <c r="M429" s="242"/>
      <c r="N429" s="242"/>
      <c r="O429" s="242"/>
      <c r="P429" s="242"/>
      <c r="Q429" s="242"/>
      <c r="R429" s="242"/>
      <c r="S429" s="242"/>
      <c r="T429" s="242"/>
      <c r="U429" s="242"/>
      <c r="V429" s="242"/>
      <c r="W429" s="242"/>
      <c r="X429" s="242"/>
      <c r="Y429" s="242"/>
      <c r="Z429" s="242"/>
      <c r="AA429" s="242"/>
      <c r="AB429" s="242"/>
      <c r="AC429" s="242"/>
      <c r="AD429" s="242"/>
      <c r="AE429" s="242"/>
      <c r="AF429" s="242"/>
      <c r="AG429" s="242"/>
      <c r="AH429" s="242"/>
      <c r="AI429" s="242"/>
      <c r="AJ429" s="242"/>
      <c r="AK429" s="242"/>
      <c r="AL429" s="242"/>
      <c r="AM429" s="242"/>
      <c r="AN429" s="242"/>
      <c r="AO429" s="242"/>
      <c r="AP429" s="242"/>
      <c r="AQ429" s="242"/>
      <c r="AR429" s="242"/>
      <c r="AS429" s="242"/>
      <c r="AT429" s="242"/>
      <c r="AU429" s="242"/>
      <c r="AV429" s="242"/>
      <c r="AW429" s="242"/>
      <c r="AX429" s="242"/>
      <c r="AY429" s="242"/>
      <c r="AZ429" s="242"/>
      <c r="BA429" s="242"/>
      <c r="BB429" s="242"/>
      <c r="BC429" s="242"/>
      <c r="BD429" s="242"/>
      <c r="BE429" s="242"/>
      <c r="BF429" s="242"/>
      <c r="BG429" s="242"/>
      <c r="BH429" s="242"/>
      <c r="BI429" s="242"/>
      <c r="BJ429" s="242"/>
      <c r="BK429" s="242"/>
      <c r="BL429" s="242"/>
      <c r="BM429" s="242"/>
      <c r="BN429" s="242"/>
      <c r="BO429" s="242"/>
      <c r="BP429" s="242"/>
      <c r="BQ429" s="242"/>
      <c r="BR429" s="242"/>
      <c r="BS429" s="242"/>
      <c r="BT429" s="242"/>
      <c r="BU429" s="242"/>
      <c r="BV429" s="242"/>
      <c r="BW429" s="242"/>
      <c r="BX429" s="242"/>
      <c r="BY429" s="242"/>
      <c r="BZ429" s="242"/>
      <c r="CA429" s="242"/>
      <c r="CB429" s="242"/>
      <c r="CC429" s="242"/>
      <c r="CD429" s="242"/>
    </row>
    <row r="430" spans="1:82" ht="12.75" customHeight="1">
      <c r="A430" s="242"/>
      <c r="B430" s="242"/>
      <c r="C430" s="242"/>
      <c r="D430" s="242"/>
      <c r="E430" s="242"/>
      <c r="F430" s="242"/>
      <c r="G430" s="242"/>
      <c r="H430" s="278"/>
      <c r="I430" s="278"/>
      <c r="J430" s="242"/>
      <c r="K430" s="242"/>
      <c r="L430" s="242"/>
      <c r="M430" s="242"/>
      <c r="N430" s="242"/>
      <c r="O430" s="242"/>
      <c r="P430" s="242"/>
      <c r="Q430" s="242"/>
      <c r="R430" s="242"/>
      <c r="S430" s="242"/>
      <c r="T430" s="242"/>
      <c r="U430" s="242"/>
      <c r="V430" s="242"/>
      <c r="W430" s="242"/>
      <c r="X430" s="242"/>
      <c r="Y430" s="242"/>
      <c r="Z430" s="242"/>
      <c r="AA430" s="242"/>
      <c r="AB430" s="242"/>
      <c r="AC430" s="242"/>
      <c r="AD430" s="242"/>
      <c r="AE430" s="242"/>
      <c r="AF430" s="242"/>
      <c r="AG430" s="242"/>
      <c r="AH430" s="242"/>
      <c r="AI430" s="242"/>
      <c r="AJ430" s="242"/>
      <c r="AK430" s="242"/>
      <c r="AL430" s="242"/>
      <c r="AM430" s="242"/>
      <c r="AN430" s="242"/>
      <c r="AO430" s="242"/>
      <c r="AP430" s="242"/>
      <c r="AQ430" s="242"/>
      <c r="AR430" s="242"/>
      <c r="AS430" s="242"/>
      <c r="AT430" s="242"/>
      <c r="AU430" s="242"/>
      <c r="AV430" s="242"/>
      <c r="AW430" s="242"/>
      <c r="AX430" s="242"/>
      <c r="AY430" s="242"/>
      <c r="AZ430" s="242"/>
      <c r="BA430" s="242"/>
      <c r="BB430" s="242"/>
      <c r="BC430" s="242"/>
      <c r="BD430" s="242"/>
      <c r="BE430" s="242"/>
      <c r="BF430" s="242"/>
      <c r="BG430" s="242"/>
      <c r="BH430" s="242"/>
      <c r="BI430" s="242"/>
      <c r="BJ430" s="242"/>
      <c r="BK430" s="242"/>
      <c r="BL430" s="242"/>
      <c r="BM430" s="242"/>
      <c r="BN430" s="242"/>
      <c r="BO430" s="242"/>
      <c r="BP430" s="242"/>
      <c r="BQ430" s="242"/>
      <c r="BR430" s="242"/>
      <c r="BS430" s="242"/>
      <c r="BT430" s="242"/>
      <c r="BU430" s="242"/>
      <c r="BV430" s="242"/>
      <c r="BW430" s="242"/>
      <c r="BX430" s="242"/>
      <c r="BY430" s="242"/>
      <c r="BZ430" s="242"/>
      <c r="CA430" s="242"/>
      <c r="CB430" s="242"/>
      <c r="CC430" s="242"/>
      <c r="CD430" s="242"/>
    </row>
    <row r="431" spans="1:82" ht="15.75" customHeight="1">
      <c r="A431" s="290"/>
      <c r="B431" s="290"/>
      <c r="C431" s="290"/>
      <c r="D431" s="290"/>
      <c r="E431" s="290"/>
      <c r="F431" s="290"/>
      <c r="G431" s="290"/>
      <c r="H431" s="370"/>
      <c r="I431" s="370"/>
      <c r="J431" s="290"/>
      <c r="K431" s="290"/>
      <c r="L431" s="290"/>
      <c r="M431" s="290"/>
      <c r="N431" s="290"/>
      <c r="O431" s="290"/>
      <c r="P431" s="290"/>
      <c r="Q431" s="290"/>
      <c r="R431" s="290"/>
      <c r="S431" s="290"/>
      <c r="T431" s="290"/>
      <c r="U431" s="290"/>
      <c r="V431" s="290"/>
      <c r="W431" s="290"/>
      <c r="X431" s="290"/>
      <c r="Y431" s="290"/>
      <c r="Z431" s="290"/>
      <c r="AA431" s="290"/>
      <c r="AB431" s="290"/>
      <c r="AC431" s="290"/>
      <c r="AD431" s="290"/>
      <c r="AE431" s="290"/>
      <c r="AF431" s="290"/>
      <c r="AG431" s="290"/>
      <c r="AH431" s="290"/>
      <c r="AI431" s="290"/>
      <c r="AJ431" s="290"/>
      <c r="AK431" s="290"/>
      <c r="AL431" s="290"/>
      <c r="AM431" s="290"/>
      <c r="AN431" s="290"/>
      <c r="AO431" s="290"/>
      <c r="AP431" s="290"/>
      <c r="AQ431" s="290"/>
      <c r="AR431" s="290"/>
      <c r="AS431" s="290"/>
      <c r="AT431" s="290"/>
      <c r="AU431" s="290"/>
      <c r="AV431" s="290"/>
      <c r="AW431" s="290"/>
      <c r="AX431" s="290"/>
      <c r="AY431" s="290"/>
      <c r="AZ431" s="290"/>
      <c r="BA431" s="290"/>
      <c r="BB431" s="290"/>
      <c r="BC431" s="290"/>
      <c r="BD431" s="290"/>
      <c r="BE431" s="290"/>
      <c r="BF431" s="290"/>
      <c r="BG431" s="290"/>
      <c r="BH431" s="290"/>
      <c r="BI431" s="290"/>
      <c r="BJ431" s="290"/>
      <c r="BK431" s="290"/>
      <c r="BL431" s="290"/>
      <c r="BM431" s="290"/>
      <c r="BN431" s="290"/>
      <c r="BO431" s="290"/>
      <c r="BP431" s="290"/>
      <c r="BQ431" s="290"/>
      <c r="BR431" s="290"/>
      <c r="BS431" s="290"/>
      <c r="BT431" s="290"/>
      <c r="BU431" s="290"/>
      <c r="BV431" s="290"/>
      <c r="BW431" s="290"/>
      <c r="BX431" s="290"/>
      <c r="BY431" s="290"/>
      <c r="BZ431" s="290"/>
      <c r="CA431" s="290"/>
      <c r="CB431" s="290"/>
      <c r="CC431" s="290"/>
      <c r="CD431" s="290"/>
    </row>
    <row r="432" spans="1:82" ht="15.75" customHeight="1">
      <c r="A432" s="290"/>
      <c r="B432" s="290"/>
      <c r="C432" s="290"/>
      <c r="D432" s="290"/>
      <c r="E432" s="290"/>
      <c r="F432" s="290"/>
      <c r="G432" s="290"/>
      <c r="H432" s="370"/>
      <c r="I432" s="370"/>
      <c r="J432" s="290"/>
      <c r="K432" s="290"/>
      <c r="L432" s="290"/>
      <c r="M432" s="290"/>
      <c r="N432" s="290"/>
      <c r="O432" s="290"/>
      <c r="P432" s="290"/>
      <c r="Q432" s="290"/>
      <c r="R432" s="290"/>
      <c r="S432" s="290"/>
      <c r="T432" s="290"/>
      <c r="U432" s="290"/>
      <c r="V432" s="290"/>
      <c r="W432" s="290"/>
      <c r="X432" s="290"/>
      <c r="Y432" s="290"/>
      <c r="Z432" s="290"/>
      <c r="AA432" s="290"/>
      <c r="AB432" s="290"/>
      <c r="AC432" s="290"/>
      <c r="AD432" s="290"/>
      <c r="AE432" s="290"/>
      <c r="AF432" s="290"/>
      <c r="AG432" s="290"/>
      <c r="AH432" s="290"/>
      <c r="AI432" s="290"/>
      <c r="AJ432" s="290"/>
      <c r="AK432" s="290"/>
      <c r="AL432" s="290"/>
      <c r="AM432" s="290"/>
      <c r="AN432" s="290"/>
      <c r="AO432" s="290"/>
      <c r="AP432" s="290"/>
      <c r="AQ432" s="290"/>
      <c r="AR432" s="290"/>
      <c r="AS432" s="290"/>
      <c r="AT432" s="290"/>
      <c r="AU432" s="290"/>
      <c r="AV432" s="290"/>
      <c r="AW432" s="290"/>
      <c r="AX432" s="290"/>
      <c r="AY432" s="290"/>
      <c r="AZ432" s="290"/>
      <c r="BA432" s="290"/>
      <c r="BB432" s="290"/>
      <c r="BC432" s="290"/>
      <c r="BD432" s="290"/>
      <c r="BE432" s="290"/>
      <c r="BF432" s="290"/>
      <c r="BG432" s="290"/>
      <c r="BH432" s="290"/>
      <c r="BI432" s="290"/>
      <c r="BJ432" s="290"/>
      <c r="BK432" s="290"/>
      <c r="BL432" s="290"/>
      <c r="BM432" s="290"/>
      <c r="BN432" s="290"/>
      <c r="BO432" s="290"/>
      <c r="BP432" s="290"/>
      <c r="BQ432" s="290"/>
      <c r="BR432" s="290"/>
      <c r="BS432" s="290"/>
      <c r="BT432" s="290"/>
      <c r="BU432" s="290"/>
      <c r="BV432" s="290"/>
      <c r="BW432" s="290"/>
      <c r="BX432" s="290"/>
      <c r="BY432" s="290"/>
      <c r="BZ432" s="290"/>
      <c r="CA432" s="290"/>
      <c r="CB432" s="290"/>
      <c r="CC432" s="290"/>
      <c r="CD432" s="290"/>
    </row>
    <row r="433" spans="1:82" ht="15.75" customHeight="1">
      <c r="A433" s="290"/>
      <c r="B433" s="290"/>
      <c r="C433" s="290"/>
      <c r="D433" s="290"/>
      <c r="E433" s="290"/>
      <c r="F433" s="290"/>
      <c r="G433" s="290"/>
      <c r="H433" s="370"/>
      <c r="I433" s="370"/>
      <c r="J433" s="290"/>
      <c r="K433" s="290"/>
      <c r="L433" s="290"/>
      <c r="M433" s="290"/>
      <c r="N433" s="290"/>
      <c r="O433" s="290"/>
      <c r="P433" s="290"/>
      <c r="Q433" s="290"/>
      <c r="R433" s="290"/>
      <c r="S433" s="290"/>
      <c r="T433" s="290"/>
      <c r="U433" s="290"/>
      <c r="V433" s="290"/>
      <c r="W433" s="290"/>
      <c r="X433" s="290"/>
      <c r="Y433" s="290"/>
      <c r="Z433" s="290"/>
      <c r="AA433" s="290"/>
      <c r="AB433" s="290"/>
      <c r="AC433" s="290"/>
      <c r="AD433" s="290"/>
      <c r="AE433" s="290"/>
      <c r="AF433" s="290"/>
      <c r="AG433" s="290"/>
      <c r="AH433" s="290"/>
      <c r="AI433" s="290"/>
      <c r="AJ433" s="290"/>
      <c r="AK433" s="290"/>
      <c r="AL433" s="290"/>
      <c r="AM433" s="290"/>
      <c r="AN433" s="290"/>
      <c r="AO433" s="290"/>
      <c r="AP433" s="290"/>
      <c r="AQ433" s="290"/>
      <c r="AR433" s="290"/>
      <c r="AS433" s="290"/>
      <c r="AT433" s="290"/>
      <c r="AU433" s="290"/>
      <c r="AV433" s="290"/>
      <c r="AW433" s="290"/>
      <c r="AX433" s="290"/>
      <c r="AY433" s="290"/>
      <c r="AZ433" s="290"/>
      <c r="BA433" s="290"/>
      <c r="BB433" s="290"/>
      <c r="BC433" s="290"/>
      <c r="BD433" s="290"/>
      <c r="BE433" s="290"/>
      <c r="BF433" s="290"/>
      <c r="BG433" s="290"/>
      <c r="BH433" s="290"/>
      <c r="BI433" s="290"/>
      <c r="BJ433" s="290"/>
      <c r="BK433" s="290"/>
      <c r="BL433" s="290"/>
      <c r="BM433" s="290"/>
      <c r="BN433" s="290"/>
      <c r="BO433" s="290"/>
      <c r="BP433" s="290"/>
      <c r="BQ433" s="290"/>
      <c r="BR433" s="290"/>
      <c r="BS433" s="290"/>
      <c r="BT433" s="290"/>
      <c r="BU433" s="290"/>
      <c r="BV433" s="290"/>
      <c r="BW433" s="290"/>
      <c r="BX433" s="290"/>
      <c r="BY433" s="290"/>
      <c r="BZ433" s="290"/>
      <c r="CA433" s="290"/>
      <c r="CB433" s="290"/>
      <c r="CC433" s="290"/>
      <c r="CD433" s="290"/>
    </row>
    <row r="434" spans="1:82" ht="15.75" customHeight="1">
      <c r="A434" s="290"/>
      <c r="B434" s="290"/>
      <c r="C434" s="290"/>
      <c r="D434" s="290"/>
      <c r="E434" s="290"/>
      <c r="F434" s="290"/>
      <c r="G434" s="290"/>
      <c r="H434" s="370"/>
      <c r="I434" s="370"/>
      <c r="J434" s="290"/>
      <c r="K434" s="290"/>
      <c r="L434" s="290"/>
      <c r="M434" s="290"/>
      <c r="N434" s="290"/>
      <c r="O434" s="290"/>
      <c r="P434" s="290"/>
      <c r="Q434" s="290"/>
      <c r="R434" s="290"/>
      <c r="S434" s="290"/>
      <c r="T434" s="290"/>
      <c r="U434" s="290"/>
      <c r="V434" s="290"/>
      <c r="W434" s="290"/>
      <c r="X434" s="290"/>
      <c r="Y434" s="290"/>
      <c r="Z434" s="290"/>
      <c r="AA434" s="290"/>
      <c r="AB434" s="290"/>
      <c r="AC434" s="290"/>
      <c r="AD434" s="290"/>
      <c r="AE434" s="290"/>
      <c r="AF434" s="290"/>
      <c r="AG434" s="290"/>
      <c r="AH434" s="290"/>
      <c r="AI434" s="290"/>
      <c r="AJ434" s="290"/>
      <c r="AK434" s="290"/>
      <c r="AL434" s="290"/>
      <c r="AM434" s="290"/>
      <c r="AN434" s="290"/>
      <c r="AO434" s="290"/>
      <c r="AP434" s="290"/>
      <c r="AQ434" s="290"/>
      <c r="AR434" s="290"/>
      <c r="AS434" s="290"/>
      <c r="AT434" s="290"/>
      <c r="AU434" s="290"/>
      <c r="AV434" s="290"/>
      <c r="AW434" s="290"/>
      <c r="AX434" s="290"/>
      <c r="AY434" s="290"/>
      <c r="AZ434" s="290"/>
      <c r="BA434" s="290"/>
      <c r="BB434" s="290"/>
      <c r="BC434" s="290"/>
      <c r="BD434" s="290"/>
      <c r="BE434" s="290"/>
      <c r="BF434" s="290"/>
      <c r="BG434" s="290"/>
      <c r="BH434" s="290"/>
      <c r="BI434" s="290"/>
      <c r="BJ434" s="290"/>
      <c r="BK434" s="290"/>
      <c r="BL434" s="290"/>
      <c r="BM434" s="290"/>
      <c r="BN434" s="290"/>
      <c r="BO434" s="290"/>
      <c r="BP434" s="290"/>
      <c r="BQ434" s="290"/>
      <c r="BR434" s="290"/>
      <c r="BS434" s="290"/>
      <c r="BT434" s="290"/>
      <c r="BU434" s="290"/>
      <c r="BV434" s="290"/>
      <c r="BW434" s="290"/>
      <c r="BX434" s="290"/>
      <c r="BY434" s="290"/>
      <c r="BZ434" s="290"/>
      <c r="CA434" s="290"/>
      <c r="CB434" s="290"/>
      <c r="CC434" s="290"/>
      <c r="CD434" s="290"/>
    </row>
    <row r="435" spans="1:82" ht="15.75" customHeight="1">
      <c r="A435" s="290"/>
      <c r="B435" s="290"/>
      <c r="C435" s="290"/>
      <c r="D435" s="290"/>
      <c r="E435" s="290"/>
      <c r="F435" s="290"/>
      <c r="G435" s="290"/>
      <c r="H435" s="370"/>
      <c r="I435" s="370"/>
      <c r="J435" s="290"/>
      <c r="K435" s="290"/>
      <c r="L435" s="290"/>
      <c r="M435" s="290"/>
      <c r="N435" s="290"/>
      <c r="O435" s="290"/>
      <c r="P435" s="290"/>
      <c r="Q435" s="290"/>
      <c r="R435" s="290"/>
      <c r="S435" s="290"/>
      <c r="T435" s="290"/>
      <c r="U435" s="290"/>
      <c r="V435" s="290"/>
      <c r="W435" s="290"/>
      <c r="X435" s="290"/>
      <c r="Y435" s="290"/>
      <c r="Z435" s="290"/>
      <c r="AA435" s="290"/>
      <c r="AB435" s="290"/>
      <c r="AC435" s="290"/>
      <c r="AD435" s="290"/>
      <c r="AE435" s="290"/>
      <c r="AF435" s="290"/>
      <c r="AG435" s="290"/>
      <c r="AH435" s="290"/>
      <c r="AI435" s="290"/>
      <c r="AJ435" s="290"/>
      <c r="AK435" s="290"/>
      <c r="AL435" s="290"/>
      <c r="AM435" s="290"/>
      <c r="AN435" s="290"/>
      <c r="AO435" s="290"/>
      <c r="AP435" s="290"/>
      <c r="AQ435" s="290"/>
      <c r="AR435" s="290"/>
      <c r="AS435" s="290"/>
      <c r="AT435" s="290"/>
      <c r="AU435" s="290"/>
      <c r="AV435" s="290"/>
      <c r="AW435" s="290"/>
      <c r="AX435" s="290"/>
      <c r="AY435" s="290"/>
      <c r="AZ435" s="290"/>
      <c r="BA435" s="290"/>
      <c r="BB435" s="290"/>
      <c r="BC435" s="290"/>
      <c r="BD435" s="290"/>
      <c r="BE435" s="290"/>
      <c r="BF435" s="290"/>
      <c r="BG435" s="290"/>
      <c r="BH435" s="290"/>
      <c r="BI435" s="290"/>
      <c r="BJ435" s="290"/>
      <c r="BK435" s="290"/>
      <c r="BL435" s="290"/>
      <c r="BM435" s="290"/>
      <c r="BN435" s="290"/>
      <c r="BO435" s="290"/>
      <c r="BP435" s="290"/>
      <c r="BQ435" s="290"/>
      <c r="BR435" s="290"/>
      <c r="BS435" s="290"/>
      <c r="BT435" s="290"/>
      <c r="BU435" s="290"/>
      <c r="BV435" s="290"/>
      <c r="BW435" s="290"/>
      <c r="BX435" s="290"/>
      <c r="BY435" s="290"/>
      <c r="BZ435" s="290"/>
      <c r="CA435" s="290"/>
      <c r="CB435" s="290"/>
      <c r="CC435" s="290"/>
      <c r="CD435" s="290"/>
    </row>
    <row r="436" spans="1:82" ht="15.75" customHeight="1">
      <c r="A436" s="290"/>
      <c r="B436" s="290"/>
      <c r="C436" s="290"/>
      <c r="D436" s="290"/>
      <c r="E436" s="290"/>
      <c r="F436" s="290"/>
      <c r="G436" s="290"/>
      <c r="H436" s="370"/>
      <c r="I436" s="370"/>
      <c r="J436" s="290"/>
      <c r="K436" s="290"/>
      <c r="L436" s="290"/>
      <c r="M436" s="290"/>
      <c r="N436" s="290"/>
      <c r="O436" s="290"/>
      <c r="P436" s="290"/>
      <c r="Q436" s="290"/>
      <c r="R436" s="290"/>
      <c r="S436" s="290"/>
      <c r="T436" s="290"/>
      <c r="U436" s="290"/>
      <c r="V436" s="290"/>
      <c r="W436" s="290"/>
      <c r="X436" s="290"/>
      <c r="Y436" s="290"/>
      <c r="Z436" s="290"/>
      <c r="AA436" s="290"/>
      <c r="AB436" s="290"/>
      <c r="AC436" s="290"/>
      <c r="AD436" s="290"/>
      <c r="AE436" s="290"/>
      <c r="AF436" s="290"/>
      <c r="AG436" s="290"/>
      <c r="AH436" s="290"/>
      <c r="AI436" s="290"/>
      <c r="AJ436" s="290"/>
      <c r="AK436" s="290"/>
      <c r="AL436" s="290"/>
      <c r="AM436" s="290"/>
      <c r="AN436" s="290"/>
      <c r="AO436" s="290"/>
      <c r="AP436" s="290"/>
      <c r="AQ436" s="290"/>
      <c r="AR436" s="290"/>
      <c r="AS436" s="290"/>
      <c r="AT436" s="290"/>
      <c r="AU436" s="290"/>
      <c r="AV436" s="290"/>
      <c r="AW436" s="290"/>
      <c r="AX436" s="290"/>
      <c r="AY436" s="290"/>
      <c r="AZ436" s="290"/>
      <c r="BA436" s="290"/>
      <c r="BB436" s="290"/>
      <c r="BC436" s="290"/>
      <c r="BD436" s="290"/>
      <c r="BE436" s="290"/>
      <c r="BF436" s="290"/>
      <c r="BG436" s="290"/>
      <c r="BH436" s="290"/>
      <c r="BI436" s="290"/>
      <c r="BJ436" s="290"/>
      <c r="BK436" s="290"/>
      <c r="BL436" s="290"/>
      <c r="BM436" s="290"/>
      <c r="BN436" s="290"/>
      <c r="BO436" s="290"/>
      <c r="BP436" s="290"/>
      <c r="BQ436" s="290"/>
      <c r="BR436" s="290"/>
      <c r="BS436" s="290"/>
      <c r="BT436" s="290"/>
      <c r="BU436" s="290"/>
      <c r="BV436" s="290"/>
      <c r="BW436" s="290"/>
      <c r="BX436" s="290"/>
      <c r="BY436" s="290"/>
      <c r="BZ436" s="290"/>
      <c r="CA436" s="290"/>
      <c r="CB436" s="290"/>
      <c r="CC436" s="290"/>
      <c r="CD436" s="290"/>
    </row>
    <row r="437" spans="1:82" ht="15.75" customHeight="1">
      <c r="A437" s="290"/>
      <c r="B437" s="290"/>
      <c r="C437" s="290"/>
      <c r="D437" s="290"/>
      <c r="E437" s="290"/>
      <c r="F437" s="290"/>
      <c r="G437" s="290"/>
      <c r="H437" s="370"/>
      <c r="I437" s="370"/>
      <c r="J437" s="290"/>
      <c r="K437" s="290"/>
      <c r="L437" s="290"/>
      <c r="M437" s="290"/>
      <c r="N437" s="290"/>
      <c r="O437" s="290"/>
      <c r="P437" s="290"/>
      <c r="Q437" s="290"/>
      <c r="R437" s="290"/>
      <c r="S437" s="290"/>
      <c r="T437" s="290"/>
      <c r="U437" s="290"/>
      <c r="V437" s="290"/>
      <c r="W437" s="290"/>
      <c r="X437" s="290"/>
      <c r="Y437" s="290"/>
      <c r="Z437" s="290"/>
      <c r="AA437" s="290"/>
      <c r="AB437" s="290"/>
      <c r="AC437" s="290"/>
      <c r="AD437" s="290"/>
      <c r="AE437" s="290"/>
      <c r="AF437" s="290"/>
      <c r="AG437" s="290"/>
      <c r="AH437" s="290"/>
      <c r="AI437" s="290"/>
      <c r="AJ437" s="290"/>
      <c r="AK437" s="290"/>
      <c r="AL437" s="290"/>
      <c r="AM437" s="290"/>
      <c r="AN437" s="290"/>
      <c r="AO437" s="290"/>
      <c r="AP437" s="290"/>
      <c r="AQ437" s="290"/>
      <c r="AR437" s="290"/>
      <c r="AS437" s="290"/>
      <c r="AT437" s="290"/>
      <c r="AU437" s="290"/>
      <c r="AV437" s="290"/>
      <c r="AW437" s="290"/>
      <c r="AX437" s="290"/>
      <c r="AY437" s="290"/>
      <c r="AZ437" s="290"/>
      <c r="BA437" s="290"/>
      <c r="BB437" s="290"/>
      <c r="BC437" s="290"/>
      <c r="BD437" s="290"/>
      <c r="BE437" s="290"/>
      <c r="BF437" s="290"/>
      <c r="BG437" s="290"/>
      <c r="BH437" s="290"/>
      <c r="BI437" s="290"/>
      <c r="BJ437" s="290"/>
      <c r="BK437" s="290"/>
      <c r="BL437" s="290"/>
      <c r="BM437" s="290"/>
      <c r="BN437" s="290"/>
      <c r="BO437" s="290"/>
      <c r="BP437" s="290"/>
      <c r="BQ437" s="290"/>
      <c r="BR437" s="290"/>
      <c r="BS437" s="290"/>
      <c r="BT437" s="290"/>
      <c r="BU437" s="290"/>
      <c r="BV437" s="290"/>
      <c r="BW437" s="290"/>
      <c r="BX437" s="290"/>
      <c r="BY437" s="290"/>
      <c r="BZ437" s="290"/>
      <c r="CA437" s="290"/>
      <c r="CB437" s="290"/>
      <c r="CC437" s="290"/>
      <c r="CD437" s="290"/>
    </row>
    <row r="438" spans="1:82" ht="15.75" customHeight="1">
      <c r="A438" s="290"/>
      <c r="B438" s="290"/>
      <c r="C438" s="290"/>
      <c r="D438" s="290"/>
      <c r="E438" s="290"/>
      <c r="F438" s="290"/>
      <c r="G438" s="290"/>
      <c r="H438" s="370"/>
      <c r="I438" s="370"/>
      <c r="J438" s="290"/>
      <c r="K438" s="290"/>
      <c r="L438" s="290"/>
      <c r="M438" s="290"/>
      <c r="N438" s="290"/>
      <c r="O438" s="290"/>
      <c r="P438" s="290"/>
      <c r="Q438" s="290"/>
      <c r="R438" s="290"/>
      <c r="S438" s="290"/>
      <c r="T438" s="290"/>
      <c r="U438" s="290"/>
      <c r="V438" s="290"/>
      <c r="W438" s="290"/>
      <c r="X438" s="290"/>
      <c r="Y438" s="290"/>
      <c r="Z438" s="290"/>
      <c r="AA438" s="290"/>
      <c r="AB438" s="290"/>
      <c r="AC438" s="290"/>
      <c r="AD438" s="290"/>
      <c r="AE438" s="290"/>
      <c r="AF438" s="290"/>
      <c r="AG438" s="290"/>
      <c r="AH438" s="290"/>
      <c r="AI438" s="290"/>
      <c r="AJ438" s="290"/>
      <c r="AK438" s="290"/>
      <c r="AL438" s="290"/>
      <c r="AM438" s="290"/>
      <c r="AN438" s="290"/>
      <c r="AO438" s="290"/>
      <c r="AP438" s="290"/>
      <c r="AQ438" s="290"/>
      <c r="AR438" s="290"/>
      <c r="AS438" s="290"/>
      <c r="AT438" s="290"/>
      <c r="AU438" s="290"/>
      <c r="AV438" s="290"/>
      <c r="AW438" s="290"/>
      <c r="AX438" s="290"/>
      <c r="AY438" s="290"/>
      <c r="AZ438" s="290"/>
      <c r="BA438" s="290"/>
      <c r="BB438" s="290"/>
      <c r="BC438" s="290"/>
      <c r="BD438" s="290"/>
      <c r="BE438" s="290"/>
      <c r="BF438" s="290"/>
      <c r="BG438" s="290"/>
      <c r="BH438" s="290"/>
      <c r="BI438" s="290"/>
      <c r="BJ438" s="290"/>
      <c r="BK438" s="290"/>
      <c r="BL438" s="290"/>
      <c r="BM438" s="290"/>
      <c r="BN438" s="290"/>
      <c r="BO438" s="290"/>
      <c r="BP438" s="290"/>
      <c r="BQ438" s="290"/>
      <c r="BR438" s="290"/>
      <c r="BS438" s="290"/>
      <c r="BT438" s="290"/>
      <c r="BU438" s="290"/>
      <c r="BV438" s="290"/>
      <c r="BW438" s="290"/>
      <c r="BX438" s="290"/>
      <c r="BY438" s="290"/>
      <c r="BZ438" s="290"/>
      <c r="CA438" s="290"/>
      <c r="CB438" s="290"/>
      <c r="CC438" s="290"/>
      <c r="CD438" s="290"/>
    </row>
    <row r="439" spans="1:82" ht="15.75" customHeight="1">
      <c r="A439" s="290"/>
      <c r="B439" s="290"/>
      <c r="C439" s="290"/>
      <c r="D439" s="290"/>
      <c r="E439" s="290"/>
      <c r="F439" s="290"/>
      <c r="G439" s="290"/>
      <c r="H439" s="370"/>
      <c r="I439" s="370"/>
      <c r="J439" s="290"/>
      <c r="K439" s="290"/>
      <c r="L439" s="290"/>
      <c r="M439" s="290"/>
      <c r="N439" s="290"/>
      <c r="O439" s="290"/>
      <c r="P439" s="290"/>
      <c r="Q439" s="290"/>
      <c r="R439" s="290"/>
      <c r="S439" s="290"/>
      <c r="T439" s="290"/>
      <c r="U439" s="290"/>
      <c r="V439" s="290"/>
      <c r="W439" s="290"/>
      <c r="X439" s="290"/>
      <c r="Y439" s="290"/>
      <c r="Z439" s="290"/>
      <c r="AA439" s="290"/>
      <c r="AB439" s="290"/>
      <c r="AC439" s="290"/>
      <c r="AD439" s="290"/>
      <c r="AE439" s="290"/>
      <c r="AF439" s="290"/>
      <c r="AG439" s="290"/>
      <c r="AH439" s="290"/>
      <c r="AI439" s="290"/>
      <c r="AJ439" s="290"/>
      <c r="AK439" s="290"/>
      <c r="AL439" s="290"/>
      <c r="AM439" s="290"/>
      <c r="AN439" s="290"/>
      <c r="AO439" s="290"/>
      <c r="AP439" s="290"/>
      <c r="AQ439" s="290"/>
      <c r="AR439" s="290"/>
      <c r="AS439" s="290"/>
      <c r="AT439" s="290"/>
      <c r="AU439" s="290"/>
      <c r="AV439" s="290"/>
      <c r="AW439" s="290"/>
      <c r="AX439" s="290"/>
      <c r="AY439" s="290"/>
      <c r="AZ439" s="290"/>
      <c r="BA439" s="290"/>
      <c r="BB439" s="290"/>
      <c r="BC439" s="290"/>
      <c r="BD439" s="290"/>
      <c r="BE439" s="290"/>
      <c r="BF439" s="290"/>
      <c r="BG439" s="290"/>
      <c r="BH439" s="290"/>
      <c r="BI439" s="290"/>
      <c r="BJ439" s="290"/>
      <c r="BK439" s="290"/>
      <c r="BL439" s="290"/>
      <c r="BM439" s="290"/>
      <c r="BN439" s="290"/>
      <c r="BO439" s="290"/>
      <c r="BP439" s="290"/>
      <c r="BQ439" s="290"/>
      <c r="BR439" s="290"/>
      <c r="BS439" s="290"/>
      <c r="BT439" s="290"/>
      <c r="BU439" s="290"/>
      <c r="BV439" s="290"/>
      <c r="BW439" s="290"/>
      <c r="BX439" s="290"/>
      <c r="BY439" s="290"/>
      <c r="BZ439" s="290"/>
      <c r="CA439" s="290"/>
      <c r="CB439" s="290"/>
      <c r="CC439" s="290"/>
      <c r="CD439" s="290"/>
    </row>
    <row r="440" spans="1:82" ht="15.75" customHeight="1">
      <c r="A440" s="290"/>
      <c r="B440" s="290"/>
      <c r="C440" s="290"/>
      <c r="D440" s="290"/>
      <c r="E440" s="290"/>
      <c r="F440" s="290"/>
      <c r="G440" s="290"/>
      <c r="H440" s="370"/>
      <c r="I440" s="370"/>
      <c r="J440" s="290"/>
      <c r="K440" s="290"/>
      <c r="L440" s="290"/>
      <c r="M440" s="290"/>
      <c r="N440" s="290"/>
      <c r="O440" s="290"/>
      <c r="P440" s="290"/>
      <c r="Q440" s="290"/>
      <c r="R440" s="290"/>
      <c r="S440" s="290"/>
      <c r="T440" s="290"/>
      <c r="U440" s="290"/>
      <c r="V440" s="290"/>
      <c r="W440" s="290"/>
      <c r="X440" s="290"/>
      <c r="Y440" s="290"/>
      <c r="Z440" s="290"/>
      <c r="AA440" s="290"/>
      <c r="AB440" s="290"/>
      <c r="AC440" s="290"/>
      <c r="AD440" s="290"/>
      <c r="AE440" s="290"/>
      <c r="AF440" s="290"/>
      <c r="AG440" s="290"/>
      <c r="AH440" s="290"/>
      <c r="AI440" s="290"/>
      <c r="AJ440" s="290"/>
      <c r="AK440" s="290"/>
      <c r="AL440" s="290"/>
      <c r="AM440" s="290"/>
      <c r="AN440" s="290"/>
      <c r="AO440" s="290"/>
      <c r="AP440" s="290"/>
      <c r="AQ440" s="290"/>
      <c r="AR440" s="290"/>
      <c r="AS440" s="290"/>
      <c r="AT440" s="290"/>
      <c r="AU440" s="290"/>
      <c r="AV440" s="290"/>
      <c r="AW440" s="290"/>
      <c r="AX440" s="290"/>
      <c r="AY440" s="290"/>
      <c r="AZ440" s="290"/>
      <c r="BA440" s="290"/>
      <c r="BB440" s="290"/>
      <c r="BC440" s="290"/>
      <c r="BD440" s="290"/>
      <c r="BE440" s="290"/>
      <c r="BF440" s="290"/>
      <c r="BG440" s="290"/>
      <c r="BH440" s="290"/>
      <c r="BI440" s="290"/>
      <c r="BJ440" s="290"/>
      <c r="BK440" s="290"/>
      <c r="BL440" s="290"/>
      <c r="BM440" s="290"/>
      <c r="BN440" s="290"/>
      <c r="BO440" s="290"/>
      <c r="BP440" s="290"/>
      <c r="BQ440" s="290"/>
      <c r="BR440" s="290"/>
      <c r="BS440" s="290"/>
      <c r="BT440" s="290"/>
      <c r="BU440" s="290"/>
      <c r="BV440" s="290"/>
      <c r="BW440" s="290"/>
      <c r="BX440" s="290"/>
      <c r="BY440" s="290"/>
      <c r="BZ440" s="290"/>
      <c r="CA440" s="290"/>
      <c r="CB440" s="290"/>
      <c r="CC440" s="290"/>
      <c r="CD440" s="290"/>
    </row>
    <row r="441" spans="1:82" ht="15.75" customHeight="1">
      <c r="A441" s="290"/>
      <c r="B441" s="290"/>
      <c r="C441" s="290"/>
      <c r="D441" s="290"/>
      <c r="E441" s="290"/>
      <c r="F441" s="290"/>
      <c r="G441" s="290"/>
      <c r="H441" s="370"/>
      <c r="I441" s="370"/>
      <c r="J441" s="290"/>
      <c r="K441" s="290"/>
      <c r="L441" s="290"/>
      <c r="M441" s="290"/>
      <c r="N441" s="290"/>
      <c r="O441" s="290"/>
      <c r="P441" s="290"/>
      <c r="Q441" s="290"/>
      <c r="R441" s="290"/>
      <c r="S441" s="290"/>
      <c r="T441" s="290"/>
      <c r="U441" s="290"/>
      <c r="V441" s="290"/>
      <c r="W441" s="290"/>
      <c r="X441" s="290"/>
      <c r="Y441" s="290"/>
      <c r="Z441" s="290"/>
      <c r="AA441" s="290"/>
      <c r="AB441" s="290"/>
      <c r="AC441" s="290"/>
      <c r="AD441" s="290"/>
      <c r="AE441" s="290"/>
      <c r="AF441" s="290"/>
      <c r="AG441" s="290"/>
      <c r="AH441" s="290"/>
      <c r="AI441" s="290"/>
      <c r="AJ441" s="290"/>
      <c r="AK441" s="290"/>
      <c r="AL441" s="290"/>
      <c r="AM441" s="290"/>
      <c r="AN441" s="290"/>
      <c r="AO441" s="290"/>
      <c r="AP441" s="290"/>
      <c r="AQ441" s="290"/>
      <c r="AR441" s="290"/>
      <c r="AS441" s="290"/>
      <c r="AT441" s="290"/>
      <c r="AU441" s="290"/>
      <c r="AV441" s="290"/>
      <c r="AW441" s="290"/>
      <c r="AX441" s="290"/>
      <c r="AY441" s="290"/>
      <c r="AZ441" s="290"/>
      <c r="BA441" s="290"/>
      <c r="BB441" s="290"/>
      <c r="BC441" s="290"/>
      <c r="BD441" s="290"/>
      <c r="BE441" s="290"/>
      <c r="BF441" s="290"/>
      <c r="BG441" s="290"/>
      <c r="BH441" s="290"/>
      <c r="BI441" s="290"/>
      <c r="BJ441" s="290"/>
      <c r="BK441" s="290"/>
      <c r="BL441" s="290"/>
      <c r="BM441" s="290"/>
      <c r="BN441" s="290"/>
      <c r="BO441" s="290"/>
      <c r="BP441" s="290"/>
      <c r="BQ441" s="290"/>
      <c r="BR441" s="290"/>
      <c r="BS441" s="290"/>
      <c r="BT441" s="290"/>
      <c r="BU441" s="290"/>
      <c r="BV441" s="290"/>
      <c r="BW441" s="290"/>
      <c r="BX441" s="290"/>
      <c r="BY441" s="290"/>
      <c r="BZ441" s="290"/>
      <c r="CA441" s="290"/>
      <c r="CB441" s="290"/>
      <c r="CC441" s="290"/>
      <c r="CD441" s="290"/>
    </row>
    <row r="442" spans="1:82" ht="15.75" customHeight="1">
      <c r="A442" s="290"/>
      <c r="B442" s="290"/>
      <c r="C442" s="290"/>
      <c r="D442" s="290"/>
      <c r="E442" s="290"/>
      <c r="F442" s="290"/>
      <c r="G442" s="290"/>
      <c r="H442" s="370"/>
      <c r="I442" s="370"/>
      <c r="J442" s="290"/>
      <c r="K442" s="290"/>
      <c r="L442" s="290"/>
      <c r="M442" s="290"/>
      <c r="N442" s="290"/>
      <c r="O442" s="290"/>
      <c r="P442" s="290"/>
      <c r="Q442" s="290"/>
      <c r="R442" s="290"/>
      <c r="S442" s="290"/>
      <c r="T442" s="290"/>
      <c r="U442" s="290"/>
      <c r="V442" s="290"/>
      <c r="W442" s="290"/>
      <c r="X442" s="290"/>
      <c r="Y442" s="290"/>
      <c r="Z442" s="290"/>
      <c r="AA442" s="290"/>
      <c r="AB442" s="290"/>
      <c r="AC442" s="290"/>
      <c r="AD442" s="290"/>
      <c r="AE442" s="290"/>
      <c r="AF442" s="290"/>
      <c r="AG442" s="290"/>
      <c r="AH442" s="290"/>
      <c r="AI442" s="290"/>
      <c r="AJ442" s="290"/>
      <c r="AK442" s="290"/>
      <c r="AL442" s="290"/>
      <c r="AM442" s="290"/>
      <c r="AN442" s="290"/>
      <c r="AO442" s="290"/>
      <c r="AP442" s="290"/>
      <c r="AQ442" s="290"/>
      <c r="AR442" s="290"/>
      <c r="AS442" s="290"/>
      <c r="AT442" s="290"/>
      <c r="AU442" s="290"/>
      <c r="AV442" s="290"/>
      <c r="AW442" s="290"/>
      <c r="AX442" s="290"/>
      <c r="AY442" s="290"/>
      <c r="AZ442" s="290"/>
      <c r="BA442" s="290"/>
      <c r="BB442" s="290"/>
      <c r="BC442" s="290"/>
      <c r="BD442" s="290"/>
      <c r="BE442" s="290"/>
      <c r="BF442" s="290"/>
      <c r="BG442" s="290"/>
      <c r="BH442" s="290"/>
      <c r="BI442" s="290"/>
      <c r="BJ442" s="290"/>
      <c r="BK442" s="290"/>
      <c r="BL442" s="290"/>
      <c r="BM442" s="290"/>
      <c r="BN442" s="290"/>
      <c r="BO442" s="290"/>
      <c r="BP442" s="290"/>
      <c r="BQ442" s="290"/>
      <c r="BR442" s="290"/>
      <c r="BS442" s="290"/>
      <c r="BT442" s="290"/>
      <c r="BU442" s="290"/>
      <c r="BV442" s="290"/>
      <c r="BW442" s="290"/>
      <c r="BX442" s="290"/>
      <c r="BY442" s="290"/>
      <c r="BZ442" s="290"/>
      <c r="CA442" s="290"/>
      <c r="CB442" s="290"/>
      <c r="CC442" s="290"/>
      <c r="CD442" s="290"/>
    </row>
    <row r="443" spans="1:82" ht="15.75" customHeight="1">
      <c r="A443" s="290"/>
      <c r="B443" s="290"/>
      <c r="C443" s="290"/>
      <c r="D443" s="290"/>
      <c r="E443" s="290"/>
      <c r="F443" s="290"/>
      <c r="G443" s="290"/>
      <c r="H443" s="370"/>
      <c r="I443" s="370"/>
      <c r="J443" s="290"/>
      <c r="K443" s="290"/>
      <c r="L443" s="290"/>
      <c r="M443" s="290"/>
      <c r="N443" s="290"/>
      <c r="O443" s="290"/>
      <c r="P443" s="290"/>
      <c r="Q443" s="290"/>
      <c r="R443" s="290"/>
      <c r="S443" s="290"/>
      <c r="T443" s="290"/>
      <c r="U443" s="290"/>
      <c r="V443" s="290"/>
      <c r="W443" s="290"/>
      <c r="X443" s="290"/>
      <c r="Y443" s="290"/>
      <c r="Z443" s="290"/>
      <c r="AA443" s="290"/>
      <c r="AB443" s="290"/>
      <c r="AC443" s="290"/>
      <c r="AD443" s="290"/>
      <c r="AE443" s="290"/>
      <c r="AF443" s="290"/>
      <c r="AG443" s="290"/>
      <c r="AH443" s="290"/>
      <c r="AI443" s="290"/>
      <c r="AJ443" s="290"/>
      <c r="AK443" s="290"/>
      <c r="AL443" s="290"/>
      <c r="AM443" s="290"/>
      <c r="AN443" s="290"/>
      <c r="AO443" s="290"/>
      <c r="AP443" s="290"/>
      <c r="AQ443" s="290"/>
      <c r="AR443" s="290"/>
      <c r="AS443" s="290"/>
      <c r="AT443" s="290"/>
      <c r="AU443" s="290"/>
      <c r="AV443" s="290"/>
      <c r="AW443" s="290"/>
      <c r="AX443" s="290"/>
      <c r="AY443" s="290"/>
      <c r="AZ443" s="290"/>
      <c r="BA443" s="290"/>
      <c r="BB443" s="290"/>
      <c r="BC443" s="290"/>
      <c r="BD443" s="290"/>
      <c r="BE443" s="290"/>
      <c r="BF443" s="290"/>
      <c r="BG443" s="290"/>
      <c r="BH443" s="290"/>
      <c r="BI443" s="290"/>
      <c r="BJ443" s="290"/>
      <c r="BK443" s="290"/>
      <c r="BL443" s="290"/>
      <c r="BM443" s="290"/>
      <c r="BN443" s="290"/>
      <c r="BO443" s="290"/>
      <c r="BP443" s="290"/>
      <c r="BQ443" s="290"/>
      <c r="BR443" s="290"/>
      <c r="BS443" s="290"/>
      <c r="BT443" s="290"/>
      <c r="BU443" s="290"/>
      <c r="BV443" s="290"/>
      <c r="BW443" s="290"/>
      <c r="BX443" s="290"/>
      <c r="BY443" s="290"/>
      <c r="BZ443" s="290"/>
      <c r="CA443" s="290"/>
      <c r="CB443" s="290"/>
      <c r="CC443" s="290"/>
      <c r="CD443" s="290"/>
    </row>
    <row r="444" spans="1:82" ht="15.75" customHeight="1">
      <c r="A444" s="290"/>
      <c r="B444" s="290"/>
      <c r="C444" s="290"/>
      <c r="D444" s="290"/>
      <c r="E444" s="290"/>
      <c r="F444" s="290"/>
      <c r="G444" s="290"/>
      <c r="H444" s="370"/>
      <c r="I444" s="370"/>
      <c r="J444" s="290"/>
      <c r="K444" s="290"/>
      <c r="L444" s="290"/>
      <c r="M444" s="290"/>
      <c r="N444" s="290"/>
      <c r="O444" s="290"/>
      <c r="P444" s="290"/>
      <c r="Q444" s="290"/>
      <c r="R444" s="290"/>
      <c r="S444" s="290"/>
      <c r="T444" s="290"/>
      <c r="U444" s="290"/>
      <c r="V444" s="290"/>
      <c r="W444" s="290"/>
      <c r="X444" s="290"/>
      <c r="Y444" s="290"/>
      <c r="Z444" s="290"/>
      <c r="AA444" s="290"/>
      <c r="AB444" s="290"/>
      <c r="AC444" s="290"/>
      <c r="AD444" s="290"/>
      <c r="AE444" s="290"/>
      <c r="AF444" s="290"/>
      <c r="AG444" s="290"/>
      <c r="AH444" s="290"/>
      <c r="AI444" s="290"/>
      <c r="AJ444" s="290"/>
      <c r="AK444" s="290"/>
      <c r="AL444" s="290"/>
      <c r="AM444" s="290"/>
      <c r="AN444" s="290"/>
      <c r="AO444" s="290"/>
      <c r="AP444" s="290"/>
      <c r="AQ444" s="290"/>
      <c r="AR444" s="290"/>
      <c r="AS444" s="290"/>
      <c r="AT444" s="290"/>
      <c r="AU444" s="290"/>
      <c r="AV444" s="290"/>
      <c r="AW444" s="290"/>
      <c r="AX444" s="290"/>
      <c r="AY444" s="290"/>
      <c r="AZ444" s="290"/>
      <c r="BA444" s="290"/>
      <c r="BB444" s="290"/>
      <c r="BC444" s="290"/>
      <c r="BD444" s="290"/>
      <c r="BE444" s="290"/>
      <c r="BF444" s="290"/>
      <c r="BG444" s="290"/>
      <c r="BH444" s="290"/>
      <c r="BI444" s="290"/>
      <c r="BJ444" s="290"/>
      <c r="BK444" s="290"/>
      <c r="BL444" s="290"/>
      <c r="BM444" s="290"/>
      <c r="BN444" s="290"/>
      <c r="BO444" s="290"/>
      <c r="BP444" s="290"/>
      <c r="BQ444" s="290"/>
      <c r="BR444" s="290"/>
      <c r="BS444" s="290"/>
      <c r="BT444" s="290"/>
      <c r="BU444" s="290"/>
      <c r="BV444" s="290"/>
      <c r="BW444" s="290"/>
      <c r="BX444" s="290"/>
      <c r="BY444" s="290"/>
      <c r="BZ444" s="290"/>
      <c r="CA444" s="290"/>
      <c r="CB444" s="290"/>
      <c r="CC444" s="290"/>
      <c r="CD444" s="290"/>
    </row>
    <row r="445" spans="1:82" ht="15.75" customHeight="1">
      <c r="A445" s="290"/>
      <c r="B445" s="290"/>
      <c r="C445" s="290"/>
      <c r="D445" s="290"/>
      <c r="E445" s="290"/>
      <c r="F445" s="290"/>
      <c r="G445" s="290"/>
      <c r="H445" s="370"/>
      <c r="I445" s="370"/>
      <c r="J445" s="290"/>
      <c r="K445" s="290"/>
      <c r="L445" s="290"/>
      <c r="M445" s="290"/>
      <c r="N445" s="290"/>
      <c r="O445" s="290"/>
      <c r="P445" s="290"/>
      <c r="Q445" s="290"/>
      <c r="R445" s="290"/>
      <c r="S445" s="290"/>
      <c r="T445" s="290"/>
      <c r="U445" s="290"/>
      <c r="V445" s="290"/>
      <c r="W445" s="290"/>
      <c r="X445" s="290"/>
      <c r="Y445" s="290"/>
      <c r="Z445" s="290"/>
      <c r="AA445" s="290"/>
      <c r="AB445" s="290"/>
      <c r="AC445" s="290"/>
      <c r="AD445" s="290"/>
      <c r="AE445" s="290"/>
      <c r="AF445" s="290"/>
      <c r="AG445" s="290"/>
      <c r="AH445" s="290"/>
      <c r="AI445" s="290"/>
      <c r="AJ445" s="290"/>
      <c r="AK445" s="290"/>
      <c r="AL445" s="290"/>
      <c r="AM445" s="290"/>
      <c r="AN445" s="290"/>
      <c r="AO445" s="290"/>
      <c r="AP445" s="290"/>
      <c r="AQ445" s="290"/>
      <c r="AR445" s="290"/>
      <c r="AS445" s="290"/>
      <c r="AT445" s="290"/>
      <c r="AU445" s="290"/>
      <c r="AV445" s="290"/>
      <c r="AW445" s="290"/>
      <c r="AX445" s="290"/>
      <c r="AY445" s="290"/>
      <c r="AZ445" s="290"/>
      <c r="BA445" s="290"/>
      <c r="BB445" s="290"/>
      <c r="BC445" s="290"/>
      <c r="BD445" s="290"/>
      <c r="BE445" s="290"/>
      <c r="BF445" s="290"/>
      <c r="BG445" s="290"/>
      <c r="BH445" s="290"/>
      <c r="BI445" s="290"/>
      <c r="BJ445" s="290"/>
      <c r="BK445" s="290"/>
      <c r="BL445" s="290"/>
      <c r="BM445" s="290"/>
      <c r="BN445" s="290"/>
      <c r="BO445" s="290"/>
      <c r="BP445" s="290"/>
      <c r="BQ445" s="290"/>
      <c r="BR445" s="290"/>
      <c r="BS445" s="290"/>
      <c r="BT445" s="290"/>
      <c r="BU445" s="290"/>
      <c r="BV445" s="290"/>
      <c r="BW445" s="290"/>
      <c r="BX445" s="290"/>
      <c r="BY445" s="290"/>
      <c r="BZ445" s="290"/>
      <c r="CA445" s="290"/>
      <c r="CB445" s="290"/>
      <c r="CC445" s="290"/>
      <c r="CD445" s="290"/>
    </row>
    <row r="446" spans="1:82" ht="15.75" customHeight="1">
      <c r="A446" s="290"/>
      <c r="B446" s="290"/>
      <c r="C446" s="290"/>
      <c r="D446" s="290"/>
      <c r="E446" s="290"/>
      <c r="F446" s="290"/>
      <c r="G446" s="290"/>
      <c r="H446" s="370"/>
      <c r="I446" s="370"/>
      <c r="J446" s="290"/>
      <c r="K446" s="290"/>
      <c r="L446" s="290"/>
      <c r="M446" s="290"/>
      <c r="N446" s="290"/>
      <c r="O446" s="290"/>
      <c r="P446" s="290"/>
      <c r="Q446" s="290"/>
      <c r="R446" s="290"/>
      <c r="S446" s="290"/>
      <c r="T446" s="290"/>
      <c r="U446" s="290"/>
      <c r="V446" s="290"/>
      <c r="W446" s="290"/>
      <c r="X446" s="290"/>
      <c r="Y446" s="290"/>
      <c r="Z446" s="290"/>
      <c r="AA446" s="290"/>
      <c r="AB446" s="290"/>
      <c r="AC446" s="290"/>
      <c r="AD446" s="290"/>
      <c r="AE446" s="290"/>
      <c r="AF446" s="290"/>
      <c r="AG446" s="290"/>
      <c r="AH446" s="290"/>
      <c r="AI446" s="290"/>
      <c r="AJ446" s="290"/>
      <c r="AK446" s="290"/>
      <c r="AL446" s="290"/>
      <c r="AM446" s="290"/>
      <c r="AN446" s="290"/>
      <c r="AO446" s="290"/>
      <c r="AP446" s="290"/>
      <c r="AQ446" s="290"/>
      <c r="AR446" s="290"/>
      <c r="AS446" s="290"/>
      <c r="AT446" s="290"/>
      <c r="AU446" s="290"/>
      <c r="AV446" s="290"/>
      <c r="AW446" s="290"/>
      <c r="AX446" s="290"/>
      <c r="AY446" s="290"/>
      <c r="AZ446" s="290"/>
      <c r="BA446" s="290"/>
      <c r="BB446" s="290"/>
      <c r="BC446" s="290"/>
      <c r="BD446" s="290"/>
      <c r="BE446" s="290"/>
      <c r="BF446" s="290"/>
      <c r="BG446" s="290"/>
      <c r="BH446" s="290"/>
      <c r="BI446" s="290"/>
      <c r="BJ446" s="290"/>
      <c r="BK446" s="290"/>
      <c r="BL446" s="290"/>
      <c r="BM446" s="290"/>
      <c r="BN446" s="290"/>
      <c r="BO446" s="290"/>
      <c r="BP446" s="290"/>
      <c r="BQ446" s="290"/>
      <c r="BR446" s="290"/>
      <c r="BS446" s="290"/>
      <c r="BT446" s="290"/>
      <c r="BU446" s="290"/>
      <c r="BV446" s="290"/>
      <c r="BW446" s="290"/>
      <c r="BX446" s="290"/>
      <c r="BY446" s="290"/>
      <c r="BZ446" s="290"/>
      <c r="CA446" s="290"/>
      <c r="CB446" s="290"/>
      <c r="CC446" s="290"/>
      <c r="CD446" s="290"/>
    </row>
    <row r="447" spans="1:82" ht="15.75" customHeight="1">
      <c r="A447" s="290"/>
      <c r="B447" s="290"/>
      <c r="C447" s="290"/>
      <c r="D447" s="290"/>
      <c r="E447" s="290"/>
      <c r="F447" s="290"/>
      <c r="G447" s="290"/>
      <c r="H447" s="370"/>
      <c r="I447" s="370"/>
      <c r="J447" s="290"/>
      <c r="K447" s="290"/>
      <c r="L447" s="290"/>
      <c r="M447" s="290"/>
      <c r="N447" s="290"/>
      <c r="O447" s="290"/>
      <c r="P447" s="290"/>
      <c r="Q447" s="290"/>
      <c r="R447" s="290"/>
      <c r="S447" s="290"/>
      <c r="T447" s="290"/>
      <c r="U447" s="290"/>
      <c r="V447" s="290"/>
      <c r="W447" s="290"/>
      <c r="X447" s="290"/>
      <c r="Y447" s="290"/>
      <c r="Z447" s="290"/>
      <c r="AA447" s="290"/>
      <c r="AB447" s="290"/>
      <c r="AC447" s="290"/>
      <c r="AD447" s="290"/>
      <c r="AE447" s="290"/>
      <c r="AF447" s="290"/>
      <c r="AG447" s="290"/>
      <c r="AH447" s="290"/>
      <c r="AI447" s="290"/>
      <c r="AJ447" s="290"/>
      <c r="AK447" s="290"/>
      <c r="AL447" s="290"/>
      <c r="AM447" s="290"/>
      <c r="AN447" s="290"/>
      <c r="AO447" s="290"/>
      <c r="AP447" s="290"/>
      <c r="AQ447" s="290"/>
      <c r="AR447" s="290"/>
      <c r="AS447" s="290"/>
      <c r="AT447" s="290"/>
      <c r="AU447" s="290"/>
      <c r="AV447" s="290"/>
      <c r="AW447" s="290"/>
      <c r="AX447" s="290"/>
      <c r="AY447" s="290"/>
      <c r="AZ447" s="290"/>
      <c r="BA447" s="290"/>
      <c r="BB447" s="290"/>
      <c r="BC447" s="290"/>
      <c r="BD447" s="290"/>
      <c r="BE447" s="290"/>
      <c r="BF447" s="290"/>
      <c r="BG447" s="290"/>
      <c r="BH447" s="290"/>
      <c r="BI447" s="290"/>
      <c r="BJ447" s="290"/>
      <c r="BK447" s="290"/>
      <c r="BL447" s="290"/>
      <c r="BM447" s="290"/>
      <c r="BN447" s="290"/>
      <c r="BO447" s="290"/>
      <c r="BP447" s="290"/>
      <c r="BQ447" s="290"/>
      <c r="BR447" s="290"/>
      <c r="BS447" s="290"/>
      <c r="BT447" s="290"/>
      <c r="BU447" s="290"/>
      <c r="BV447" s="290"/>
      <c r="BW447" s="290"/>
      <c r="BX447" s="290"/>
      <c r="BY447" s="290"/>
      <c r="BZ447" s="290"/>
      <c r="CA447" s="290"/>
      <c r="CB447" s="290"/>
      <c r="CC447" s="290"/>
      <c r="CD447" s="290"/>
    </row>
    <row r="448" spans="1:82" ht="15.75" customHeight="1">
      <c r="A448" s="290"/>
      <c r="B448" s="290"/>
      <c r="C448" s="290"/>
      <c r="D448" s="290"/>
      <c r="E448" s="290"/>
      <c r="F448" s="290"/>
      <c r="G448" s="290"/>
      <c r="H448" s="370"/>
      <c r="I448" s="370"/>
      <c r="J448" s="290"/>
      <c r="K448" s="290"/>
      <c r="L448" s="290"/>
      <c r="M448" s="290"/>
      <c r="N448" s="290"/>
      <c r="O448" s="290"/>
      <c r="P448" s="290"/>
      <c r="Q448" s="290"/>
      <c r="R448" s="290"/>
      <c r="S448" s="290"/>
      <c r="T448" s="290"/>
      <c r="U448" s="290"/>
      <c r="V448" s="290"/>
      <c r="W448" s="290"/>
      <c r="X448" s="290"/>
      <c r="Y448" s="290"/>
      <c r="Z448" s="290"/>
      <c r="AA448" s="290"/>
      <c r="AB448" s="290"/>
      <c r="AC448" s="290"/>
      <c r="AD448" s="290"/>
      <c r="AE448" s="290"/>
      <c r="AF448" s="290"/>
      <c r="AG448" s="290"/>
      <c r="AH448" s="290"/>
      <c r="AI448" s="290"/>
      <c r="AJ448" s="290"/>
      <c r="AK448" s="290"/>
      <c r="AL448" s="290"/>
      <c r="AM448" s="290"/>
      <c r="AN448" s="290"/>
      <c r="AO448" s="290"/>
      <c r="AP448" s="290"/>
      <c r="AQ448" s="290"/>
      <c r="AR448" s="290"/>
      <c r="AS448" s="290"/>
      <c r="AT448" s="290"/>
      <c r="AU448" s="290"/>
      <c r="AV448" s="290"/>
      <c r="AW448" s="290"/>
      <c r="AX448" s="290"/>
      <c r="AY448" s="290"/>
      <c r="AZ448" s="290"/>
      <c r="BA448" s="290"/>
      <c r="BB448" s="290"/>
      <c r="BC448" s="290"/>
      <c r="BD448" s="290"/>
      <c r="BE448" s="290"/>
      <c r="BF448" s="290"/>
      <c r="BG448" s="290"/>
      <c r="BH448" s="290"/>
      <c r="BI448" s="290"/>
      <c r="BJ448" s="290"/>
      <c r="BK448" s="290"/>
      <c r="BL448" s="290"/>
      <c r="BM448" s="290"/>
      <c r="BN448" s="290"/>
      <c r="BO448" s="290"/>
      <c r="BP448" s="290"/>
      <c r="BQ448" s="290"/>
      <c r="BR448" s="290"/>
      <c r="BS448" s="290"/>
      <c r="BT448" s="290"/>
      <c r="BU448" s="290"/>
      <c r="BV448" s="290"/>
      <c r="BW448" s="290"/>
      <c r="BX448" s="290"/>
      <c r="BY448" s="290"/>
      <c r="BZ448" s="290"/>
      <c r="CA448" s="290"/>
      <c r="CB448" s="290"/>
      <c r="CC448" s="290"/>
      <c r="CD448" s="290"/>
    </row>
    <row r="449" spans="1:82" ht="15.75" customHeight="1">
      <c r="A449" s="290"/>
      <c r="B449" s="290"/>
      <c r="C449" s="290"/>
      <c r="D449" s="290"/>
      <c r="E449" s="290"/>
      <c r="F449" s="290"/>
      <c r="G449" s="290"/>
      <c r="H449" s="370"/>
      <c r="I449" s="370"/>
      <c r="J449" s="290"/>
      <c r="K449" s="290"/>
      <c r="L449" s="290"/>
      <c r="M449" s="290"/>
      <c r="N449" s="290"/>
      <c r="O449" s="290"/>
      <c r="P449" s="290"/>
      <c r="Q449" s="290"/>
      <c r="R449" s="290"/>
      <c r="S449" s="290"/>
      <c r="T449" s="290"/>
      <c r="U449" s="290"/>
      <c r="V449" s="290"/>
      <c r="W449" s="290"/>
      <c r="X449" s="290"/>
      <c r="Y449" s="290"/>
      <c r="Z449" s="290"/>
      <c r="AA449" s="290"/>
      <c r="AB449" s="290"/>
      <c r="AC449" s="290"/>
      <c r="AD449" s="290"/>
      <c r="AE449" s="290"/>
      <c r="AF449" s="290"/>
      <c r="AG449" s="290"/>
      <c r="AH449" s="290"/>
      <c r="AI449" s="290"/>
      <c r="AJ449" s="290"/>
      <c r="AK449" s="290"/>
      <c r="AL449" s="290"/>
      <c r="AM449" s="290"/>
      <c r="AN449" s="290"/>
      <c r="AO449" s="290"/>
      <c r="AP449" s="290"/>
      <c r="AQ449" s="290"/>
      <c r="AR449" s="290"/>
      <c r="AS449" s="290"/>
      <c r="AT449" s="290"/>
      <c r="AU449" s="290"/>
      <c r="AV449" s="290"/>
      <c r="AW449" s="290"/>
      <c r="AX449" s="290"/>
      <c r="AY449" s="290"/>
      <c r="AZ449" s="290"/>
      <c r="BA449" s="290"/>
      <c r="BB449" s="290"/>
      <c r="BC449" s="290"/>
      <c r="BD449" s="290"/>
      <c r="BE449" s="290"/>
      <c r="BF449" s="290"/>
      <c r="BG449" s="290"/>
      <c r="BH449" s="290"/>
      <c r="BI449" s="290"/>
      <c r="BJ449" s="290"/>
      <c r="BK449" s="290"/>
      <c r="BL449" s="290"/>
      <c r="BM449" s="290"/>
      <c r="BN449" s="290"/>
      <c r="BO449" s="290"/>
      <c r="BP449" s="290"/>
      <c r="BQ449" s="290"/>
      <c r="BR449" s="290"/>
      <c r="BS449" s="290"/>
      <c r="BT449" s="290"/>
      <c r="BU449" s="290"/>
      <c r="BV449" s="290"/>
      <c r="BW449" s="290"/>
      <c r="BX449" s="290"/>
      <c r="BY449" s="290"/>
      <c r="BZ449" s="290"/>
      <c r="CA449" s="290"/>
      <c r="CB449" s="290"/>
      <c r="CC449" s="290"/>
      <c r="CD449" s="290"/>
    </row>
    <row r="450" spans="1:82" ht="15.75" customHeight="1">
      <c r="A450" s="290"/>
      <c r="B450" s="290"/>
      <c r="C450" s="290"/>
      <c r="D450" s="290"/>
      <c r="E450" s="290"/>
      <c r="F450" s="290"/>
      <c r="G450" s="290"/>
      <c r="H450" s="370"/>
      <c r="I450" s="370"/>
      <c r="J450" s="290"/>
      <c r="K450" s="290"/>
      <c r="L450" s="290"/>
      <c r="M450" s="290"/>
      <c r="N450" s="290"/>
      <c r="O450" s="290"/>
      <c r="P450" s="290"/>
      <c r="Q450" s="290"/>
      <c r="R450" s="290"/>
      <c r="S450" s="290"/>
      <c r="T450" s="290"/>
      <c r="U450" s="290"/>
      <c r="V450" s="290"/>
      <c r="W450" s="290"/>
      <c r="X450" s="290"/>
      <c r="Y450" s="290"/>
      <c r="Z450" s="290"/>
      <c r="AA450" s="290"/>
      <c r="AB450" s="290"/>
      <c r="AC450" s="290"/>
      <c r="AD450" s="290"/>
      <c r="AE450" s="290"/>
      <c r="AF450" s="290"/>
      <c r="AG450" s="290"/>
      <c r="AH450" s="290"/>
      <c r="AI450" s="290"/>
      <c r="AJ450" s="290"/>
      <c r="AK450" s="290"/>
      <c r="AL450" s="290"/>
      <c r="AM450" s="290"/>
      <c r="AN450" s="290"/>
      <c r="AO450" s="290"/>
      <c r="AP450" s="290"/>
      <c r="AQ450" s="290"/>
      <c r="AR450" s="290"/>
      <c r="AS450" s="290"/>
      <c r="AT450" s="290"/>
      <c r="AU450" s="290"/>
      <c r="AV450" s="290"/>
      <c r="AW450" s="290"/>
      <c r="AX450" s="290"/>
      <c r="AY450" s="290"/>
      <c r="AZ450" s="290"/>
      <c r="BA450" s="290"/>
      <c r="BB450" s="290"/>
      <c r="BC450" s="290"/>
      <c r="BD450" s="290"/>
      <c r="BE450" s="290"/>
      <c r="BF450" s="290"/>
      <c r="BG450" s="290"/>
      <c r="BH450" s="290"/>
      <c r="BI450" s="290"/>
      <c r="BJ450" s="290"/>
      <c r="BK450" s="290"/>
      <c r="BL450" s="290"/>
      <c r="BM450" s="290"/>
      <c r="BN450" s="290"/>
      <c r="BO450" s="290"/>
      <c r="BP450" s="290"/>
      <c r="BQ450" s="290"/>
      <c r="BR450" s="290"/>
      <c r="BS450" s="290"/>
      <c r="BT450" s="290"/>
      <c r="BU450" s="290"/>
      <c r="BV450" s="290"/>
      <c r="BW450" s="290"/>
      <c r="BX450" s="290"/>
      <c r="BY450" s="290"/>
      <c r="BZ450" s="290"/>
      <c r="CA450" s="290"/>
      <c r="CB450" s="290"/>
      <c r="CC450" s="290"/>
      <c r="CD450" s="290"/>
    </row>
    <row r="451" spans="1:82" ht="15.75" customHeight="1">
      <c r="A451" s="290"/>
      <c r="B451" s="290"/>
      <c r="C451" s="290"/>
      <c r="D451" s="290"/>
      <c r="E451" s="290"/>
      <c r="F451" s="290"/>
      <c r="G451" s="290"/>
      <c r="H451" s="370"/>
      <c r="I451" s="370"/>
      <c r="J451" s="290"/>
      <c r="K451" s="290"/>
      <c r="L451" s="290"/>
      <c r="M451" s="290"/>
      <c r="N451" s="290"/>
      <c r="O451" s="290"/>
      <c r="P451" s="290"/>
      <c r="Q451" s="290"/>
      <c r="R451" s="290"/>
      <c r="S451" s="290"/>
      <c r="T451" s="290"/>
      <c r="U451" s="290"/>
      <c r="V451" s="290"/>
      <c r="W451" s="290"/>
      <c r="X451" s="290"/>
      <c r="Y451" s="290"/>
      <c r="Z451" s="290"/>
      <c r="AA451" s="290"/>
      <c r="AB451" s="290"/>
      <c r="AC451" s="290"/>
      <c r="AD451" s="290"/>
      <c r="AE451" s="290"/>
      <c r="AF451" s="290"/>
      <c r="AG451" s="290"/>
      <c r="AH451" s="290"/>
      <c r="AI451" s="290"/>
      <c r="AJ451" s="290"/>
      <c r="AK451" s="290"/>
      <c r="AL451" s="290"/>
      <c r="AM451" s="290"/>
      <c r="AN451" s="290"/>
      <c r="AO451" s="290"/>
      <c r="AP451" s="290"/>
      <c r="AQ451" s="290"/>
      <c r="AR451" s="290"/>
      <c r="AS451" s="290"/>
      <c r="AT451" s="290"/>
      <c r="AU451" s="290"/>
      <c r="AV451" s="290"/>
      <c r="AW451" s="290"/>
      <c r="AX451" s="290"/>
      <c r="AY451" s="290"/>
      <c r="AZ451" s="290"/>
      <c r="BA451" s="290"/>
      <c r="BB451" s="290"/>
      <c r="BC451" s="290"/>
      <c r="BD451" s="290"/>
      <c r="BE451" s="290"/>
      <c r="BF451" s="290"/>
      <c r="BG451" s="290"/>
      <c r="BH451" s="290"/>
      <c r="BI451" s="290"/>
      <c r="BJ451" s="290"/>
      <c r="BK451" s="290"/>
      <c r="BL451" s="290"/>
      <c r="BM451" s="290"/>
      <c r="BN451" s="290"/>
      <c r="BO451" s="290"/>
      <c r="BP451" s="290"/>
      <c r="BQ451" s="290"/>
      <c r="BR451" s="290"/>
      <c r="BS451" s="290"/>
      <c r="BT451" s="290"/>
      <c r="BU451" s="290"/>
      <c r="BV451" s="290"/>
      <c r="BW451" s="290"/>
      <c r="BX451" s="290"/>
      <c r="BY451" s="290"/>
      <c r="BZ451" s="290"/>
      <c r="CA451" s="290"/>
      <c r="CB451" s="290"/>
      <c r="CC451" s="290"/>
      <c r="CD451" s="290"/>
    </row>
    <row r="452" spans="1:82" ht="15.75" customHeight="1">
      <c r="A452" s="290"/>
      <c r="B452" s="290"/>
      <c r="C452" s="290"/>
      <c r="D452" s="290"/>
      <c r="E452" s="290"/>
      <c r="F452" s="290"/>
      <c r="G452" s="290"/>
      <c r="H452" s="370"/>
      <c r="I452" s="370"/>
      <c r="J452" s="290"/>
      <c r="K452" s="290"/>
      <c r="L452" s="290"/>
      <c r="M452" s="290"/>
      <c r="N452" s="290"/>
      <c r="O452" s="290"/>
      <c r="P452" s="290"/>
      <c r="Q452" s="290"/>
      <c r="R452" s="290"/>
      <c r="S452" s="290"/>
      <c r="T452" s="290"/>
      <c r="U452" s="290"/>
      <c r="V452" s="290"/>
      <c r="W452" s="290"/>
      <c r="X452" s="290"/>
      <c r="Y452" s="290"/>
      <c r="Z452" s="290"/>
      <c r="AA452" s="290"/>
      <c r="AB452" s="290"/>
      <c r="AC452" s="290"/>
      <c r="AD452" s="290"/>
      <c r="AE452" s="290"/>
      <c r="AF452" s="290"/>
      <c r="AG452" s="290"/>
      <c r="AH452" s="290"/>
      <c r="AI452" s="290"/>
      <c r="AJ452" s="290"/>
      <c r="AK452" s="290"/>
      <c r="AL452" s="290"/>
      <c r="AM452" s="290"/>
      <c r="AN452" s="290"/>
      <c r="AO452" s="290"/>
      <c r="AP452" s="290"/>
      <c r="AQ452" s="290"/>
      <c r="AR452" s="290"/>
      <c r="AS452" s="290"/>
      <c r="AT452" s="290"/>
      <c r="AU452" s="290"/>
      <c r="AV452" s="290"/>
      <c r="AW452" s="290"/>
      <c r="AX452" s="290"/>
      <c r="AY452" s="290"/>
      <c r="AZ452" s="290"/>
      <c r="BA452" s="290"/>
      <c r="BB452" s="290"/>
      <c r="BC452" s="290"/>
      <c r="BD452" s="290"/>
      <c r="BE452" s="290"/>
      <c r="BF452" s="290"/>
      <c r="BG452" s="290"/>
      <c r="BH452" s="290"/>
      <c r="BI452" s="290"/>
      <c r="BJ452" s="290"/>
      <c r="BK452" s="290"/>
      <c r="BL452" s="290"/>
      <c r="BM452" s="290"/>
      <c r="BN452" s="290"/>
      <c r="BO452" s="290"/>
      <c r="BP452" s="290"/>
      <c r="BQ452" s="290"/>
      <c r="BR452" s="290"/>
      <c r="BS452" s="290"/>
      <c r="BT452" s="290"/>
      <c r="BU452" s="290"/>
      <c r="BV452" s="290"/>
      <c r="BW452" s="290"/>
      <c r="BX452" s="290"/>
      <c r="BY452" s="290"/>
      <c r="BZ452" s="290"/>
      <c r="CA452" s="290"/>
      <c r="CB452" s="290"/>
      <c r="CC452" s="290"/>
      <c r="CD452" s="290"/>
    </row>
    <row r="453" spans="1:82" ht="15.75" customHeight="1">
      <c r="A453" s="290"/>
      <c r="B453" s="290"/>
      <c r="C453" s="290"/>
      <c r="D453" s="290"/>
      <c r="E453" s="290"/>
      <c r="F453" s="290"/>
      <c r="G453" s="290"/>
      <c r="H453" s="370"/>
      <c r="I453" s="370"/>
      <c r="J453" s="290"/>
      <c r="K453" s="290"/>
      <c r="L453" s="290"/>
      <c r="M453" s="290"/>
      <c r="N453" s="290"/>
      <c r="O453" s="290"/>
      <c r="P453" s="290"/>
      <c r="Q453" s="290"/>
      <c r="R453" s="290"/>
      <c r="S453" s="290"/>
      <c r="T453" s="290"/>
      <c r="U453" s="290"/>
      <c r="V453" s="290"/>
      <c r="W453" s="290"/>
      <c r="X453" s="290"/>
      <c r="Y453" s="290"/>
      <c r="Z453" s="290"/>
      <c r="AA453" s="290"/>
      <c r="AB453" s="290"/>
      <c r="AC453" s="290"/>
      <c r="AD453" s="290"/>
      <c r="AE453" s="290"/>
      <c r="AF453" s="290"/>
      <c r="AG453" s="290"/>
      <c r="AH453" s="290"/>
      <c r="AI453" s="290"/>
      <c r="AJ453" s="290"/>
      <c r="AK453" s="290"/>
      <c r="AL453" s="290"/>
      <c r="AM453" s="290"/>
      <c r="AN453" s="290"/>
      <c r="AO453" s="290"/>
      <c r="AP453" s="290"/>
      <c r="AQ453" s="290"/>
      <c r="AR453" s="290"/>
      <c r="AS453" s="290"/>
      <c r="AT453" s="290"/>
      <c r="AU453" s="290"/>
      <c r="AV453" s="290"/>
      <c r="AW453" s="290"/>
      <c r="AX453" s="290"/>
      <c r="AY453" s="290"/>
      <c r="AZ453" s="290"/>
      <c r="BA453" s="290"/>
      <c r="BB453" s="290"/>
      <c r="BC453" s="290"/>
      <c r="BD453" s="290"/>
      <c r="BE453" s="290"/>
      <c r="BF453" s="290"/>
      <c r="BG453" s="290"/>
      <c r="BH453" s="290"/>
      <c r="BI453" s="290"/>
      <c r="BJ453" s="290"/>
      <c r="BK453" s="290"/>
      <c r="BL453" s="290"/>
      <c r="BM453" s="290"/>
      <c r="BN453" s="290"/>
      <c r="BO453" s="290"/>
      <c r="BP453" s="290"/>
      <c r="BQ453" s="290"/>
      <c r="BR453" s="290"/>
      <c r="BS453" s="290"/>
      <c r="BT453" s="290"/>
      <c r="BU453" s="290"/>
      <c r="BV453" s="290"/>
      <c r="BW453" s="290"/>
      <c r="BX453" s="290"/>
      <c r="BY453" s="290"/>
      <c r="BZ453" s="290"/>
      <c r="CA453" s="290"/>
      <c r="CB453" s="290"/>
      <c r="CC453" s="290"/>
      <c r="CD453" s="290"/>
    </row>
    <row r="454" spans="1:82" ht="15.75" customHeight="1">
      <c r="A454" s="290"/>
      <c r="B454" s="290"/>
      <c r="C454" s="290"/>
      <c r="D454" s="290"/>
      <c r="E454" s="290"/>
      <c r="F454" s="290"/>
      <c r="G454" s="290"/>
      <c r="H454" s="370"/>
      <c r="I454" s="370"/>
      <c r="J454" s="290"/>
      <c r="K454" s="290"/>
      <c r="L454" s="290"/>
      <c r="M454" s="290"/>
      <c r="N454" s="290"/>
      <c r="O454" s="290"/>
      <c r="P454" s="290"/>
      <c r="Q454" s="290"/>
      <c r="R454" s="290"/>
      <c r="S454" s="290"/>
      <c r="T454" s="290"/>
      <c r="U454" s="290"/>
      <c r="V454" s="290"/>
      <c r="W454" s="290"/>
      <c r="X454" s="290"/>
      <c r="Y454" s="290"/>
      <c r="Z454" s="290"/>
      <c r="AA454" s="290"/>
      <c r="AB454" s="290"/>
      <c r="AC454" s="290"/>
      <c r="AD454" s="290"/>
      <c r="AE454" s="290"/>
      <c r="AF454" s="290"/>
      <c r="AG454" s="290"/>
      <c r="AH454" s="290"/>
      <c r="AI454" s="290"/>
      <c r="AJ454" s="290"/>
      <c r="AK454" s="290"/>
      <c r="AL454" s="290"/>
      <c r="AM454" s="290"/>
      <c r="AN454" s="290"/>
      <c r="AO454" s="290"/>
      <c r="AP454" s="290"/>
      <c r="AQ454" s="290"/>
      <c r="AR454" s="290"/>
      <c r="AS454" s="290"/>
      <c r="AT454" s="290"/>
      <c r="AU454" s="290"/>
      <c r="AV454" s="290"/>
      <c r="AW454" s="290"/>
      <c r="AX454" s="290"/>
      <c r="AY454" s="290"/>
      <c r="AZ454" s="290"/>
      <c r="BA454" s="290"/>
      <c r="BB454" s="290"/>
      <c r="BC454" s="290"/>
      <c r="BD454" s="290"/>
      <c r="BE454" s="290"/>
      <c r="BF454" s="290"/>
      <c r="BG454" s="290"/>
      <c r="BH454" s="290"/>
      <c r="BI454" s="290"/>
      <c r="BJ454" s="290"/>
      <c r="BK454" s="290"/>
      <c r="BL454" s="290"/>
      <c r="BM454" s="290"/>
      <c r="BN454" s="290"/>
      <c r="BO454" s="290"/>
      <c r="BP454" s="290"/>
      <c r="BQ454" s="290"/>
      <c r="BR454" s="290"/>
      <c r="BS454" s="290"/>
      <c r="BT454" s="290"/>
      <c r="BU454" s="290"/>
      <c r="BV454" s="290"/>
      <c r="BW454" s="290"/>
      <c r="BX454" s="290"/>
      <c r="BY454" s="290"/>
      <c r="BZ454" s="290"/>
      <c r="CA454" s="290"/>
      <c r="CB454" s="290"/>
      <c r="CC454" s="290"/>
      <c r="CD454" s="290"/>
    </row>
    <row r="455" spans="1:82" ht="15.75" customHeight="1">
      <c r="A455" s="290"/>
      <c r="B455" s="290"/>
      <c r="C455" s="290"/>
      <c r="D455" s="290"/>
      <c r="E455" s="290"/>
      <c r="F455" s="290"/>
      <c r="G455" s="290"/>
      <c r="H455" s="370"/>
      <c r="I455" s="370"/>
      <c r="J455" s="290"/>
      <c r="K455" s="290"/>
      <c r="L455" s="290"/>
      <c r="M455" s="290"/>
      <c r="N455" s="290"/>
      <c r="O455" s="290"/>
      <c r="P455" s="290"/>
      <c r="Q455" s="290"/>
      <c r="R455" s="290"/>
      <c r="S455" s="290"/>
      <c r="T455" s="290"/>
      <c r="U455" s="290"/>
      <c r="V455" s="290"/>
      <c r="W455" s="290"/>
      <c r="X455" s="290"/>
      <c r="Y455" s="290"/>
      <c r="Z455" s="290"/>
      <c r="AA455" s="290"/>
      <c r="AB455" s="290"/>
      <c r="AC455" s="290"/>
      <c r="AD455" s="290"/>
      <c r="AE455" s="290"/>
      <c r="AF455" s="290"/>
      <c r="AG455" s="290"/>
      <c r="AH455" s="290"/>
      <c r="AI455" s="290"/>
      <c r="AJ455" s="290"/>
      <c r="AK455" s="290"/>
      <c r="AL455" s="290"/>
      <c r="AM455" s="290"/>
      <c r="AN455" s="290"/>
      <c r="AO455" s="290"/>
      <c r="AP455" s="290"/>
      <c r="AQ455" s="290"/>
      <c r="AR455" s="290"/>
      <c r="AS455" s="290"/>
      <c r="AT455" s="290"/>
      <c r="AU455" s="290"/>
      <c r="AV455" s="290"/>
      <c r="AW455" s="290"/>
      <c r="AX455" s="290"/>
      <c r="AY455" s="290"/>
      <c r="AZ455" s="290"/>
      <c r="BA455" s="290"/>
      <c r="BB455" s="290"/>
      <c r="BC455" s="290"/>
      <c r="BD455" s="290"/>
      <c r="BE455" s="290"/>
      <c r="BF455" s="290"/>
      <c r="BG455" s="290"/>
      <c r="BH455" s="290"/>
      <c r="BI455" s="290"/>
      <c r="BJ455" s="290"/>
      <c r="BK455" s="290"/>
      <c r="BL455" s="290"/>
      <c r="BM455" s="290"/>
      <c r="BN455" s="290"/>
      <c r="BO455" s="290"/>
      <c r="BP455" s="290"/>
      <c r="BQ455" s="290"/>
      <c r="BR455" s="290"/>
      <c r="BS455" s="290"/>
      <c r="BT455" s="290"/>
      <c r="BU455" s="290"/>
      <c r="BV455" s="290"/>
      <c r="BW455" s="290"/>
      <c r="BX455" s="290"/>
      <c r="BY455" s="290"/>
      <c r="BZ455" s="290"/>
      <c r="CA455" s="290"/>
      <c r="CB455" s="290"/>
      <c r="CC455" s="290"/>
      <c r="CD455" s="290"/>
    </row>
    <row r="456" spans="1:82" ht="15.75" customHeight="1">
      <c r="A456" s="290"/>
      <c r="B456" s="290"/>
      <c r="C456" s="290"/>
      <c r="D456" s="290"/>
      <c r="E456" s="290"/>
      <c r="F456" s="290"/>
      <c r="G456" s="290"/>
      <c r="H456" s="370"/>
      <c r="I456" s="370"/>
      <c r="J456" s="290"/>
      <c r="K456" s="290"/>
      <c r="L456" s="290"/>
      <c r="M456" s="290"/>
      <c r="N456" s="290"/>
      <c r="O456" s="290"/>
      <c r="P456" s="290"/>
      <c r="Q456" s="290"/>
      <c r="R456" s="290"/>
      <c r="S456" s="290"/>
      <c r="T456" s="290"/>
      <c r="U456" s="290"/>
      <c r="V456" s="290"/>
      <c r="W456" s="290"/>
      <c r="X456" s="290"/>
      <c r="Y456" s="290"/>
      <c r="Z456" s="290"/>
      <c r="AA456" s="290"/>
      <c r="AB456" s="290"/>
      <c r="AC456" s="290"/>
      <c r="AD456" s="290"/>
      <c r="AE456" s="290"/>
      <c r="AF456" s="290"/>
      <c r="AG456" s="290"/>
      <c r="AH456" s="290"/>
      <c r="AI456" s="290"/>
      <c r="AJ456" s="290"/>
      <c r="AK456" s="290"/>
      <c r="AL456" s="290"/>
      <c r="AM456" s="290"/>
      <c r="AN456" s="290"/>
      <c r="AO456" s="290"/>
      <c r="AP456" s="290"/>
      <c r="AQ456" s="290"/>
      <c r="AR456" s="290"/>
      <c r="AS456" s="290"/>
      <c r="AT456" s="290"/>
      <c r="AU456" s="290"/>
      <c r="AV456" s="290"/>
      <c r="AW456" s="290"/>
      <c r="AX456" s="290"/>
      <c r="AY456" s="290"/>
      <c r="AZ456" s="290"/>
      <c r="BA456" s="290"/>
      <c r="BB456" s="290"/>
      <c r="BC456" s="290"/>
      <c r="BD456" s="290"/>
      <c r="BE456" s="290"/>
      <c r="BF456" s="290"/>
      <c r="BG456" s="290"/>
      <c r="BH456" s="290"/>
      <c r="BI456" s="290"/>
      <c r="BJ456" s="290"/>
      <c r="BK456" s="290"/>
      <c r="BL456" s="290"/>
      <c r="BM456" s="290"/>
      <c r="BN456" s="290"/>
      <c r="BO456" s="290"/>
      <c r="BP456" s="290"/>
      <c r="BQ456" s="290"/>
      <c r="BR456" s="290"/>
      <c r="BS456" s="290"/>
      <c r="BT456" s="290"/>
      <c r="BU456" s="290"/>
      <c r="BV456" s="290"/>
      <c r="BW456" s="290"/>
      <c r="BX456" s="290"/>
      <c r="BY456" s="290"/>
      <c r="BZ456" s="290"/>
      <c r="CA456" s="290"/>
      <c r="CB456" s="290"/>
      <c r="CC456" s="290"/>
      <c r="CD456" s="290"/>
    </row>
    <row r="457" spans="1:82" ht="15.75" customHeight="1">
      <c r="A457" s="290"/>
      <c r="B457" s="290"/>
      <c r="C457" s="290"/>
      <c r="D457" s="290"/>
      <c r="E457" s="290"/>
      <c r="F457" s="290"/>
      <c r="G457" s="290"/>
      <c r="H457" s="370"/>
      <c r="I457" s="370"/>
      <c r="J457" s="290"/>
      <c r="K457" s="290"/>
      <c r="L457" s="290"/>
      <c r="M457" s="290"/>
      <c r="N457" s="290"/>
      <c r="O457" s="290"/>
      <c r="P457" s="290"/>
      <c r="Q457" s="290"/>
      <c r="R457" s="290"/>
      <c r="S457" s="290"/>
      <c r="T457" s="290"/>
      <c r="U457" s="290"/>
      <c r="V457" s="290"/>
      <c r="W457" s="290"/>
      <c r="X457" s="290"/>
      <c r="Y457" s="290"/>
      <c r="Z457" s="290"/>
      <c r="AA457" s="290"/>
      <c r="AB457" s="290"/>
      <c r="AC457" s="290"/>
      <c r="AD457" s="290"/>
      <c r="AE457" s="290"/>
      <c r="AF457" s="290"/>
      <c r="AG457" s="290"/>
      <c r="AH457" s="290"/>
      <c r="AI457" s="290"/>
      <c r="AJ457" s="290"/>
      <c r="AK457" s="290"/>
      <c r="AL457" s="290"/>
      <c r="AM457" s="290"/>
      <c r="AN457" s="290"/>
      <c r="AO457" s="290"/>
      <c r="AP457" s="290"/>
      <c r="AQ457" s="290"/>
      <c r="AR457" s="290"/>
      <c r="AS457" s="290"/>
      <c r="AT457" s="290"/>
      <c r="AU457" s="290"/>
      <c r="AV457" s="290"/>
      <c r="AW457" s="290"/>
      <c r="AX457" s="290"/>
      <c r="AY457" s="290"/>
      <c r="AZ457" s="290"/>
      <c r="BA457" s="290"/>
      <c r="BB457" s="290"/>
      <c r="BC457" s="290"/>
      <c r="BD457" s="290"/>
      <c r="BE457" s="290"/>
      <c r="BF457" s="290"/>
      <c r="BG457" s="290"/>
      <c r="BH457" s="290"/>
      <c r="BI457" s="290"/>
      <c r="BJ457" s="290"/>
      <c r="BK457" s="290"/>
      <c r="BL457" s="290"/>
      <c r="BM457" s="290"/>
      <c r="BN457" s="290"/>
      <c r="BO457" s="290"/>
      <c r="BP457" s="290"/>
      <c r="BQ457" s="290"/>
      <c r="BR457" s="290"/>
      <c r="BS457" s="290"/>
      <c r="BT457" s="290"/>
      <c r="BU457" s="290"/>
      <c r="BV457" s="290"/>
      <c r="BW457" s="290"/>
      <c r="BX457" s="290"/>
      <c r="BY457" s="290"/>
      <c r="BZ457" s="290"/>
      <c r="CA457" s="290"/>
      <c r="CB457" s="290"/>
      <c r="CC457" s="290"/>
      <c r="CD457" s="290"/>
    </row>
    <row r="458" spans="1:82" ht="15.75" customHeight="1">
      <c r="A458" s="290"/>
      <c r="B458" s="290"/>
      <c r="C458" s="290"/>
      <c r="D458" s="290"/>
      <c r="E458" s="290"/>
      <c r="F458" s="290"/>
      <c r="G458" s="290"/>
      <c r="H458" s="370"/>
      <c r="I458" s="370"/>
      <c r="J458" s="290"/>
      <c r="K458" s="290"/>
      <c r="L458" s="290"/>
      <c r="M458" s="290"/>
      <c r="N458" s="290"/>
      <c r="O458" s="290"/>
      <c r="P458" s="290"/>
      <c r="Q458" s="290"/>
      <c r="R458" s="290"/>
      <c r="S458" s="290"/>
      <c r="T458" s="290"/>
      <c r="U458" s="290"/>
      <c r="V458" s="290"/>
      <c r="W458" s="290"/>
      <c r="X458" s="290"/>
      <c r="Y458" s="290"/>
      <c r="Z458" s="290"/>
      <c r="AA458" s="290"/>
      <c r="AB458" s="290"/>
      <c r="AC458" s="290"/>
      <c r="AD458" s="290"/>
      <c r="AE458" s="290"/>
      <c r="AF458" s="290"/>
      <c r="AG458" s="290"/>
      <c r="AH458" s="290"/>
      <c r="AI458" s="290"/>
      <c r="AJ458" s="290"/>
      <c r="AK458" s="290"/>
      <c r="AL458" s="290"/>
      <c r="AM458" s="290"/>
      <c r="AN458" s="290"/>
      <c r="AO458" s="290"/>
      <c r="AP458" s="290"/>
      <c r="AQ458" s="290"/>
      <c r="AR458" s="290"/>
      <c r="AS458" s="290"/>
      <c r="AT458" s="290"/>
      <c r="AU458" s="290"/>
      <c r="AV458" s="290"/>
      <c r="AW458" s="290"/>
      <c r="AX458" s="290"/>
      <c r="AY458" s="290"/>
      <c r="AZ458" s="290"/>
      <c r="BA458" s="290"/>
      <c r="BB458" s="290"/>
      <c r="BC458" s="290"/>
      <c r="BD458" s="290"/>
      <c r="BE458" s="290"/>
      <c r="BF458" s="290"/>
      <c r="BG458" s="290"/>
      <c r="BH458" s="290"/>
      <c r="BI458" s="290"/>
      <c r="BJ458" s="290"/>
      <c r="BK458" s="290"/>
      <c r="BL458" s="290"/>
      <c r="BM458" s="290"/>
      <c r="BN458" s="290"/>
      <c r="BO458" s="290"/>
      <c r="BP458" s="290"/>
      <c r="BQ458" s="290"/>
      <c r="BR458" s="290"/>
      <c r="BS458" s="290"/>
      <c r="BT458" s="290"/>
      <c r="BU458" s="290"/>
      <c r="BV458" s="290"/>
      <c r="BW458" s="290"/>
      <c r="BX458" s="290"/>
      <c r="BY458" s="290"/>
      <c r="BZ458" s="290"/>
      <c r="CA458" s="290"/>
      <c r="CB458" s="290"/>
      <c r="CC458" s="290"/>
      <c r="CD458" s="290"/>
    </row>
    <row r="459" spans="1:82" ht="15.75" customHeight="1">
      <c r="A459" s="290"/>
      <c r="B459" s="290"/>
      <c r="C459" s="290"/>
      <c r="D459" s="290"/>
      <c r="E459" s="290"/>
      <c r="F459" s="290"/>
      <c r="G459" s="290"/>
      <c r="H459" s="370"/>
      <c r="I459" s="370"/>
      <c r="J459" s="290"/>
      <c r="K459" s="290"/>
      <c r="L459" s="290"/>
      <c r="M459" s="290"/>
      <c r="N459" s="290"/>
      <c r="O459" s="290"/>
      <c r="P459" s="290"/>
      <c r="Q459" s="290"/>
      <c r="R459" s="290"/>
      <c r="S459" s="290"/>
      <c r="T459" s="290"/>
      <c r="U459" s="290"/>
      <c r="V459" s="290"/>
      <c r="W459" s="290"/>
      <c r="X459" s="290"/>
      <c r="Y459" s="290"/>
      <c r="Z459" s="290"/>
      <c r="AA459" s="290"/>
      <c r="AB459" s="290"/>
      <c r="AC459" s="290"/>
      <c r="AD459" s="290"/>
      <c r="AE459" s="290"/>
      <c r="AF459" s="290"/>
      <c r="AG459" s="290"/>
      <c r="AH459" s="290"/>
      <c r="AI459" s="290"/>
      <c r="AJ459" s="290"/>
      <c r="AK459" s="290"/>
      <c r="AL459" s="290"/>
      <c r="AM459" s="290"/>
      <c r="AN459" s="290"/>
      <c r="AO459" s="290"/>
      <c r="AP459" s="290"/>
      <c r="AQ459" s="290"/>
      <c r="AR459" s="290"/>
      <c r="AS459" s="290"/>
      <c r="AT459" s="290"/>
      <c r="AU459" s="290"/>
      <c r="AV459" s="290"/>
      <c r="AW459" s="290"/>
      <c r="AX459" s="290"/>
      <c r="AY459" s="290"/>
      <c r="AZ459" s="290"/>
      <c r="BA459" s="290"/>
      <c r="BB459" s="290"/>
      <c r="BC459" s="290"/>
      <c r="BD459" s="290"/>
      <c r="BE459" s="290"/>
      <c r="BF459" s="290"/>
      <c r="BG459" s="290"/>
      <c r="BH459" s="290"/>
      <c r="BI459" s="290"/>
      <c r="BJ459" s="290"/>
      <c r="BK459" s="290"/>
      <c r="BL459" s="290"/>
      <c r="BM459" s="290"/>
      <c r="BN459" s="290"/>
      <c r="BO459" s="290"/>
      <c r="BP459" s="290"/>
      <c r="BQ459" s="290"/>
      <c r="BR459" s="290"/>
      <c r="BS459" s="290"/>
      <c r="BT459" s="290"/>
      <c r="BU459" s="290"/>
      <c r="BV459" s="290"/>
      <c r="BW459" s="290"/>
      <c r="BX459" s="290"/>
      <c r="BY459" s="290"/>
      <c r="BZ459" s="290"/>
      <c r="CA459" s="290"/>
      <c r="CB459" s="290"/>
      <c r="CC459" s="290"/>
      <c r="CD459" s="290"/>
    </row>
    <row r="460" spans="1:82" ht="15.75" customHeight="1">
      <c r="A460" s="290"/>
      <c r="B460" s="290"/>
      <c r="C460" s="290"/>
      <c r="D460" s="290"/>
      <c r="E460" s="290"/>
      <c r="F460" s="290"/>
      <c r="G460" s="290"/>
      <c r="H460" s="370"/>
      <c r="I460" s="370"/>
      <c r="J460" s="290"/>
      <c r="K460" s="290"/>
      <c r="L460" s="290"/>
      <c r="M460" s="290"/>
      <c r="N460" s="290"/>
      <c r="O460" s="290"/>
      <c r="P460" s="290"/>
      <c r="Q460" s="290"/>
      <c r="R460" s="290"/>
      <c r="S460" s="290"/>
      <c r="T460" s="290"/>
      <c r="U460" s="290"/>
      <c r="V460" s="290"/>
      <c r="W460" s="290"/>
      <c r="X460" s="290"/>
      <c r="Y460" s="290"/>
      <c r="Z460" s="290"/>
      <c r="AA460" s="290"/>
      <c r="AB460" s="290"/>
      <c r="AC460" s="290"/>
      <c r="AD460" s="290"/>
      <c r="AE460" s="290"/>
      <c r="AF460" s="290"/>
      <c r="AG460" s="290"/>
      <c r="AH460" s="290"/>
      <c r="AI460" s="290"/>
      <c r="AJ460" s="290"/>
      <c r="AK460" s="290"/>
      <c r="AL460" s="290"/>
      <c r="AM460" s="290"/>
      <c r="AN460" s="290"/>
      <c r="AO460" s="290"/>
      <c r="AP460" s="290"/>
      <c r="AQ460" s="290"/>
      <c r="AR460" s="290"/>
      <c r="AS460" s="290"/>
      <c r="AT460" s="290"/>
      <c r="AU460" s="290"/>
      <c r="AV460" s="290"/>
      <c r="AW460" s="290"/>
      <c r="AX460" s="290"/>
      <c r="AY460" s="290"/>
      <c r="AZ460" s="290"/>
      <c r="BA460" s="290"/>
      <c r="BB460" s="290"/>
      <c r="BC460" s="290"/>
      <c r="BD460" s="290"/>
      <c r="BE460" s="290"/>
      <c r="BF460" s="290"/>
      <c r="BG460" s="290"/>
      <c r="BH460" s="290"/>
      <c r="BI460" s="290"/>
      <c r="BJ460" s="290"/>
      <c r="BK460" s="290"/>
      <c r="BL460" s="290"/>
      <c r="BM460" s="290"/>
      <c r="BN460" s="290"/>
      <c r="BO460" s="290"/>
      <c r="BP460" s="290"/>
      <c r="BQ460" s="290"/>
      <c r="BR460" s="290"/>
      <c r="BS460" s="290"/>
      <c r="BT460" s="290"/>
      <c r="BU460" s="290"/>
      <c r="BV460" s="290"/>
      <c r="BW460" s="290"/>
      <c r="BX460" s="290"/>
      <c r="BY460" s="290"/>
      <c r="BZ460" s="290"/>
      <c r="CA460" s="290"/>
      <c r="CB460" s="290"/>
      <c r="CC460" s="290"/>
      <c r="CD460" s="290"/>
    </row>
    <row r="461" spans="1:82" ht="15.75" customHeight="1">
      <c r="A461" s="290"/>
      <c r="B461" s="290"/>
      <c r="C461" s="290"/>
      <c r="D461" s="290"/>
      <c r="E461" s="290"/>
      <c r="F461" s="290"/>
      <c r="G461" s="290"/>
      <c r="H461" s="370"/>
      <c r="I461" s="370"/>
      <c r="J461" s="290"/>
      <c r="K461" s="290"/>
      <c r="L461" s="290"/>
      <c r="M461" s="290"/>
      <c r="N461" s="290"/>
      <c r="O461" s="290"/>
      <c r="P461" s="290"/>
      <c r="Q461" s="290"/>
      <c r="R461" s="290"/>
      <c r="S461" s="290"/>
      <c r="T461" s="290"/>
      <c r="U461" s="290"/>
      <c r="V461" s="290"/>
      <c r="W461" s="290"/>
      <c r="X461" s="290"/>
      <c r="Y461" s="290"/>
      <c r="Z461" s="290"/>
      <c r="AA461" s="290"/>
      <c r="AB461" s="290"/>
      <c r="AC461" s="290"/>
      <c r="AD461" s="290"/>
      <c r="AE461" s="290"/>
      <c r="AF461" s="290"/>
      <c r="AG461" s="290"/>
      <c r="AH461" s="290"/>
      <c r="AI461" s="290"/>
      <c r="AJ461" s="290"/>
      <c r="AK461" s="290"/>
      <c r="AL461" s="290"/>
      <c r="AM461" s="290"/>
      <c r="AN461" s="290"/>
      <c r="AO461" s="290"/>
      <c r="AP461" s="290"/>
      <c r="AQ461" s="290"/>
      <c r="AR461" s="290"/>
      <c r="AS461" s="290"/>
      <c r="AT461" s="290"/>
      <c r="AU461" s="290"/>
      <c r="AV461" s="290"/>
      <c r="AW461" s="290"/>
      <c r="AX461" s="290"/>
      <c r="AY461" s="290"/>
      <c r="AZ461" s="290"/>
      <c r="BA461" s="290"/>
      <c r="BB461" s="290"/>
      <c r="BC461" s="290"/>
      <c r="BD461" s="290"/>
      <c r="BE461" s="290"/>
      <c r="BF461" s="290"/>
      <c r="BG461" s="290"/>
      <c r="BH461" s="290"/>
      <c r="BI461" s="290"/>
      <c r="BJ461" s="290"/>
      <c r="BK461" s="290"/>
      <c r="BL461" s="290"/>
      <c r="BM461" s="290"/>
      <c r="BN461" s="290"/>
      <c r="BO461" s="290"/>
      <c r="BP461" s="290"/>
      <c r="BQ461" s="290"/>
      <c r="BR461" s="290"/>
      <c r="BS461" s="290"/>
      <c r="BT461" s="290"/>
      <c r="BU461" s="290"/>
      <c r="BV461" s="290"/>
      <c r="BW461" s="290"/>
      <c r="BX461" s="290"/>
      <c r="BY461" s="290"/>
      <c r="BZ461" s="290"/>
      <c r="CA461" s="290"/>
      <c r="CB461" s="290"/>
      <c r="CC461" s="290"/>
      <c r="CD461" s="290"/>
    </row>
    <row r="462" spans="1:82" ht="15.75" customHeight="1">
      <c r="A462" s="290"/>
      <c r="B462" s="290"/>
      <c r="C462" s="290"/>
      <c r="D462" s="290"/>
      <c r="E462" s="290"/>
      <c r="F462" s="290"/>
      <c r="G462" s="290"/>
      <c r="H462" s="370"/>
      <c r="I462" s="370"/>
      <c r="J462" s="290"/>
      <c r="K462" s="290"/>
      <c r="L462" s="290"/>
      <c r="M462" s="290"/>
      <c r="N462" s="290"/>
      <c r="O462" s="290"/>
      <c r="P462" s="290"/>
      <c r="Q462" s="290"/>
      <c r="R462" s="290"/>
      <c r="S462" s="290"/>
      <c r="T462" s="290"/>
      <c r="U462" s="290"/>
      <c r="V462" s="290"/>
      <c r="W462" s="290"/>
      <c r="X462" s="290"/>
      <c r="Y462" s="290"/>
      <c r="Z462" s="290"/>
      <c r="AA462" s="290"/>
      <c r="AB462" s="290"/>
      <c r="AC462" s="290"/>
      <c r="AD462" s="290"/>
      <c r="AE462" s="290"/>
      <c r="AF462" s="290"/>
      <c r="AG462" s="290"/>
      <c r="AH462" s="290"/>
      <c r="AI462" s="290"/>
      <c r="AJ462" s="290"/>
      <c r="AK462" s="290"/>
      <c r="AL462" s="290"/>
      <c r="AM462" s="290"/>
      <c r="AN462" s="290"/>
      <c r="AO462" s="290"/>
      <c r="AP462" s="290"/>
      <c r="AQ462" s="290"/>
      <c r="AR462" s="290"/>
      <c r="AS462" s="290"/>
      <c r="AT462" s="290"/>
      <c r="AU462" s="290"/>
      <c r="AV462" s="290"/>
      <c r="AW462" s="290"/>
      <c r="AX462" s="290"/>
      <c r="AY462" s="290"/>
      <c r="AZ462" s="290"/>
      <c r="BA462" s="290"/>
      <c r="BB462" s="290"/>
      <c r="BC462" s="290"/>
      <c r="BD462" s="290"/>
      <c r="BE462" s="290"/>
      <c r="BF462" s="290"/>
      <c r="BG462" s="290"/>
      <c r="BH462" s="290"/>
      <c r="BI462" s="290"/>
      <c r="BJ462" s="290"/>
      <c r="BK462" s="290"/>
      <c r="BL462" s="290"/>
      <c r="BM462" s="290"/>
      <c r="BN462" s="290"/>
      <c r="BO462" s="290"/>
      <c r="BP462" s="290"/>
      <c r="BQ462" s="290"/>
      <c r="BR462" s="290"/>
      <c r="BS462" s="290"/>
      <c r="BT462" s="290"/>
      <c r="BU462" s="290"/>
      <c r="BV462" s="290"/>
      <c r="BW462" s="290"/>
      <c r="BX462" s="290"/>
      <c r="BY462" s="290"/>
      <c r="BZ462" s="290"/>
      <c r="CA462" s="290"/>
      <c r="CB462" s="290"/>
      <c r="CC462" s="290"/>
      <c r="CD462" s="290"/>
    </row>
    <row r="463" spans="1:82" ht="15.75" customHeight="1">
      <c r="A463" s="290"/>
      <c r="B463" s="290"/>
      <c r="C463" s="290"/>
      <c r="D463" s="290"/>
      <c r="E463" s="290"/>
      <c r="F463" s="290"/>
      <c r="G463" s="290"/>
      <c r="H463" s="370"/>
      <c r="I463" s="370"/>
      <c r="J463" s="290"/>
      <c r="K463" s="290"/>
      <c r="L463" s="290"/>
      <c r="M463" s="290"/>
      <c r="N463" s="290"/>
      <c r="O463" s="290"/>
      <c r="P463" s="290"/>
      <c r="Q463" s="290"/>
      <c r="R463" s="290"/>
      <c r="S463" s="290"/>
      <c r="T463" s="290"/>
      <c r="U463" s="290"/>
      <c r="V463" s="290"/>
      <c r="W463" s="290"/>
      <c r="X463" s="290"/>
      <c r="Y463" s="290"/>
      <c r="Z463" s="290"/>
      <c r="AA463" s="290"/>
      <c r="AB463" s="290"/>
      <c r="AC463" s="290"/>
      <c r="AD463" s="290"/>
      <c r="AE463" s="290"/>
      <c r="AF463" s="290"/>
      <c r="AG463" s="290"/>
      <c r="AH463" s="290"/>
      <c r="AI463" s="290"/>
      <c r="AJ463" s="290"/>
      <c r="AK463" s="290"/>
      <c r="AL463" s="290"/>
      <c r="AM463" s="290"/>
      <c r="AN463" s="290"/>
      <c r="AO463" s="290"/>
      <c r="AP463" s="290"/>
      <c r="AQ463" s="290"/>
      <c r="AR463" s="290"/>
      <c r="AS463" s="290"/>
      <c r="AT463" s="290"/>
      <c r="AU463" s="290"/>
      <c r="AV463" s="290"/>
      <c r="AW463" s="290"/>
      <c r="AX463" s="290"/>
      <c r="AY463" s="290"/>
      <c r="AZ463" s="290"/>
      <c r="BA463" s="290"/>
      <c r="BB463" s="290"/>
      <c r="BC463" s="290"/>
      <c r="BD463" s="290"/>
      <c r="BE463" s="290"/>
      <c r="BF463" s="290"/>
      <c r="BG463" s="290"/>
      <c r="BH463" s="290"/>
      <c r="BI463" s="290"/>
      <c r="BJ463" s="290"/>
      <c r="BK463" s="290"/>
      <c r="BL463" s="290"/>
      <c r="BM463" s="290"/>
      <c r="BN463" s="290"/>
      <c r="BO463" s="290"/>
      <c r="BP463" s="290"/>
      <c r="BQ463" s="290"/>
      <c r="BR463" s="290"/>
      <c r="BS463" s="290"/>
      <c r="BT463" s="290"/>
      <c r="BU463" s="290"/>
      <c r="BV463" s="290"/>
      <c r="BW463" s="290"/>
      <c r="BX463" s="290"/>
      <c r="BY463" s="290"/>
      <c r="BZ463" s="290"/>
      <c r="CA463" s="290"/>
      <c r="CB463" s="290"/>
      <c r="CC463" s="290"/>
      <c r="CD463" s="290"/>
    </row>
    <row r="464" spans="1:82" ht="15.75" customHeight="1">
      <c r="A464" s="290"/>
      <c r="B464" s="290"/>
      <c r="C464" s="290"/>
      <c r="D464" s="290"/>
      <c r="E464" s="290"/>
      <c r="F464" s="290"/>
      <c r="G464" s="290"/>
      <c r="H464" s="370"/>
      <c r="I464" s="370"/>
      <c r="J464" s="290"/>
      <c r="K464" s="290"/>
      <c r="L464" s="290"/>
      <c r="M464" s="290"/>
      <c r="N464" s="290"/>
      <c r="O464" s="290"/>
      <c r="P464" s="290"/>
      <c r="Q464" s="290"/>
      <c r="R464" s="290"/>
      <c r="S464" s="290"/>
      <c r="T464" s="290"/>
      <c r="U464" s="290"/>
      <c r="V464" s="290"/>
      <c r="W464" s="290"/>
      <c r="X464" s="290"/>
      <c r="Y464" s="290"/>
      <c r="Z464" s="290"/>
      <c r="AA464" s="290"/>
      <c r="AB464" s="290"/>
      <c r="AC464" s="290"/>
      <c r="AD464" s="290"/>
      <c r="AE464" s="290"/>
      <c r="AF464" s="290"/>
      <c r="AG464" s="290"/>
      <c r="AH464" s="290"/>
      <c r="AI464" s="290"/>
      <c r="AJ464" s="290"/>
      <c r="AK464" s="290"/>
      <c r="AL464" s="290"/>
      <c r="AM464" s="290"/>
      <c r="AN464" s="290"/>
      <c r="AO464" s="290"/>
      <c r="AP464" s="290"/>
      <c r="AQ464" s="290"/>
      <c r="AR464" s="290"/>
      <c r="AS464" s="290"/>
      <c r="AT464" s="290"/>
      <c r="AU464" s="290"/>
      <c r="AV464" s="290"/>
      <c r="AW464" s="290"/>
      <c r="AX464" s="290"/>
      <c r="AY464" s="290"/>
      <c r="AZ464" s="290"/>
      <c r="BA464" s="290"/>
      <c r="BB464" s="290"/>
      <c r="BC464" s="290"/>
      <c r="BD464" s="290"/>
      <c r="BE464" s="290"/>
      <c r="BF464" s="290"/>
      <c r="BG464" s="290"/>
      <c r="BH464" s="290"/>
      <c r="BI464" s="290"/>
      <c r="BJ464" s="290"/>
      <c r="BK464" s="290"/>
      <c r="BL464" s="290"/>
      <c r="BM464" s="290"/>
      <c r="BN464" s="290"/>
      <c r="BO464" s="290"/>
      <c r="BP464" s="290"/>
      <c r="BQ464" s="290"/>
      <c r="BR464" s="290"/>
      <c r="BS464" s="290"/>
      <c r="BT464" s="290"/>
      <c r="BU464" s="290"/>
      <c r="BV464" s="290"/>
      <c r="BW464" s="290"/>
      <c r="BX464" s="290"/>
      <c r="BY464" s="290"/>
      <c r="BZ464" s="290"/>
      <c r="CA464" s="290"/>
      <c r="CB464" s="290"/>
      <c r="CC464" s="290"/>
      <c r="CD464" s="290"/>
    </row>
    <row r="465" spans="1:82" ht="15.75" customHeight="1">
      <c r="A465" s="290"/>
      <c r="B465" s="290"/>
      <c r="C465" s="290"/>
      <c r="D465" s="290"/>
      <c r="E465" s="290"/>
      <c r="F465" s="290"/>
      <c r="G465" s="290"/>
      <c r="H465" s="370"/>
      <c r="I465" s="370"/>
      <c r="J465" s="290"/>
      <c r="K465" s="290"/>
      <c r="L465" s="290"/>
      <c r="M465" s="290"/>
      <c r="N465" s="290"/>
      <c r="O465" s="290"/>
      <c r="P465" s="290"/>
      <c r="Q465" s="290"/>
      <c r="R465" s="290"/>
      <c r="S465" s="290"/>
      <c r="T465" s="290"/>
      <c r="U465" s="290"/>
      <c r="V465" s="290"/>
      <c r="W465" s="290"/>
      <c r="X465" s="290"/>
      <c r="Y465" s="290"/>
      <c r="Z465" s="290"/>
      <c r="AA465" s="290"/>
      <c r="AB465" s="290"/>
      <c r="AC465" s="290"/>
      <c r="AD465" s="290"/>
      <c r="AE465" s="290"/>
      <c r="AF465" s="290"/>
      <c r="AG465" s="290"/>
      <c r="AH465" s="290"/>
      <c r="AI465" s="290"/>
      <c r="AJ465" s="290"/>
      <c r="AK465" s="290"/>
      <c r="AL465" s="290"/>
      <c r="AM465" s="290"/>
      <c r="AN465" s="290"/>
      <c r="AO465" s="290"/>
      <c r="AP465" s="290"/>
      <c r="AQ465" s="290"/>
      <c r="AR465" s="290"/>
      <c r="AS465" s="290"/>
      <c r="AT465" s="290"/>
      <c r="AU465" s="290"/>
      <c r="AV465" s="290"/>
      <c r="AW465" s="290"/>
      <c r="AX465" s="290"/>
      <c r="AY465" s="290"/>
      <c r="AZ465" s="290"/>
      <c r="BA465" s="290"/>
      <c r="BB465" s="290"/>
      <c r="BC465" s="290"/>
      <c r="BD465" s="290"/>
      <c r="BE465" s="290"/>
      <c r="BF465" s="290"/>
      <c r="BG465" s="290"/>
      <c r="BH465" s="290"/>
      <c r="BI465" s="290"/>
      <c r="BJ465" s="290"/>
      <c r="BK465" s="290"/>
      <c r="BL465" s="290"/>
      <c r="BM465" s="290"/>
      <c r="BN465" s="290"/>
      <c r="BO465" s="290"/>
      <c r="BP465" s="290"/>
      <c r="BQ465" s="290"/>
      <c r="BR465" s="290"/>
      <c r="BS465" s="290"/>
      <c r="BT465" s="290"/>
      <c r="BU465" s="290"/>
      <c r="BV465" s="290"/>
      <c r="BW465" s="290"/>
      <c r="BX465" s="290"/>
      <c r="BY465" s="290"/>
      <c r="BZ465" s="290"/>
      <c r="CA465" s="290"/>
      <c r="CB465" s="290"/>
      <c r="CC465" s="290"/>
      <c r="CD465" s="290"/>
    </row>
    <row r="466" spans="1:82" ht="15.75" customHeight="1">
      <c r="A466" s="290"/>
      <c r="B466" s="290"/>
      <c r="C466" s="290"/>
      <c r="D466" s="290"/>
      <c r="E466" s="290"/>
      <c r="F466" s="290"/>
      <c r="G466" s="290"/>
      <c r="H466" s="370"/>
      <c r="I466" s="370"/>
      <c r="J466" s="290"/>
      <c r="K466" s="290"/>
      <c r="L466" s="290"/>
      <c r="M466" s="290"/>
      <c r="N466" s="290"/>
      <c r="O466" s="290"/>
      <c r="P466" s="290"/>
      <c r="Q466" s="290"/>
      <c r="R466" s="290"/>
      <c r="S466" s="290"/>
      <c r="T466" s="290"/>
      <c r="U466" s="290"/>
      <c r="V466" s="290"/>
      <c r="W466" s="290"/>
      <c r="X466" s="290"/>
      <c r="Y466" s="290"/>
      <c r="Z466" s="290"/>
      <c r="AA466" s="290"/>
      <c r="AB466" s="290"/>
      <c r="AC466" s="290"/>
      <c r="AD466" s="290"/>
      <c r="AE466" s="290"/>
      <c r="AF466" s="290"/>
      <c r="AG466" s="290"/>
      <c r="AH466" s="290"/>
      <c r="AI466" s="290"/>
      <c r="AJ466" s="290"/>
      <c r="AK466" s="290"/>
      <c r="AL466" s="290"/>
      <c r="AM466" s="290"/>
      <c r="AN466" s="290"/>
      <c r="AO466" s="290"/>
      <c r="AP466" s="290"/>
      <c r="AQ466" s="290"/>
      <c r="AR466" s="290"/>
      <c r="AS466" s="290"/>
      <c r="AT466" s="290"/>
      <c r="AU466" s="290"/>
      <c r="AV466" s="290"/>
      <c r="AW466" s="290"/>
      <c r="AX466" s="290"/>
      <c r="AY466" s="290"/>
      <c r="AZ466" s="290"/>
      <c r="BA466" s="290"/>
      <c r="BB466" s="290"/>
      <c r="BC466" s="290"/>
      <c r="BD466" s="290"/>
      <c r="BE466" s="290"/>
      <c r="BF466" s="290"/>
      <c r="BG466" s="290"/>
      <c r="BH466" s="290"/>
      <c r="BI466" s="290"/>
      <c r="BJ466" s="290"/>
      <c r="BK466" s="290"/>
      <c r="BL466" s="290"/>
      <c r="BM466" s="290"/>
      <c r="BN466" s="290"/>
      <c r="BO466" s="290"/>
      <c r="BP466" s="290"/>
      <c r="BQ466" s="290"/>
      <c r="BR466" s="290"/>
      <c r="BS466" s="290"/>
      <c r="BT466" s="290"/>
      <c r="BU466" s="290"/>
      <c r="BV466" s="290"/>
      <c r="BW466" s="290"/>
      <c r="BX466" s="290"/>
      <c r="BY466" s="290"/>
      <c r="BZ466" s="290"/>
      <c r="CA466" s="290"/>
      <c r="CB466" s="290"/>
      <c r="CC466" s="290"/>
      <c r="CD466" s="290"/>
    </row>
    <row r="467" spans="1:82" ht="15.75" customHeight="1">
      <c r="A467" s="290"/>
      <c r="B467" s="290"/>
      <c r="C467" s="290"/>
      <c r="D467" s="290"/>
      <c r="E467" s="290"/>
      <c r="F467" s="290"/>
      <c r="G467" s="290"/>
      <c r="H467" s="370"/>
      <c r="I467" s="370"/>
      <c r="J467" s="290"/>
      <c r="K467" s="290"/>
      <c r="L467" s="290"/>
      <c r="M467" s="290"/>
      <c r="N467" s="290"/>
      <c r="O467" s="290"/>
      <c r="P467" s="290"/>
      <c r="Q467" s="290"/>
      <c r="R467" s="290"/>
      <c r="S467" s="290"/>
      <c r="T467" s="290"/>
      <c r="U467" s="290"/>
      <c r="V467" s="290"/>
      <c r="W467" s="290"/>
      <c r="X467" s="290"/>
      <c r="Y467" s="290"/>
      <c r="Z467" s="290"/>
      <c r="AA467" s="290"/>
      <c r="AB467" s="290"/>
      <c r="AC467" s="290"/>
      <c r="AD467" s="290"/>
      <c r="AE467" s="290"/>
      <c r="AF467" s="290"/>
      <c r="AG467" s="290"/>
      <c r="AH467" s="290"/>
      <c r="AI467" s="290"/>
      <c r="AJ467" s="290"/>
      <c r="AK467" s="290"/>
      <c r="AL467" s="290"/>
      <c r="AM467" s="290"/>
      <c r="AN467" s="290"/>
      <c r="AO467" s="290"/>
      <c r="AP467" s="290"/>
      <c r="AQ467" s="290"/>
      <c r="AR467" s="290"/>
      <c r="AS467" s="290"/>
      <c r="AT467" s="290"/>
      <c r="AU467" s="290"/>
      <c r="AV467" s="290"/>
      <c r="AW467" s="290"/>
      <c r="AX467" s="290"/>
      <c r="AY467" s="290"/>
      <c r="AZ467" s="290"/>
      <c r="BA467" s="290"/>
      <c r="BB467" s="290"/>
      <c r="BC467" s="290"/>
      <c r="BD467" s="290"/>
      <c r="BE467" s="290"/>
      <c r="BF467" s="290"/>
      <c r="BG467" s="290"/>
      <c r="BH467" s="290"/>
      <c r="BI467" s="290"/>
      <c r="BJ467" s="290"/>
      <c r="BK467" s="290"/>
      <c r="BL467" s="290"/>
      <c r="BM467" s="290"/>
      <c r="BN467" s="290"/>
      <c r="BO467" s="290"/>
      <c r="BP467" s="290"/>
      <c r="BQ467" s="290"/>
      <c r="BR467" s="290"/>
      <c r="BS467" s="290"/>
      <c r="BT467" s="290"/>
      <c r="BU467" s="290"/>
      <c r="BV467" s="290"/>
      <c r="BW467" s="290"/>
      <c r="BX467" s="290"/>
      <c r="BY467" s="290"/>
      <c r="BZ467" s="290"/>
      <c r="CA467" s="290"/>
      <c r="CB467" s="290"/>
      <c r="CC467" s="290"/>
      <c r="CD467" s="290"/>
    </row>
    <row r="468" spans="1:82" ht="15.75" customHeight="1">
      <c r="A468" s="290"/>
      <c r="B468" s="290"/>
      <c r="C468" s="290"/>
      <c r="D468" s="290"/>
      <c r="E468" s="290"/>
      <c r="F468" s="290"/>
      <c r="G468" s="290"/>
      <c r="H468" s="370"/>
      <c r="I468" s="370"/>
      <c r="J468" s="290"/>
      <c r="K468" s="290"/>
      <c r="L468" s="290"/>
      <c r="M468" s="290"/>
      <c r="N468" s="290"/>
      <c r="O468" s="290"/>
      <c r="P468" s="290"/>
      <c r="Q468" s="290"/>
      <c r="R468" s="290"/>
      <c r="S468" s="290"/>
      <c r="T468" s="290"/>
      <c r="U468" s="290"/>
      <c r="V468" s="290"/>
      <c r="W468" s="290"/>
      <c r="X468" s="290"/>
      <c r="Y468" s="290"/>
      <c r="Z468" s="290"/>
      <c r="AA468" s="290"/>
      <c r="AB468" s="290"/>
      <c r="AC468" s="290"/>
      <c r="AD468" s="290"/>
      <c r="AE468" s="290"/>
      <c r="AF468" s="290"/>
      <c r="AG468" s="290"/>
      <c r="AH468" s="290"/>
      <c r="AI468" s="290"/>
      <c r="AJ468" s="290"/>
      <c r="AK468" s="290"/>
      <c r="AL468" s="290"/>
      <c r="AM468" s="290"/>
      <c r="AN468" s="290"/>
      <c r="AO468" s="290"/>
      <c r="AP468" s="290"/>
      <c r="AQ468" s="290"/>
      <c r="AR468" s="290"/>
      <c r="AS468" s="290"/>
      <c r="AT468" s="290"/>
      <c r="AU468" s="290"/>
      <c r="AV468" s="290"/>
      <c r="AW468" s="290"/>
      <c r="AX468" s="290"/>
      <c r="AY468" s="290"/>
      <c r="AZ468" s="290"/>
      <c r="BA468" s="290"/>
      <c r="BB468" s="290"/>
      <c r="BC468" s="290"/>
      <c r="BD468" s="290"/>
      <c r="BE468" s="290"/>
      <c r="BF468" s="290"/>
      <c r="BG468" s="290"/>
      <c r="BH468" s="290"/>
      <c r="BI468" s="290"/>
      <c r="BJ468" s="290"/>
      <c r="BK468" s="290"/>
      <c r="BL468" s="290"/>
      <c r="BM468" s="290"/>
      <c r="BN468" s="290"/>
      <c r="BO468" s="290"/>
      <c r="BP468" s="290"/>
      <c r="BQ468" s="290"/>
      <c r="BR468" s="290"/>
      <c r="BS468" s="290"/>
      <c r="BT468" s="290"/>
      <c r="BU468" s="290"/>
      <c r="BV468" s="290"/>
      <c r="BW468" s="290"/>
      <c r="BX468" s="290"/>
      <c r="BY468" s="290"/>
      <c r="BZ468" s="290"/>
      <c r="CA468" s="290"/>
      <c r="CB468" s="290"/>
      <c r="CC468" s="290"/>
      <c r="CD468" s="290"/>
    </row>
    <row r="469" spans="1:82" ht="15.75" customHeight="1">
      <c r="A469" s="290"/>
      <c r="B469" s="290"/>
      <c r="C469" s="290"/>
      <c r="D469" s="290"/>
      <c r="E469" s="290"/>
      <c r="F469" s="290"/>
      <c r="G469" s="290"/>
      <c r="H469" s="370"/>
      <c r="I469" s="370"/>
      <c r="J469" s="290"/>
      <c r="K469" s="290"/>
      <c r="L469" s="290"/>
      <c r="M469" s="290"/>
      <c r="N469" s="290"/>
      <c r="O469" s="290"/>
      <c r="P469" s="290"/>
      <c r="Q469" s="290"/>
      <c r="R469" s="290"/>
      <c r="S469" s="290"/>
      <c r="T469" s="290"/>
      <c r="U469" s="290"/>
      <c r="V469" s="290"/>
      <c r="W469" s="290"/>
      <c r="X469" s="290"/>
      <c r="Y469" s="290"/>
      <c r="Z469" s="290"/>
      <c r="AA469" s="290"/>
      <c r="AB469" s="290"/>
      <c r="AC469" s="290"/>
      <c r="AD469" s="290"/>
      <c r="AE469" s="290"/>
      <c r="AF469" s="290"/>
      <c r="AG469" s="290"/>
      <c r="AH469" s="290"/>
      <c r="AI469" s="290"/>
      <c r="AJ469" s="290"/>
      <c r="AK469" s="290"/>
      <c r="AL469" s="290"/>
      <c r="AM469" s="290"/>
      <c r="AN469" s="290"/>
      <c r="AO469" s="290"/>
      <c r="AP469" s="290"/>
      <c r="AQ469" s="290"/>
      <c r="AR469" s="290"/>
      <c r="AS469" s="290"/>
      <c r="AT469" s="290"/>
      <c r="AU469" s="290"/>
      <c r="AV469" s="290"/>
      <c r="AW469" s="290"/>
      <c r="AX469" s="290"/>
      <c r="AY469" s="290"/>
      <c r="AZ469" s="290"/>
      <c r="BA469" s="290"/>
      <c r="BB469" s="290"/>
      <c r="BC469" s="290"/>
      <c r="BD469" s="290"/>
      <c r="BE469" s="290"/>
      <c r="BF469" s="290"/>
      <c r="BG469" s="290"/>
      <c r="BH469" s="290"/>
      <c r="BI469" s="290"/>
      <c r="BJ469" s="290"/>
      <c r="BK469" s="290"/>
      <c r="BL469" s="290"/>
      <c r="BM469" s="290"/>
      <c r="BN469" s="290"/>
      <c r="BO469" s="290"/>
      <c r="BP469" s="290"/>
      <c r="BQ469" s="290"/>
      <c r="BR469" s="290"/>
      <c r="BS469" s="290"/>
      <c r="BT469" s="290"/>
      <c r="BU469" s="290"/>
      <c r="BV469" s="290"/>
      <c r="BW469" s="290"/>
      <c r="BX469" s="290"/>
      <c r="BY469" s="290"/>
      <c r="BZ469" s="290"/>
      <c r="CA469" s="290"/>
      <c r="CB469" s="290"/>
      <c r="CC469" s="290"/>
      <c r="CD469" s="290"/>
    </row>
    <row r="470" spans="1:82" ht="15.75" customHeight="1">
      <c r="A470" s="290"/>
      <c r="B470" s="290"/>
      <c r="C470" s="290"/>
      <c r="D470" s="290"/>
      <c r="E470" s="290"/>
      <c r="F470" s="290"/>
      <c r="G470" s="290"/>
      <c r="H470" s="370"/>
      <c r="I470" s="370"/>
      <c r="J470" s="290"/>
      <c r="K470" s="290"/>
      <c r="L470" s="290"/>
      <c r="M470" s="290"/>
      <c r="N470" s="290"/>
      <c r="O470" s="290"/>
      <c r="P470" s="290"/>
      <c r="Q470" s="290"/>
      <c r="R470" s="290"/>
      <c r="S470" s="290"/>
      <c r="T470" s="290"/>
      <c r="U470" s="290"/>
      <c r="V470" s="290"/>
      <c r="W470" s="290"/>
      <c r="X470" s="290"/>
      <c r="Y470" s="290"/>
      <c r="Z470" s="290"/>
      <c r="AA470" s="290"/>
      <c r="AB470" s="290"/>
      <c r="AC470" s="290"/>
      <c r="AD470" s="290"/>
      <c r="AE470" s="290"/>
      <c r="AF470" s="290"/>
      <c r="AG470" s="290"/>
      <c r="AH470" s="290"/>
      <c r="AI470" s="290"/>
      <c r="AJ470" s="290"/>
      <c r="AK470" s="290"/>
      <c r="AL470" s="290"/>
      <c r="AM470" s="290"/>
      <c r="AN470" s="290"/>
      <c r="AO470" s="290"/>
      <c r="AP470" s="290"/>
      <c r="AQ470" s="290"/>
      <c r="AR470" s="290"/>
      <c r="AS470" s="290"/>
      <c r="AT470" s="290"/>
      <c r="AU470" s="290"/>
      <c r="AV470" s="290"/>
      <c r="AW470" s="290"/>
      <c r="AX470" s="290"/>
      <c r="AY470" s="290"/>
      <c r="AZ470" s="290"/>
      <c r="BA470" s="290"/>
      <c r="BB470" s="290"/>
      <c r="BC470" s="290"/>
      <c r="BD470" s="290"/>
      <c r="BE470" s="290"/>
      <c r="BF470" s="290"/>
      <c r="BG470" s="290"/>
      <c r="BH470" s="290"/>
      <c r="BI470" s="290"/>
      <c r="BJ470" s="290"/>
      <c r="BK470" s="290"/>
      <c r="BL470" s="290"/>
      <c r="BM470" s="290"/>
      <c r="BN470" s="290"/>
      <c r="BO470" s="290"/>
      <c r="BP470" s="290"/>
      <c r="BQ470" s="290"/>
      <c r="BR470" s="290"/>
      <c r="BS470" s="290"/>
      <c r="BT470" s="290"/>
      <c r="BU470" s="290"/>
      <c r="BV470" s="290"/>
      <c r="BW470" s="290"/>
      <c r="BX470" s="290"/>
      <c r="BY470" s="290"/>
      <c r="BZ470" s="290"/>
      <c r="CA470" s="290"/>
      <c r="CB470" s="290"/>
      <c r="CC470" s="290"/>
      <c r="CD470" s="290"/>
    </row>
    <row r="471" spans="1:82" ht="15.75" customHeight="1">
      <c r="A471" s="290"/>
      <c r="B471" s="290"/>
      <c r="C471" s="290"/>
      <c r="D471" s="290"/>
      <c r="E471" s="290"/>
      <c r="F471" s="290"/>
      <c r="G471" s="290"/>
      <c r="H471" s="370"/>
      <c r="I471" s="370"/>
      <c r="J471" s="290"/>
      <c r="K471" s="290"/>
      <c r="L471" s="290"/>
      <c r="M471" s="290"/>
      <c r="N471" s="290"/>
      <c r="O471" s="290"/>
      <c r="P471" s="290"/>
      <c r="Q471" s="290"/>
      <c r="R471" s="290"/>
      <c r="S471" s="290"/>
      <c r="T471" s="290"/>
      <c r="U471" s="290"/>
      <c r="V471" s="290"/>
      <c r="W471" s="290"/>
      <c r="X471" s="290"/>
      <c r="Y471" s="290"/>
      <c r="Z471" s="290"/>
      <c r="AA471" s="290"/>
      <c r="AB471" s="290"/>
      <c r="AC471" s="290"/>
      <c r="AD471" s="290"/>
      <c r="AE471" s="290"/>
      <c r="AF471" s="290"/>
      <c r="AG471" s="290"/>
      <c r="AH471" s="290"/>
      <c r="AI471" s="290"/>
      <c r="AJ471" s="290"/>
      <c r="AK471" s="290"/>
      <c r="AL471" s="290"/>
      <c r="AM471" s="290"/>
      <c r="AN471" s="290"/>
      <c r="AO471" s="290"/>
      <c r="AP471" s="290"/>
      <c r="AQ471" s="290"/>
      <c r="AR471" s="290"/>
      <c r="AS471" s="290"/>
      <c r="AT471" s="290"/>
      <c r="AU471" s="290"/>
      <c r="AV471" s="290"/>
      <c r="AW471" s="290"/>
      <c r="AX471" s="290"/>
      <c r="AY471" s="290"/>
      <c r="AZ471" s="290"/>
      <c r="BA471" s="290"/>
      <c r="BB471" s="290"/>
      <c r="BC471" s="290"/>
      <c r="BD471" s="290"/>
      <c r="BE471" s="290"/>
      <c r="BF471" s="290"/>
      <c r="BG471" s="290"/>
      <c r="BH471" s="290"/>
      <c r="BI471" s="290"/>
      <c r="BJ471" s="290"/>
      <c r="BK471" s="290"/>
      <c r="BL471" s="290"/>
      <c r="BM471" s="290"/>
      <c r="BN471" s="290"/>
      <c r="BO471" s="290"/>
      <c r="BP471" s="290"/>
      <c r="BQ471" s="290"/>
      <c r="BR471" s="290"/>
      <c r="BS471" s="290"/>
      <c r="BT471" s="290"/>
      <c r="BU471" s="290"/>
      <c r="BV471" s="290"/>
      <c r="BW471" s="290"/>
      <c r="BX471" s="290"/>
      <c r="BY471" s="290"/>
      <c r="BZ471" s="290"/>
      <c r="CA471" s="290"/>
      <c r="CB471" s="290"/>
      <c r="CC471" s="290"/>
      <c r="CD471" s="290"/>
    </row>
    <row r="472" spans="1:82" ht="15.75" customHeight="1">
      <c r="A472" s="290"/>
      <c r="B472" s="290"/>
      <c r="C472" s="290"/>
      <c r="D472" s="290"/>
      <c r="E472" s="290"/>
      <c r="F472" s="290"/>
      <c r="G472" s="290"/>
      <c r="H472" s="370"/>
      <c r="I472" s="370"/>
      <c r="J472" s="290"/>
      <c r="K472" s="290"/>
      <c r="L472" s="290"/>
      <c r="M472" s="290"/>
      <c r="N472" s="290"/>
      <c r="O472" s="290"/>
      <c r="P472" s="290"/>
      <c r="Q472" s="290"/>
      <c r="R472" s="290"/>
      <c r="S472" s="290"/>
      <c r="T472" s="290"/>
      <c r="U472" s="290"/>
      <c r="V472" s="290"/>
      <c r="W472" s="290"/>
      <c r="X472" s="290"/>
      <c r="Y472" s="290"/>
      <c r="Z472" s="290"/>
      <c r="AA472" s="290"/>
      <c r="AB472" s="290"/>
      <c r="AC472" s="290"/>
      <c r="AD472" s="290"/>
      <c r="AE472" s="290"/>
      <c r="AF472" s="290"/>
      <c r="AG472" s="290"/>
      <c r="AH472" s="290"/>
      <c r="AI472" s="290"/>
      <c r="AJ472" s="290"/>
      <c r="AK472" s="290"/>
      <c r="AL472" s="290"/>
      <c r="AM472" s="290"/>
      <c r="AN472" s="290"/>
      <c r="AO472" s="290"/>
      <c r="AP472" s="290"/>
      <c r="AQ472" s="290"/>
      <c r="AR472" s="290"/>
      <c r="AS472" s="290"/>
      <c r="AT472" s="290"/>
      <c r="AU472" s="290"/>
      <c r="AV472" s="290"/>
      <c r="AW472" s="290"/>
      <c r="AX472" s="290"/>
      <c r="AY472" s="290"/>
      <c r="AZ472" s="290"/>
      <c r="BA472" s="290"/>
      <c r="BB472" s="290"/>
      <c r="BC472" s="290"/>
      <c r="BD472" s="290"/>
      <c r="BE472" s="290"/>
      <c r="BF472" s="290"/>
      <c r="BG472" s="290"/>
      <c r="BH472" s="290"/>
      <c r="BI472" s="290"/>
      <c r="BJ472" s="290"/>
      <c r="BK472" s="290"/>
      <c r="BL472" s="290"/>
      <c r="BM472" s="290"/>
      <c r="BN472" s="290"/>
      <c r="BO472" s="290"/>
      <c r="BP472" s="290"/>
      <c r="BQ472" s="290"/>
      <c r="BR472" s="290"/>
      <c r="BS472" s="290"/>
      <c r="BT472" s="290"/>
      <c r="BU472" s="290"/>
      <c r="BV472" s="290"/>
      <c r="BW472" s="290"/>
      <c r="BX472" s="290"/>
      <c r="BY472" s="290"/>
      <c r="BZ472" s="290"/>
      <c r="CA472" s="290"/>
      <c r="CB472" s="290"/>
      <c r="CC472" s="290"/>
      <c r="CD472" s="290"/>
    </row>
    <row r="473" spans="1:82" ht="15.75" customHeight="1">
      <c r="A473" s="290"/>
      <c r="B473" s="290"/>
      <c r="C473" s="290"/>
      <c r="D473" s="290"/>
      <c r="E473" s="290"/>
      <c r="F473" s="290"/>
      <c r="G473" s="290"/>
      <c r="H473" s="370"/>
      <c r="I473" s="370"/>
      <c r="J473" s="290"/>
      <c r="K473" s="290"/>
      <c r="L473" s="290"/>
      <c r="M473" s="290"/>
      <c r="N473" s="290"/>
      <c r="O473" s="290"/>
      <c r="P473" s="290"/>
      <c r="Q473" s="290"/>
      <c r="R473" s="290"/>
      <c r="S473" s="290"/>
      <c r="T473" s="290"/>
      <c r="U473" s="290"/>
      <c r="V473" s="290"/>
      <c r="W473" s="290"/>
      <c r="X473" s="290"/>
      <c r="Y473" s="290"/>
      <c r="Z473" s="290"/>
      <c r="AA473" s="290"/>
      <c r="AB473" s="290"/>
      <c r="AC473" s="290"/>
      <c r="AD473" s="290"/>
      <c r="AE473" s="290"/>
      <c r="AF473" s="290"/>
      <c r="AG473" s="290"/>
      <c r="AH473" s="290"/>
      <c r="AI473" s="290"/>
      <c r="AJ473" s="290"/>
      <c r="AK473" s="290"/>
      <c r="AL473" s="290"/>
      <c r="AM473" s="290"/>
      <c r="AN473" s="290"/>
      <c r="AO473" s="290"/>
      <c r="AP473" s="290"/>
      <c r="AQ473" s="290"/>
      <c r="AR473" s="290"/>
      <c r="AS473" s="290"/>
      <c r="AT473" s="290"/>
      <c r="AU473" s="290"/>
      <c r="AV473" s="290"/>
      <c r="AW473" s="290"/>
      <c r="AX473" s="290"/>
      <c r="AY473" s="290"/>
      <c r="AZ473" s="290"/>
      <c r="BA473" s="290"/>
      <c r="BB473" s="290"/>
      <c r="BC473" s="290"/>
      <c r="BD473" s="290"/>
      <c r="BE473" s="290"/>
      <c r="BF473" s="290"/>
      <c r="BG473" s="290"/>
      <c r="BH473" s="290"/>
      <c r="BI473" s="290"/>
      <c r="BJ473" s="290"/>
      <c r="BK473" s="290"/>
      <c r="BL473" s="290"/>
      <c r="BM473" s="290"/>
      <c r="BN473" s="290"/>
      <c r="BO473" s="290"/>
      <c r="BP473" s="290"/>
      <c r="BQ473" s="290"/>
      <c r="BR473" s="290"/>
      <c r="BS473" s="290"/>
      <c r="BT473" s="290"/>
      <c r="BU473" s="290"/>
      <c r="BV473" s="290"/>
      <c r="BW473" s="290"/>
      <c r="BX473" s="290"/>
      <c r="BY473" s="290"/>
      <c r="BZ473" s="290"/>
      <c r="CA473" s="290"/>
      <c r="CB473" s="290"/>
      <c r="CC473" s="290"/>
      <c r="CD473" s="290"/>
    </row>
    <row r="474" spans="1:82" ht="15.75" customHeight="1">
      <c r="A474" s="290"/>
      <c r="B474" s="290"/>
      <c r="C474" s="290"/>
      <c r="D474" s="290"/>
      <c r="E474" s="290"/>
      <c r="F474" s="290"/>
      <c r="G474" s="290"/>
      <c r="H474" s="370"/>
      <c r="I474" s="370"/>
      <c r="J474" s="290"/>
      <c r="K474" s="290"/>
      <c r="L474" s="290"/>
      <c r="M474" s="290"/>
      <c r="N474" s="290"/>
      <c r="O474" s="290"/>
      <c r="P474" s="290"/>
      <c r="Q474" s="290"/>
      <c r="R474" s="290"/>
      <c r="S474" s="290"/>
      <c r="T474" s="290"/>
      <c r="U474" s="290"/>
      <c r="V474" s="290"/>
      <c r="W474" s="290"/>
      <c r="X474" s="290"/>
      <c r="Y474" s="290"/>
      <c r="Z474" s="290"/>
      <c r="AA474" s="290"/>
      <c r="AB474" s="290"/>
      <c r="AC474" s="290"/>
      <c r="AD474" s="290"/>
      <c r="AE474" s="290"/>
      <c r="AF474" s="290"/>
      <c r="AG474" s="290"/>
      <c r="AH474" s="290"/>
      <c r="AI474" s="290"/>
      <c r="AJ474" s="290"/>
      <c r="AK474" s="290"/>
      <c r="AL474" s="290"/>
      <c r="AM474" s="290"/>
      <c r="AN474" s="290"/>
      <c r="AO474" s="290"/>
      <c r="AP474" s="290"/>
      <c r="AQ474" s="290"/>
      <c r="AR474" s="290"/>
      <c r="AS474" s="290"/>
      <c r="AT474" s="290"/>
      <c r="AU474" s="290"/>
      <c r="AV474" s="290"/>
      <c r="AW474" s="290"/>
      <c r="AX474" s="290"/>
      <c r="AY474" s="290"/>
      <c r="AZ474" s="290"/>
      <c r="BA474" s="290"/>
      <c r="BB474" s="290"/>
      <c r="BC474" s="290"/>
      <c r="BD474" s="290"/>
      <c r="BE474" s="290"/>
      <c r="BF474" s="290"/>
      <c r="BG474" s="290"/>
      <c r="BH474" s="290"/>
      <c r="BI474" s="290"/>
      <c r="BJ474" s="290"/>
      <c r="BK474" s="290"/>
      <c r="BL474" s="290"/>
      <c r="BM474" s="290"/>
      <c r="BN474" s="290"/>
      <c r="BO474" s="290"/>
      <c r="BP474" s="290"/>
      <c r="BQ474" s="290"/>
      <c r="BR474" s="290"/>
      <c r="BS474" s="290"/>
      <c r="BT474" s="290"/>
      <c r="BU474" s="290"/>
      <c r="BV474" s="290"/>
      <c r="BW474" s="290"/>
      <c r="BX474" s="290"/>
      <c r="BY474" s="290"/>
      <c r="BZ474" s="290"/>
      <c r="CA474" s="290"/>
      <c r="CB474" s="290"/>
      <c r="CC474" s="290"/>
      <c r="CD474" s="290"/>
    </row>
    <row r="475" spans="1:82" ht="15.75" customHeight="1">
      <c r="A475" s="290"/>
      <c r="B475" s="290"/>
      <c r="C475" s="290"/>
      <c r="D475" s="290"/>
      <c r="E475" s="290"/>
      <c r="F475" s="290"/>
      <c r="G475" s="290"/>
      <c r="H475" s="370"/>
      <c r="I475" s="370"/>
      <c r="J475" s="290"/>
      <c r="K475" s="290"/>
      <c r="L475" s="290"/>
      <c r="M475" s="290"/>
      <c r="N475" s="290"/>
      <c r="O475" s="290"/>
      <c r="P475" s="290"/>
      <c r="Q475" s="290"/>
      <c r="R475" s="290"/>
      <c r="S475" s="290"/>
      <c r="T475" s="290"/>
      <c r="U475" s="290"/>
      <c r="V475" s="290"/>
      <c r="W475" s="290"/>
      <c r="X475" s="290"/>
      <c r="Y475" s="290"/>
      <c r="Z475" s="290"/>
      <c r="AA475" s="290"/>
      <c r="AB475" s="290"/>
      <c r="AC475" s="290"/>
      <c r="AD475" s="290"/>
      <c r="AE475" s="290"/>
      <c r="AF475" s="290"/>
      <c r="AG475" s="290"/>
      <c r="AH475" s="290"/>
      <c r="AI475" s="290"/>
      <c r="AJ475" s="290"/>
      <c r="AK475" s="290"/>
      <c r="AL475" s="290"/>
      <c r="AM475" s="290"/>
      <c r="AN475" s="290"/>
      <c r="AO475" s="290"/>
      <c r="AP475" s="290"/>
      <c r="AQ475" s="290"/>
      <c r="AR475" s="290"/>
      <c r="AS475" s="290"/>
      <c r="AT475" s="290"/>
      <c r="AU475" s="290"/>
      <c r="AV475" s="290"/>
      <c r="AW475" s="290"/>
      <c r="AX475" s="290"/>
      <c r="AY475" s="290"/>
      <c r="AZ475" s="290"/>
      <c r="BA475" s="290"/>
      <c r="BB475" s="290"/>
      <c r="BC475" s="290"/>
      <c r="BD475" s="290"/>
      <c r="BE475" s="290"/>
      <c r="BF475" s="290"/>
      <c r="BG475" s="290"/>
      <c r="BH475" s="290"/>
      <c r="BI475" s="290"/>
      <c r="BJ475" s="290"/>
      <c r="BK475" s="290"/>
      <c r="BL475" s="290"/>
      <c r="BM475" s="290"/>
      <c r="BN475" s="290"/>
      <c r="BO475" s="290"/>
      <c r="BP475" s="290"/>
      <c r="BQ475" s="290"/>
      <c r="BR475" s="290"/>
      <c r="BS475" s="290"/>
      <c r="BT475" s="290"/>
      <c r="BU475" s="290"/>
      <c r="BV475" s="290"/>
      <c r="BW475" s="290"/>
      <c r="BX475" s="290"/>
      <c r="BY475" s="290"/>
      <c r="BZ475" s="290"/>
      <c r="CA475" s="290"/>
      <c r="CB475" s="290"/>
      <c r="CC475" s="290"/>
      <c r="CD475" s="290"/>
    </row>
    <row r="476" spans="1:82" ht="15.75" customHeight="1">
      <c r="A476" s="290"/>
      <c r="B476" s="290"/>
      <c r="C476" s="290"/>
      <c r="D476" s="290"/>
      <c r="E476" s="290"/>
      <c r="F476" s="290"/>
      <c r="G476" s="290"/>
      <c r="H476" s="370"/>
      <c r="I476" s="370"/>
      <c r="J476" s="290"/>
      <c r="K476" s="290"/>
      <c r="L476" s="290"/>
      <c r="M476" s="290"/>
      <c r="N476" s="290"/>
      <c r="O476" s="290"/>
      <c r="P476" s="290"/>
      <c r="Q476" s="290"/>
      <c r="R476" s="290"/>
      <c r="S476" s="290"/>
      <c r="T476" s="290"/>
      <c r="U476" s="290"/>
      <c r="V476" s="290"/>
      <c r="W476" s="290"/>
      <c r="X476" s="290"/>
      <c r="Y476" s="290"/>
      <c r="Z476" s="290"/>
      <c r="AA476" s="290"/>
      <c r="AB476" s="290"/>
      <c r="AC476" s="290"/>
      <c r="AD476" s="290"/>
      <c r="AE476" s="290"/>
      <c r="AF476" s="290"/>
      <c r="AG476" s="290"/>
      <c r="AH476" s="290"/>
      <c r="AI476" s="290"/>
      <c r="AJ476" s="290"/>
      <c r="AK476" s="290"/>
      <c r="AL476" s="290"/>
      <c r="AM476" s="290"/>
      <c r="AN476" s="290"/>
      <c r="AO476" s="290"/>
      <c r="AP476" s="290"/>
      <c r="AQ476" s="290"/>
      <c r="AR476" s="290"/>
      <c r="AS476" s="290"/>
      <c r="AT476" s="290"/>
      <c r="AU476" s="290"/>
      <c r="AV476" s="290"/>
      <c r="AW476" s="290"/>
      <c r="AX476" s="290"/>
      <c r="AY476" s="290"/>
      <c r="AZ476" s="290"/>
      <c r="BA476" s="290"/>
      <c r="BB476" s="290"/>
      <c r="BC476" s="290"/>
      <c r="BD476" s="290"/>
      <c r="BE476" s="290"/>
      <c r="BF476" s="290"/>
      <c r="BG476" s="290"/>
      <c r="BH476" s="290"/>
      <c r="BI476" s="290"/>
      <c r="BJ476" s="290"/>
      <c r="BK476" s="290"/>
      <c r="BL476" s="290"/>
      <c r="BM476" s="290"/>
      <c r="BN476" s="290"/>
      <c r="BO476" s="290"/>
      <c r="BP476" s="290"/>
      <c r="BQ476" s="290"/>
      <c r="BR476" s="290"/>
      <c r="BS476" s="290"/>
      <c r="BT476" s="290"/>
      <c r="BU476" s="290"/>
      <c r="BV476" s="290"/>
      <c r="BW476" s="290"/>
      <c r="BX476" s="290"/>
      <c r="BY476" s="290"/>
      <c r="BZ476" s="290"/>
      <c r="CA476" s="290"/>
      <c r="CB476" s="290"/>
      <c r="CC476" s="290"/>
      <c r="CD476" s="290"/>
    </row>
    <row r="477" spans="1:82" ht="15.75" customHeight="1">
      <c r="A477" s="290"/>
      <c r="B477" s="290"/>
      <c r="C477" s="290"/>
      <c r="D477" s="290"/>
      <c r="E477" s="290"/>
      <c r="F477" s="290"/>
      <c r="G477" s="290"/>
      <c r="H477" s="370"/>
      <c r="I477" s="370"/>
      <c r="J477" s="290"/>
      <c r="K477" s="290"/>
      <c r="L477" s="290"/>
      <c r="M477" s="290"/>
      <c r="N477" s="290"/>
      <c r="O477" s="290"/>
      <c r="P477" s="290"/>
      <c r="Q477" s="290"/>
      <c r="R477" s="290"/>
      <c r="S477" s="290"/>
      <c r="T477" s="290"/>
      <c r="U477" s="290"/>
      <c r="V477" s="290"/>
      <c r="W477" s="290"/>
      <c r="X477" s="290"/>
      <c r="Y477" s="290"/>
      <c r="Z477" s="290"/>
      <c r="AA477" s="290"/>
      <c r="AB477" s="290"/>
      <c r="AC477" s="290"/>
      <c r="AD477" s="290"/>
      <c r="AE477" s="290"/>
      <c r="AF477" s="290"/>
      <c r="AG477" s="290"/>
      <c r="AH477" s="290"/>
      <c r="AI477" s="290"/>
      <c r="AJ477" s="290"/>
      <c r="AK477" s="290"/>
      <c r="AL477" s="290"/>
      <c r="AM477" s="290"/>
      <c r="AN477" s="290"/>
      <c r="AO477" s="290"/>
      <c r="AP477" s="290"/>
      <c r="AQ477" s="290"/>
      <c r="AR477" s="290"/>
      <c r="AS477" s="290"/>
      <c r="AT477" s="290"/>
      <c r="AU477" s="290"/>
      <c r="AV477" s="290"/>
      <c r="AW477" s="290"/>
      <c r="AX477" s="290"/>
      <c r="AY477" s="290"/>
      <c r="AZ477" s="290"/>
      <c r="BA477" s="290"/>
      <c r="BB477" s="290"/>
      <c r="BC477" s="290"/>
      <c r="BD477" s="290"/>
      <c r="BE477" s="290"/>
      <c r="BF477" s="290"/>
      <c r="BG477" s="290"/>
      <c r="BH477" s="290"/>
      <c r="BI477" s="290"/>
      <c r="BJ477" s="290"/>
      <c r="BK477" s="290"/>
      <c r="BL477" s="290"/>
      <c r="BM477" s="290"/>
      <c r="BN477" s="290"/>
      <c r="BO477" s="290"/>
      <c r="BP477" s="290"/>
      <c r="BQ477" s="290"/>
      <c r="BR477" s="290"/>
      <c r="BS477" s="290"/>
      <c r="BT477" s="290"/>
      <c r="BU477" s="290"/>
      <c r="BV477" s="290"/>
      <c r="BW477" s="290"/>
      <c r="BX477" s="290"/>
      <c r="BY477" s="290"/>
      <c r="BZ477" s="290"/>
      <c r="CA477" s="290"/>
      <c r="CB477" s="290"/>
      <c r="CC477" s="290"/>
      <c r="CD477" s="290"/>
    </row>
    <row r="478" spans="1:82" ht="15.75" customHeight="1">
      <c r="A478" s="290"/>
      <c r="B478" s="290"/>
      <c r="C478" s="290"/>
      <c r="D478" s="290"/>
      <c r="E478" s="290"/>
      <c r="F478" s="290"/>
      <c r="G478" s="290"/>
      <c r="H478" s="370"/>
      <c r="I478" s="370"/>
      <c r="J478" s="290"/>
      <c r="K478" s="290"/>
      <c r="L478" s="290"/>
      <c r="M478" s="290"/>
      <c r="N478" s="290"/>
      <c r="O478" s="290"/>
      <c r="P478" s="290"/>
      <c r="Q478" s="290"/>
      <c r="R478" s="290"/>
      <c r="S478" s="290"/>
      <c r="T478" s="290"/>
      <c r="U478" s="290"/>
      <c r="V478" s="290"/>
      <c r="W478" s="290"/>
      <c r="X478" s="290"/>
      <c r="Y478" s="290"/>
      <c r="Z478" s="290"/>
      <c r="AA478" s="290"/>
      <c r="AB478" s="290"/>
      <c r="AC478" s="290"/>
      <c r="AD478" s="290"/>
      <c r="AE478" s="290"/>
      <c r="AF478" s="290"/>
      <c r="AG478" s="290"/>
      <c r="AH478" s="290"/>
      <c r="AI478" s="290"/>
      <c r="AJ478" s="290"/>
      <c r="AK478" s="290"/>
      <c r="AL478" s="290"/>
      <c r="AM478" s="290"/>
      <c r="AN478" s="290"/>
      <c r="AO478" s="290"/>
      <c r="AP478" s="290"/>
      <c r="AQ478" s="290"/>
      <c r="AR478" s="290"/>
      <c r="AS478" s="290"/>
      <c r="AT478" s="290"/>
      <c r="AU478" s="290"/>
      <c r="AV478" s="290"/>
      <c r="AW478" s="290"/>
      <c r="AX478" s="290"/>
      <c r="AY478" s="290"/>
      <c r="AZ478" s="290"/>
      <c r="BA478" s="290"/>
      <c r="BB478" s="290"/>
      <c r="BC478" s="290"/>
      <c r="BD478" s="290"/>
      <c r="BE478" s="290"/>
      <c r="BF478" s="290"/>
      <c r="BG478" s="290"/>
      <c r="BH478" s="290"/>
      <c r="BI478" s="290"/>
      <c r="BJ478" s="290"/>
      <c r="BK478" s="290"/>
      <c r="BL478" s="290"/>
      <c r="BM478" s="290"/>
      <c r="BN478" s="290"/>
      <c r="BO478" s="290"/>
      <c r="BP478" s="290"/>
      <c r="BQ478" s="290"/>
      <c r="BR478" s="290"/>
      <c r="BS478" s="290"/>
      <c r="BT478" s="290"/>
      <c r="BU478" s="290"/>
      <c r="BV478" s="290"/>
      <c r="BW478" s="290"/>
      <c r="BX478" s="290"/>
      <c r="BY478" s="290"/>
      <c r="BZ478" s="290"/>
      <c r="CA478" s="290"/>
      <c r="CB478" s="290"/>
      <c r="CC478" s="290"/>
      <c r="CD478" s="290"/>
    </row>
    <row r="479" spans="1:82" ht="15.75" customHeight="1">
      <c r="A479" s="290"/>
      <c r="B479" s="290"/>
      <c r="C479" s="290"/>
      <c r="D479" s="290"/>
      <c r="E479" s="290"/>
      <c r="F479" s="290"/>
      <c r="G479" s="290"/>
      <c r="H479" s="370"/>
      <c r="I479" s="370"/>
      <c r="J479" s="290"/>
      <c r="K479" s="290"/>
      <c r="L479" s="290"/>
      <c r="M479" s="290"/>
      <c r="N479" s="290"/>
      <c r="O479" s="290"/>
      <c r="P479" s="290"/>
      <c r="Q479" s="290"/>
      <c r="R479" s="290"/>
      <c r="S479" s="290"/>
      <c r="T479" s="290"/>
      <c r="U479" s="290"/>
      <c r="V479" s="290"/>
      <c r="W479" s="290"/>
      <c r="X479" s="290"/>
      <c r="Y479" s="290"/>
      <c r="Z479" s="290"/>
      <c r="AA479" s="290"/>
      <c r="AB479" s="290"/>
      <c r="AC479" s="290"/>
      <c r="AD479" s="290"/>
      <c r="AE479" s="290"/>
      <c r="AF479" s="290"/>
      <c r="AG479" s="290"/>
      <c r="AH479" s="290"/>
      <c r="AI479" s="290"/>
      <c r="AJ479" s="290"/>
      <c r="AK479" s="290"/>
      <c r="AL479" s="290"/>
      <c r="AM479" s="290"/>
      <c r="AN479" s="290"/>
      <c r="AO479" s="290"/>
      <c r="AP479" s="290"/>
      <c r="AQ479" s="290"/>
      <c r="AR479" s="290"/>
      <c r="AS479" s="290"/>
      <c r="AT479" s="290"/>
      <c r="AU479" s="290"/>
      <c r="AV479" s="290"/>
      <c r="AW479" s="290"/>
      <c r="AX479" s="290"/>
      <c r="AY479" s="290"/>
      <c r="AZ479" s="290"/>
      <c r="BA479" s="290"/>
      <c r="BB479" s="290"/>
      <c r="BC479" s="290"/>
      <c r="BD479" s="290"/>
      <c r="BE479" s="290"/>
      <c r="BF479" s="290"/>
      <c r="BG479" s="290"/>
      <c r="BH479" s="290"/>
      <c r="BI479" s="290"/>
      <c r="BJ479" s="290"/>
      <c r="BK479" s="290"/>
      <c r="BL479" s="290"/>
      <c r="BM479" s="290"/>
      <c r="BN479" s="290"/>
      <c r="BO479" s="290"/>
      <c r="BP479" s="290"/>
      <c r="BQ479" s="290"/>
      <c r="BR479" s="290"/>
      <c r="BS479" s="290"/>
      <c r="BT479" s="290"/>
      <c r="BU479" s="290"/>
      <c r="BV479" s="290"/>
      <c r="BW479" s="290"/>
      <c r="BX479" s="290"/>
      <c r="BY479" s="290"/>
      <c r="BZ479" s="290"/>
      <c r="CA479" s="290"/>
      <c r="CB479" s="290"/>
      <c r="CC479" s="290"/>
      <c r="CD479" s="290"/>
    </row>
    <row r="480" spans="1:82" ht="15.75" customHeight="1">
      <c r="A480" s="290"/>
      <c r="B480" s="290"/>
      <c r="C480" s="290"/>
      <c r="D480" s="290"/>
      <c r="E480" s="290"/>
      <c r="F480" s="290"/>
      <c r="G480" s="290"/>
      <c r="H480" s="370"/>
      <c r="I480" s="370"/>
      <c r="J480" s="290"/>
      <c r="K480" s="290"/>
      <c r="L480" s="290"/>
      <c r="M480" s="290"/>
      <c r="N480" s="290"/>
      <c r="O480" s="290"/>
      <c r="P480" s="290"/>
      <c r="Q480" s="290"/>
      <c r="R480" s="290"/>
      <c r="S480" s="290"/>
      <c r="T480" s="290"/>
      <c r="U480" s="290"/>
      <c r="V480" s="290"/>
      <c r="W480" s="290"/>
      <c r="X480" s="290"/>
      <c r="Y480" s="290"/>
      <c r="Z480" s="290"/>
      <c r="AA480" s="290"/>
      <c r="AB480" s="290"/>
      <c r="AC480" s="290"/>
      <c r="AD480" s="290"/>
      <c r="AE480" s="290"/>
      <c r="AF480" s="290"/>
      <c r="AG480" s="290"/>
      <c r="AH480" s="290"/>
      <c r="AI480" s="290"/>
      <c r="AJ480" s="290"/>
      <c r="AK480" s="290"/>
      <c r="AL480" s="290"/>
      <c r="AM480" s="290"/>
      <c r="AN480" s="290"/>
      <c r="AO480" s="290"/>
      <c r="AP480" s="290"/>
      <c r="AQ480" s="290"/>
      <c r="AR480" s="290"/>
      <c r="AS480" s="290"/>
      <c r="AT480" s="290"/>
      <c r="AU480" s="290"/>
      <c r="AV480" s="290"/>
      <c r="AW480" s="290"/>
      <c r="AX480" s="290"/>
      <c r="AY480" s="290"/>
      <c r="AZ480" s="290"/>
      <c r="BA480" s="290"/>
      <c r="BB480" s="290"/>
      <c r="BC480" s="290"/>
      <c r="BD480" s="290"/>
      <c r="BE480" s="290"/>
      <c r="BF480" s="290"/>
      <c r="BG480" s="290"/>
      <c r="BH480" s="290"/>
      <c r="BI480" s="290"/>
      <c r="BJ480" s="290"/>
      <c r="BK480" s="290"/>
      <c r="BL480" s="290"/>
      <c r="BM480" s="290"/>
      <c r="BN480" s="290"/>
      <c r="BO480" s="290"/>
      <c r="BP480" s="290"/>
      <c r="BQ480" s="290"/>
      <c r="BR480" s="290"/>
      <c r="BS480" s="290"/>
      <c r="BT480" s="290"/>
      <c r="BU480" s="290"/>
      <c r="BV480" s="290"/>
      <c r="BW480" s="290"/>
      <c r="BX480" s="290"/>
      <c r="BY480" s="290"/>
      <c r="BZ480" s="290"/>
      <c r="CA480" s="290"/>
      <c r="CB480" s="290"/>
      <c r="CC480" s="290"/>
      <c r="CD480" s="290"/>
    </row>
    <row r="481" spans="1:82" ht="15.75" customHeight="1">
      <c r="A481" s="290"/>
      <c r="B481" s="290"/>
      <c r="C481" s="290"/>
      <c r="D481" s="290"/>
      <c r="E481" s="290"/>
      <c r="F481" s="290"/>
      <c r="G481" s="290"/>
      <c r="H481" s="370"/>
      <c r="I481" s="370"/>
      <c r="J481" s="290"/>
      <c r="K481" s="290"/>
      <c r="L481" s="290"/>
      <c r="M481" s="290"/>
      <c r="N481" s="290"/>
      <c r="O481" s="290"/>
      <c r="P481" s="290"/>
      <c r="Q481" s="290"/>
      <c r="R481" s="290"/>
      <c r="S481" s="290"/>
      <c r="T481" s="290"/>
      <c r="U481" s="290"/>
      <c r="V481" s="290"/>
      <c r="W481" s="290"/>
      <c r="X481" s="290"/>
      <c r="Y481" s="290"/>
      <c r="Z481" s="290"/>
      <c r="AA481" s="290"/>
      <c r="AB481" s="290"/>
      <c r="AC481" s="290"/>
      <c r="AD481" s="290"/>
      <c r="AE481" s="290"/>
      <c r="AF481" s="290"/>
      <c r="AG481" s="290"/>
      <c r="AH481" s="290"/>
      <c r="AI481" s="290"/>
      <c r="AJ481" s="290"/>
      <c r="AK481" s="290"/>
      <c r="AL481" s="290"/>
      <c r="AM481" s="290"/>
      <c r="AN481" s="290"/>
      <c r="AO481" s="290"/>
      <c r="AP481" s="290"/>
      <c r="AQ481" s="290"/>
      <c r="AR481" s="290"/>
      <c r="AS481" s="290"/>
      <c r="AT481" s="290"/>
      <c r="AU481" s="290"/>
      <c r="AV481" s="290"/>
      <c r="AW481" s="290"/>
      <c r="AX481" s="290"/>
      <c r="AY481" s="290"/>
      <c r="AZ481" s="290"/>
      <c r="BA481" s="290"/>
      <c r="BB481" s="290"/>
      <c r="BC481" s="290"/>
      <c r="BD481" s="290"/>
      <c r="BE481" s="290"/>
      <c r="BF481" s="290"/>
      <c r="BG481" s="290"/>
      <c r="BH481" s="290"/>
      <c r="BI481" s="290"/>
      <c r="BJ481" s="290"/>
      <c r="BK481" s="290"/>
      <c r="BL481" s="290"/>
      <c r="BM481" s="290"/>
      <c r="BN481" s="290"/>
      <c r="BO481" s="290"/>
      <c r="BP481" s="290"/>
      <c r="BQ481" s="290"/>
      <c r="BR481" s="290"/>
      <c r="BS481" s="290"/>
      <c r="BT481" s="290"/>
      <c r="BU481" s="290"/>
      <c r="BV481" s="290"/>
      <c r="BW481" s="290"/>
      <c r="BX481" s="290"/>
      <c r="BY481" s="290"/>
      <c r="BZ481" s="290"/>
      <c r="CA481" s="290"/>
      <c r="CB481" s="290"/>
      <c r="CC481" s="290"/>
      <c r="CD481" s="290"/>
    </row>
    <row r="482" spans="1:82" ht="15.75" customHeight="1">
      <c r="A482" s="290"/>
      <c r="B482" s="290"/>
      <c r="C482" s="290"/>
      <c r="D482" s="290"/>
      <c r="E482" s="290"/>
      <c r="F482" s="290"/>
      <c r="G482" s="290"/>
      <c r="H482" s="370"/>
      <c r="I482" s="370"/>
      <c r="J482" s="290"/>
      <c r="K482" s="290"/>
      <c r="L482" s="290"/>
      <c r="M482" s="290"/>
      <c r="N482" s="290"/>
      <c r="O482" s="290"/>
      <c r="P482" s="290"/>
      <c r="Q482" s="290"/>
      <c r="R482" s="290"/>
      <c r="S482" s="290"/>
      <c r="T482" s="290"/>
      <c r="U482" s="290"/>
      <c r="V482" s="290"/>
      <c r="W482" s="290"/>
      <c r="X482" s="290"/>
      <c r="Y482" s="290"/>
      <c r="Z482" s="290"/>
      <c r="AA482" s="290"/>
      <c r="AB482" s="290"/>
      <c r="AC482" s="290"/>
      <c r="AD482" s="290"/>
      <c r="AE482" s="290"/>
      <c r="AF482" s="290"/>
      <c r="AG482" s="290"/>
      <c r="AH482" s="290"/>
      <c r="AI482" s="290"/>
      <c r="AJ482" s="290"/>
      <c r="AK482" s="290"/>
      <c r="AL482" s="290"/>
      <c r="AM482" s="290"/>
      <c r="AN482" s="290"/>
      <c r="AO482" s="290"/>
      <c r="AP482" s="290"/>
      <c r="AQ482" s="290"/>
      <c r="AR482" s="290"/>
      <c r="AS482" s="290"/>
      <c r="AT482" s="290"/>
      <c r="AU482" s="290"/>
      <c r="AV482" s="290"/>
      <c r="AW482" s="290"/>
      <c r="AX482" s="290"/>
      <c r="AY482" s="290"/>
      <c r="AZ482" s="290"/>
      <c r="BA482" s="290"/>
      <c r="BB482" s="290"/>
      <c r="BC482" s="290"/>
      <c r="BD482" s="290"/>
      <c r="BE482" s="290"/>
      <c r="BF482" s="290"/>
      <c r="BG482" s="290"/>
      <c r="BH482" s="290"/>
      <c r="BI482" s="290"/>
      <c r="BJ482" s="290"/>
      <c r="BK482" s="290"/>
      <c r="BL482" s="290"/>
      <c r="BM482" s="290"/>
      <c r="BN482" s="290"/>
      <c r="BO482" s="290"/>
      <c r="BP482" s="290"/>
      <c r="BQ482" s="290"/>
      <c r="BR482" s="290"/>
      <c r="BS482" s="290"/>
      <c r="BT482" s="290"/>
      <c r="BU482" s="290"/>
      <c r="BV482" s="290"/>
      <c r="BW482" s="290"/>
      <c r="BX482" s="290"/>
      <c r="BY482" s="290"/>
      <c r="BZ482" s="290"/>
      <c r="CA482" s="290"/>
      <c r="CB482" s="290"/>
      <c r="CC482" s="290"/>
      <c r="CD482" s="290"/>
    </row>
    <row r="483" spans="1:82" ht="15.75" customHeight="1">
      <c r="A483" s="290"/>
      <c r="B483" s="290"/>
      <c r="C483" s="290"/>
      <c r="D483" s="290"/>
      <c r="E483" s="290"/>
      <c r="F483" s="290"/>
      <c r="G483" s="290"/>
      <c r="H483" s="370"/>
      <c r="I483" s="370"/>
      <c r="J483" s="290"/>
      <c r="K483" s="290"/>
      <c r="L483" s="290"/>
      <c r="M483" s="290"/>
      <c r="N483" s="290"/>
      <c r="O483" s="290"/>
      <c r="P483" s="290"/>
      <c r="Q483" s="290"/>
      <c r="R483" s="290"/>
      <c r="S483" s="290"/>
      <c r="T483" s="290"/>
      <c r="U483" s="290"/>
      <c r="V483" s="290"/>
      <c r="W483" s="290"/>
      <c r="X483" s="290"/>
      <c r="Y483" s="290"/>
      <c r="Z483" s="290"/>
      <c r="AA483" s="290"/>
      <c r="AB483" s="290"/>
      <c r="AC483" s="290"/>
      <c r="AD483" s="290"/>
      <c r="AE483" s="290"/>
      <c r="AF483" s="290"/>
      <c r="AG483" s="290"/>
      <c r="AH483" s="290"/>
      <c r="AI483" s="290"/>
      <c r="AJ483" s="290"/>
      <c r="AK483" s="290"/>
      <c r="AL483" s="290"/>
      <c r="AM483" s="290"/>
      <c r="AN483" s="290"/>
      <c r="AO483" s="290"/>
      <c r="AP483" s="290"/>
      <c r="AQ483" s="290"/>
      <c r="AR483" s="290"/>
      <c r="AS483" s="290"/>
      <c r="AT483" s="290"/>
      <c r="AU483" s="290"/>
      <c r="AV483" s="290"/>
      <c r="AW483" s="290"/>
      <c r="AX483" s="290"/>
      <c r="AY483" s="290"/>
      <c r="AZ483" s="290"/>
      <c r="BA483" s="290"/>
      <c r="BB483" s="290"/>
      <c r="BC483" s="290"/>
      <c r="BD483" s="290"/>
      <c r="BE483" s="290"/>
      <c r="BF483" s="290"/>
      <c r="BG483" s="290"/>
      <c r="BH483" s="290"/>
      <c r="BI483" s="290"/>
      <c r="BJ483" s="290"/>
      <c r="BK483" s="290"/>
      <c r="BL483" s="290"/>
      <c r="BM483" s="290"/>
      <c r="BN483" s="290"/>
      <c r="BO483" s="290"/>
      <c r="BP483" s="290"/>
      <c r="BQ483" s="290"/>
      <c r="BR483" s="290"/>
      <c r="BS483" s="290"/>
      <c r="BT483" s="290"/>
      <c r="BU483" s="290"/>
      <c r="BV483" s="290"/>
      <c r="BW483" s="290"/>
      <c r="BX483" s="290"/>
      <c r="BY483" s="290"/>
      <c r="BZ483" s="290"/>
      <c r="CA483" s="290"/>
      <c r="CB483" s="290"/>
      <c r="CC483" s="290"/>
      <c r="CD483" s="290"/>
    </row>
    <row r="484" spans="1:82" ht="15.75" customHeight="1">
      <c r="A484" s="290"/>
      <c r="B484" s="290"/>
      <c r="C484" s="290"/>
      <c r="D484" s="290"/>
      <c r="E484" s="290"/>
      <c r="F484" s="290"/>
      <c r="G484" s="290"/>
      <c r="H484" s="370"/>
      <c r="I484" s="370"/>
      <c r="J484" s="290"/>
      <c r="K484" s="290"/>
      <c r="L484" s="290"/>
      <c r="M484" s="290"/>
      <c r="N484" s="290"/>
      <c r="O484" s="290"/>
      <c r="P484" s="290"/>
      <c r="Q484" s="290"/>
      <c r="R484" s="290"/>
      <c r="S484" s="290"/>
      <c r="T484" s="290"/>
      <c r="U484" s="290"/>
      <c r="V484" s="290"/>
      <c r="W484" s="290"/>
      <c r="X484" s="290"/>
      <c r="Y484" s="290"/>
      <c r="Z484" s="290"/>
      <c r="AA484" s="290"/>
      <c r="AB484" s="290"/>
      <c r="AC484" s="290"/>
      <c r="AD484" s="290"/>
      <c r="AE484" s="290"/>
      <c r="AF484" s="290"/>
      <c r="AG484" s="290"/>
      <c r="AH484" s="290"/>
      <c r="AI484" s="290"/>
      <c r="AJ484" s="290"/>
      <c r="AK484" s="290"/>
      <c r="AL484" s="290"/>
      <c r="AM484" s="290"/>
      <c r="AN484" s="290"/>
      <c r="AO484" s="290"/>
      <c r="AP484" s="290"/>
      <c r="AQ484" s="290"/>
      <c r="AR484" s="290"/>
      <c r="AS484" s="290"/>
      <c r="AT484" s="290"/>
      <c r="AU484" s="290"/>
      <c r="AV484" s="290"/>
      <c r="AW484" s="290"/>
      <c r="AX484" s="290"/>
      <c r="AY484" s="290"/>
      <c r="AZ484" s="290"/>
      <c r="BA484" s="290"/>
      <c r="BB484" s="290"/>
      <c r="BC484" s="290"/>
      <c r="BD484" s="290"/>
      <c r="BE484" s="290"/>
      <c r="BF484" s="290"/>
      <c r="BG484" s="290"/>
      <c r="BH484" s="290"/>
      <c r="BI484" s="290"/>
      <c r="BJ484" s="290"/>
      <c r="BK484" s="290"/>
      <c r="BL484" s="290"/>
      <c r="BM484" s="290"/>
      <c r="BN484" s="290"/>
      <c r="BO484" s="290"/>
      <c r="BP484" s="290"/>
      <c r="BQ484" s="290"/>
      <c r="BR484" s="290"/>
      <c r="BS484" s="290"/>
      <c r="BT484" s="290"/>
      <c r="BU484" s="290"/>
      <c r="BV484" s="290"/>
      <c r="BW484" s="290"/>
      <c r="BX484" s="290"/>
      <c r="BY484" s="290"/>
      <c r="BZ484" s="290"/>
      <c r="CA484" s="290"/>
      <c r="CB484" s="290"/>
      <c r="CC484" s="290"/>
      <c r="CD484" s="290"/>
    </row>
    <row r="485" spans="1:82" ht="15.75" customHeight="1">
      <c r="A485" s="290"/>
      <c r="B485" s="290"/>
      <c r="C485" s="290"/>
      <c r="D485" s="290"/>
      <c r="E485" s="290"/>
      <c r="F485" s="290"/>
      <c r="G485" s="290"/>
      <c r="H485" s="370"/>
      <c r="I485" s="370"/>
      <c r="J485" s="290"/>
      <c r="K485" s="290"/>
      <c r="L485" s="290"/>
      <c r="M485" s="290"/>
      <c r="N485" s="290"/>
      <c r="O485" s="290"/>
      <c r="P485" s="290"/>
      <c r="Q485" s="290"/>
      <c r="R485" s="290"/>
      <c r="S485" s="290"/>
      <c r="T485" s="290"/>
      <c r="U485" s="290"/>
      <c r="V485" s="290"/>
      <c r="W485" s="290"/>
      <c r="X485" s="290"/>
      <c r="Y485" s="290"/>
      <c r="Z485" s="290"/>
      <c r="AA485" s="290"/>
      <c r="AB485" s="290"/>
      <c r="AC485" s="290"/>
      <c r="AD485" s="290"/>
      <c r="AE485" s="290"/>
      <c r="AF485" s="290"/>
      <c r="AG485" s="290"/>
      <c r="AH485" s="290"/>
      <c r="AI485" s="290"/>
      <c r="AJ485" s="290"/>
      <c r="AK485" s="290"/>
      <c r="AL485" s="290"/>
      <c r="AM485" s="290"/>
      <c r="AN485" s="290"/>
      <c r="AO485" s="290"/>
      <c r="AP485" s="290"/>
      <c r="AQ485" s="290"/>
      <c r="AR485" s="290"/>
      <c r="AS485" s="290"/>
      <c r="AT485" s="290"/>
      <c r="AU485" s="290"/>
      <c r="AV485" s="290"/>
      <c r="AW485" s="290"/>
      <c r="AX485" s="290"/>
      <c r="AY485" s="290"/>
      <c r="AZ485" s="290"/>
      <c r="BA485" s="290"/>
      <c r="BB485" s="290"/>
      <c r="BC485" s="290"/>
      <c r="BD485" s="290"/>
      <c r="BE485" s="290"/>
      <c r="BF485" s="290"/>
      <c r="BG485" s="290"/>
      <c r="BH485" s="290"/>
      <c r="BI485" s="290"/>
      <c r="BJ485" s="290"/>
      <c r="BK485" s="290"/>
      <c r="BL485" s="290"/>
      <c r="BM485" s="290"/>
      <c r="BN485" s="290"/>
      <c r="BO485" s="290"/>
      <c r="BP485" s="290"/>
      <c r="BQ485" s="290"/>
      <c r="BR485" s="290"/>
      <c r="BS485" s="290"/>
      <c r="BT485" s="290"/>
      <c r="BU485" s="290"/>
      <c r="BV485" s="290"/>
      <c r="BW485" s="290"/>
      <c r="BX485" s="290"/>
      <c r="BY485" s="290"/>
      <c r="BZ485" s="290"/>
      <c r="CA485" s="290"/>
      <c r="CB485" s="290"/>
      <c r="CC485" s="290"/>
      <c r="CD485" s="290"/>
    </row>
    <row r="486" spans="1:82" ht="15.75" customHeight="1">
      <c r="A486" s="290"/>
      <c r="B486" s="290"/>
      <c r="C486" s="290"/>
      <c r="D486" s="290"/>
      <c r="E486" s="290"/>
      <c r="F486" s="290"/>
      <c r="G486" s="290"/>
      <c r="H486" s="370"/>
      <c r="I486" s="370"/>
      <c r="J486" s="290"/>
      <c r="K486" s="290"/>
      <c r="L486" s="290"/>
      <c r="M486" s="290"/>
      <c r="N486" s="290"/>
      <c r="O486" s="290"/>
      <c r="P486" s="290"/>
      <c r="Q486" s="290"/>
      <c r="R486" s="290"/>
      <c r="S486" s="290"/>
      <c r="T486" s="290"/>
      <c r="U486" s="290"/>
      <c r="V486" s="290"/>
      <c r="W486" s="290"/>
      <c r="X486" s="290"/>
      <c r="Y486" s="290"/>
      <c r="Z486" s="290"/>
      <c r="AA486" s="290"/>
      <c r="AB486" s="290"/>
      <c r="AC486" s="290"/>
      <c r="AD486" s="290"/>
      <c r="AE486" s="290"/>
      <c r="AF486" s="290"/>
      <c r="AG486" s="290"/>
      <c r="AH486" s="290"/>
      <c r="AI486" s="290"/>
      <c r="AJ486" s="290"/>
      <c r="AK486" s="290"/>
      <c r="AL486" s="290"/>
      <c r="AM486" s="290"/>
      <c r="AN486" s="290"/>
      <c r="AO486" s="290"/>
      <c r="AP486" s="290"/>
      <c r="AQ486" s="290"/>
      <c r="AR486" s="290"/>
      <c r="AS486" s="290"/>
      <c r="AT486" s="290"/>
      <c r="AU486" s="290"/>
      <c r="AV486" s="290"/>
      <c r="AW486" s="290"/>
      <c r="AX486" s="290"/>
      <c r="AY486" s="290"/>
      <c r="AZ486" s="290"/>
      <c r="BA486" s="290"/>
      <c r="BB486" s="290"/>
      <c r="BC486" s="290"/>
      <c r="BD486" s="290"/>
      <c r="BE486" s="290"/>
      <c r="BF486" s="290"/>
      <c r="BG486" s="290"/>
      <c r="BH486" s="290"/>
      <c r="BI486" s="290"/>
      <c r="BJ486" s="290"/>
      <c r="BK486" s="290"/>
      <c r="BL486" s="290"/>
      <c r="BM486" s="290"/>
      <c r="BN486" s="290"/>
      <c r="BO486" s="290"/>
      <c r="BP486" s="290"/>
      <c r="BQ486" s="290"/>
      <c r="BR486" s="290"/>
      <c r="BS486" s="290"/>
      <c r="BT486" s="290"/>
      <c r="BU486" s="290"/>
      <c r="BV486" s="290"/>
      <c r="BW486" s="290"/>
      <c r="BX486" s="290"/>
      <c r="BY486" s="290"/>
      <c r="BZ486" s="290"/>
      <c r="CA486" s="290"/>
      <c r="CB486" s="290"/>
      <c r="CC486" s="290"/>
      <c r="CD486" s="290"/>
    </row>
    <row r="487" spans="1:82" ht="15.75" customHeight="1">
      <c r="A487" s="290"/>
      <c r="B487" s="290"/>
      <c r="C487" s="290"/>
      <c r="D487" s="290"/>
      <c r="E487" s="290"/>
      <c r="F487" s="290"/>
      <c r="G487" s="290"/>
      <c r="H487" s="370"/>
      <c r="I487" s="370"/>
      <c r="J487" s="290"/>
      <c r="K487" s="290"/>
      <c r="L487" s="290"/>
      <c r="M487" s="290"/>
      <c r="N487" s="290"/>
      <c r="O487" s="290"/>
      <c r="P487" s="290"/>
      <c r="Q487" s="290"/>
      <c r="R487" s="290"/>
      <c r="S487" s="290"/>
      <c r="T487" s="290"/>
      <c r="U487" s="290"/>
      <c r="V487" s="290"/>
      <c r="W487" s="290"/>
      <c r="X487" s="290"/>
      <c r="Y487" s="290"/>
      <c r="Z487" s="290"/>
      <c r="AA487" s="290"/>
      <c r="AB487" s="290"/>
      <c r="AC487" s="290"/>
      <c r="AD487" s="290"/>
      <c r="AE487" s="290"/>
      <c r="AF487" s="290"/>
      <c r="AG487" s="290"/>
      <c r="AH487" s="290"/>
      <c r="AI487" s="290"/>
      <c r="AJ487" s="290"/>
      <c r="AK487" s="290"/>
      <c r="AL487" s="290"/>
      <c r="AM487" s="290"/>
      <c r="AN487" s="290"/>
      <c r="AO487" s="290"/>
      <c r="AP487" s="290"/>
      <c r="AQ487" s="290"/>
      <c r="AR487" s="290"/>
      <c r="AS487" s="290"/>
      <c r="AT487" s="290"/>
      <c r="AU487" s="290"/>
      <c r="AV487" s="290"/>
      <c r="AW487" s="290"/>
      <c r="AX487" s="290"/>
      <c r="AY487" s="290"/>
      <c r="AZ487" s="290"/>
      <c r="BA487" s="290"/>
      <c r="BB487" s="290"/>
      <c r="BC487" s="290"/>
      <c r="BD487" s="290"/>
      <c r="BE487" s="290"/>
      <c r="BF487" s="290"/>
      <c r="BG487" s="290"/>
      <c r="BH487" s="290"/>
      <c r="BI487" s="290"/>
      <c r="BJ487" s="290"/>
      <c r="BK487" s="290"/>
      <c r="BL487" s="290"/>
      <c r="BM487" s="290"/>
      <c r="BN487" s="290"/>
      <c r="BO487" s="290"/>
      <c r="BP487" s="290"/>
      <c r="BQ487" s="290"/>
      <c r="BR487" s="290"/>
      <c r="BS487" s="290"/>
      <c r="BT487" s="290"/>
      <c r="BU487" s="290"/>
      <c r="BV487" s="290"/>
      <c r="BW487" s="290"/>
      <c r="BX487" s="290"/>
      <c r="BY487" s="290"/>
      <c r="BZ487" s="290"/>
      <c r="CA487" s="290"/>
      <c r="CB487" s="290"/>
      <c r="CC487" s="290"/>
      <c r="CD487" s="290"/>
    </row>
    <row r="488" spans="1:82" ht="15.75" customHeight="1">
      <c r="A488" s="290"/>
      <c r="B488" s="290"/>
      <c r="C488" s="290"/>
      <c r="D488" s="290"/>
      <c r="E488" s="290"/>
      <c r="F488" s="290"/>
      <c r="G488" s="290"/>
      <c r="H488" s="370"/>
      <c r="I488" s="370"/>
      <c r="J488" s="290"/>
      <c r="K488" s="290"/>
      <c r="L488" s="290"/>
      <c r="M488" s="290"/>
      <c r="N488" s="290"/>
      <c r="O488" s="290"/>
      <c r="P488" s="290"/>
      <c r="Q488" s="290"/>
      <c r="R488" s="290"/>
      <c r="S488" s="290"/>
      <c r="T488" s="290"/>
      <c r="U488" s="290"/>
      <c r="V488" s="290"/>
      <c r="W488" s="290"/>
      <c r="X488" s="290"/>
      <c r="Y488" s="290"/>
      <c r="Z488" s="290"/>
      <c r="AA488" s="290"/>
      <c r="AB488" s="290"/>
      <c r="AC488" s="290"/>
      <c r="AD488" s="290"/>
      <c r="AE488" s="290"/>
      <c r="AF488" s="290"/>
      <c r="AG488" s="290"/>
      <c r="AH488" s="290"/>
      <c r="AI488" s="290"/>
      <c r="AJ488" s="290"/>
      <c r="AK488" s="290"/>
      <c r="AL488" s="290"/>
      <c r="AM488" s="290"/>
      <c r="AN488" s="290"/>
      <c r="AO488" s="290"/>
      <c r="AP488" s="290"/>
      <c r="AQ488" s="290"/>
      <c r="AR488" s="290"/>
      <c r="AS488" s="290"/>
      <c r="AT488" s="290"/>
      <c r="AU488" s="290"/>
      <c r="AV488" s="290"/>
      <c r="AW488" s="290"/>
      <c r="AX488" s="290"/>
      <c r="AY488" s="290"/>
      <c r="AZ488" s="290"/>
      <c r="BA488" s="290"/>
      <c r="BB488" s="290"/>
      <c r="BC488" s="290"/>
      <c r="BD488" s="290"/>
      <c r="BE488" s="290"/>
      <c r="BF488" s="290"/>
      <c r="BG488" s="290"/>
      <c r="BH488" s="290"/>
      <c r="BI488" s="290"/>
      <c r="BJ488" s="290"/>
      <c r="BK488" s="290"/>
      <c r="BL488" s="290"/>
      <c r="BM488" s="290"/>
      <c r="BN488" s="290"/>
      <c r="BO488" s="290"/>
      <c r="BP488" s="290"/>
      <c r="BQ488" s="290"/>
      <c r="BR488" s="290"/>
      <c r="BS488" s="290"/>
      <c r="BT488" s="290"/>
      <c r="BU488" s="290"/>
      <c r="BV488" s="290"/>
      <c r="BW488" s="290"/>
      <c r="BX488" s="290"/>
      <c r="BY488" s="290"/>
      <c r="BZ488" s="290"/>
      <c r="CA488" s="290"/>
      <c r="CB488" s="290"/>
      <c r="CC488" s="290"/>
      <c r="CD488" s="290"/>
    </row>
    <row r="489" spans="1:82" ht="15.75" customHeight="1">
      <c r="A489" s="290"/>
      <c r="B489" s="290"/>
      <c r="C489" s="290"/>
      <c r="D489" s="290"/>
      <c r="E489" s="290"/>
      <c r="F489" s="290"/>
      <c r="G489" s="290"/>
      <c r="H489" s="370"/>
      <c r="I489" s="370"/>
      <c r="J489" s="290"/>
      <c r="K489" s="290"/>
      <c r="L489" s="290"/>
      <c r="M489" s="290"/>
      <c r="N489" s="290"/>
      <c r="O489" s="290"/>
      <c r="P489" s="290"/>
      <c r="Q489" s="290"/>
      <c r="R489" s="290"/>
      <c r="S489" s="290"/>
      <c r="T489" s="290"/>
      <c r="U489" s="290"/>
      <c r="V489" s="290"/>
      <c r="W489" s="290"/>
      <c r="X489" s="290"/>
      <c r="Y489" s="290"/>
      <c r="Z489" s="290"/>
      <c r="AA489" s="290"/>
      <c r="AB489" s="290"/>
      <c r="AC489" s="290"/>
      <c r="AD489" s="290"/>
      <c r="AE489" s="290"/>
      <c r="AF489" s="290"/>
      <c r="AG489" s="290"/>
      <c r="AH489" s="290"/>
      <c r="AI489" s="290"/>
      <c r="AJ489" s="290"/>
      <c r="AK489" s="290"/>
      <c r="AL489" s="290"/>
      <c r="AM489" s="290"/>
      <c r="AN489" s="290"/>
      <c r="AO489" s="290"/>
      <c r="AP489" s="290"/>
      <c r="AQ489" s="290"/>
      <c r="AR489" s="290"/>
      <c r="AS489" s="290"/>
      <c r="AT489" s="290"/>
      <c r="AU489" s="290"/>
      <c r="AV489" s="290"/>
      <c r="AW489" s="290"/>
      <c r="AX489" s="290"/>
      <c r="AY489" s="290"/>
      <c r="AZ489" s="290"/>
      <c r="BA489" s="290"/>
      <c r="BB489" s="290"/>
      <c r="BC489" s="290"/>
      <c r="BD489" s="290"/>
      <c r="BE489" s="290"/>
      <c r="BF489" s="290"/>
      <c r="BG489" s="290"/>
      <c r="BH489" s="290"/>
      <c r="BI489" s="290"/>
      <c r="BJ489" s="290"/>
      <c r="BK489" s="290"/>
      <c r="BL489" s="290"/>
      <c r="BM489" s="290"/>
      <c r="BN489" s="290"/>
      <c r="BO489" s="290"/>
      <c r="BP489" s="290"/>
      <c r="BQ489" s="290"/>
      <c r="BR489" s="290"/>
      <c r="BS489" s="290"/>
      <c r="BT489" s="290"/>
      <c r="BU489" s="290"/>
      <c r="BV489" s="290"/>
      <c r="BW489" s="290"/>
      <c r="BX489" s="290"/>
      <c r="BY489" s="290"/>
      <c r="BZ489" s="290"/>
      <c r="CA489" s="290"/>
      <c r="CB489" s="290"/>
      <c r="CC489" s="290"/>
      <c r="CD489" s="290"/>
    </row>
    <row r="490" spans="1:82" ht="15.75" customHeight="1">
      <c r="A490" s="290"/>
      <c r="B490" s="290"/>
      <c r="C490" s="290"/>
      <c r="D490" s="290"/>
      <c r="E490" s="290"/>
      <c r="F490" s="290"/>
      <c r="G490" s="290"/>
      <c r="H490" s="370"/>
      <c r="I490" s="370"/>
      <c r="J490" s="290"/>
      <c r="K490" s="290"/>
      <c r="L490" s="290"/>
      <c r="M490" s="290"/>
      <c r="N490" s="290"/>
      <c r="O490" s="290"/>
      <c r="P490" s="290"/>
      <c r="Q490" s="290"/>
      <c r="R490" s="290"/>
      <c r="S490" s="290"/>
      <c r="T490" s="290"/>
      <c r="U490" s="290"/>
      <c r="V490" s="290"/>
      <c r="W490" s="290"/>
      <c r="X490" s="290"/>
      <c r="Y490" s="290"/>
      <c r="Z490" s="290"/>
      <c r="AA490" s="290"/>
      <c r="AB490" s="290"/>
      <c r="AC490" s="290"/>
      <c r="AD490" s="290"/>
      <c r="AE490" s="290"/>
      <c r="AF490" s="290"/>
      <c r="AG490" s="290"/>
      <c r="AH490" s="290"/>
      <c r="AI490" s="290"/>
      <c r="AJ490" s="290"/>
      <c r="AK490" s="290"/>
      <c r="AL490" s="290"/>
      <c r="AM490" s="290"/>
      <c r="AN490" s="290"/>
      <c r="AO490" s="290"/>
      <c r="AP490" s="290"/>
      <c r="AQ490" s="290"/>
      <c r="AR490" s="290"/>
      <c r="AS490" s="290"/>
      <c r="AT490" s="290"/>
      <c r="AU490" s="290"/>
      <c r="AV490" s="290"/>
      <c r="AW490" s="290"/>
      <c r="AX490" s="290"/>
      <c r="AY490" s="290"/>
      <c r="AZ490" s="290"/>
      <c r="BA490" s="290"/>
      <c r="BB490" s="290"/>
      <c r="BC490" s="290"/>
      <c r="BD490" s="290"/>
      <c r="BE490" s="290"/>
      <c r="BF490" s="290"/>
      <c r="BG490" s="290"/>
      <c r="BH490" s="290"/>
      <c r="BI490" s="290"/>
      <c r="BJ490" s="290"/>
      <c r="BK490" s="290"/>
      <c r="BL490" s="290"/>
      <c r="BM490" s="290"/>
      <c r="BN490" s="290"/>
      <c r="BO490" s="290"/>
      <c r="BP490" s="290"/>
      <c r="BQ490" s="290"/>
      <c r="BR490" s="290"/>
      <c r="BS490" s="290"/>
      <c r="BT490" s="290"/>
      <c r="BU490" s="290"/>
      <c r="BV490" s="290"/>
      <c r="BW490" s="290"/>
      <c r="BX490" s="290"/>
      <c r="BY490" s="290"/>
      <c r="BZ490" s="290"/>
      <c r="CA490" s="290"/>
      <c r="CB490" s="290"/>
      <c r="CC490" s="290"/>
      <c r="CD490" s="290"/>
    </row>
    <row r="491" spans="1:82" ht="15.75" customHeight="1">
      <c r="A491" s="290"/>
      <c r="B491" s="290"/>
      <c r="C491" s="290"/>
      <c r="D491" s="290"/>
      <c r="E491" s="290"/>
      <c r="F491" s="290"/>
      <c r="G491" s="290"/>
      <c r="H491" s="370"/>
      <c r="I491" s="370"/>
      <c r="J491" s="290"/>
      <c r="K491" s="290"/>
      <c r="L491" s="290"/>
      <c r="M491" s="290"/>
      <c r="N491" s="290"/>
      <c r="O491" s="290"/>
      <c r="P491" s="290"/>
      <c r="Q491" s="290"/>
      <c r="R491" s="290"/>
      <c r="S491" s="290"/>
      <c r="T491" s="290"/>
      <c r="U491" s="290"/>
      <c r="V491" s="290"/>
      <c r="W491" s="290"/>
      <c r="X491" s="290"/>
      <c r="Y491" s="290"/>
      <c r="Z491" s="290"/>
      <c r="AA491" s="290"/>
      <c r="AB491" s="290"/>
      <c r="AC491" s="290"/>
      <c r="AD491" s="290"/>
      <c r="AE491" s="290"/>
      <c r="AF491" s="290"/>
      <c r="AG491" s="290"/>
      <c r="AH491" s="290"/>
      <c r="AI491" s="290"/>
      <c r="AJ491" s="290"/>
      <c r="AK491" s="290"/>
      <c r="AL491" s="290"/>
      <c r="AM491" s="290"/>
      <c r="AN491" s="290"/>
      <c r="AO491" s="290"/>
      <c r="AP491" s="290"/>
      <c r="AQ491" s="290"/>
      <c r="AR491" s="290"/>
      <c r="AS491" s="290"/>
      <c r="AT491" s="290"/>
      <c r="AU491" s="290"/>
      <c r="AV491" s="290"/>
      <c r="AW491" s="290"/>
      <c r="AX491" s="290"/>
      <c r="AY491" s="290"/>
      <c r="AZ491" s="290"/>
      <c r="BA491" s="290"/>
      <c r="BB491" s="290"/>
      <c r="BC491" s="290"/>
      <c r="BD491" s="290"/>
      <c r="BE491" s="290"/>
      <c r="BF491" s="290"/>
      <c r="BG491" s="290"/>
      <c r="BH491" s="290"/>
      <c r="BI491" s="290"/>
      <c r="BJ491" s="290"/>
      <c r="BK491" s="290"/>
      <c r="BL491" s="290"/>
      <c r="BM491" s="290"/>
      <c r="BN491" s="290"/>
      <c r="BO491" s="290"/>
      <c r="BP491" s="290"/>
      <c r="BQ491" s="290"/>
      <c r="BR491" s="290"/>
      <c r="BS491" s="290"/>
      <c r="BT491" s="290"/>
      <c r="BU491" s="290"/>
      <c r="BV491" s="290"/>
      <c r="BW491" s="290"/>
      <c r="BX491" s="290"/>
      <c r="BY491" s="290"/>
      <c r="BZ491" s="290"/>
      <c r="CA491" s="290"/>
      <c r="CB491" s="290"/>
      <c r="CC491" s="290"/>
      <c r="CD491" s="290"/>
    </row>
    <row r="492" spans="1:82" ht="15.75" customHeight="1">
      <c r="A492" s="290"/>
      <c r="B492" s="290"/>
      <c r="C492" s="290"/>
      <c r="D492" s="290"/>
      <c r="E492" s="290"/>
      <c r="F492" s="290"/>
      <c r="G492" s="290"/>
      <c r="H492" s="370"/>
      <c r="I492" s="370"/>
      <c r="J492" s="290"/>
      <c r="K492" s="290"/>
      <c r="L492" s="290"/>
      <c r="M492" s="290"/>
      <c r="N492" s="290"/>
      <c r="O492" s="290"/>
      <c r="P492" s="290"/>
      <c r="Q492" s="290"/>
      <c r="R492" s="290"/>
      <c r="S492" s="290"/>
      <c r="T492" s="290"/>
      <c r="U492" s="290"/>
      <c r="V492" s="290"/>
      <c r="W492" s="290"/>
      <c r="X492" s="290"/>
      <c r="Y492" s="290"/>
      <c r="Z492" s="290"/>
      <c r="AA492" s="290"/>
      <c r="AB492" s="290"/>
      <c r="AC492" s="290"/>
      <c r="AD492" s="290"/>
      <c r="AE492" s="290"/>
      <c r="AF492" s="290"/>
      <c r="AG492" s="290"/>
      <c r="AH492" s="290"/>
      <c r="AI492" s="290"/>
      <c r="AJ492" s="290"/>
      <c r="AK492" s="290"/>
      <c r="AL492" s="290"/>
      <c r="AM492" s="290"/>
      <c r="AN492" s="290"/>
      <c r="AO492" s="290"/>
      <c r="AP492" s="290"/>
      <c r="AQ492" s="290"/>
      <c r="AR492" s="290"/>
      <c r="AS492" s="290"/>
      <c r="AT492" s="290"/>
      <c r="AU492" s="290"/>
      <c r="AV492" s="290"/>
      <c r="AW492" s="290"/>
      <c r="AX492" s="290"/>
      <c r="AY492" s="290"/>
      <c r="AZ492" s="290"/>
      <c r="BA492" s="290"/>
      <c r="BB492" s="290"/>
      <c r="BC492" s="290"/>
      <c r="BD492" s="290"/>
      <c r="BE492" s="290"/>
      <c r="BF492" s="290"/>
      <c r="BG492" s="290"/>
      <c r="BH492" s="290"/>
      <c r="BI492" s="290"/>
      <c r="BJ492" s="290"/>
      <c r="BK492" s="290"/>
      <c r="BL492" s="290"/>
      <c r="BM492" s="290"/>
      <c r="BN492" s="290"/>
      <c r="BO492" s="290"/>
      <c r="BP492" s="290"/>
      <c r="BQ492" s="290"/>
      <c r="BR492" s="290"/>
      <c r="BS492" s="290"/>
      <c r="BT492" s="290"/>
      <c r="BU492" s="290"/>
      <c r="BV492" s="290"/>
      <c r="BW492" s="290"/>
      <c r="BX492" s="290"/>
      <c r="BY492" s="290"/>
      <c r="BZ492" s="290"/>
      <c r="CA492" s="290"/>
      <c r="CB492" s="290"/>
      <c r="CC492" s="290"/>
      <c r="CD492" s="290"/>
    </row>
    <row r="493" spans="1:82" ht="15.75" customHeight="1">
      <c r="A493" s="290"/>
      <c r="B493" s="290"/>
      <c r="C493" s="290"/>
      <c r="D493" s="290"/>
      <c r="E493" s="290"/>
      <c r="F493" s="290"/>
      <c r="G493" s="290"/>
      <c r="H493" s="370"/>
      <c r="I493" s="370"/>
      <c r="J493" s="290"/>
      <c r="K493" s="290"/>
      <c r="L493" s="290"/>
      <c r="M493" s="290"/>
      <c r="N493" s="290"/>
      <c r="O493" s="290"/>
      <c r="P493" s="290"/>
      <c r="Q493" s="290"/>
      <c r="R493" s="290"/>
      <c r="S493" s="290"/>
      <c r="T493" s="290"/>
      <c r="U493" s="290"/>
      <c r="V493" s="290"/>
      <c r="W493" s="290"/>
      <c r="X493" s="290"/>
      <c r="Y493" s="290"/>
      <c r="Z493" s="290"/>
      <c r="AA493" s="290"/>
      <c r="AB493" s="290"/>
      <c r="AC493" s="290"/>
      <c r="AD493" s="290"/>
      <c r="AE493" s="290"/>
      <c r="AF493" s="290"/>
      <c r="AG493" s="290"/>
      <c r="AH493" s="290"/>
      <c r="AI493" s="290"/>
      <c r="AJ493" s="290"/>
      <c r="AK493" s="290"/>
      <c r="AL493" s="290"/>
      <c r="AM493" s="290"/>
      <c r="AN493" s="290"/>
      <c r="AO493" s="290"/>
      <c r="AP493" s="290"/>
      <c r="AQ493" s="290"/>
      <c r="AR493" s="290"/>
      <c r="AS493" s="290"/>
      <c r="AT493" s="290"/>
      <c r="AU493" s="290"/>
      <c r="AV493" s="290"/>
      <c r="AW493" s="290"/>
      <c r="AX493" s="290"/>
      <c r="AY493" s="290"/>
      <c r="AZ493" s="290"/>
      <c r="BA493" s="290"/>
      <c r="BB493" s="290"/>
      <c r="BC493" s="290"/>
      <c r="BD493" s="290"/>
      <c r="BE493" s="290"/>
      <c r="BF493" s="290"/>
      <c r="BG493" s="290"/>
      <c r="BH493" s="290"/>
      <c r="BI493" s="290"/>
      <c r="BJ493" s="290"/>
      <c r="BK493" s="290"/>
      <c r="BL493" s="290"/>
      <c r="BM493" s="290"/>
      <c r="BN493" s="290"/>
      <c r="BO493" s="290"/>
      <c r="BP493" s="290"/>
      <c r="BQ493" s="290"/>
      <c r="BR493" s="290"/>
      <c r="BS493" s="290"/>
      <c r="BT493" s="290"/>
      <c r="BU493" s="290"/>
      <c r="BV493" s="290"/>
      <c r="BW493" s="290"/>
      <c r="BX493" s="290"/>
      <c r="BY493" s="290"/>
      <c r="BZ493" s="290"/>
      <c r="CA493" s="290"/>
      <c r="CB493" s="290"/>
      <c r="CC493" s="290"/>
      <c r="CD493" s="290"/>
    </row>
    <row r="494" spans="1:82" ht="15.75" customHeight="1">
      <c r="A494" s="290"/>
      <c r="B494" s="290"/>
      <c r="C494" s="290"/>
      <c r="D494" s="290"/>
      <c r="E494" s="290"/>
      <c r="F494" s="290"/>
      <c r="G494" s="290"/>
      <c r="H494" s="370"/>
      <c r="I494" s="370"/>
      <c r="J494" s="290"/>
      <c r="K494" s="290"/>
      <c r="L494" s="290"/>
      <c r="M494" s="290"/>
      <c r="N494" s="290"/>
      <c r="O494" s="290"/>
      <c r="P494" s="290"/>
      <c r="Q494" s="290"/>
      <c r="R494" s="290"/>
      <c r="S494" s="290"/>
      <c r="T494" s="290"/>
      <c r="U494" s="290"/>
      <c r="V494" s="290"/>
      <c r="W494" s="290"/>
      <c r="X494" s="290"/>
      <c r="Y494" s="290"/>
      <c r="Z494" s="290"/>
      <c r="AA494" s="290"/>
      <c r="AB494" s="290"/>
      <c r="AC494" s="290"/>
      <c r="AD494" s="290"/>
      <c r="AE494" s="290"/>
      <c r="AF494" s="290"/>
      <c r="AG494" s="290"/>
      <c r="AH494" s="290"/>
      <c r="AI494" s="290"/>
      <c r="AJ494" s="290"/>
      <c r="AK494" s="290"/>
      <c r="AL494" s="290"/>
      <c r="AM494" s="290"/>
      <c r="AN494" s="290"/>
      <c r="AO494" s="290"/>
      <c r="AP494" s="290"/>
      <c r="AQ494" s="290"/>
      <c r="AR494" s="290"/>
      <c r="AS494" s="290"/>
      <c r="AT494" s="290"/>
      <c r="AU494" s="290"/>
      <c r="AV494" s="290"/>
      <c r="AW494" s="290"/>
      <c r="AX494" s="290"/>
      <c r="AY494" s="290"/>
      <c r="AZ494" s="290"/>
      <c r="BA494" s="290"/>
      <c r="BB494" s="290"/>
      <c r="BC494" s="290"/>
      <c r="BD494" s="290"/>
      <c r="BE494" s="290"/>
      <c r="BF494" s="290"/>
      <c r="BG494" s="290"/>
      <c r="BH494" s="290"/>
      <c r="BI494" s="290"/>
      <c r="BJ494" s="290"/>
      <c r="BK494" s="290"/>
      <c r="BL494" s="290"/>
      <c r="BM494" s="290"/>
      <c r="BN494" s="290"/>
      <c r="BO494" s="290"/>
      <c r="BP494" s="290"/>
      <c r="BQ494" s="290"/>
      <c r="BR494" s="290"/>
      <c r="BS494" s="290"/>
      <c r="BT494" s="290"/>
      <c r="BU494" s="290"/>
      <c r="BV494" s="290"/>
      <c r="BW494" s="290"/>
      <c r="BX494" s="290"/>
      <c r="BY494" s="290"/>
      <c r="BZ494" s="290"/>
      <c r="CA494" s="290"/>
      <c r="CB494" s="290"/>
      <c r="CC494" s="290"/>
      <c r="CD494" s="290"/>
    </row>
    <row r="495" spans="1:82" ht="15.75" customHeight="1">
      <c r="A495" s="290"/>
      <c r="B495" s="290"/>
      <c r="C495" s="290"/>
      <c r="D495" s="290"/>
      <c r="E495" s="290"/>
      <c r="F495" s="290"/>
      <c r="G495" s="290"/>
      <c r="H495" s="370"/>
      <c r="I495" s="370"/>
      <c r="J495" s="290"/>
      <c r="K495" s="290"/>
      <c r="L495" s="290"/>
      <c r="M495" s="290"/>
      <c r="N495" s="290"/>
      <c r="O495" s="290"/>
      <c r="P495" s="290"/>
      <c r="Q495" s="290"/>
      <c r="R495" s="290"/>
      <c r="S495" s="290"/>
      <c r="T495" s="290"/>
      <c r="U495" s="290"/>
      <c r="V495" s="290"/>
      <c r="W495" s="290"/>
      <c r="X495" s="290"/>
      <c r="Y495" s="290"/>
      <c r="Z495" s="290"/>
      <c r="AA495" s="290"/>
      <c r="AB495" s="290"/>
      <c r="AC495" s="290"/>
      <c r="AD495" s="290"/>
      <c r="AE495" s="290"/>
      <c r="AF495" s="290"/>
      <c r="AG495" s="290"/>
      <c r="AH495" s="290"/>
      <c r="AI495" s="290"/>
      <c r="AJ495" s="290"/>
      <c r="AK495" s="290"/>
      <c r="AL495" s="290"/>
      <c r="AM495" s="290"/>
      <c r="AN495" s="290"/>
      <c r="AO495" s="290"/>
      <c r="AP495" s="290"/>
      <c r="AQ495" s="290"/>
      <c r="AR495" s="290"/>
      <c r="AS495" s="290"/>
      <c r="AT495" s="290"/>
      <c r="AU495" s="290"/>
      <c r="AV495" s="290"/>
      <c r="AW495" s="290"/>
      <c r="AX495" s="290"/>
      <c r="AY495" s="290"/>
      <c r="AZ495" s="290"/>
      <c r="BA495" s="290"/>
      <c r="BB495" s="290"/>
      <c r="BC495" s="290"/>
      <c r="BD495" s="290"/>
      <c r="BE495" s="290"/>
      <c r="BF495" s="290"/>
      <c r="BG495" s="290"/>
      <c r="BH495" s="290"/>
      <c r="BI495" s="290"/>
      <c r="BJ495" s="290"/>
      <c r="BK495" s="290"/>
      <c r="BL495" s="290"/>
      <c r="BM495" s="290"/>
      <c r="BN495" s="290"/>
      <c r="BO495" s="290"/>
      <c r="BP495" s="290"/>
      <c r="BQ495" s="290"/>
      <c r="BR495" s="290"/>
      <c r="BS495" s="290"/>
      <c r="BT495" s="290"/>
      <c r="BU495" s="290"/>
      <c r="BV495" s="290"/>
      <c r="BW495" s="290"/>
      <c r="BX495" s="290"/>
      <c r="BY495" s="290"/>
      <c r="BZ495" s="290"/>
      <c r="CA495" s="290"/>
      <c r="CB495" s="290"/>
      <c r="CC495" s="290"/>
      <c r="CD495" s="290"/>
    </row>
    <row r="496" spans="1:82" ht="15.75" customHeight="1">
      <c r="A496" s="290"/>
      <c r="B496" s="290"/>
      <c r="C496" s="290"/>
      <c r="D496" s="290"/>
      <c r="E496" s="290"/>
      <c r="F496" s="290"/>
      <c r="G496" s="290"/>
      <c r="H496" s="370"/>
      <c r="I496" s="370"/>
      <c r="J496" s="290"/>
      <c r="K496" s="290"/>
      <c r="L496" s="290"/>
      <c r="M496" s="290"/>
      <c r="N496" s="290"/>
      <c r="O496" s="290"/>
      <c r="P496" s="290"/>
      <c r="Q496" s="290"/>
      <c r="R496" s="290"/>
      <c r="S496" s="290"/>
      <c r="T496" s="290"/>
      <c r="U496" s="290"/>
      <c r="V496" s="290"/>
      <c r="W496" s="290"/>
      <c r="X496" s="290"/>
      <c r="Y496" s="290"/>
      <c r="Z496" s="290"/>
      <c r="AA496" s="290"/>
      <c r="AB496" s="290"/>
      <c r="AC496" s="290"/>
      <c r="AD496" s="290"/>
      <c r="AE496" s="290"/>
      <c r="AF496" s="290"/>
      <c r="AG496" s="290"/>
      <c r="AH496" s="290"/>
      <c r="AI496" s="290"/>
      <c r="AJ496" s="290"/>
      <c r="AK496" s="290"/>
      <c r="AL496" s="290"/>
      <c r="AM496" s="290"/>
      <c r="AN496" s="290"/>
      <c r="AO496" s="290"/>
      <c r="AP496" s="290"/>
      <c r="AQ496" s="290"/>
      <c r="AR496" s="290"/>
      <c r="AS496" s="290"/>
      <c r="AT496" s="290"/>
      <c r="AU496" s="290"/>
      <c r="AV496" s="290"/>
      <c r="AW496" s="290"/>
      <c r="AX496" s="290"/>
      <c r="AY496" s="290"/>
      <c r="AZ496" s="290"/>
      <c r="BA496" s="290"/>
      <c r="BB496" s="290"/>
      <c r="BC496" s="290"/>
      <c r="BD496" s="290"/>
      <c r="BE496" s="290"/>
      <c r="BF496" s="290"/>
      <c r="BG496" s="290"/>
      <c r="BH496" s="290"/>
      <c r="BI496" s="290"/>
      <c r="BJ496" s="290"/>
      <c r="BK496" s="290"/>
      <c r="BL496" s="290"/>
      <c r="BM496" s="290"/>
      <c r="BN496" s="290"/>
      <c r="BO496" s="290"/>
      <c r="BP496" s="290"/>
      <c r="BQ496" s="290"/>
      <c r="BR496" s="290"/>
      <c r="BS496" s="290"/>
      <c r="BT496" s="290"/>
      <c r="BU496" s="290"/>
      <c r="BV496" s="290"/>
      <c r="BW496" s="290"/>
      <c r="BX496" s="290"/>
      <c r="BY496" s="290"/>
      <c r="BZ496" s="290"/>
      <c r="CA496" s="290"/>
      <c r="CB496" s="290"/>
      <c r="CC496" s="290"/>
      <c r="CD496" s="290"/>
    </row>
    <row r="497" spans="1:82" ht="15.75" customHeight="1">
      <c r="A497" s="290"/>
      <c r="B497" s="290"/>
      <c r="C497" s="290"/>
      <c r="D497" s="290"/>
      <c r="E497" s="290"/>
      <c r="F497" s="290"/>
      <c r="G497" s="290"/>
      <c r="H497" s="370"/>
      <c r="I497" s="370"/>
      <c r="J497" s="290"/>
      <c r="K497" s="290"/>
      <c r="L497" s="290"/>
      <c r="M497" s="290"/>
      <c r="N497" s="290"/>
      <c r="O497" s="290"/>
      <c r="P497" s="290"/>
      <c r="Q497" s="290"/>
      <c r="R497" s="290"/>
      <c r="S497" s="290"/>
      <c r="T497" s="290"/>
      <c r="U497" s="290"/>
      <c r="V497" s="290"/>
      <c r="W497" s="290"/>
      <c r="X497" s="290"/>
      <c r="Y497" s="290"/>
      <c r="Z497" s="290"/>
      <c r="AA497" s="290"/>
      <c r="AB497" s="290"/>
      <c r="AC497" s="290"/>
      <c r="AD497" s="290"/>
      <c r="AE497" s="290"/>
      <c r="AF497" s="290"/>
      <c r="AG497" s="290"/>
      <c r="AH497" s="290"/>
      <c r="AI497" s="290"/>
      <c r="AJ497" s="290"/>
      <c r="AK497" s="290"/>
      <c r="AL497" s="290"/>
      <c r="AM497" s="290"/>
      <c r="AN497" s="290"/>
      <c r="AO497" s="290"/>
      <c r="AP497" s="290"/>
      <c r="AQ497" s="290"/>
      <c r="AR497" s="290"/>
      <c r="AS497" s="290"/>
      <c r="AT497" s="290"/>
      <c r="AU497" s="290"/>
      <c r="AV497" s="290"/>
      <c r="AW497" s="290"/>
      <c r="AX497" s="290"/>
      <c r="AY497" s="290"/>
      <c r="AZ497" s="290"/>
      <c r="BA497" s="290"/>
      <c r="BB497" s="290"/>
      <c r="BC497" s="290"/>
      <c r="BD497" s="290"/>
      <c r="BE497" s="290"/>
      <c r="BF497" s="290"/>
      <c r="BG497" s="290"/>
      <c r="BH497" s="290"/>
      <c r="BI497" s="290"/>
      <c r="BJ497" s="290"/>
      <c r="BK497" s="290"/>
      <c r="BL497" s="290"/>
      <c r="BM497" s="290"/>
      <c r="BN497" s="290"/>
      <c r="BO497" s="290"/>
      <c r="BP497" s="290"/>
      <c r="BQ497" s="290"/>
      <c r="BR497" s="290"/>
      <c r="BS497" s="290"/>
      <c r="BT497" s="290"/>
      <c r="BU497" s="290"/>
      <c r="BV497" s="290"/>
      <c r="BW497" s="290"/>
      <c r="BX497" s="290"/>
      <c r="BY497" s="290"/>
      <c r="BZ497" s="290"/>
      <c r="CA497" s="290"/>
      <c r="CB497" s="290"/>
      <c r="CC497" s="290"/>
      <c r="CD497" s="290"/>
    </row>
    <row r="498" spans="1:82" ht="15.75" customHeight="1">
      <c r="A498" s="290"/>
      <c r="B498" s="290"/>
      <c r="C498" s="290"/>
      <c r="D498" s="290"/>
      <c r="E498" s="290"/>
      <c r="F498" s="290"/>
      <c r="G498" s="290"/>
      <c r="H498" s="370"/>
      <c r="I498" s="370"/>
      <c r="J498" s="290"/>
      <c r="K498" s="290"/>
      <c r="L498" s="290"/>
      <c r="M498" s="290"/>
      <c r="N498" s="290"/>
      <c r="O498" s="290"/>
      <c r="P498" s="290"/>
      <c r="Q498" s="290"/>
      <c r="R498" s="290"/>
      <c r="S498" s="290"/>
      <c r="T498" s="290"/>
      <c r="U498" s="290"/>
      <c r="V498" s="290"/>
      <c r="W498" s="290"/>
      <c r="X498" s="290"/>
      <c r="Y498" s="290"/>
      <c r="Z498" s="290"/>
      <c r="AA498" s="290"/>
      <c r="AB498" s="290"/>
      <c r="AC498" s="290"/>
      <c r="AD498" s="290"/>
      <c r="AE498" s="290"/>
      <c r="AF498" s="290"/>
      <c r="AG498" s="290"/>
      <c r="AH498" s="290"/>
      <c r="AI498" s="290"/>
      <c r="AJ498" s="290"/>
      <c r="AK498" s="290"/>
      <c r="AL498" s="290"/>
      <c r="AM498" s="290"/>
      <c r="AN498" s="290"/>
      <c r="AO498" s="290"/>
      <c r="AP498" s="290"/>
      <c r="AQ498" s="290"/>
      <c r="AR498" s="290"/>
      <c r="AS498" s="290"/>
      <c r="AT498" s="290"/>
      <c r="AU498" s="290"/>
      <c r="AV498" s="290"/>
      <c r="AW498" s="290"/>
      <c r="AX498" s="290"/>
      <c r="AY498" s="290"/>
      <c r="AZ498" s="290"/>
      <c r="BA498" s="290"/>
      <c r="BB498" s="290"/>
      <c r="BC498" s="290"/>
      <c r="BD498" s="290"/>
      <c r="BE498" s="290"/>
      <c r="BF498" s="290"/>
      <c r="BG498" s="290"/>
      <c r="BH498" s="290"/>
      <c r="BI498" s="290"/>
      <c r="BJ498" s="290"/>
      <c r="BK498" s="290"/>
      <c r="BL498" s="290"/>
      <c r="BM498" s="290"/>
      <c r="BN498" s="290"/>
      <c r="BO498" s="290"/>
      <c r="BP498" s="290"/>
      <c r="BQ498" s="290"/>
      <c r="BR498" s="290"/>
      <c r="BS498" s="290"/>
      <c r="BT498" s="290"/>
      <c r="BU498" s="290"/>
      <c r="BV498" s="290"/>
      <c r="BW498" s="290"/>
      <c r="BX498" s="290"/>
      <c r="BY498" s="290"/>
      <c r="BZ498" s="290"/>
      <c r="CA498" s="290"/>
      <c r="CB498" s="290"/>
      <c r="CC498" s="290"/>
      <c r="CD498" s="290"/>
    </row>
    <row r="499" spans="1:82" ht="15.75" customHeight="1">
      <c r="A499" s="290"/>
      <c r="B499" s="290"/>
      <c r="C499" s="290"/>
      <c r="D499" s="290"/>
      <c r="E499" s="290"/>
      <c r="F499" s="290"/>
      <c r="G499" s="290"/>
      <c r="H499" s="370"/>
      <c r="I499" s="370"/>
      <c r="J499" s="290"/>
      <c r="K499" s="290"/>
      <c r="L499" s="290"/>
      <c r="M499" s="290"/>
      <c r="N499" s="290"/>
      <c r="O499" s="290"/>
      <c r="P499" s="290"/>
      <c r="Q499" s="290"/>
      <c r="R499" s="290"/>
      <c r="S499" s="290"/>
      <c r="T499" s="290"/>
      <c r="U499" s="290"/>
      <c r="V499" s="290"/>
      <c r="W499" s="290"/>
      <c r="X499" s="290"/>
      <c r="Y499" s="290"/>
      <c r="Z499" s="290"/>
      <c r="AA499" s="290"/>
      <c r="AB499" s="290"/>
      <c r="AC499" s="290"/>
      <c r="AD499" s="290"/>
      <c r="AE499" s="290"/>
      <c r="AF499" s="290"/>
      <c r="AG499" s="290"/>
      <c r="AH499" s="290"/>
      <c r="AI499" s="290"/>
      <c r="AJ499" s="290"/>
      <c r="AK499" s="290"/>
      <c r="AL499" s="290"/>
      <c r="AM499" s="290"/>
      <c r="AN499" s="290"/>
      <c r="AO499" s="290"/>
      <c r="AP499" s="290"/>
      <c r="AQ499" s="290"/>
      <c r="AR499" s="290"/>
      <c r="AS499" s="290"/>
      <c r="AT499" s="290"/>
      <c r="AU499" s="290"/>
      <c r="AV499" s="290"/>
      <c r="AW499" s="290"/>
      <c r="AX499" s="290"/>
      <c r="AY499" s="290"/>
      <c r="AZ499" s="290"/>
      <c r="BA499" s="290"/>
      <c r="BB499" s="290"/>
      <c r="BC499" s="290"/>
      <c r="BD499" s="290"/>
      <c r="BE499" s="290"/>
      <c r="BF499" s="290"/>
      <c r="BG499" s="290"/>
      <c r="BH499" s="290"/>
      <c r="BI499" s="290"/>
      <c r="BJ499" s="290"/>
      <c r="BK499" s="290"/>
      <c r="BL499" s="290"/>
      <c r="BM499" s="290"/>
      <c r="BN499" s="290"/>
      <c r="BO499" s="290"/>
      <c r="BP499" s="290"/>
      <c r="BQ499" s="290"/>
      <c r="BR499" s="290"/>
      <c r="BS499" s="290"/>
      <c r="BT499" s="290"/>
      <c r="BU499" s="290"/>
      <c r="BV499" s="290"/>
      <c r="BW499" s="290"/>
      <c r="BX499" s="290"/>
      <c r="BY499" s="290"/>
      <c r="BZ499" s="290"/>
      <c r="CA499" s="290"/>
      <c r="CB499" s="290"/>
      <c r="CC499" s="290"/>
      <c r="CD499" s="290"/>
    </row>
    <row r="500" spans="1:82" ht="15.75" customHeight="1">
      <c r="A500" s="290"/>
      <c r="B500" s="290"/>
      <c r="C500" s="290"/>
      <c r="D500" s="290"/>
      <c r="E500" s="290"/>
      <c r="F500" s="290"/>
      <c r="G500" s="290"/>
      <c r="H500" s="370"/>
      <c r="I500" s="370"/>
      <c r="J500" s="290"/>
      <c r="K500" s="290"/>
      <c r="L500" s="290"/>
      <c r="M500" s="290"/>
      <c r="N500" s="290"/>
      <c r="O500" s="290"/>
      <c r="P500" s="290"/>
      <c r="Q500" s="290"/>
      <c r="R500" s="290"/>
      <c r="S500" s="290"/>
      <c r="T500" s="290"/>
      <c r="U500" s="290"/>
      <c r="V500" s="290"/>
      <c r="W500" s="290"/>
      <c r="X500" s="290"/>
      <c r="Y500" s="290"/>
      <c r="Z500" s="290"/>
      <c r="AA500" s="290"/>
      <c r="AB500" s="290"/>
      <c r="AC500" s="290"/>
      <c r="AD500" s="290"/>
      <c r="AE500" s="290"/>
      <c r="AF500" s="290"/>
      <c r="AG500" s="290"/>
      <c r="AH500" s="290"/>
      <c r="AI500" s="290"/>
      <c r="AJ500" s="290"/>
      <c r="AK500" s="290"/>
      <c r="AL500" s="290"/>
      <c r="AM500" s="290"/>
      <c r="AN500" s="290"/>
      <c r="AO500" s="290"/>
      <c r="AP500" s="290"/>
      <c r="AQ500" s="290"/>
      <c r="AR500" s="290"/>
      <c r="AS500" s="290"/>
      <c r="AT500" s="290"/>
      <c r="AU500" s="290"/>
      <c r="AV500" s="290"/>
      <c r="AW500" s="290"/>
      <c r="AX500" s="290"/>
      <c r="AY500" s="290"/>
      <c r="AZ500" s="290"/>
      <c r="BA500" s="290"/>
      <c r="BB500" s="290"/>
      <c r="BC500" s="290"/>
      <c r="BD500" s="290"/>
      <c r="BE500" s="290"/>
      <c r="BF500" s="290"/>
      <c r="BG500" s="290"/>
      <c r="BH500" s="290"/>
      <c r="BI500" s="290"/>
      <c r="BJ500" s="290"/>
      <c r="BK500" s="290"/>
      <c r="BL500" s="290"/>
      <c r="BM500" s="290"/>
      <c r="BN500" s="290"/>
      <c r="BO500" s="290"/>
      <c r="BP500" s="290"/>
      <c r="BQ500" s="290"/>
      <c r="BR500" s="290"/>
      <c r="BS500" s="290"/>
      <c r="BT500" s="290"/>
      <c r="BU500" s="290"/>
      <c r="BV500" s="290"/>
      <c r="BW500" s="290"/>
      <c r="BX500" s="290"/>
      <c r="BY500" s="290"/>
      <c r="BZ500" s="290"/>
      <c r="CA500" s="290"/>
      <c r="CB500" s="290"/>
      <c r="CC500" s="290"/>
      <c r="CD500" s="290"/>
    </row>
    <row r="501" spans="1:82" ht="15.75" customHeight="1">
      <c r="A501" s="290"/>
      <c r="B501" s="290"/>
      <c r="C501" s="290"/>
      <c r="D501" s="290"/>
      <c r="E501" s="290"/>
      <c r="F501" s="290"/>
      <c r="G501" s="290"/>
      <c r="H501" s="370"/>
      <c r="I501" s="370"/>
      <c r="J501" s="290"/>
      <c r="K501" s="290"/>
      <c r="L501" s="290"/>
      <c r="M501" s="290"/>
      <c r="N501" s="290"/>
      <c r="O501" s="290"/>
      <c r="P501" s="290"/>
      <c r="Q501" s="290"/>
      <c r="R501" s="290"/>
      <c r="S501" s="290"/>
      <c r="T501" s="290"/>
      <c r="U501" s="290"/>
      <c r="V501" s="290"/>
      <c r="W501" s="290"/>
      <c r="X501" s="290"/>
      <c r="Y501" s="290"/>
      <c r="Z501" s="290"/>
      <c r="AA501" s="290"/>
      <c r="AB501" s="290"/>
      <c r="AC501" s="290"/>
      <c r="AD501" s="290"/>
      <c r="AE501" s="290"/>
      <c r="AF501" s="290"/>
      <c r="AG501" s="290"/>
      <c r="AH501" s="290"/>
      <c r="AI501" s="290"/>
      <c r="AJ501" s="290"/>
      <c r="AK501" s="290"/>
      <c r="AL501" s="290"/>
      <c r="AM501" s="290"/>
      <c r="AN501" s="290"/>
      <c r="AO501" s="290"/>
      <c r="AP501" s="290"/>
      <c r="AQ501" s="290"/>
      <c r="AR501" s="290"/>
      <c r="AS501" s="290"/>
      <c r="AT501" s="290"/>
      <c r="AU501" s="290"/>
      <c r="AV501" s="290"/>
      <c r="AW501" s="290"/>
      <c r="AX501" s="290"/>
      <c r="AY501" s="290"/>
      <c r="AZ501" s="290"/>
      <c r="BA501" s="290"/>
      <c r="BB501" s="290"/>
      <c r="BC501" s="290"/>
      <c r="BD501" s="290"/>
      <c r="BE501" s="290"/>
      <c r="BF501" s="290"/>
      <c r="BG501" s="290"/>
      <c r="BH501" s="290"/>
      <c r="BI501" s="290"/>
      <c r="BJ501" s="290"/>
      <c r="BK501" s="290"/>
      <c r="BL501" s="290"/>
      <c r="BM501" s="290"/>
      <c r="BN501" s="290"/>
      <c r="BO501" s="290"/>
      <c r="BP501" s="290"/>
      <c r="BQ501" s="290"/>
      <c r="BR501" s="290"/>
      <c r="BS501" s="290"/>
      <c r="BT501" s="290"/>
      <c r="BU501" s="290"/>
      <c r="BV501" s="290"/>
      <c r="BW501" s="290"/>
      <c r="BX501" s="290"/>
      <c r="BY501" s="290"/>
      <c r="BZ501" s="290"/>
      <c r="CA501" s="290"/>
      <c r="CB501" s="290"/>
      <c r="CC501" s="290"/>
      <c r="CD501" s="290"/>
    </row>
    <row r="502" spans="1:82" ht="15.75" customHeight="1">
      <c r="A502" s="290"/>
      <c r="B502" s="290"/>
      <c r="C502" s="290"/>
      <c r="D502" s="290"/>
      <c r="E502" s="290"/>
      <c r="F502" s="290"/>
      <c r="G502" s="290"/>
      <c r="H502" s="370"/>
      <c r="I502" s="370"/>
      <c r="J502" s="290"/>
      <c r="K502" s="290"/>
      <c r="L502" s="290"/>
      <c r="M502" s="290"/>
      <c r="N502" s="290"/>
      <c r="O502" s="290"/>
      <c r="P502" s="290"/>
      <c r="Q502" s="290"/>
      <c r="R502" s="290"/>
      <c r="S502" s="290"/>
      <c r="T502" s="290"/>
      <c r="U502" s="290"/>
      <c r="V502" s="290"/>
      <c r="W502" s="290"/>
      <c r="X502" s="290"/>
      <c r="Y502" s="290"/>
      <c r="Z502" s="290"/>
      <c r="AA502" s="290"/>
      <c r="AB502" s="290"/>
      <c r="AC502" s="290"/>
      <c r="AD502" s="290"/>
      <c r="AE502" s="290"/>
      <c r="AF502" s="290"/>
      <c r="AG502" s="290"/>
      <c r="AH502" s="290"/>
      <c r="AI502" s="290"/>
      <c r="AJ502" s="290"/>
      <c r="AK502" s="290"/>
      <c r="AL502" s="290"/>
      <c r="AM502" s="290"/>
      <c r="AN502" s="290"/>
      <c r="AO502" s="290"/>
      <c r="AP502" s="290"/>
      <c r="AQ502" s="290"/>
      <c r="AR502" s="290"/>
      <c r="AS502" s="290"/>
      <c r="AT502" s="290"/>
      <c r="AU502" s="290"/>
      <c r="AV502" s="290"/>
      <c r="AW502" s="290"/>
      <c r="AX502" s="290"/>
      <c r="AY502" s="290"/>
      <c r="AZ502" s="290"/>
      <c r="BA502" s="290"/>
      <c r="BB502" s="290"/>
      <c r="BC502" s="290"/>
      <c r="BD502" s="290"/>
      <c r="BE502" s="290"/>
      <c r="BF502" s="290"/>
      <c r="BG502" s="290"/>
      <c r="BH502" s="290"/>
      <c r="BI502" s="290"/>
      <c r="BJ502" s="290"/>
      <c r="BK502" s="290"/>
      <c r="BL502" s="290"/>
      <c r="BM502" s="290"/>
      <c r="BN502" s="290"/>
      <c r="BO502" s="290"/>
      <c r="BP502" s="290"/>
      <c r="BQ502" s="290"/>
      <c r="BR502" s="290"/>
      <c r="BS502" s="290"/>
      <c r="BT502" s="290"/>
      <c r="BU502" s="290"/>
      <c r="BV502" s="290"/>
      <c r="BW502" s="290"/>
      <c r="BX502" s="290"/>
      <c r="BY502" s="290"/>
      <c r="BZ502" s="290"/>
      <c r="CA502" s="290"/>
      <c r="CB502" s="290"/>
      <c r="CC502" s="290"/>
      <c r="CD502" s="290"/>
    </row>
    <row r="503" spans="1:82" ht="15.75" customHeight="1">
      <c r="A503" s="290"/>
      <c r="B503" s="290"/>
      <c r="C503" s="290"/>
      <c r="D503" s="290"/>
      <c r="E503" s="290"/>
      <c r="F503" s="290"/>
      <c r="G503" s="290"/>
      <c r="H503" s="370"/>
      <c r="I503" s="370"/>
      <c r="J503" s="290"/>
      <c r="K503" s="290"/>
      <c r="L503" s="290"/>
      <c r="M503" s="290"/>
      <c r="N503" s="290"/>
      <c r="O503" s="290"/>
      <c r="P503" s="290"/>
      <c r="Q503" s="290"/>
      <c r="R503" s="290"/>
      <c r="S503" s="290"/>
      <c r="T503" s="290"/>
      <c r="U503" s="290"/>
      <c r="V503" s="290"/>
      <c r="W503" s="290"/>
      <c r="X503" s="290"/>
      <c r="Y503" s="290"/>
      <c r="Z503" s="290"/>
      <c r="AA503" s="290"/>
      <c r="AB503" s="290"/>
      <c r="AC503" s="290"/>
      <c r="AD503" s="290"/>
      <c r="AE503" s="290"/>
      <c r="AF503" s="290"/>
      <c r="AG503" s="290"/>
      <c r="AH503" s="290"/>
      <c r="AI503" s="290"/>
      <c r="AJ503" s="290"/>
      <c r="AK503" s="290"/>
      <c r="AL503" s="290"/>
      <c r="AM503" s="290"/>
      <c r="AN503" s="290"/>
      <c r="AO503" s="290"/>
      <c r="AP503" s="290"/>
      <c r="AQ503" s="290"/>
      <c r="AR503" s="290"/>
      <c r="AS503" s="290"/>
      <c r="AT503" s="290"/>
      <c r="AU503" s="290"/>
      <c r="AV503" s="290"/>
      <c r="AW503" s="290"/>
      <c r="AX503" s="290"/>
      <c r="AY503" s="290"/>
      <c r="AZ503" s="290"/>
      <c r="BA503" s="290"/>
      <c r="BB503" s="290"/>
      <c r="BC503" s="290"/>
      <c r="BD503" s="290"/>
      <c r="BE503" s="290"/>
      <c r="BF503" s="290"/>
      <c r="BG503" s="290"/>
      <c r="BH503" s="290"/>
      <c r="BI503" s="290"/>
      <c r="BJ503" s="290"/>
      <c r="BK503" s="290"/>
      <c r="BL503" s="290"/>
      <c r="BM503" s="290"/>
      <c r="BN503" s="290"/>
      <c r="BO503" s="290"/>
      <c r="BP503" s="290"/>
      <c r="BQ503" s="290"/>
      <c r="BR503" s="290"/>
      <c r="BS503" s="290"/>
      <c r="BT503" s="290"/>
      <c r="BU503" s="290"/>
      <c r="BV503" s="290"/>
      <c r="BW503" s="290"/>
      <c r="BX503" s="290"/>
      <c r="BY503" s="290"/>
      <c r="BZ503" s="290"/>
      <c r="CA503" s="290"/>
      <c r="CB503" s="290"/>
      <c r="CC503" s="290"/>
      <c r="CD503" s="290"/>
    </row>
    <row r="504" spans="1:82" ht="15.75" customHeight="1">
      <c r="A504" s="290"/>
      <c r="B504" s="290"/>
      <c r="C504" s="290"/>
      <c r="D504" s="290"/>
      <c r="E504" s="290"/>
      <c r="F504" s="290"/>
      <c r="G504" s="290"/>
      <c r="H504" s="370"/>
      <c r="I504" s="370"/>
      <c r="J504" s="290"/>
      <c r="K504" s="290"/>
      <c r="L504" s="290"/>
      <c r="M504" s="290"/>
      <c r="N504" s="290"/>
      <c r="O504" s="290"/>
      <c r="P504" s="290"/>
      <c r="Q504" s="290"/>
      <c r="R504" s="290"/>
      <c r="S504" s="290"/>
      <c r="T504" s="290"/>
      <c r="U504" s="290"/>
      <c r="V504" s="290"/>
      <c r="W504" s="290"/>
      <c r="X504" s="290"/>
      <c r="Y504" s="290"/>
      <c r="Z504" s="290"/>
      <c r="AA504" s="290"/>
      <c r="AB504" s="290"/>
      <c r="AC504" s="290"/>
      <c r="AD504" s="290"/>
      <c r="AE504" s="290"/>
      <c r="AF504" s="290"/>
      <c r="AG504" s="290"/>
      <c r="AH504" s="290"/>
      <c r="AI504" s="290"/>
      <c r="AJ504" s="290"/>
      <c r="AK504" s="290"/>
      <c r="AL504" s="290"/>
      <c r="AM504" s="290"/>
      <c r="AN504" s="290"/>
      <c r="AO504" s="290"/>
      <c r="AP504" s="290"/>
      <c r="AQ504" s="290"/>
      <c r="AR504" s="290"/>
      <c r="AS504" s="290"/>
      <c r="AT504" s="290"/>
      <c r="AU504" s="290"/>
      <c r="AV504" s="290"/>
      <c r="AW504" s="290"/>
      <c r="AX504" s="290"/>
      <c r="AY504" s="290"/>
      <c r="AZ504" s="290"/>
      <c r="BA504" s="290"/>
      <c r="BB504" s="290"/>
      <c r="BC504" s="290"/>
      <c r="BD504" s="290"/>
      <c r="BE504" s="290"/>
      <c r="BF504" s="290"/>
      <c r="BG504" s="290"/>
      <c r="BH504" s="290"/>
      <c r="BI504" s="290"/>
      <c r="BJ504" s="290"/>
      <c r="BK504" s="290"/>
      <c r="BL504" s="290"/>
      <c r="BM504" s="290"/>
      <c r="BN504" s="290"/>
      <c r="BO504" s="290"/>
      <c r="BP504" s="290"/>
      <c r="BQ504" s="290"/>
      <c r="BR504" s="290"/>
      <c r="BS504" s="290"/>
      <c r="BT504" s="290"/>
      <c r="BU504" s="290"/>
      <c r="BV504" s="290"/>
      <c r="BW504" s="290"/>
      <c r="BX504" s="290"/>
      <c r="BY504" s="290"/>
      <c r="BZ504" s="290"/>
      <c r="CA504" s="290"/>
      <c r="CB504" s="290"/>
      <c r="CC504" s="290"/>
      <c r="CD504" s="290"/>
    </row>
    <row r="505" spans="1:82" ht="15.75" customHeight="1">
      <c r="A505" s="290"/>
      <c r="B505" s="290"/>
      <c r="C505" s="290"/>
      <c r="D505" s="290"/>
      <c r="E505" s="290"/>
      <c r="F505" s="290"/>
      <c r="G505" s="290"/>
      <c r="H505" s="370"/>
      <c r="I505" s="370"/>
      <c r="J505" s="290"/>
      <c r="K505" s="290"/>
      <c r="L505" s="290"/>
      <c r="M505" s="290"/>
      <c r="N505" s="290"/>
      <c r="O505" s="290"/>
      <c r="P505" s="290"/>
      <c r="Q505" s="290"/>
      <c r="R505" s="290"/>
      <c r="S505" s="290"/>
      <c r="T505" s="290"/>
      <c r="U505" s="290"/>
      <c r="V505" s="290"/>
      <c r="W505" s="290"/>
      <c r="X505" s="290"/>
      <c r="Y505" s="290"/>
      <c r="Z505" s="290"/>
      <c r="AA505" s="290"/>
      <c r="AB505" s="290"/>
      <c r="AC505" s="290"/>
      <c r="AD505" s="290"/>
      <c r="AE505" s="290"/>
      <c r="AF505" s="290"/>
      <c r="AG505" s="290"/>
      <c r="AH505" s="290"/>
      <c r="AI505" s="290"/>
      <c r="AJ505" s="290"/>
      <c r="AK505" s="290"/>
      <c r="AL505" s="290"/>
      <c r="AM505" s="290"/>
      <c r="AN505" s="290"/>
      <c r="AO505" s="290"/>
      <c r="AP505" s="290"/>
      <c r="AQ505" s="290"/>
      <c r="AR505" s="290"/>
      <c r="AS505" s="290"/>
      <c r="AT505" s="290"/>
      <c r="AU505" s="290"/>
      <c r="AV505" s="290"/>
      <c r="AW505" s="290"/>
      <c r="AX505" s="290"/>
      <c r="AY505" s="290"/>
      <c r="AZ505" s="290"/>
      <c r="BA505" s="290"/>
      <c r="BB505" s="290"/>
      <c r="BC505" s="290"/>
      <c r="BD505" s="290"/>
      <c r="BE505" s="290"/>
      <c r="BF505" s="290"/>
      <c r="BG505" s="290"/>
      <c r="BH505" s="290"/>
      <c r="BI505" s="290"/>
      <c r="BJ505" s="290"/>
      <c r="BK505" s="290"/>
      <c r="BL505" s="290"/>
      <c r="BM505" s="290"/>
      <c r="BN505" s="290"/>
      <c r="BO505" s="290"/>
      <c r="BP505" s="290"/>
      <c r="BQ505" s="290"/>
      <c r="BR505" s="290"/>
      <c r="BS505" s="290"/>
      <c r="BT505" s="290"/>
      <c r="BU505" s="290"/>
      <c r="BV505" s="290"/>
      <c r="BW505" s="290"/>
      <c r="BX505" s="290"/>
      <c r="BY505" s="290"/>
      <c r="BZ505" s="290"/>
      <c r="CA505" s="290"/>
      <c r="CB505" s="290"/>
      <c r="CC505" s="290"/>
      <c r="CD505" s="290"/>
    </row>
    <row r="506" spans="1:82" ht="15.75" customHeight="1">
      <c r="A506" s="290"/>
      <c r="B506" s="290"/>
      <c r="C506" s="290"/>
      <c r="D506" s="290"/>
      <c r="E506" s="290"/>
      <c r="F506" s="290"/>
      <c r="G506" s="290"/>
      <c r="H506" s="370"/>
      <c r="I506" s="370"/>
      <c r="J506" s="290"/>
      <c r="K506" s="290"/>
      <c r="L506" s="290"/>
      <c r="M506" s="290"/>
      <c r="N506" s="290"/>
      <c r="O506" s="290"/>
      <c r="P506" s="290"/>
      <c r="Q506" s="290"/>
      <c r="R506" s="290"/>
      <c r="S506" s="290"/>
      <c r="T506" s="290"/>
      <c r="U506" s="290"/>
      <c r="V506" s="290"/>
      <c r="W506" s="290"/>
      <c r="X506" s="290"/>
      <c r="Y506" s="290"/>
      <c r="Z506" s="290"/>
      <c r="AA506" s="290"/>
      <c r="AB506" s="290"/>
      <c r="AC506" s="290"/>
      <c r="AD506" s="290"/>
      <c r="AE506" s="290"/>
      <c r="AF506" s="290"/>
      <c r="AG506" s="290"/>
      <c r="AH506" s="290"/>
      <c r="AI506" s="290"/>
      <c r="AJ506" s="290"/>
      <c r="AK506" s="290"/>
      <c r="AL506" s="290"/>
      <c r="AM506" s="290"/>
      <c r="AN506" s="290"/>
      <c r="AO506" s="290"/>
      <c r="AP506" s="290"/>
      <c r="AQ506" s="290"/>
      <c r="AR506" s="290"/>
      <c r="AS506" s="290"/>
      <c r="AT506" s="290"/>
      <c r="AU506" s="290"/>
      <c r="AV506" s="290"/>
      <c r="AW506" s="290"/>
      <c r="AX506" s="290"/>
      <c r="AY506" s="290"/>
      <c r="AZ506" s="290"/>
      <c r="BA506" s="290"/>
      <c r="BB506" s="290"/>
      <c r="BC506" s="290"/>
      <c r="BD506" s="290"/>
      <c r="BE506" s="290"/>
      <c r="BF506" s="290"/>
      <c r="BG506" s="290"/>
      <c r="BH506" s="290"/>
      <c r="BI506" s="290"/>
      <c r="BJ506" s="290"/>
      <c r="BK506" s="290"/>
      <c r="BL506" s="290"/>
      <c r="BM506" s="290"/>
      <c r="BN506" s="290"/>
      <c r="BO506" s="290"/>
      <c r="BP506" s="290"/>
      <c r="BQ506" s="290"/>
      <c r="BR506" s="290"/>
      <c r="BS506" s="290"/>
      <c r="BT506" s="290"/>
      <c r="BU506" s="290"/>
      <c r="BV506" s="290"/>
      <c r="BW506" s="290"/>
      <c r="BX506" s="290"/>
      <c r="BY506" s="290"/>
      <c r="BZ506" s="290"/>
      <c r="CA506" s="290"/>
      <c r="CB506" s="290"/>
      <c r="CC506" s="290"/>
      <c r="CD506" s="290"/>
    </row>
  </sheetData>
  <mergeCells count="64">
    <mergeCell ref="Z2:Z4"/>
    <mergeCell ref="AA2:AA4"/>
    <mergeCell ref="G2:I2"/>
    <mergeCell ref="J2:L2"/>
    <mergeCell ref="M2:O2"/>
    <mergeCell ref="P2:Q2"/>
    <mergeCell ref="R2:S2"/>
    <mergeCell ref="T2:U2"/>
    <mergeCell ref="V2:X2"/>
    <mergeCell ref="B2:B4"/>
    <mergeCell ref="C2:C4"/>
    <mergeCell ref="D2:F2"/>
    <mergeCell ref="U267:W267"/>
    <mergeCell ref="AB267:AD267"/>
    <mergeCell ref="D57:M57"/>
    <mergeCell ref="D95:M95"/>
    <mergeCell ref="N95:N96"/>
    <mergeCell ref="C57:C58"/>
    <mergeCell ref="N57:N58"/>
    <mergeCell ref="C95:C96"/>
    <mergeCell ref="C133:C134"/>
    <mergeCell ref="D133:M133"/>
    <mergeCell ref="N133:N134"/>
    <mergeCell ref="D177:M177"/>
    <mergeCell ref="Y2:Y4"/>
    <mergeCell ref="AB274:AD274"/>
    <mergeCell ref="AB275:AD275"/>
    <mergeCell ref="U276:W276"/>
    <mergeCell ref="AB276:AD276"/>
    <mergeCell ref="U270:W270"/>
    <mergeCell ref="U271:W271"/>
    <mergeCell ref="U272:W272"/>
    <mergeCell ref="U273:W273"/>
    <mergeCell ref="AB273:AD273"/>
    <mergeCell ref="U274:W274"/>
    <mergeCell ref="U275:W275"/>
    <mergeCell ref="B222:B224"/>
    <mergeCell ref="B225:B233"/>
    <mergeCell ref="B5:B6"/>
    <mergeCell ref="B7:B9"/>
    <mergeCell ref="B10:B18"/>
    <mergeCell ref="B19:B43"/>
    <mergeCell ref="B44:B48"/>
    <mergeCell ref="B49:B51"/>
    <mergeCell ref="C177:C178"/>
    <mergeCell ref="B219:B220"/>
    <mergeCell ref="C219:C220"/>
    <mergeCell ref="D219:M219"/>
    <mergeCell ref="N219:N220"/>
    <mergeCell ref="N265:N266"/>
    <mergeCell ref="U266:W266"/>
    <mergeCell ref="AB271:AD271"/>
    <mergeCell ref="AB272:AD272"/>
    <mergeCell ref="N177:N178"/>
    <mergeCell ref="U269:W269"/>
    <mergeCell ref="AB269:AD269"/>
    <mergeCell ref="AB270:AD270"/>
    <mergeCell ref="U268:W268"/>
    <mergeCell ref="AB268:AD268"/>
    <mergeCell ref="B234:B256"/>
    <mergeCell ref="B257:B260"/>
    <mergeCell ref="B261:B263"/>
    <mergeCell ref="C265:C266"/>
    <mergeCell ref="D265:M265"/>
  </mergeCells>
  <pageMargins left="0.7" right="0.7" top="0.75" bottom="0.75" header="0" footer="0"/>
  <pageSetup orientation="landscape"/>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Y66"/>
  <sheetViews>
    <sheetView showGridLines="0" workbookViewId="0">
      <pane xSplit="1" ySplit="2" topLeftCell="B55" activePane="bottomRight" state="frozen"/>
      <selection pane="topRight"/>
      <selection pane="bottomLeft"/>
      <selection pane="bottomRight" activeCell="A65" sqref="A65:XFD66"/>
    </sheetView>
  </sheetViews>
  <sheetFormatPr defaultColWidth="19.59765625" defaultRowHeight="14.25" customHeight="1"/>
  <cols>
    <col min="1" max="4" width="19.59765625" style="1" customWidth="1"/>
    <col min="5" max="5" width="91.3984375" style="1" bestFit="1" customWidth="1"/>
    <col min="6" max="26" width="19.59765625" style="1" customWidth="1"/>
    <col min="27" max="16384" width="19.59765625" style="1"/>
  </cols>
  <sheetData>
    <row r="1" spans="1:25" ht="15.5" customHeight="1">
      <c r="A1" s="561" t="s">
        <v>2045</v>
      </c>
      <c r="B1" s="561"/>
      <c r="C1" s="561"/>
      <c r="D1" s="561"/>
      <c r="E1" s="561"/>
      <c r="F1" s="561"/>
      <c r="G1" s="561"/>
      <c r="H1" s="561"/>
      <c r="I1" s="561"/>
      <c r="J1" s="561"/>
      <c r="K1" s="561"/>
      <c r="L1" s="561"/>
      <c r="M1" s="561"/>
      <c r="N1" s="561"/>
      <c r="O1" s="561"/>
      <c r="P1" s="561"/>
      <c r="Q1" s="561"/>
      <c r="R1" s="561"/>
      <c r="S1" s="561"/>
      <c r="T1" s="561"/>
      <c r="U1" s="561"/>
      <c r="V1" s="561"/>
      <c r="W1" s="561"/>
      <c r="X1" s="561"/>
      <c r="Y1" s="561"/>
    </row>
    <row r="2" spans="1:25" ht="13.25" customHeight="1">
      <c r="A2" s="371" t="s">
        <v>251</v>
      </c>
      <c r="B2" s="371" t="s">
        <v>252</v>
      </c>
      <c r="C2" s="371" t="s">
        <v>253</v>
      </c>
      <c r="D2" s="371" t="s">
        <v>254</v>
      </c>
      <c r="E2" s="371" t="s">
        <v>255</v>
      </c>
      <c r="F2" s="371" t="s">
        <v>256</v>
      </c>
      <c r="G2" s="371" t="s">
        <v>257</v>
      </c>
      <c r="H2" s="371" t="s">
        <v>258</v>
      </c>
      <c r="I2" s="371" t="s">
        <v>259</v>
      </c>
      <c r="J2" s="371" t="s">
        <v>260</v>
      </c>
      <c r="K2" s="371" t="s">
        <v>261</v>
      </c>
      <c r="L2" s="371" t="s">
        <v>262</v>
      </c>
      <c r="M2" s="371" t="s">
        <v>263</v>
      </c>
      <c r="N2" s="371" t="s">
        <v>264</v>
      </c>
      <c r="O2" s="371" t="s">
        <v>265</v>
      </c>
      <c r="P2" s="371" t="s">
        <v>266</v>
      </c>
      <c r="Q2" s="371" t="s">
        <v>267</v>
      </c>
      <c r="R2" s="371" t="s">
        <v>268</v>
      </c>
      <c r="S2" s="371" t="s">
        <v>269</v>
      </c>
      <c r="T2" s="371" t="s">
        <v>270</v>
      </c>
      <c r="U2" s="371" t="s">
        <v>271</v>
      </c>
      <c r="V2" s="371" t="s">
        <v>2046</v>
      </c>
      <c r="W2" s="372"/>
      <c r="X2" s="372"/>
      <c r="Y2" s="372"/>
    </row>
    <row r="3" spans="1:25" ht="13.25" customHeight="1">
      <c r="A3" s="373" t="s">
        <v>286</v>
      </c>
      <c r="B3" s="374" t="s">
        <v>287</v>
      </c>
      <c r="C3" s="375" t="s">
        <v>274</v>
      </c>
      <c r="D3" s="376">
        <v>2019</v>
      </c>
      <c r="E3" s="375" t="s">
        <v>288</v>
      </c>
      <c r="F3" s="375" t="s">
        <v>289</v>
      </c>
      <c r="G3" s="375" t="s">
        <v>289</v>
      </c>
      <c r="H3" s="376">
        <v>20222</v>
      </c>
      <c r="I3" s="375" t="s">
        <v>290</v>
      </c>
      <c r="J3" s="375" t="s">
        <v>278</v>
      </c>
      <c r="K3" s="375" t="s">
        <v>279</v>
      </c>
      <c r="L3" s="375" t="s">
        <v>291</v>
      </c>
      <c r="M3" s="375" t="s">
        <v>292</v>
      </c>
      <c r="N3" s="376">
        <v>185</v>
      </c>
      <c r="O3" s="376">
        <v>5</v>
      </c>
      <c r="P3" s="377"/>
      <c r="Q3" s="375" t="s">
        <v>293</v>
      </c>
      <c r="R3" s="377"/>
      <c r="S3" s="377"/>
      <c r="T3" s="377"/>
      <c r="U3" s="375" t="s">
        <v>294</v>
      </c>
      <c r="V3" s="377"/>
      <c r="W3" s="377"/>
      <c r="X3" s="377"/>
      <c r="Y3" s="377"/>
    </row>
    <row r="4" spans="1:25" ht="13.15" customHeight="1">
      <c r="A4" s="378" t="s">
        <v>326</v>
      </c>
      <c r="B4" s="379" t="s">
        <v>327</v>
      </c>
      <c r="C4" s="380" t="s">
        <v>274</v>
      </c>
      <c r="D4" s="381">
        <v>2020</v>
      </c>
      <c r="E4" s="380" t="s">
        <v>328</v>
      </c>
      <c r="F4" s="380" t="s">
        <v>329</v>
      </c>
      <c r="G4" s="380" t="s">
        <v>330</v>
      </c>
      <c r="H4" s="381">
        <v>20221</v>
      </c>
      <c r="I4" s="380" t="s">
        <v>331</v>
      </c>
      <c r="J4" s="380" t="s">
        <v>278</v>
      </c>
      <c r="K4" s="380" t="s">
        <v>332</v>
      </c>
      <c r="L4" s="380" t="s">
        <v>291</v>
      </c>
      <c r="M4" s="380" t="s">
        <v>292</v>
      </c>
      <c r="N4" s="381">
        <v>7</v>
      </c>
      <c r="O4" s="381">
        <v>5</v>
      </c>
      <c r="P4" s="382"/>
      <c r="Q4" s="380" t="s">
        <v>333</v>
      </c>
      <c r="R4" s="380" t="s">
        <v>334</v>
      </c>
      <c r="S4" s="382"/>
      <c r="T4" s="382"/>
      <c r="U4" s="380" t="s">
        <v>335</v>
      </c>
      <c r="V4" s="382"/>
      <c r="W4" s="382"/>
      <c r="X4" s="382"/>
      <c r="Y4" s="382"/>
    </row>
    <row r="5" spans="1:25" ht="13.15" customHeight="1">
      <c r="A5" s="378" t="s">
        <v>465</v>
      </c>
      <c r="B5" s="379" t="s">
        <v>466</v>
      </c>
      <c r="C5" s="380" t="s">
        <v>274</v>
      </c>
      <c r="D5" s="381">
        <v>2021</v>
      </c>
      <c r="E5" s="380" t="s">
        <v>418</v>
      </c>
      <c r="F5" s="380" t="s">
        <v>419</v>
      </c>
      <c r="G5" s="380" t="s">
        <v>419</v>
      </c>
      <c r="H5" s="381">
        <v>20231</v>
      </c>
      <c r="I5" s="380" t="s">
        <v>420</v>
      </c>
      <c r="J5" s="380" t="s">
        <v>278</v>
      </c>
      <c r="K5" s="380" t="s">
        <v>279</v>
      </c>
      <c r="L5" s="380" t="s">
        <v>291</v>
      </c>
      <c r="M5" s="380" t="s">
        <v>292</v>
      </c>
      <c r="N5" s="381">
        <v>250</v>
      </c>
      <c r="O5" s="381">
        <v>4</v>
      </c>
      <c r="P5" s="382"/>
      <c r="Q5" s="380" t="s">
        <v>421</v>
      </c>
      <c r="R5" s="380" t="s">
        <v>422</v>
      </c>
      <c r="S5" s="382"/>
      <c r="T5" s="382"/>
      <c r="U5" s="380" t="s">
        <v>423</v>
      </c>
      <c r="V5" s="382"/>
      <c r="W5" s="382"/>
      <c r="X5" s="382"/>
      <c r="Y5" s="382"/>
    </row>
    <row r="6" spans="1:25" ht="13.15" customHeight="1">
      <c r="A6" s="378" t="s">
        <v>416</v>
      </c>
      <c r="B6" s="379" t="s">
        <v>417</v>
      </c>
      <c r="C6" s="380" t="s">
        <v>274</v>
      </c>
      <c r="D6" s="381">
        <v>2020</v>
      </c>
      <c r="E6" s="380" t="s">
        <v>418</v>
      </c>
      <c r="F6" s="380" t="s">
        <v>419</v>
      </c>
      <c r="G6" s="380" t="s">
        <v>419</v>
      </c>
      <c r="H6" s="381">
        <v>20231</v>
      </c>
      <c r="I6" s="380" t="s">
        <v>420</v>
      </c>
      <c r="J6" s="380" t="s">
        <v>278</v>
      </c>
      <c r="K6" s="380" t="s">
        <v>279</v>
      </c>
      <c r="L6" s="380" t="s">
        <v>291</v>
      </c>
      <c r="M6" s="380" t="s">
        <v>292</v>
      </c>
      <c r="N6" s="381">
        <v>250</v>
      </c>
      <c r="O6" s="381">
        <v>4</v>
      </c>
      <c r="P6" s="382"/>
      <c r="Q6" s="380" t="s">
        <v>421</v>
      </c>
      <c r="R6" s="380" t="s">
        <v>422</v>
      </c>
      <c r="S6" s="382"/>
      <c r="T6" s="382"/>
      <c r="U6" s="380" t="s">
        <v>423</v>
      </c>
      <c r="V6" s="382"/>
      <c r="W6" s="382"/>
      <c r="X6" s="382"/>
      <c r="Y6" s="382"/>
    </row>
    <row r="7" spans="1:25" ht="13.15" customHeight="1">
      <c r="A7" s="378" t="s">
        <v>503</v>
      </c>
      <c r="B7" s="379" t="s">
        <v>504</v>
      </c>
      <c r="C7" s="380" t="s">
        <v>274</v>
      </c>
      <c r="D7" s="381">
        <v>2021</v>
      </c>
      <c r="E7" s="380" t="s">
        <v>505</v>
      </c>
      <c r="F7" s="380" t="s">
        <v>506</v>
      </c>
      <c r="G7" s="380" t="s">
        <v>506</v>
      </c>
      <c r="H7" s="381">
        <v>20231</v>
      </c>
      <c r="I7" s="382"/>
      <c r="J7" s="380" t="s">
        <v>278</v>
      </c>
      <c r="K7" s="380" t="s">
        <v>332</v>
      </c>
      <c r="L7" s="380" t="s">
        <v>291</v>
      </c>
      <c r="M7" s="380" t="s">
        <v>292</v>
      </c>
      <c r="N7" s="381">
        <v>50</v>
      </c>
      <c r="O7" s="381">
        <v>4</v>
      </c>
      <c r="P7" s="382"/>
      <c r="Q7" s="380" t="s">
        <v>507</v>
      </c>
      <c r="R7" s="380" t="s">
        <v>508</v>
      </c>
      <c r="S7" s="382"/>
      <c r="T7" s="382"/>
      <c r="U7" s="380" t="s">
        <v>440</v>
      </c>
      <c r="V7" s="382"/>
      <c r="W7" s="382"/>
      <c r="X7" s="382"/>
      <c r="Y7" s="382"/>
    </row>
    <row r="8" spans="1:25" ht="13.15" customHeight="1">
      <c r="A8" s="378" t="s">
        <v>548</v>
      </c>
      <c r="B8" s="379" t="s">
        <v>549</v>
      </c>
      <c r="C8" s="380" t="s">
        <v>274</v>
      </c>
      <c r="D8" s="381">
        <v>2022</v>
      </c>
      <c r="E8" s="380" t="s">
        <v>505</v>
      </c>
      <c r="F8" s="380" t="s">
        <v>506</v>
      </c>
      <c r="G8" s="380" t="s">
        <v>506</v>
      </c>
      <c r="H8" s="381">
        <v>20231</v>
      </c>
      <c r="I8" s="382"/>
      <c r="J8" s="380" t="s">
        <v>278</v>
      </c>
      <c r="K8" s="380" t="s">
        <v>332</v>
      </c>
      <c r="L8" s="380" t="s">
        <v>291</v>
      </c>
      <c r="M8" s="380" t="s">
        <v>292</v>
      </c>
      <c r="N8" s="381">
        <v>50</v>
      </c>
      <c r="O8" s="381">
        <v>4</v>
      </c>
      <c r="P8" s="382"/>
      <c r="Q8" s="380" t="s">
        <v>507</v>
      </c>
      <c r="R8" s="380" t="s">
        <v>508</v>
      </c>
      <c r="S8" s="382"/>
      <c r="T8" s="382"/>
      <c r="U8" s="380" t="s">
        <v>440</v>
      </c>
      <c r="V8" s="382"/>
      <c r="W8" s="382"/>
      <c r="X8" s="382"/>
      <c r="Y8" s="382"/>
    </row>
    <row r="9" spans="1:25" ht="13.15" customHeight="1">
      <c r="A9" s="378" t="s">
        <v>548</v>
      </c>
      <c r="B9" s="379" t="s">
        <v>549</v>
      </c>
      <c r="C9" s="380" t="s">
        <v>274</v>
      </c>
      <c r="D9" s="381">
        <v>2022</v>
      </c>
      <c r="E9" s="380" t="s">
        <v>557</v>
      </c>
      <c r="F9" s="380" t="s">
        <v>506</v>
      </c>
      <c r="G9" s="380" t="s">
        <v>506</v>
      </c>
      <c r="H9" s="381">
        <v>20231</v>
      </c>
      <c r="I9" s="380" t="s">
        <v>558</v>
      </c>
      <c r="J9" s="380" t="s">
        <v>278</v>
      </c>
      <c r="K9" s="380" t="s">
        <v>332</v>
      </c>
      <c r="L9" s="380" t="s">
        <v>291</v>
      </c>
      <c r="M9" s="380" t="s">
        <v>292</v>
      </c>
      <c r="N9" s="381">
        <v>2</v>
      </c>
      <c r="O9" s="381">
        <v>5</v>
      </c>
      <c r="P9" s="382"/>
      <c r="Q9" s="380" t="s">
        <v>559</v>
      </c>
      <c r="R9" s="382"/>
      <c r="S9" s="382"/>
      <c r="T9" s="382"/>
      <c r="U9" s="380" t="s">
        <v>560</v>
      </c>
      <c r="V9" s="382"/>
      <c r="W9" s="382"/>
      <c r="X9" s="382"/>
      <c r="Y9" s="382"/>
    </row>
    <row r="10" spans="1:25" ht="13.15" customHeight="1">
      <c r="A10" s="378" t="s">
        <v>653</v>
      </c>
      <c r="B10" s="379" t="s">
        <v>654</v>
      </c>
      <c r="C10" s="380" t="s">
        <v>274</v>
      </c>
      <c r="D10" s="381">
        <v>2022</v>
      </c>
      <c r="E10" s="380" t="s">
        <v>505</v>
      </c>
      <c r="F10" s="380" t="s">
        <v>506</v>
      </c>
      <c r="G10" s="380" t="s">
        <v>506</v>
      </c>
      <c r="H10" s="381">
        <v>20231</v>
      </c>
      <c r="I10" s="382"/>
      <c r="J10" s="380" t="s">
        <v>278</v>
      </c>
      <c r="K10" s="380" t="s">
        <v>332</v>
      </c>
      <c r="L10" s="380" t="s">
        <v>291</v>
      </c>
      <c r="M10" s="380" t="s">
        <v>292</v>
      </c>
      <c r="N10" s="381">
        <v>50</v>
      </c>
      <c r="O10" s="381">
        <v>4</v>
      </c>
      <c r="P10" s="382"/>
      <c r="Q10" s="380" t="s">
        <v>507</v>
      </c>
      <c r="R10" s="380" t="s">
        <v>508</v>
      </c>
      <c r="S10" s="382"/>
      <c r="T10" s="382"/>
      <c r="U10" s="380" t="s">
        <v>440</v>
      </c>
      <c r="V10" s="382"/>
      <c r="W10" s="382"/>
      <c r="X10" s="382"/>
      <c r="Y10" s="382"/>
    </row>
    <row r="11" spans="1:25" ht="13.15" customHeight="1">
      <c r="A11" s="378" t="s">
        <v>685</v>
      </c>
      <c r="B11" s="379" t="s">
        <v>686</v>
      </c>
      <c r="C11" s="380" t="s">
        <v>274</v>
      </c>
      <c r="D11" s="381">
        <v>2022</v>
      </c>
      <c r="E11" s="380" t="s">
        <v>505</v>
      </c>
      <c r="F11" s="380" t="s">
        <v>506</v>
      </c>
      <c r="G11" s="380" t="s">
        <v>506</v>
      </c>
      <c r="H11" s="381">
        <v>20231</v>
      </c>
      <c r="I11" s="382"/>
      <c r="J11" s="380" t="s">
        <v>278</v>
      </c>
      <c r="K11" s="380" t="s">
        <v>332</v>
      </c>
      <c r="L11" s="380" t="s">
        <v>291</v>
      </c>
      <c r="M11" s="380" t="s">
        <v>292</v>
      </c>
      <c r="N11" s="381">
        <v>50</v>
      </c>
      <c r="O11" s="381">
        <v>4</v>
      </c>
      <c r="P11" s="382"/>
      <c r="Q11" s="380" t="s">
        <v>507</v>
      </c>
      <c r="R11" s="380" t="s">
        <v>508</v>
      </c>
      <c r="S11" s="382"/>
      <c r="T11" s="382"/>
      <c r="U11" s="380" t="s">
        <v>440</v>
      </c>
      <c r="V11" s="382"/>
      <c r="W11" s="382"/>
      <c r="X11" s="382"/>
      <c r="Y11" s="382"/>
    </row>
    <row r="12" spans="1:25" ht="13.15" customHeight="1">
      <c r="A12" s="378" t="s">
        <v>295</v>
      </c>
      <c r="B12" s="379" t="s">
        <v>296</v>
      </c>
      <c r="C12" s="380" t="s">
        <v>274</v>
      </c>
      <c r="D12" s="381">
        <v>2019</v>
      </c>
      <c r="E12" s="380" t="s">
        <v>297</v>
      </c>
      <c r="F12" s="380" t="s">
        <v>298</v>
      </c>
      <c r="G12" s="380" t="s">
        <v>298</v>
      </c>
      <c r="H12" s="381">
        <v>20222</v>
      </c>
      <c r="I12" s="380" t="s">
        <v>299</v>
      </c>
      <c r="J12" s="380" t="s">
        <v>278</v>
      </c>
      <c r="K12" s="380" t="s">
        <v>279</v>
      </c>
      <c r="L12" s="380" t="s">
        <v>291</v>
      </c>
      <c r="M12" s="380" t="s">
        <v>292</v>
      </c>
      <c r="N12" s="381">
        <v>150</v>
      </c>
      <c r="O12" s="381">
        <v>5</v>
      </c>
      <c r="P12" s="382"/>
      <c r="Q12" s="380" t="s">
        <v>300</v>
      </c>
      <c r="R12" s="382"/>
      <c r="S12" s="382"/>
      <c r="T12" s="382"/>
      <c r="U12" s="380" t="s">
        <v>301</v>
      </c>
      <c r="V12" s="382"/>
      <c r="W12" s="382"/>
      <c r="X12" s="382"/>
      <c r="Y12" s="382"/>
    </row>
    <row r="13" spans="1:25" ht="13.15" customHeight="1">
      <c r="A13" s="378" t="s">
        <v>400</v>
      </c>
      <c r="B13" s="379" t="s">
        <v>401</v>
      </c>
      <c r="C13" s="380" t="s">
        <v>274</v>
      </c>
      <c r="D13" s="381">
        <v>2020</v>
      </c>
      <c r="E13" s="380" t="s">
        <v>402</v>
      </c>
      <c r="F13" s="380" t="s">
        <v>403</v>
      </c>
      <c r="G13" s="380" t="s">
        <v>404</v>
      </c>
      <c r="H13" s="381">
        <v>20222</v>
      </c>
      <c r="I13" s="380" t="s">
        <v>405</v>
      </c>
      <c r="J13" s="380" t="s">
        <v>278</v>
      </c>
      <c r="K13" s="380" t="s">
        <v>279</v>
      </c>
      <c r="L13" s="380" t="s">
        <v>291</v>
      </c>
      <c r="M13" s="380" t="s">
        <v>292</v>
      </c>
      <c r="N13" s="381">
        <v>100</v>
      </c>
      <c r="O13" s="381">
        <v>5</v>
      </c>
      <c r="P13" s="382"/>
      <c r="Q13" s="380" t="s">
        <v>406</v>
      </c>
      <c r="R13" s="380" t="s">
        <v>407</v>
      </c>
      <c r="S13" s="382"/>
      <c r="T13" s="382"/>
      <c r="U13" s="380" t="s">
        <v>408</v>
      </c>
      <c r="V13" s="382"/>
      <c r="W13" s="382"/>
      <c r="X13" s="382"/>
      <c r="Y13" s="382"/>
    </row>
    <row r="14" spans="1:25" ht="13.15" customHeight="1">
      <c r="A14" s="378" t="s">
        <v>400</v>
      </c>
      <c r="B14" s="379" t="s">
        <v>401</v>
      </c>
      <c r="C14" s="380" t="s">
        <v>274</v>
      </c>
      <c r="D14" s="381">
        <v>2020</v>
      </c>
      <c r="E14" s="380" t="s">
        <v>409</v>
      </c>
      <c r="F14" s="380" t="s">
        <v>410</v>
      </c>
      <c r="G14" s="380" t="s">
        <v>411</v>
      </c>
      <c r="H14" s="381">
        <v>20222</v>
      </c>
      <c r="I14" s="380" t="s">
        <v>409</v>
      </c>
      <c r="J14" s="380" t="s">
        <v>278</v>
      </c>
      <c r="K14" s="380" t="s">
        <v>279</v>
      </c>
      <c r="L14" s="380" t="s">
        <v>291</v>
      </c>
      <c r="M14" s="380" t="s">
        <v>292</v>
      </c>
      <c r="N14" s="381">
        <v>50</v>
      </c>
      <c r="O14" s="381">
        <v>5</v>
      </c>
      <c r="P14" s="382"/>
      <c r="Q14" s="380" t="s">
        <v>412</v>
      </c>
      <c r="R14" s="380" t="s">
        <v>413</v>
      </c>
      <c r="S14" s="382"/>
      <c r="T14" s="382"/>
      <c r="U14" s="380" t="s">
        <v>408</v>
      </c>
      <c r="V14" s="382"/>
      <c r="W14" s="382"/>
      <c r="X14" s="382"/>
      <c r="Y14" s="382"/>
    </row>
    <row r="15" spans="1:25" ht="13.15" customHeight="1">
      <c r="A15" s="378" t="s">
        <v>539</v>
      </c>
      <c r="B15" s="379" t="s">
        <v>540</v>
      </c>
      <c r="C15" s="380" t="s">
        <v>274</v>
      </c>
      <c r="D15" s="381">
        <v>2022</v>
      </c>
      <c r="E15" s="380" t="s">
        <v>541</v>
      </c>
      <c r="F15" s="380" t="s">
        <v>542</v>
      </c>
      <c r="G15" s="380" t="s">
        <v>542</v>
      </c>
      <c r="H15" s="381">
        <v>20222</v>
      </c>
      <c r="I15" s="380" t="s">
        <v>543</v>
      </c>
      <c r="J15" s="380" t="s">
        <v>278</v>
      </c>
      <c r="K15" s="380" t="s">
        <v>279</v>
      </c>
      <c r="L15" s="380" t="s">
        <v>438</v>
      </c>
      <c r="M15" s="380" t="s">
        <v>292</v>
      </c>
      <c r="N15" s="381">
        <v>150</v>
      </c>
      <c r="O15" s="381">
        <v>10</v>
      </c>
      <c r="P15" s="382"/>
      <c r="Q15" s="380" t="s">
        <v>544</v>
      </c>
      <c r="R15" s="382"/>
      <c r="S15" s="382"/>
      <c r="T15" s="382"/>
      <c r="U15" s="380" t="s">
        <v>545</v>
      </c>
      <c r="V15" s="382"/>
      <c r="W15" s="382"/>
      <c r="X15" s="382"/>
      <c r="Y15" s="382"/>
    </row>
    <row r="16" spans="1:25" ht="13.15" customHeight="1">
      <c r="A16" s="378" t="s">
        <v>653</v>
      </c>
      <c r="B16" s="379" t="s">
        <v>654</v>
      </c>
      <c r="C16" s="380" t="s">
        <v>274</v>
      </c>
      <c r="D16" s="381">
        <v>2022</v>
      </c>
      <c r="E16" s="380" t="s">
        <v>505</v>
      </c>
      <c r="F16" s="380" t="s">
        <v>506</v>
      </c>
      <c r="G16" s="380" t="s">
        <v>506</v>
      </c>
      <c r="H16" s="381">
        <v>20231</v>
      </c>
      <c r="I16" s="382"/>
      <c r="J16" s="380" t="s">
        <v>278</v>
      </c>
      <c r="K16" s="380" t="s">
        <v>332</v>
      </c>
      <c r="L16" s="380" t="s">
        <v>291</v>
      </c>
      <c r="M16" s="380" t="s">
        <v>292</v>
      </c>
      <c r="N16" s="381">
        <v>50</v>
      </c>
      <c r="O16" s="381">
        <v>4</v>
      </c>
      <c r="P16" s="382"/>
      <c r="Q16" s="380" t="s">
        <v>507</v>
      </c>
      <c r="R16" s="380" t="s">
        <v>508</v>
      </c>
      <c r="S16" s="382"/>
      <c r="T16" s="382"/>
      <c r="U16" s="380" t="s">
        <v>440</v>
      </c>
      <c r="V16" s="382"/>
      <c r="W16" s="382"/>
      <c r="X16" s="382"/>
      <c r="Y16" s="382"/>
    </row>
    <row r="17" spans="1:25" ht="13.15" customHeight="1">
      <c r="A17" s="378" t="s">
        <v>685</v>
      </c>
      <c r="B17" s="379" t="s">
        <v>686</v>
      </c>
      <c r="C17" s="380" t="s">
        <v>274</v>
      </c>
      <c r="D17" s="381">
        <v>2022</v>
      </c>
      <c r="E17" s="380" t="s">
        <v>505</v>
      </c>
      <c r="F17" s="380" t="s">
        <v>506</v>
      </c>
      <c r="G17" s="380" t="s">
        <v>506</v>
      </c>
      <c r="H17" s="381">
        <v>20231</v>
      </c>
      <c r="I17" s="382"/>
      <c r="J17" s="380" t="s">
        <v>278</v>
      </c>
      <c r="K17" s="380" t="s">
        <v>332</v>
      </c>
      <c r="L17" s="380" t="s">
        <v>291</v>
      </c>
      <c r="M17" s="380" t="s">
        <v>292</v>
      </c>
      <c r="N17" s="381">
        <v>50</v>
      </c>
      <c r="O17" s="381">
        <v>4</v>
      </c>
      <c r="P17" s="382"/>
      <c r="Q17" s="380" t="s">
        <v>507</v>
      </c>
      <c r="R17" s="380" t="s">
        <v>508</v>
      </c>
      <c r="S17" s="382"/>
      <c r="T17" s="382"/>
      <c r="U17" s="380" t="s">
        <v>440</v>
      </c>
      <c r="V17" s="382"/>
      <c r="W17" s="382"/>
      <c r="X17" s="382"/>
      <c r="Y17" s="382"/>
    </row>
    <row r="18" spans="1:25" ht="13.15" customHeight="1">
      <c r="A18" s="378" t="s">
        <v>772</v>
      </c>
      <c r="B18" s="379" t="s">
        <v>773</v>
      </c>
      <c r="C18" s="380" t="s">
        <v>274</v>
      </c>
      <c r="D18" s="381">
        <v>2023</v>
      </c>
      <c r="E18" s="380" t="s">
        <v>774</v>
      </c>
      <c r="F18" s="380" t="s">
        <v>775</v>
      </c>
      <c r="G18" s="380" t="s">
        <v>775</v>
      </c>
      <c r="H18" s="381">
        <v>20231</v>
      </c>
      <c r="I18" s="380" t="s">
        <v>776</v>
      </c>
      <c r="J18" s="380" t="s">
        <v>278</v>
      </c>
      <c r="K18" s="380" t="s">
        <v>279</v>
      </c>
      <c r="L18" s="380" t="s">
        <v>291</v>
      </c>
      <c r="M18" s="380" t="s">
        <v>292</v>
      </c>
      <c r="N18" s="381">
        <v>60</v>
      </c>
      <c r="O18" s="381">
        <v>5</v>
      </c>
      <c r="P18" s="382"/>
      <c r="Q18" s="380" t="s">
        <v>777</v>
      </c>
      <c r="R18" s="382"/>
      <c r="S18" s="382"/>
      <c r="T18" s="382"/>
      <c r="U18" s="380" t="s">
        <v>778</v>
      </c>
      <c r="V18" s="382"/>
      <c r="W18" s="382"/>
      <c r="X18" s="382"/>
      <c r="Y18" s="382"/>
    </row>
    <row r="19" spans="1:25" ht="13.15" customHeight="1">
      <c r="A19" s="378" t="s">
        <v>875</v>
      </c>
      <c r="B19" s="379" t="s">
        <v>876</v>
      </c>
      <c r="C19" s="380" t="s">
        <v>274</v>
      </c>
      <c r="D19" s="381">
        <v>2023</v>
      </c>
      <c r="E19" s="380" t="s">
        <v>505</v>
      </c>
      <c r="F19" s="380" t="s">
        <v>506</v>
      </c>
      <c r="G19" s="380" t="s">
        <v>506</v>
      </c>
      <c r="H19" s="381">
        <v>20231</v>
      </c>
      <c r="I19" s="382"/>
      <c r="J19" s="380" t="s">
        <v>278</v>
      </c>
      <c r="K19" s="380" t="s">
        <v>332</v>
      </c>
      <c r="L19" s="380" t="s">
        <v>291</v>
      </c>
      <c r="M19" s="380" t="s">
        <v>292</v>
      </c>
      <c r="N19" s="381">
        <v>50</v>
      </c>
      <c r="O19" s="381">
        <v>4</v>
      </c>
      <c r="P19" s="382"/>
      <c r="Q19" s="380" t="s">
        <v>507</v>
      </c>
      <c r="R19" s="380" t="s">
        <v>508</v>
      </c>
      <c r="S19" s="382"/>
      <c r="T19" s="382"/>
      <c r="U19" s="380" t="s">
        <v>440</v>
      </c>
      <c r="V19" s="382"/>
      <c r="W19" s="382"/>
      <c r="X19" s="382"/>
      <c r="Y19" s="382"/>
    </row>
    <row r="20" spans="1:25" ht="13.15" customHeight="1">
      <c r="A20" s="378" t="s">
        <v>955</v>
      </c>
      <c r="B20" s="379" t="s">
        <v>956</v>
      </c>
      <c r="C20" s="380" t="s">
        <v>957</v>
      </c>
      <c r="D20" s="381">
        <v>2022</v>
      </c>
      <c r="E20" s="380" t="s">
        <v>958</v>
      </c>
      <c r="F20" s="380" t="s">
        <v>959</v>
      </c>
      <c r="G20" s="380" t="s">
        <v>959</v>
      </c>
      <c r="H20" s="381">
        <v>20222</v>
      </c>
      <c r="I20" s="380" t="s">
        <v>960</v>
      </c>
      <c r="J20" s="380" t="s">
        <v>278</v>
      </c>
      <c r="K20" s="380" t="s">
        <v>279</v>
      </c>
      <c r="L20" s="380" t="s">
        <v>291</v>
      </c>
      <c r="M20" s="380" t="s">
        <v>292</v>
      </c>
      <c r="N20" s="381">
        <v>50</v>
      </c>
      <c r="O20" s="381">
        <v>5</v>
      </c>
      <c r="P20" s="382"/>
      <c r="Q20" s="380" t="s">
        <v>961</v>
      </c>
      <c r="R20" s="380" t="s">
        <v>962</v>
      </c>
      <c r="S20" s="382"/>
      <c r="T20" s="382"/>
      <c r="U20" s="380" t="s">
        <v>963</v>
      </c>
      <c r="V20" s="382"/>
      <c r="W20" s="382"/>
      <c r="X20" s="382"/>
      <c r="Y20" s="382"/>
    </row>
    <row r="21" spans="1:25" ht="13.15" customHeight="1">
      <c r="A21" s="378" t="s">
        <v>964</v>
      </c>
      <c r="B21" s="379" t="s">
        <v>965</v>
      </c>
      <c r="C21" s="380" t="s">
        <v>966</v>
      </c>
      <c r="D21" s="381">
        <v>2020</v>
      </c>
      <c r="E21" s="380" t="s">
        <v>418</v>
      </c>
      <c r="F21" s="380" t="s">
        <v>419</v>
      </c>
      <c r="G21" s="380" t="s">
        <v>419</v>
      </c>
      <c r="H21" s="381">
        <v>20231</v>
      </c>
      <c r="I21" s="380" t="s">
        <v>420</v>
      </c>
      <c r="J21" s="380" t="s">
        <v>278</v>
      </c>
      <c r="K21" s="380" t="s">
        <v>279</v>
      </c>
      <c r="L21" s="380" t="s">
        <v>291</v>
      </c>
      <c r="M21" s="380" t="s">
        <v>292</v>
      </c>
      <c r="N21" s="381">
        <v>250</v>
      </c>
      <c r="O21" s="381">
        <v>4</v>
      </c>
      <c r="P21" s="382"/>
      <c r="Q21" s="380" t="s">
        <v>421</v>
      </c>
      <c r="R21" s="380" t="s">
        <v>422</v>
      </c>
      <c r="S21" s="382"/>
      <c r="T21" s="382"/>
      <c r="U21" s="380" t="s">
        <v>423</v>
      </c>
      <c r="V21" s="382"/>
      <c r="W21" s="382"/>
      <c r="X21" s="382"/>
      <c r="Y21" s="382"/>
    </row>
    <row r="22" spans="1:25" ht="13.15" customHeight="1">
      <c r="A22" s="378" t="s">
        <v>967</v>
      </c>
      <c r="B22" s="379" t="s">
        <v>968</v>
      </c>
      <c r="C22" s="380" t="s">
        <v>966</v>
      </c>
      <c r="D22" s="381">
        <v>2020</v>
      </c>
      <c r="E22" s="380" t="s">
        <v>418</v>
      </c>
      <c r="F22" s="380" t="s">
        <v>419</v>
      </c>
      <c r="G22" s="380" t="s">
        <v>419</v>
      </c>
      <c r="H22" s="381">
        <v>20231</v>
      </c>
      <c r="I22" s="380" t="s">
        <v>420</v>
      </c>
      <c r="J22" s="380" t="s">
        <v>278</v>
      </c>
      <c r="K22" s="380" t="s">
        <v>279</v>
      </c>
      <c r="L22" s="380" t="s">
        <v>291</v>
      </c>
      <c r="M22" s="380" t="s">
        <v>292</v>
      </c>
      <c r="N22" s="381">
        <v>250</v>
      </c>
      <c r="O22" s="381">
        <v>4</v>
      </c>
      <c r="P22" s="382"/>
      <c r="Q22" s="380" t="s">
        <v>421</v>
      </c>
      <c r="R22" s="380" t="s">
        <v>422</v>
      </c>
      <c r="S22" s="382"/>
      <c r="T22" s="382"/>
      <c r="U22" s="380" t="s">
        <v>423</v>
      </c>
      <c r="V22" s="382"/>
      <c r="W22" s="382"/>
      <c r="X22" s="382"/>
      <c r="Y22" s="382"/>
    </row>
    <row r="23" spans="1:25" ht="13.15" customHeight="1">
      <c r="A23" s="378" t="s">
        <v>982</v>
      </c>
      <c r="B23" s="379" t="s">
        <v>983</v>
      </c>
      <c r="C23" s="380" t="s">
        <v>966</v>
      </c>
      <c r="D23" s="381">
        <v>2023</v>
      </c>
      <c r="E23" s="380" t="s">
        <v>505</v>
      </c>
      <c r="F23" s="380" t="s">
        <v>506</v>
      </c>
      <c r="G23" s="380" t="s">
        <v>506</v>
      </c>
      <c r="H23" s="381">
        <v>20231</v>
      </c>
      <c r="I23" s="382"/>
      <c r="J23" s="380" t="s">
        <v>278</v>
      </c>
      <c r="K23" s="380" t="s">
        <v>332</v>
      </c>
      <c r="L23" s="380" t="s">
        <v>291</v>
      </c>
      <c r="M23" s="380" t="s">
        <v>292</v>
      </c>
      <c r="N23" s="381">
        <v>50</v>
      </c>
      <c r="O23" s="381">
        <v>4</v>
      </c>
      <c r="P23" s="382"/>
      <c r="Q23" s="380" t="s">
        <v>507</v>
      </c>
      <c r="R23" s="380" t="s">
        <v>508</v>
      </c>
      <c r="S23" s="382"/>
      <c r="T23" s="382"/>
      <c r="U23" s="380" t="s">
        <v>440</v>
      </c>
      <c r="V23" s="382"/>
      <c r="W23" s="382"/>
      <c r="X23" s="382"/>
      <c r="Y23" s="382"/>
    </row>
    <row r="24" spans="1:25" ht="13.15" customHeight="1">
      <c r="A24" s="378" t="s">
        <v>984</v>
      </c>
      <c r="B24" s="379" t="s">
        <v>985</v>
      </c>
      <c r="C24" s="380" t="s">
        <v>986</v>
      </c>
      <c r="D24" s="381">
        <v>2020</v>
      </c>
      <c r="E24" s="380" t="s">
        <v>987</v>
      </c>
      <c r="F24" s="380" t="s">
        <v>988</v>
      </c>
      <c r="G24" s="380" t="s">
        <v>988</v>
      </c>
      <c r="H24" s="381">
        <v>20221</v>
      </c>
      <c r="I24" s="380" t="s">
        <v>989</v>
      </c>
      <c r="J24" s="380" t="s">
        <v>278</v>
      </c>
      <c r="K24" s="380" t="s">
        <v>279</v>
      </c>
      <c r="L24" s="380" t="s">
        <v>291</v>
      </c>
      <c r="M24" s="380" t="s">
        <v>292</v>
      </c>
      <c r="N24" s="381">
        <v>28</v>
      </c>
      <c r="O24" s="381">
        <v>5</v>
      </c>
      <c r="P24" s="382"/>
      <c r="Q24" s="380" t="s">
        <v>990</v>
      </c>
      <c r="R24" s="380" t="s">
        <v>991</v>
      </c>
      <c r="S24" s="382"/>
      <c r="T24" s="382"/>
      <c r="U24" s="380" t="s">
        <v>992</v>
      </c>
      <c r="V24" s="382"/>
      <c r="W24" s="382"/>
      <c r="X24" s="382"/>
      <c r="Y24" s="382"/>
    </row>
    <row r="25" spans="1:25" ht="13.15" customHeight="1">
      <c r="A25" s="378" t="s">
        <v>1016</v>
      </c>
      <c r="B25" s="379" t="s">
        <v>1017</v>
      </c>
      <c r="C25" s="380" t="s">
        <v>986</v>
      </c>
      <c r="D25" s="381">
        <v>2020</v>
      </c>
      <c r="E25" s="380" t="s">
        <v>1018</v>
      </c>
      <c r="F25" s="380" t="s">
        <v>1019</v>
      </c>
      <c r="G25" s="380" t="s">
        <v>1020</v>
      </c>
      <c r="H25" s="381">
        <v>20212</v>
      </c>
      <c r="I25" s="382"/>
      <c r="J25" s="380" t="s">
        <v>278</v>
      </c>
      <c r="K25" s="380" t="s">
        <v>279</v>
      </c>
      <c r="L25" s="380" t="s">
        <v>280</v>
      </c>
      <c r="M25" s="380" t="s">
        <v>281</v>
      </c>
      <c r="N25" s="381">
        <v>4</v>
      </c>
      <c r="O25" s="381">
        <v>15</v>
      </c>
      <c r="P25" s="382"/>
      <c r="Q25" s="380" t="s">
        <v>1021</v>
      </c>
      <c r="R25" s="382"/>
      <c r="S25" s="382"/>
      <c r="T25" s="382"/>
      <c r="U25" s="380" t="s">
        <v>1022</v>
      </c>
      <c r="V25" s="382"/>
      <c r="W25" s="382"/>
      <c r="X25" s="382"/>
      <c r="Y25" s="382"/>
    </row>
    <row r="26" spans="1:25" ht="13.15" customHeight="1">
      <c r="A26" s="378" t="s">
        <v>1061</v>
      </c>
      <c r="B26" s="379" t="s">
        <v>1062</v>
      </c>
      <c r="C26" s="380" t="s">
        <v>986</v>
      </c>
      <c r="D26" s="381">
        <v>2021</v>
      </c>
      <c r="E26" s="380" t="s">
        <v>1063</v>
      </c>
      <c r="F26" s="380" t="s">
        <v>305</v>
      </c>
      <c r="G26" s="380" t="s">
        <v>305</v>
      </c>
      <c r="H26" s="381">
        <v>20221</v>
      </c>
      <c r="I26" s="382"/>
      <c r="J26" s="380" t="s">
        <v>278</v>
      </c>
      <c r="K26" s="380" t="s">
        <v>279</v>
      </c>
      <c r="L26" s="380" t="s">
        <v>291</v>
      </c>
      <c r="M26" s="380" t="s">
        <v>292</v>
      </c>
      <c r="N26" s="381">
        <v>22</v>
      </c>
      <c r="O26" s="381">
        <v>5</v>
      </c>
      <c r="P26" s="382"/>
      <c r="Q26" s="380" t="s">
        <v>1064</v>
      </c>
      <c r="R26" s="382"/>
      <c r="S26" s="382"/>
      <c r="T26" s="382"/>
      <c r="U26" s="380" t="s">
        <v>1065</v>
      </c>
      <c r="V26" s="382"/>
      <c r="W26" s="382"/>
      <c r="X26" s="382"/>
      <c r="Y26" s="382"/>
    </row>
    <row r="27" spans="1:25" ht="13.15" customHeight="1">
      <c r="A27" s="378" t="s">
        <v>1061</v>
      </c>
      <c r="B27" s="379" t="s">
        <v>1062</v>
      </c>
      <c r="C27" s="380" t="s">
        <v>986</v>
      </c>
      <c r="D27" s="381">
        <v>2021</v>
      </c>
      <c r="E27" s="380" t="s">
        <v>1066</v>
      </c>
      <c r="F27" s="380" t="s">
        <v>1067</v>
      </c>
      <c r="G27" s="380" t="s">
        <v>1067</v>
      </c>
      <c r="H27" s="381">
        <v>20222</v>
      </c>
      <c r="I27" s="380" t="s">
        <v>1068</v>
      </c>
      <c r="J27" s="380" t="s">
        <v>278</v>
      </c>
      <c r="K27" s="380" t="s">
        <v>279</v>
      </c>
      <c r="L27" s="380" t="s">
        <v>291</v>
      </c>
      <c r="M27" s="380" t="s">
        <v>292</v>
      </c>
      <c r="N27" s="381">
        <v>25</v>
      </c>
      <c r="O27" s="381">
        <v>5</v>
      </c>
      <c r="P27" s="382"/>
      <c r="Q27" s="380" t="s">
        <v>1069</v>
      </c>
      <c r="R27" s="382"/>
      <c r="S27" s="382"/>
      <c r="T27" s="382"/>
      <c r="U27" s="380" t="s">
        <v>1065</v>
      </c>
      <c r="V27" s="382"/>
      <c r="W27" s="382"/>
      <c r="X27" s="382"/>
      <c r="Y27" s="382"/>
    </row>
    <row r="28" spans="1:25" ht="13.15" customHeight="1">
      <c r="A28" s="378" t="s">
        <v>1061</v>
      </c>
      <c r="B28" s="379" t="s">
        <v>1062</v>
      </c>
      <c r="C28" s="380" t="s">
        <v>986</v>
      </c>
      <c r="D28" s="381">
        <v>2021</v>
      </c>
      <c r="E28" s="380" t="s">
        <v>1070</v>
      </c>
      <c r="F28" s="380" t="s">
        <v>994</v>
      </c>
      <c r="G28" s="380" t="s">
        <v>994</v>
      </c>
      <c r="H28" s="381">
        <v>20222</v>
      </c>
      <c r="I28" s="380" t="s">
        <v>1071</v>
      </c>
      <c r="J28" s="380" t="s">
        <v>278</v>
      </c>
      <c r="K28" s="380" t="s">
        <v>279</v>
      </c>
      <c r="L28" s="380" t="s">
        <v>291</v>
      </c>
      <c r="M28" s="380" t="s">
        <v>292</v>
      </c>
      <c r="N28" s="381">
        <v>21</v>
      </c>
      <c r="O28" s="381">
        <v>5</v>
      </c>
      <c r="P28" s="382"/>
      <c r="Q28" s="380" t="s">
        <v>1072</v>
      </c>
      <c r="R28" s="382"/>
      <c r="S28" s="382"/>
      <c r="T28" s="382"/>
      <c r="U28" s="380" t="s">
        <v>1065</v>
      </c>
      <c r="V28" s="382"/>
      <c r="W28" s="382"/>
      <c r="X28" s="382"/>
      <c r="Y28" s="382"/>
    </row>
    <row r="29" spans="1:25" ht="13.15" customHeight="1">
      <c r="A29" s="378" t="s">
        <v>1061</v>
      </c>
      <c r="B29" s="379" t="s">
        <v>1062</v>
      </c>
      <c r="C29" s="380" t="s">
        <v>986</v>
      </c>
      <c r="D29" s="381">
        <v>2021</v>
      </c>
      <c r="E29" s="380" t="s">
        <v>1073</v>
      </c>
      <c r="F29" s="380" t="s">
        <v>978</v>
      </c>
      <c r="G29" s="380" t="s">
        <v>978</v>
      </c>
      <c r="H29" s="381">
        <v>20222</v>
      </c>
      <c r="I29" s="380" t="s">
        <v>1074</v>
      </c>
      <c r="J29" s="380" t="s">
        <v>278</v>
      </c>
      <c r="K29" s="380" t="s">
        <v>279</v>
      </c>
      <c r="L29" s="380" t="s">
        <v>291</v>
      </c>
      <c r="M29" s="380" t="s">
        <v>292</v>
      </c>
      <c r="N29" s="381">
        <v>50</v>
      </c>
      <c r="O29" s="381">
        <v>5</v>
      </c>
      <c r="P29" s="382"/>
      <c r="Q29" s="380" t="s">
        <v>1075</v>
      </c>
      <c r="R29" s="382"/>
      <c r="S29" s="382"/>
      <c r="T29" s="382"/>
      <c r="U29" s="380" t="s">
        <v>1065</v>
      </c>
      <c r="V29" s="382"/>
      <c r="W29" s="382"/>
      <c r="X29" s="382"/>
      <c r="Y29" s="382"/>
    </row>
    <row r="30" spans="1:25" ht="13.15" customHeight="1">
      <c r="A30" s="378" t="s">
        <v>1061</v>
      </c>
      <c r="B30" s="379" t="s">
        <v>1062</v>
      </c>
      <c r="C30" s="380" t="s">
        <v>986</v>
      </c>
      <c r="D30" s="381">
        <v>2021</v>
      </c>
      <c r="E30" s="380" t="s">
        <v>1076</v>
      </c>
      <c r="F30" s="380" t="s">
        <v>1077</v>
      </c>
      <c r="G30" s="380" t="s">
        <v>1077</v>
      </c>
      <c r="H30" s="381">
        <v>20222</v>
      </c>
      <c r="I30" s="380" t="s">
        <v>1078</v>
      </c>
      <c r="J30" s="380" t="s">
        <v>278</v>
      </c>
      <c r="K30" s="380" t="s">
        <v>279</v>
      </c>
      <c r="L30" s="380" t="s">
        <v>291</v>
      </c>
      <c r="M30" s="380" t="s">
        <v>292</v>
      </c>
      <c r="N30" s="381">
        <v>50</v>
      </c>
      <c r="O30" s="381">
        <v>5</v>
      </c>
      <c r="P30" s="382"/>
      <c r="Q30" s="380" t="s">
        <v>1079</v>
      </c>
      <c r="R30" s="382"/>
      <c r="S30" s="382"/>
      <c r="T30" s="382"/>
      <c r="U30" s="380" t="s">
        <v>1065</v>
      </c>
      <c r="V30" s="382"/>
      <c r="W30" s="382"/>
      <c r="X30" s="382"/>
      <c r="Y30" s="382"/>
    </row>
    <row r="31" spans="1:25" ht="13.15" customHeight="1">
      <c r="A31" s="378" t="s">
        <v>1080</v>
      </c>
      <c r="B31" s="379" t="s">
        <v>1081</v>
      </c>
      <c r="C31" s="380" t="s">
        <v>986</v>
      </c>
      <c r="D31" s="381">
        <v>2021</v>
      </c>
      <c r="E31" s="380" t="s">
        <v>1082</v>
      </c>
      <c r="F31" s="380" t="s">
        <v>1083</v>
      </c>
      <c r="G31" s="380" t="s">
        <v>1083</v>
      </c>
      <c r="H31" s="381">
        <v>20221</v>
      </c>
      <c r="I31" s="380" t="s">
        <v>1084</v>
      </c>
      <c r="J31" s="380" t="s">
        <v>278</v>
      </c>
      <c r="K31" s="380" t="s">
        <v>279</v>
      </c>
      <c r="L31" s="380" t="s">
        <v>291</v>
      </c>
      <c r="M31" s="380" t="s">
        <v>292</v>
      </c>
      <c r="N31" s="381">
        <v>200</v>
      </c>
      <c r="O31" s="381">
        <v>5</v>
      </c>
      <c r="P31" s="382"/>
      <c r="Q31" s="380" t="s">
        <v>1085</v>
      </c>
      <c r="R31" s="380" t="s">
        <v>1086</v>
      </c>
      <c r="S31" s="382"/>
      <c r="T31" s="382"/>
      <c r="U31" s="380" t="s">
        <v>1087</v>
      </c>
      <c r="V31" s="382"/>
      <c r="W31" s="382"/>
      <c r="X31" s="382"/>
      <c r="Y31" s="382"/>
    </row>
    <row r="32" spans="1:25" ht="65.150000000000006" customHeight="1">
      <c r="A32" s="378" t="s">
        <v>1095</v>
      </c>
      <c r="B32" s="379" t="s">
        <v>1096</v>
      </c>
      <c r="C32" s="380" t="s">
        <v>986</v>
      </c>
      <c r="D32" s="381">
        <v>2021</v>
      </c>
      <c r="E32" s="380" t="s">
        <v>1097</v>
      </c>
      <c r="F32" s="380" t="s">
        <v>1098</v>
      </c>
      <c r="G32" s="380" t="s">
        <v>1098</v>
      </c>
      <c r="H32" s="381">
        <v>20221</v>
      </c>
      <c r="I32" s="383" t="s">
        <v>1099</v>
      </c>
      <c r="J32" s="380" t="s">
        <v>278</v>
      </c>
      <c r="K32" s="380" t="s">
        <v>279</v>
      </c>
      <c r="L32" s="380" t="s">
        <v>438</v>
      </c>
      <c r="M32" s="380" t="s">
        <v>292</v>
      </c>
      <c r="N32" s="381">
        <v>100</v>
      </c>
      <c r="O32" s="381">
        <v>10</v>
      </c>
      <c r="P32" s="380" t="s">
        <v>1100</v>
      </c>
      <c r="Q32" s="380" t="s">
        <v>1101</v>
      </c>
      <c r="R32" s="382"/>
      <c r="S32" s="382"/>
      <c r="T32" s="382"/>
      <c r="U32" s="380" t="s">
        <v>1102</v>
      </c>
      <c r="V32" s="382"/>
      <c r="W32" s="382"/>
      <c r="X32" s="382"/>
      <c r="Y32" s="382"/>
    </row>
    <row r="33" spans="1:25" ht="13.15" customHeight="1">
      <c r="A33" s="378" t="s">
        <v>1107</v>
      </c>
      <c r="B33" s="379" t="s">
        <v>1108</v>
      </c>
      <c r="C33" s="380" t="s">
        <v>986</v>
      </c>
      <c r="D33" s="381">
        <v>2021</v>
      </c>
      <c r="E33" s="380" t="s">
        <v>1109</v>
      </c>
      <c r="F33" s="380" t="s">
        <v>1110</v>
      </c>
      <c r="G33" s="380" t="s">
        <v>1111</v>
      </c>
      <c r="H33" s="381">
        <v>20221</v>
      </c>
      <c r="I33" s="380" t="s">
        <v>1112</v>
      </c>
      <c r="J33" s="380" t="s">
        <v>278</v>
      </c>
      <c r="K33" s="380" t="s">
        <v>279</v>
      </c>
      <c r="L33" s="380" t="s">
        <v>438</v>
      </c>
      <c r="M33" s="380" t="s">
        <v>292</v>
      </c>
      <c r="N33" s="381">
        <v>1</v>
      </c>
      <c r="O33" s="381">
        <v>10</v>
      </c>
      <c r="P33" s="382"/>
      <c r="Q33" s="380" t="s">
        <v>1113</v>
      </c>
      <c r="R33" s="382"/>
      <c r="S33" s="382"/>
      <c r="T33" s="382"/>
      <c r="U33" s="380" t="s">
        <v>1114</v>
      </c>
      <c r="V33" s="382"/>
      <c r="W33" s="382"/>
      <c r="X33" s="382"/>
      <c r="Y33" s="382"/>
    </row>
    <row r="34" spans="1:25" ht="13.15" customHeight="1">
      <c r="A34" s="378" t="s">
        <v>1115</v>
      </c>
      <c r="B34" s="379" t="s">
        <v>1116</v>
      </c>
      <c r="C34" s="380" t="s">
        <v>986</v>
      </c>
      <c r="D34" s="381">
        <v>2021</v>
      </c>
      <c r="E34" s="380" t="s">
        <v>1117</v>
      </c>
      <c r="F34" s="380" t="s">
        <v>298</v>
      </c>
      <c r="G34" s="380" t="s">
        <v>298</v>
      </c>
      <c r="H34" s="381">
        <v>20222</v>
      </c>
      <c r="I34" s="380" t="s">
        <v>1118</v>
      </c>
      <c r="J34" s="380" t="s">
        <v>278</v>
      </c>
      <c r="K34" s="380" t="s">
        <v>279</v>
      </c>
      <c r="L34" s="380" t="s">
        <v>291</v>
      </c>
      <c r="M34" s="380" t="s">
        <v>1119</v>
      </c>
      <c r="N34" s="381">
        <v>230</v>
      </c>
      <c r="O34" s="381">
        <v>10</v>
      </c>
      <c r="P34" s="380" t="s">
        <v>19</v>
      </c>
      <c r="Q34" s="380" t="s">
        <v>1120</v>
      </c>
      <c r="R34" s="380" t="s">
        <v>1121</v>
      </c>
      <c r="S34" s="382"/>
      <c r="T34" s="382"/>
      <c r="U34" s="380" t="s">
        <v>1122</v>
      </c>
      <c r="V34" s="382"/>
      <c r="W34" s="382"/>
      <c r="X34" s="382"/>
      <c r="Y34" s="382"/>
    </row>
    <row r="35" spans="1:25" ht="13.15" customHeight="1">
      <c r="A35" s="378" t="s">
        <v>1115</v>
      </c>
      <c r="B35" s="379" t="s">
        <v>1116</v>
      </c>
      <c r="C35" s="380" t="s">
        <v>986</v>
      </c>
      <c r="D35" s="381">
        <v>2021</v>
      </c>
      <c r="E35" s="380" t="s">
        <v>1123</v>
      </c>
      <c r="F35" s="380" t="s">
        <v>1124</v>
      </c>
      <c r="G35" s="380" t="s">
        <v>1124</v>
      </c>
      <c r="H35" s="381">
        <v>20222</v>
      </c>
      <c r="I35" s="380" t="s">
        <v>1125</v>
      </c>
      <c r="J35" s="380" t="s">
        <v>278</v>
      </c>
      <c r="K35" s="380" t="s">
        <v>279</v>
      </c>
      <c r="L35" s="380" t="s">
        <v>291</v>
      </c>
      <c r="M35" s="380" t="s">
        <v>292</v>
      </c>
      <c r="N35" s="381">
        <v>100</v>
      </c>
      <c r="O35" s="381">
        <v>5</v>
      </c>
      <c r="P35" s="382"/>
      <c r="Q35" s="380" t="s">
        <v>1126</v>
      </c>
      <c r="R35" s="380" t="s">
        <v>1127</v>
      </c>
      <c r="S35" s="382"/>
      <c r="T35" s="382"/>
      <c r="U35" s="380" t="s">
        <v>1128</v>
      </c>
      <c r="V35" s="380" t="s">
        <v>2047</v>
      </c>
      <c r="W35" s="382"/>
      <c r="X35" s="382"/>
      <c r="Y35" s="382"/>
    </row>
    <row r="36" spans="1:25" ht="39.15" customHeight="1">
      <c r="A36" s="378" t="s">
        <v>1135</v>
      </c>
      <c r="B36" s="379" t="s">
        <v>1136</v>
      </c>
      <c r="C36" s="380" t="s">
        <v>986</v>
      </c>
      <c r="D36" s="381">
        <v>2022</v>
      </c>
      <c r="E36" s="380" t="s">
        <v>1137</v>
      </c>
      <c r="F36" s="380" t="s">
        <v>1138</v>
      </c>
      <c r="G36" s="380" t="s">
        <v>1138</v>
      </c>
      <c r="H36" s="381">
        <v>20222</v>
      </c>
      <c r="I36" s="383" t="s">
        <v>1139</v>
      </c>
      <c r="J36" s="380" t="s">
        <v>278</v>
      </c>
      <c r="K36" s="380" t="s">
        <v>279</v>
      </c>
      <c r="L36" s="380" t="s">
        <v>291</v>
      </c>
      <c r="M36" s="380" t="s">
        <v>292</v>
      </c>
      <c r="N36" s="381">
        <v>40</v>
      </c>
      <c r="O36" s="381">
        <v>5</v>
      </c>
      <c r="P36" s="382"/>
      <c r="Q36" s="380" t="s">
        <v>1140</v>
      </c>
      <c r="R36" s="380" t="s">
        <v>1141</v>
      </c>
      <c r="S36" s="382"/>
      <c r="T36" s="382"/>
      <c r="U36" s="380" t="s">
        <v>1142</v>
      </c>
      <c r="V36" s="382"/>
      <c r="W36" s="382"/>
      <c r="X36" s="382"/>
      <c r="Y36" s="382"/>
    </row>
    <row r="37" spans="1:25" ht="39.15" customHeight="1">
      <c r="A37" s="378" t="s">
        <v>1156</v>
      </c>
      <c r="B37" s="379" t="s">
        <v>1157</v>
      </c>
      <c r="C37" s="380" t="s">
        <v>986</v>
      </c>
      <c r="D37" s="381">
        <v>2022</v>
      </c>
      <c r="E37" s="380" t="s">
        <v>1178</v>
      </c>
      <c r="F37" s="380" t="s">
        <v>1179</v>
      </c>
      <c r="G37" s="380" t="s">
        <v>1179</v>
      </c>
      <c r="H37" s="381">
        <v>20222</v>
      </c>
      <c r="I37" s="383" t="s">
        <v>1180</v>
      </c>
      <c r="J37" s="380" t="s">
        <v>278</v>
      </c>
      <c r="K37" s="380" t="s">
        <v>279</v>
      </c>
      <c r="L37" s="380" t="s">
        <v>438</v>
      </c>
      <c r="M37" s="380" t="s">
        <v>292</v>
      </c>
      <c r="N37" s="381">
        <v>150</v>
      </c>
      <c r="O37" s="381">
        <v>10</v>
      </c>
      <c r="P37" s="382"/>
      <c r="Q37" s="380" t="s">
        <v>1181</v>
      </c>
      <c r="R37" s="382"/>
      <c r="S37" s="382"/>
      <c r="T37" s="382"/>
      <c r="U37" s="380" t="s">
        <v>1182</v>
      </c>
      <c r="V37" s="382"/>
      <c r="W37" s="382"/>
      <c r="X37" s="382"/>
      <c r="Y37" s="382"/>
    </row>
    <row r="38" spans="1:25" s="478" customFormat="1" ht="13.75" customHeight="1">
      <c r="A38" s="471" t="s">
        <v>326</v>
      </c>
      <c r="B38" s="472" t="s">
        <v>327</v>
      </c>
      <c r="C38" s="472" t="s">
        <v>274</v>
      </c>
      <c r="D38" s="473">
        <v>2020</v>
      </c>
      <c r="E38" s="472" t="s">
        <v>328</v>
      </c>
      <c r="F38" s="472" t="s">
        <v>329</v>
      </c>
      <c r="G38" s="472" t="s">
        <v>330</v>
      </c>
      <c r="H38" s="473">
        <v>20221</v>
      </c>
      <c r="I38" s="472" t="s">
        <v>331</v>
      </c>
      <c r="J38" s="472" t="s">
        <v>278</v>
      </c>
      <c r="K38" s="472" t="s">
        <v>332</v>
      </c>
      <c r="L38" s="472" t="s">
        <v>291</v>
      </c>
      <c r="M38" s="472" t="s">
        <v>292</v>
      </c>
      <c r="N38" s="473">
        <v>7</v>
      </c>
      <c r="O38" s="473">
        <v>5</v>
      </c>
      <c r="P38" s="474"/>
      <c r="Q38" s="472" t="s">
        <v>333</v>
      </c>
      <c r="R38" s="472" t="s">
        <v>334</v>
      </c>
      <c r="S38" s="474"/>
      <c r="T38" s="474"/>
      <c r="U38" s="475" t="s">
        <v>335</v>
      </c>
      <c r="V38" s="476"/>
      <c r="W38" s="477"/>
    </row>
    <row r="39" spans="1:25" s="478" customFormat="1" ht="13.75" customHeight="1">
      <c r="A39" s="471" t="s">
        <v>390</v>
      </c>
      <c r="B39" s="472" t="s">
        <v>391</v>
      </c>
      <c r="C39" s="472" t="s">
        <v>274</v>
      </c>
      <c r="D39" s="473">
        <v>2020</v>
      </c>
      <c r="E39" s="472" t="s">
        <v>328</v>
      </c>
      <c r="F39" s="472" t="s">
        <v>329</v>
      </c>
      <c r="G39" s="472" t="s">
        <v>330</v>
      </c>
      <c r="H39" s="473">
        <v>20221</v>
      </c>
      <c r="I39" s="472" t="s">
        <v>331</v>
      </c>
      <c r="J39" s="472" t="s">
        <v>278</v>
      </c>
      <c r="K39" s="472" t="s">
        <v>332</v>
      </c>
      <c r="L39" s="472" t="s">
        <v>291</v>
      </c>
      <c r="M39" s="472" t="s">
        <v>292</v>
      </c>
      <c r="N39" s="473">
        <v>7</v>
      </c>
      <c r="O39" s="473">
        <v>5</v>
      </c>
      <c r="P39" s="474"/>
      <c r="Q39" s="472" t="s">
        <v>333</v>
      </c>
      <c r="R39" s="472" t="s">
        <v>334</v>
      </c>
      <c r="S39" s="474"/>
      <c r="T39" s="474"/>
      <c r="U39" s="475" t="s">
        <v>335</v>
      </c>
      <c r="V39" s="476"/>
      <c r="W39" s="477"/>
    </row>
    <row r="40" spans="1:25" s="478" customFormat="1" ht="13.75" customHeight="1">
      <c r="A40" s="471" t="s">
        <v>1344</v>
      </c>
      <c r="B40" s="472" t="s">
        <v>1345</v>
      </c>
      <c r="C40" s="472" t="s">
        <v>1304</v>
      </c>
      <c r="D40" s="473">
        <v>2020</v>
      </c>
      <c r="E40" s="472" t="s">
        <v>328</v>
      </c>
      <c r="F40" s="472" t="s">
        <v>329</v>
      </c>
      <c r="G40" s="472" t="s">
        <v>330</v>
      </c>
      <c r="H40" s="473">
        <v>20221</v>
      </c>
      <c r="I40" s="472" t="s">
        <v>331</v>
      </c>
      <c r="J40" s="472" t="s">
        <v>278</v>
      </c>
      <c r="K40" s="472" t="s">
        <v>332</v>
      </c>
      <c r="L40" s="472" t="s">
        <v>291</v>
      </c>
      <c r="M40" s="472" t="s">
        <v>292</v>
      </c>
      <c r="N40" s="473">
        <v>7</v>
      </c>
      <c r="O40" s="473">
        <v>5</v>
      </c>
      <c r="P40" s="474"/>
      <c r="Q40" s="472" t="s">
        <v>333</v>
      </c>
      <c r="R40" s="472" t="s">
        <v>334</v>
      </c>
      <c r="S40" s="474"/>
      <c r="T40" s="474"/>
      <c r="U40" s="475" t="s">
        <v>335</v>
      </c>
      <c r="V40" s="476"/>
      <c r="W40" s="477"/>
    </row>
    <row r="41" spans="1:25" s="478" customFormat="1" ht="13.75" customHeight="1">
      <c r="A41" s="471" t="s">
        <v>1346</v>
      </c>
      <c r="B41" s="472" t="s">
        <v>1347</v>
      </c>
      <c r="C41" s="472" t="s">
        <v>1304</v>
      </c>
      <c r="D41" s="473">
        <v>2020</v>
      </c>
      <c r="E41" s="472" t="s">
        <v>418</v>
      </c>
      <c r="F41" s="472" t="s">
        <v>419</v>
      </c>
      <c r="G41" s="472" t="s">
        <v>419</v>
      </c>
      <c r="H41" s="473">
        <v>20231</v>
      </c>
      <c r="I41" s="472" t="s">
        <v>420</v>
      </c>
      <c r="J41" s="472" t="s">
        <v>278</v>
      </c>
      <c r="K41" s="472" t="s">
        <v>279</v>
      </c>
      <c r="L41" s="472" t="s">
        <v>291</v>
      </c>
      <c r="M41" s="472" t="s">
        <v>292</v>
      </c>
      <c r="N41" s="473">
        <v>250</v>
      </c>
      <c r="O41" s="473">
        <v>4</v>
      </c>
      <c r="P41" s="474"/>
      <c r="Q41" s="472" t="s">
        <v>421</v>
      </c>
      <c r="R41" s="472" t="s">
        <v>422</v>
      </c>
      <c r="S41" s="474"/>
      <c r="T41" s="474"/>
      <c r="U41" s="475" t="s">
        <v>423</v>
      </c>
      <c r="V41" s="476"/>
      <c r="W41" s="477"/>
    </row>
    <row r="42" spans="1:25" s="478" customFormat="1" ht="13.75" customHeight="1">
      <c r="A42" s="471" t="s">
        <v>1348</v>
      </c>
      <c r="B42" s="472" t="s">
        <v>1349</v>
      </c>
      <c r="C42" s="472" t="s">
        <v>1304</v>
      </c>
      <c r="D42" s="473">
        <v>2021</v>
      </c>
      <c r="E42" s="472" t="s">
        <v>418</v>
      </c>
      <c r="F42" s="472" t="s">
        <v>419</v>
      </c>
      <c r="G42" s="472" t="s">
        <v>419</v>
      </c>
      <c r="H42" s="473">
        <v>20231</v>
      </c>
      <c r="I42" s="472" t="s">
        <v>420</v>
      </c>
      <c r="J42" s="472" t="s">
        <v>278</v>
      </c>
      <c r="K42" s="472" t="s">
        <v>279</v>
      </c>
      <c r="L42" s="472" t="s">
        <v>291</v>
      </c>
      <c r="M42" s="472" t="s">
        <v>292</v>
      </c>
      <c r="N42" s="473">
        <v>250</v>
      </c>
      <c r="O42" s="473">
        <v>4</v>
      </c>
      <c r="P42" s="474"/>
      <c r="Q42" s="472" t="s">
        <v>421</v>
      </c>
      <c r="R42" s="472" t="s">
        <v>422</v>
      </c>
      <c r="S42" s="474"/>
      <c r="T42" s="474"/>
      <c r="U42" s="475" t="s">
        <v>423</v>
      </c>
      <c r="V42" s="476"/>
      <c r="W42" s="477"/>
    </row>
    <row r="43" spans="1:25" s="478" customFormat="1" ht="13.75" customHeight="1">
      <c r="A43" s="471" t="s">
        <v>1350</v>
      </c>
      <c r="B43" s="472" t="s">
        <v>1351</v>
      </c>
      <c r="C43" s="472" t="s">
        <v>1304</v>
      </c>
      <c r="D43" s="473">
        <v>2021</v>
      </c>
      <c r="E43" s="472" t="s">
        <v>418</v>
      </c>
      <c r="F43" s="472" t="s">
        <v>419</v>
      </c>
      <c r="G43" s="472" t="s">
        <v>419</v>
      </c>
      <c r="H43" s="473">
        <v>20231</v>
      </c>
      <c r="I43" s="472" t="s">
        <v>420</v>
      </c>
      <c r="J43" s="472" t="s">
        <v>278</v>
      </c>
      <c r="K43" s="472" t="s">
        <v>279</v>
      </c>
      <c r="L43" s="472" t="s">
        <v>291</v>
      </c>
      <c r="M43" s="472" t="s">
        <v>292</v>
      </c>
      <c r="N43" s="473">
        <v>250</v>
      </c>
      <c r="O43" s="473">
        <v>4</v>
      </c>
      <c r="P43" s="474"/>
      <c r="Q43" s="472" t="s">
        <v>421</v>
      </c>
      <c r="R43" s="472" t="s">
        <v>422</v>
      </c>
      <c r="S43" s="474"/>
      <c r="T43" s="474"/>
      <c r="U43" s="475" t="s">
        <v>423</v>
      </c>
      <c r="V43" s="476"/>
      <c r="W43" s="477"/>
    </row>
    <row r="44" spans="1:25" s="478" customFormat="1" ht="13.75" customHeight="1">
      <c r="A44" s="471" t="s">
        <v>1352</v>
      </c>
      <c r="B44" s="472" t="s">
        <v>1353</v>
      </c>
      <c r="C44" s="472" t="s">
        <v>1304</v>
      </c>
      <c r="D44" s="473">
        <v>2021</v>
      </c>
      <c r="E44" s="472" t="s">
        <v>328</v>
      </c>
      <c r="F44" s="472" t="s">
        <v>329</v>
      </c>
      <c r="G44" s="472" t="s">
        <v>330</v>
      </c>
      <c r="H44" s="473">
        <v>20221</v>
      </c>
      <c r="I44" s="472" t="s">
        <v>331</v>
      </c>
      <c r="J44" s="472" t="s">
        <v>278</v>
      </c>
      <c r="K44" s="472" t="s">
        <v>332</v>
      </c>
      <c r="L44" s="472" t="s">
        <v>291</v>
      </c>
      <c r="M44" s="472" t="s">
        <v>292</v>
      </c>
      <c r="N44" s="473">
        <v>7</v>
      </c>
      <c r="O44" s="473">
        <v>5</v>
      </c>
      <c r="P44" s="474"/>
      <c r="Q44" s="472" t="s">
        <v>333</v>
      </c>
      <c r="R44" s="472" t="s">
        <v>334</v>
      </c>
      <c r="S44" s="474"/>
      <c r="T44" s="474"/>
      <c r="U44" s="475" t="s">
        <v>335</v>
      </c>
      <c r="V44" s="476"/>
      <c r="W44" s="477"/>
    </row>
    <row r="45" spans="1:25" s="478" customFormat="1" ht="13.75" customHeight="1">
      <c r="A45" s="471" t="s">
        <v>1354</v>
      </c>
      <c r="B45" s="472" t="s">
        <v>1355</v>
      </c>
      <c r="C45" s="472" t="s">
        <v>1356</v>
      </c>
      <c r="D45" s="473">
        <v>2019</v>
      </c>
      <c r="E45" s="472" t="s">
        <v>328</v>
      </c>
      <c r="F45" s="472" t="s">
        <v>329</v>
      </c>
      <c r="G45" s="472" t="s">
        <v>330</v>
      </c>
      <c r="H45" s="473">
        <v>20221</v>
      </c>
      <c r="I45" s="472" t="s">
        <v>331</v>
      </c>
      <c r="J45" s="472" t="s">
        <v>278</v>
      </c>
      <c r="K45" s="472" t="s">
        <v>332</v>
      </c>
      <c r="L45" s="472" t="s">
        <v>291</v>
      </c>
      <c r="M45" s="472" t="s">
        <v>292</v>
      </c>
      <c r="N45" s="473">
        <v>7</v>
      </c>
      <c r="O45" s="473">
        <v>5</v>
      </c>
      <c r="P45" s="474"/>
      <c r="Q45" s="472" t="s">
        <v>333</v>
      </c>
      <c r="R45" s="472" t="s">
        <v>334</v>
      </c>
      <c r="S45" s="474"/>
      <c r="T45" s="474"/>
      <c r="U45" s="475" t="s">
        <v>335</v>
      </c>
      <c r="V45" s="476"/>
      <c r="W45" s="477"/>
    </row>
    <row r="46" spans="1:25" s="478" customFormat="1" ht="13.75" customHeight="1">
      <c r="A46" s="471" t="s">
        <v>1357</v>
      </c>
      <c r="B46" s="472" t="s">
        <v>1358</v>
      </c>
      <c r="C46" s="472" t="s">
        <v>1356</v>
      </c>
      <c r="D46" s="473">
        <v>2019</v>
      </c>
      <c r="E46" s="472" t="s">
        <v>328</v>
      </c>
      <c r="F46" s="472" t="s">
        <v>329</v>
      </c>
      <c r="G46" s="472" t="s">
        <v>330</v>
      </c>
      <c r="H46" s="473">
        <v>20221</v>
      </c>
      <c r="I46" s="472" t="s">
        <v>331</v>
      </c>
      <c r="J46" s="472" t="s">
        <v>278</v>
      </c>
      <c r="K46" s="472" t="s">
        <v>332</v>
      </c>
      <c r="L46" s="472" t="s">
        <v>291</v>
      </c>
      <c r="M46" s="472" t="s">
        <v>292</v>
      </c>
      <c r="N46" s="473">
        <v>7</v>
      </c>
      <c r="O46" s="473">
        <v>5</v>
      </c>
      <c r="P46" s="474"/>
      <c r="Q46" s="472" t="s">
        <v>333</v>
      </c>
      <c r="R46" s="472" t="s">
        <v>334</v>
      </c>
      <c r="S46" s="474"/>
      <c r="T46" s="474"/>
      <c r="U46" s="475" t="s">
        <v>335</v>
      </c>
      <c r="V46" s="476"/>
      <c r="W46" s="477"/>
    </row>
    <row r="47" spans="1:25" s="478" customFormat="1" ht="13.75" customHeight="1">
      <c r="A47" s="471" t="s">
        <v>1403</v>
      </c>
      <c r="B47" s="472" t="s">
        <v>1404</v>
      </c>
      <c r="C47" s="472" t="s">
        <v>1356</v>
      </c>
      <c r="D47" s="473">
        <v>2021</v>
      </c>
      <c r="E47" s="472" t="s">
        <v>328</v>
      </c>
      <c r="F47" s="472" t="s">
        <v>329</v>
      </c>
      <c r="G47" s="472" t="s">
        <v>330</v>
      </c>
      <c r="H47" s="473">
        <v>20221</v>
      </c>
      <c r="I47" s="472" t="s">
        <v>331</v>
      </c>
      <c r="J47" s="472" t="s">
        <v>278</v>
      </c>
      <c r="K47" s="472" t="s">
        <v>332</v>
      </c>
      <c r="L47" s="472" t="s">
        <v>291</v>
      </c>
      <c r="M47" s="472" t="s">
        <v>292</v>
      </c>
      <c r="N47" s="473">
        <v>7</v>
      </c>
      <c r="O47" s="473">
        <v>5</v>
      </c>
      <c r="P47" s="474"/>
      <c r="Q47" s="472" t="s">
        <v>333</v>
      </c>
      <c r="R47" s="472" t="s">
        <v>334</v>
      </c>
      <c r="S47" s="474"/>
      <c r="T47" s="474"/>
      <c r="U47" s="475" t="s">
        <v>335</v>
      </c>
      <c r="V47" s="476"/>
      <c r="W47" s="477"/>
    </row>
    <row r="48" spans="1:25" s="478" customFormat="1" ht="13.75" customHeight="1">
      <c r="A48" s="471" t="s">
        <v>1421</v>
      </c>
      <c r="B48" s="472" t="s">
        <v>1422</v>
      </c>
      <c r="C48" s="472" t="s">
        <v>1407</v>
      </c>
      <c r="D48" s="473">
        <v>2021</v>
      </c>
      <c r="E48" s="472" t="s">
        <v>418</v>
      </c>
      <c r="F48" s="472" t="s">
        <v>419</v>
      </c>
      <c r="G48" s="472" t="s">
        <v>419</v>
      </c>
      <c r="H48" s="473">
        <v>20231</v>
      </c>
      <c r="I48" s="472" t="s">
        <v>420</v>
      </c>
      <c r="J48" s="472" t="s">
        <v>278</v>
      </c>
      <c r="K48" s="472" t="s">
        <v>279</v>
      </c>
      <c r="L48" s="472" t="s">
        <v>291</v>
      </c>
      <c r="M48" s="472" t="s">
        <v>292</v>
      </c>
      <c r="N48" s="473">
        <v>250</v>
      </c>
      <c r="O48" s="473">
        <v>4</v>
      </c>
      <c r="P48" s="474"/>
      <c r="Q48" s="472" t="s">
        <v>421</v>
      </c>
      <c r="R48" s="472" t="s">
        <v>422</v>
      </c>
      <c r="S48" s="474"/>
      <c r="T48" s="474"/>
      <c r="U48" s="475" t="s">
        <v>423</v>
      </c>
      <c r="V48" s="476"/>
      <c r="W48" s="477"/>
    </row>
    <row r="49" spans="1:23" s="478" customFormat="1" ht="13.75" customHeight="1">
      <c r="A49" s="471" t="s">
        <v>1428</v>
      </c>
      <c r="B49" s="472" t="s">
        <v>1429</v>
      </c>
      <c r="C49" s="472" t="s">
        <v>1407</v>
      </c>
      <c r="D49" s="473">
        <v>2021</v>
      </c>
      <c r="E49" s="472" t="s">
        <v>418</v>
      </c>
      <c r="F49" s="472" t="s">
        <v>419</v>
      </c>
      <c r="G49" s="472" t="s">
        <v>419</v>
      </c>
      <c r="H49" s="473">
        <v>20231</v>
      </c>
      <c r="I49" s="472" t="s">
        <v>420</v>
      </c>
      <c r="J49" s="472" t="s">
        <v>278</v>
      </c>
      <c r="K49" s="472" t="s">
        <v>279</v>
      </c>
      <c r="L49" s="472" t="s">
        <v>291</v>
      </c>
      <c r="M49" s="472" t="s">
        <v>292</v>
      </c>
      <c r="N49" s="473">
        <v>250</v>
      </c>
      <c r="O49" s="473">
        <v>4</v>
      </c>
      <c r="P49" s="474"/>
      <c r="Q49" s="472" t="s">
        <v>421</v>
      </c>
      <c r="R49" s="472" t="s">
        <v>422</v>
      </c>
      <c r="S49" s="474"/>
      <c r="T49" s="474"/>
      <c r="U49" s="475" t="s">
        <v>423</v>
      </c>
      <c r="V49" s="476"/>
      <c r="W49" s="477"/>
    </row>
    <row r="50" spans="1:23" s="478" customFormat="1" ht="13.75" customHeight="1">
      <c r="A50" s="471" t="s">
        <v>1430</v>
      </c>
      <c r="B50" s="472" t="s">
        <v>1431</v>
      </c>
      <c r="C50" s="472" t="s">
        <v>1407</v>
      </c>
      <c r="D50" s="473">
        <v>2021</v>
      </c>
      <c r="E50" s="472" t="s">
        <v>505</v>
      </c>
      <c r="F50" s="472" t="s">
        <v>506</v>
      </c>
      <c r="G50" s="472" t="s">
        <v>506</v>
      </c>
      <c r="H50" s="473">
        <v>20231</v>
      </c>
      <c r="I50" s="474"/>
      <c r="J50" s="472" t="s">
        <v>278</v>
      </c>
      <c r="K50" s="472" t="s">
        <v>332</v>
      </c>
      <c r="L50" s="472" t="s">
        <v>291</v>
      </c>
      <c r="M50" s="472" t="s">
        <v>292</v>
      </c>
      <c r="N50" s="473">
        <v>50</v>
      </c>
      <c r="O50" s="473">
        <v>4</v>
      </c>
      <c r="P50" s="474"/>
      <c r="Q50" s="472" t="s">
        <v>507</v>
      </c>
      <c r="R50" s="472" t="s">
        <v>508</v>
      </c>
      <c r="S50" s="474"/>
      <c r="T50" s="474"/>
      <c r="U50" s="475" t="s">
        <v>440</v>
      </c>
      <c r="V50" s="476"/>
      <c r="W50" s="477"/>
    </row>
    <row r="51" spans="1:23" s="478" customFormat="1" ht="13.75" customHeight="1">
      <c r="A51" s="471" t="s">
        <v>1538</v>
      </c>
      <c r="B51" s="472" t="s">
        <v>1539</v>
      </c>
      <c r="C51" s="472" t="s">
        <v>1540</v>
      </c>
      <c r="D51" s="473">
        <v>2021</v>
      </c>
      <c r="E51" s="472" t="s">
        <v>505</v>
      </c>
      <c r="F51" s="472" t="s">
        <v>506</v>
      </c>
      <c r="G51" s="472" t="s">
        <v>506</v>
      </c>
      <c r="H51" s="473">
        <v>20231</v>
      </c>
      <c r="I51" s="474"/>
      <c r="J51" s="472" t="s">
        <v>278</v>
      </c>
      <c r="K51" s="472" t="s">
        <v>332</v>
      </c>
      <c r="L51" s="472" t="s">
        <v>291</v>
      </c>
      <c r="M51" s="472" t="s">
        <v>292</v>
      </c>
      <c r="N51" s="473">
        <v>50</v>
      </c>
      <c r="O51" s="473">
        <v>4</v>
      </c>
      <c r="P51" s="474"/>
      <c r="Q51" s="472" t="s">
        <v>507</v>
      </c>
      <c r="R51" s="472" t="s">
        <v>508</v>
      </c>
      <c r="S51" s="474"/>
      <c r="T51" s="474"/>
      <c r="U51" s="475" t="s">
        <v>440</v>
      </c>
      <c r="V51" s="476"/>
      <c r="W51" s="477"/>
    </row>
    <row r="52" spans="1:23" s="478" customFormat="1" ht="13.75" customHeight="1">
      <c r="A52" s="471" t="s">
        <v>1555</v>
      </c>
      <c r="B52" s="472" t="s">
        <v>1556</v>
      </c>
      <c r="C52" s="472" t="s">
        <v>1540</v>
      </c>
      <c r="D52" s="473">
        <v>2022</v>
      </c>
      <c r="E52" s="472" t="s">
        <v>505</v>
      </c>
      <c r="F52" s="472" t="s">
        <v>506</v>
      </c>
      <c r="G52" s="472" t="s">
        <v>506</v>
      </c>
      <c r="H52" s="473">
        <v>20231</v>
      </c>
      <c r="I52" s="474"/>
      <c r="J52" s="472" t="s">
        <v>278</v>
      </c>
      <c r="K52" s="472" t="s">
        <v>332</v>
      </c>
      <c r="L52" s="472" t="s">
        <v>291</v>
      </c>
      <c r="M52" s="472" t="s">
        <v>292</v>
      </c>
      <c r="N52" s="473">
        <v>50</v>
      </c>
      <c r="O52" s="473">
        <v>4</v>
      </c>
      <c r="P52" s="474"/>
      <c r="Q52" s="472" t="s">
        <v>507</v>
      </c>
      <c r="R52" s="472" t="s">
        <v>508</v>
      </c>
      <c r="S52" s="474"/>
      <c r="T52" s="474"/>
      <c r="U52" s="475" t="s">
        <v>440</v>
      </c>
      <c r="V52" s="476"/>
      <c r="W52" s="477"/>
    </row>
    <row r="53" spans="1:23" s="478" customFormat="1" ht="13.75" customHeight="1">
      <c r="A53" s="471" t="s">
        <v>1590</v>
      </c>
      <c r="B53" s="472" t="s">
        <v>1591</v>
      </c>
      <c r="C53" s="472" t="s">
        <v>1559</v>
      </c>
      <c r="D53" s="473">
        <v>2020</v>
      </c>
      <c r="E53" s="472" t="s">
        <v>418</v>
      </c>
      <c r="F53" s="472" t="s">
        <v>419</v>
      </c>
      <c r="G53" s="472" t="s">
        <v>419</v>
      </c>
      <c r="H53" s="473">
        <v>20231</v>
      </c>
      <c r="I53" s="472" t="s">
        <v>420</v>
      </c>
      <c r="J53" s="472" t="s">
        <v>278</v>
      </c>
      <c r="K53" s="472" t="s">
        <v>279</v>
      </c>
      <c r="L53" s="472" t="s">
        <v>291</v>
      </c>
      <c r="M53" s="472" t="s">
        <v>292</v>
      </c>
      <c r="N53" s="473">
        <v>250</v>
      </c>
      <c r="O53" s="473">
        <v>4</v>
      </c>
      <c r="P53" s="474"/>
      <c r="Q53" s="472" t="s">
        <v>421</v>
      </c>
      <c r="R53" s="472" t="s">
        <v>422</v>
      </c>
      <c r="S53" s="474"/>
      <c r="T53" s="474"/>
      <c r="U53" s="475" t="s">
        <v>423</v>
      </c>
      <c r="V53" s="476"/>
      <c r="W53" s="477"/>
    </row>
    <row r="54" spans="1:23" s="478" customFormat="1" ht="13.75" customHeight="1">
      <c r="A54" s="471" t="s">
        <v>1624</v>
      </c>
      <c r="B54" s="472" t="s">
        <v>1625</v>
      </c>
      <c r="C54" s="472" t="s">
        <v>1559</v>
      </c>
      <c r="D54" s="473">
        <v>2021</v>
      </c>
      <c r="E54" s="472" t="s">
        <v>418</v>
      </c>
      <c r="F54" s="472" t="s">
        <v>419</v>
      </c>
      <c r="G54" s="472" t="s">
        <v>419</v>
      </c>
      <c r="H54" s="473">
        <v>20231</v>
      </c>
      <c r="I54" s="474"/>
      <c r="J54" s="472" t="s">
        <v>278</v>
      </c>
      <c r="K54" s="472" t="s">
        <v>279</v>
      </c>
      <c r="L54" s="472" t="s">
        <v>291</v>
      </c>
      <c r="M54" s="472" t="s">
        <v>292</v>
      </c>
      <c r="N54" s="473">
        <v>250</v>
      </c>
      <c r="O54" s="473">
        <v>5</v>
      </c>
      <c r="P54" s="474"/>
      <c r="Q54" s="472" t="s">
        <v>1626</v>
      </c>
      <c r="R54" s="472" t="s">
        <v>1627</v>
      </c>
      <c r="S54" s="474"/>
      <c r="T54" s="474"/>
      <c r="U54" s="475" t="s">
        <v>423</v>
      </c>
      <c r="V54" s="476"/>
      <c r="W54" s="477"/>
    </row>
    <row r="55" spans="1:23" s="478" customFormat="1" ht="13.75" customHeight="1">
      <c r="A55" s="471" t="s">
        <v>1648</v>
      </c>
      <c r="B55" s="472" t="s">
        <v>1649</v>
      </c>
      <c r="C55" s="472" t="s">
        <v>1559</v>
      </c>
      <c r="D55" s="473">
        <v>2021</v>
      </c>
      <c r="E55" s="472" t="s">
        <v>418</v>
      </c>
      <c r="F55" s="472" t="s">
        <v>419</v>
      </c>
      <c r="G55" s="472" t="s">
        <v>419</v>
      </c>
      <c r="H55" s="473">
        <v>20231</v>
      </c>
      <c r="I55" s="474"/>
      <c r="J55" s="472" t="s">
        <v>278</v>
      </c>
      <c r="K55" s="472" t="s">
        <v>279</v>
      </c>
      <c r="L55" s="472" t="s">
        <v>291</v>
      </c>
      <c r="M55" s="472" t="s">
        <v>292</v>
      </c>
      <c r="N55" s="473">
        <v>250</v>
      </c>
      <c r="O55" s="473">
        <v>5</v>
      </c>
      <c r="P55" s="474"/>
      <c r="Q55" s="472" t="s">
        <v>1626</v>
      </c>
      <c r="R55" s="472" t="s">
        <v>1627</v>
      </c>
      <c r="S55" s="474"/>
      <c r="T55" s="474"/>
      <c r="U55" s="475" t="s">
        <v>423</v>
      </c>
      <c r="V55" s="476"/>
      <c r="W55" s="477"/>
    </row>
    <row r="56" spans="1:23" s="478" customFormat="1" ht="13.75" customHeight="1">
      <c r="A56" s="471" t="s">
        <v>1650</v>
      </c>
      <c r="B56" s="472" t="s">
        <v>1651</v>
      </c>
      <c r="C56" s="472" t="s">
        <v>1559</v>
      </c>
      <c r="D56" s="473">
        <v>2021</v>
      </c>
      <c r="E56" s="472" t="s">
        <v>505</v>
      </c>
      <c r="F56" s="472" t="s">
        <v>506</v>
      </c>
      <c r="G56" s="472" t="s">
        <v>506</v>
      </c>
      <c r="H56" s="473">
        <v>20231</v>
      </c>
      <c r="I56" s="474"/>
      <c r="J56" s="472" t="s">
        <v>278</v>
      </c>
      <c r="K56" s="472" t="s">
        <v>332</v>
      </c>
      <c r="L56" s="472" t="s">
        <v>291</v>
      </c>
      <c r="M56" s="472" t="s">
        <v>292</v>
      </c>
      <c r="N56" s="473">
        <v>50</v>
      </c>
      <c r="O56" s="473">
        <v>4</v>
      </c>
      <c r="P56" s="474"/>
      <c r="Q56" s="472" t="s">
        <v>507</v>
      </c>
      <c r="R56" s="472" t="s">
        <v>508</v>
      </c>
      <c r="S56" s="474"/>
      <c r="T56" s="474"/>
      <c r="U56" s="475" t="s">
        <v>440</v>
      </c>
      <c r="V56" s="476"/>
      <c r="W56" s="477"/>
    </row>
    <row r="57" spans="1:23" s="478" customFormat="1" ht="13.75" customHeight="1">
      <c r="A57" s="471" t="s">
        <v>1369</v>
      </c>
      <c r="B57" s="472" t="s">
        <v>1370</v>
      </c>
      <c r="C57" s="472" t="s">
        <v>1356</v>
      </c>
      <c r="D57" s="473">
        <v>2020</v>
      </c>
      <c r="E57" s="472" t="s">
        <v>1371</v>
      </c>
      <c r="F57" s="472" t="s">
        <v>1372</v>
      </c>
      <c r="G57" s="472" t="s">
        <v>1372</v>
      </c>
      <c r="H57" s="473">
        <v>20231</v>
      </c>
      <c r="I57" s="472" t="s">
        <v>1373</v>
      </c>
      <c r="J57" s="472" t="s">
        <v>278</v>
      </c>
      <c r="K57" s="472" t="s">
        <v>279</v>
      </c>
      <c r="L57" s="472" t="s">
        <v>291</v>
      </c>
      <c r="M57" s="472" t="s">
        <v>292</v>
      </c>
      <c r="N57" s="473">
        <v>50</v>
      </c>
      <c r="O57" s="473">
        <v>5</v>
      </c>
      <c r="P57" s="474"/>
      <c r="Q57" s="472" t="s">
        <v>1374</v>
      </c>
      <c r="R57" s="472" t="s">
        <v>1375</v>
      </c>
      <c r="S57" s="474"/>
      <c r="T57" s="474"/>
      <c r="U57" s="475" t="s">
        <v>1376</v>
      </c>
      <c r="V57" s="476"/>
      <c r="W57" s="477"/>
    </row>
    <row r="58" spans="1:23" s="478" customFormat="1" ht="13.75" customHeight="1">
      <c r="A58" s="471" t="s">
        <v>1421</v>
      </c>
      <c r="B58" s="472" t="s">
        <v>1422</v>
      </c>
      <c r="C58" s="472" t="s">
        <v>1407</v>
      </c>
      <c r="D58" s="473">
        <v>2021</v>
      </c>
      <c r="E58" s="472" t="s">
        <v>1423</v>
      </c>
      <c r="F58" s="472" t="s">
        <v>1372</v>
      </c>
      <c r="G58" s="472" t="s">
        <v>1372</v>
      </c>
      <c r="H58" s="473">
        <v>20231</v>
      </c>
      <c r="I58" s="472" t="s">
        <v>1424</v>
      </c>
      <c r="J58" s="472" t="s">
        <v>278</v>
      </c>
      <c r="K58" s="472" t="s">
        <v>279</v>
      </c>
      <c r="L58" s="472" t="s">
        <v>291</v>
      </c>
      <c r="M58" s="472" t="s">
        <v>292</v>
      </c>
      <c r="N58" s="473">
        <v>26</v>
      </c>
      <c r="O58" s="473">
        <v>5</v>
      </c>
      <c r="P58" s="474"/>
      <c r="Q58" s="472" t="s">
        <v>1425</v>
      </c>
      <c r="R58" s="472" t="s">
        <v>1426</v>
      </c>
      <c r="S58" s="474"/>
      <c r="T58" s="474"/>
      <c r="U58" s="475" t="s">
        <v>1427</v>
      </c>
      <c r="V58" s="476"/>
      <c r="W58" s="477"/>
    </row>
    <row r="59" spans="1:23" ht="13.75" customHeight="1">
      <c r="A59" s="456" t="s">
        <v>1442</v>
      </c>
      <c r="B59" s="3" t="s">
        <v>1443</v>
      </c>
      <c r="C59" s="3" t="s">
        <v>1444</v>
      </c>
      <c r="D59" s="5">
        <v>2018</v>
      </c>
      <c r="E59" s="3" t="s">
        <v>1445</v>
      </c>
      <c r="F59" s="3" t="s">
        <v>1446</v>
      </c>
      <c r="G59" s="3" t="s">
        <v>1446</v>
      </c>
      <c r="H59" s="5">
        <v>20212</v>
      </c>
      <c r="I59" s="3" t="s">
        <v>1447</v>
      </c>
      <c r="J59" s="3" t="s">
        <v>278</v>
      </c>
      <c r="K59" s="3" t="s">
        <v>279</v>
      </c>
      <c r="L59" s="3" t="s">
        <v>291</v>
      </c>
      <c r="M59" s="3" t="s">
        <v>292</v>
      </c>
      <c r="N59" s="5">
        <v>80</v>
      </c>
      <c r="O59" s="5">
        <v>5</v>
      </c>
      <c r="P59" s="2"/>
      <c r="Q59" s="3" t="s">
        <v>1448</v>
      </c>
      <c r="R59" s="2"/>
      <c r="S59" s="2"/>
      <c r="T59" s="2"/>
      <c r="U59" s="457" t="s">
        <v>1449</v>
      </c>
      <c r="V59" s="469"/>
      <c r="W59" s="468"/>
    </row>
    <row r="60" spans="1:23" ht="13.75" customHeight="1">
      <c r="A60" s="456" t="s">
        <v>1442</v>
      </c>
      <c r="B60" s="3" t="s">
        <v>1443</v>
      </c>
      <c r="C60" s="3" t="s">
        <v>1444</v>
      </c>
      <c r="D60" s="5">
        <v>2018</v>
      </c>
      <c r="E60" s="3" t="s">
        <v>1450</v>
      </c>
      <c r="F60" s="3" t="s">
        <v>1451</v>
      </c>
      <c r="G60" s="3" t="s">
        <v>1451</v>
      </c>
      <c r="H60" s="5">
        <v>20221</v>
      </c>
      <c r="I60" s="3" t="s">
        <v>1452</v>
      </c>
      <c r="J60" s="3" t="s">
        <v>278</v>
      </c>
      <c r="K60" s="3" t="s">
        <v>279</v>
      </c>
      <c r="L60" s="3" t="s">
        <v>291</v>
      </c>
      <c r="M60" s="3" t="s">
        <v>292</v>
      </c>
      <c r="N60" s="5">
        <v>200</v>
      </c>
      <c r="O60" s="5">
        <v>5</v>
      </c>
      <c r="P60" s="2"/>
      <c r="Q60" s="3" t="s">
        <v>1453</v>
      </c>
      <c r="R60" s="2"/>
      <c r="S60" s="2"/>
      <c r="T60" s="2"/>
      <c r="U60" s="457" t="s">
        <v>1454</v>
      </c>
      <c r="V60" s="469"/>
      <c r="W60" s="468"/>
    </row>
    <row r="61" spans="1:23" ht="13.75" customHeight="1">
      <c r="A61" s="456" t="s">
        <v>1455</v>
      </c>
      <c r="B61" s="3" t="s">
        <v>1456</v>
      </c>
      <c r="C61" s="3" t="s">
        <v>1444</v>
      </c>
      <c r="D61" s="5">
        <v>2019</v>
      </c>
      <c r="E61" s="3" t="s">
        <v>1457</v>
      </c>
      <c r="F61" s="3" t="s">
        <v>1458</v>
      </c>
      <c r="G61" s="3" t="s">
        <v>1458</v>
      </c>
      <c r="H61" s="5">
        <v>20212</v>
      </c>
      <c r="I61" s="3" t="s">
        <v>1459</v>
      </c>
      <c r="J61" s="3" t="s">
        <v>278</v>
      </c>
      <c r="K61" s="3" t="s">
        <v>279</v>
      </c>
      <c r="L61" s="3" t="s">
        <v>291</v>
      </c>
      <c r="M61" s="3" t="s">
        <v>292</v>
      </c>
      <c r="N61" s="5">
        <v>0</v>
      </c>
      <c r="O61" s="5">
        <v>5</v>
      </c>
      <c r="P61" s="2"/>
      <c r="Q61" s="3" t="s">
        <v>1460</v>
      </c>
      <c r="R61" s="2"/>
      <c r="S61" s="2"/>
      <c r="T61" s="2"/>
      <c r="U61" s="457" t="s">
        <v>1461</v>
      </c>
      <c r="V61" s="469"/>
      <c r="W61" s="468"/>
    </row>
    <row r="62" spans="1:23" ht="13.75" customHeight="1">
      <c r="A62" s="456" t="s">
        <v>1557</v>
      </c>
      <c r="B62" s="3" t="s">
        <v>1558</v>
      </c>
      <c r="C62" s="3" t="s">
        <v>1559</v>
      </c>
      <c r="D62" s="5">
        <v>2019</v>
      </c>
      <c r="E62" s="3" t="s">
        <v>1560</v>
      </c>
      <c r="F62" s="3" t="s">
        <v>1561</v>
      </c>
      <c r="G62" s="3" t="s">
        <v>1561</v>
      </c>
      <c r="H62" s="5">
        <v>20221</v>
      </c>
      <c r="I62" s="3" t="s">
        <v>1562</v>
      </c>
      <c r="J62" s="3" t="s">
        <v>278</v>
      </c>
      <c r="K62" s="3" t="s">
        <v>279</v>
      </c>
      <c r="L62" s="3" t="s">
        <v>291</v>
      </c>
      <c r="M62" s="3" t="s">
        <v>292</v>
      </c>
      <c r="N62" s="5">
        <v>0</v>
      </c>
      <c r="O62" s="5">
        <v>5</v>
      </c>
      <c r="P62" s="2"/>
      <c r="Q62" s="3" t="s">
        <v>1563</v>
      </c>
      <c r="R62" s="2"/>
      <c r="S62" s="2"/>
      <c r="T62" s="2"/>
      <c r="U62" s="457" t="s">
        <v>1564</v>
      </c>
      <c r="V62" s="469"/>
      <c r="W62" s="468"/>
    </row>
    <row r="63" spans="1:23" ht="13.75" customHeight="1">
      <c r="A63" s="456" t="s">
        <v>1607</v>
      </c>
      <c r="B63" s="3" t="s">
        <v>1608</v>
      </c>
      <c r="C63" s="3" t="s">
        <v>1559</v>
      </c>
      <c r="D63" s="5">
        <v>2020</v>
      </c>
      <c r="E63" s="3" t="s">
        <v>1609</v>
      </c>
      <c r="F63" s="3" t="s">
        <v>1610</v>
      </c>
      <c r="G63" s="3" t="s">
        <v>1610</v>
      </c>
      <c r="H63" s="5">
        <v>20231</v>
      </c>
      <c r="I63" s="2"/>
      <c r="J63" s="3" t="s">
        <v>278</v>
      </c>
      <c r="K63" s="3" t="s">
        <v>279</v>
      </c>
      <c r="L63" s="3" t="s">
        <v>291</v>
      </c>
      <c r="M63" s="3" t="s">
        <v>292</v>
      </c>
      <c r="N63" s="5">
        <v>500</v>
      </c>
      <c r="O63" s="5">
        <v>4</v>
      </c>
      <c r="P63" s="2"/>
      <c r="Q63" s="3" t="s">
        <v>1611</v>
      </c>
      <c r="R63" s="3" t="s">
        <v>1612</v>
      </c>
      <c r="S63" s="2"/>
      <c r="T63" s="2"/>
      <c r="U63" s="457" t="s">
        <v>1613</v>
      </c>
      <c r="V63" s="469"/>
      <c r="W63" s="468"/>
    </row>
    <row r="64" spans="1:23" ht="13.75" customHeight="1">
      <c r="A64" s="456" t="s">
        <v>1614</v>
      </c>
      <c r="B64" s="3" t="s">
        <v>1615</v>
      </c>
      <c r="C64" s="3" t="s">
        <v>1559</v>
      </c>
      <c r="D64" s="5">
        <v>2020</v>
      </c>
      <c r="E64" s="3" t="s">
        <v>1616</v>
      </c>
      <c r="F64" s="3" t="s">
        <v>1617</v>
      </c>
      <c r="G64" s="3" t="s">
        <v>1618</v>
      </c>
      <c r="H64" s="5">
        <v>20221</v>
      </c>
      <c r="I64" s="3" t="s">
        <v>1616</v>
      </c>
      <c r="J64" s="3" t="s">
        <v>278</v>
      </c>
      <c r="K64" s="3" t="s">
        <v>332</v>
      </c>
      <c r="L64" s="3" t="s">
        <v>291</v>
      </c>
      <c r="M64" s="3" t="s">
        <v>292</v>
      </c>
      <c r="N64" s="5">
        <v>100</v>
      </c>
      <c r="O64" s="5">
        <v>6</v>
      </c>
      <c r="P64" s="2"/>
      <c r="Q64" s="3" t="s">
        <v>1619</v>
      </c>
      <c r="R64" s="3" t="s">
        <v>1620</v>
      </c>
      <c r="S64" s="2"/>
      <c r="T64" s="2"/>
      <c r="U64" s="457" t="s">
        <v>1621</v>
      </c>
      <c r="V64" s="469"/>
      <c r="W64" s="468"/>
    </row>
    <row r="65" spans="1:23" ht="13.75" customHeight="1">
      <c r="A65" s="456" t="s">
        <v>1624</v>
      </c>
      <c r="B65" s="3" t="s">
        <v>1625</v>
      </c>
      <c r="C65" s="3" t="s">
        <v>1559</v>
      </c>
      <c r="D65" s="5">
        <v>2021</v>
      </c>
      <c r="E65" s="3" t="s">
        <v>1628</v>
      </c>
      <c r="F65" s="3" t="s">
        <v>1629</v>
      </c>
      <c r="G65" s="3" t="s">
        <v>1629</v>
      </c>
      <c r="H65" s="5">
        <v>20231</v>
      </c>
      <c r="I65" s="3" t="s">
        <v>1630</v>
      </c>
      <c r="J65" s="3" t="s">
        <v>278</v>
      </c>
      <c r="K65" s="3" t="s">
        <v>279</v>
      </c>
      <c r="L65" s="3" t="s">
        <v>291</v>
      </c>
      <c r="M65" s="3" t="s">
        <v>292</v>
      </c>
      <c r="N65" s="5">
        <v>45</v>
      </c>
      <c r="O65" s="5">
        <v>5</v>
      </c>
      <c r="P65" s="2"/>
      <c r="Q65" s="3" t="s">
        <v>1631</v>
      </c>
      <c r="R65" s="2"/>
      <c r="S65" s="2"/>
      <c r="T65" s="2"/>
      <c r="U65" s="457" t="s">
        <v>1632</v>
      </c>
      <c r="V65" s="469"/>
      <c r="W65" s="468"/>
    </row>
    <row r="66" spans="1:23" ht="13.75" customHeight="1">
      <c r="A66" s="456" t="s">
        <v>1635</v>
      </c>
      <c r="B66" s="3" t="s">
        <v>1636</v>
      </c>
      <c r="C66" s="3" t="s">
        <v>1559</v>
      </c>
      <c r="D66" s="5">
        <v>2021</v>
      </c>
      <c r="E66" s="3" t="s">
        <v>1642</v>
      </c>
      <c r="F66" s="3" t="s">
        <v>1643</v>
      </c>
      <c r="G66" s="3" t="s">
        <v>1643</v>
      </c>
      <c r="H66" s="5">
        <v>20222</v>
      </c>
      <c r="I66" s="3" t="s">
        <v>1644</v>
      </c>
      <c r="J66" s="3" t="s">
        <v>278</v>
      </c>
      <c r="K66" s="3" t="s">
        <v>279</v>
      </c>
      <c r="L66" s="3" t="s">
        <v>291</v>
      </c>
      <c r="M66" s="3" t="s">
        <v>292</v>
      </c>
      <c r="N66" s="5">
        <v>100</v>
      </c>
      <c r="O66" s="5">
        <v>5</v>
      </c>
      <c r="P66" s="3" t="s">
        <v>1645</v>
      </c>
      <c r="Q66" s="3" t="s">
        <v>1646</v>
      </c>
      <c r="R66" s="3" t="s">
        <v>1647</v>
      </c>
      <c r="S66" s="2"/>
      <c r="T66" s="2"/>
      <c r="U66" s="457" t="s">
        <v>469</v>
      </c>
      <c r="V66" s="469"/>
      <c r="W66" s="468"/>
    </row>
  </sheetData>
  <mergeCells count="1">
    <mergeCell ref="A1:Y1"/>
  </mergeCells>
  <hyperlinks>
    <hyperlink ref="Q3" r:id="rId1" xr:uid="{00000000-0004-0000-0500-000000000000}"/>
    <hyperlink ref="Q4" r:id="rId2" xr:uid="{00000000-0004-0000-0500-000001000000}"/>
    <hyperlink ref="R4" r:id="rId3" xr:uid="{00000000-0004-0000-0500-000002000000}"/>
    <hyperlink ref="Q5" r:id="rId4" xr:uid="{00000000-0004-0000-0500-000003000000}"/>
    <hyperlink ref="R5" r:id="rId5" xr:uid="{00000000-0004-0000-0500-000004000000}"/>
    <hyperlink ref="Q6" r:id="rId6" xr:uid="{00000000-0004-0000-0500-000005000000}"/>
    <hyperlink ref="R6" r:id="rId7" xr:uid="{00000000-0004-0000-0500-000006000000}"/>
    <hyperlink ref="Q7" r:id="rId8" xr:uid="{00000000-0004-0000-0500-000007000000}"/>
    <hyperlink ref="R7" r:id="rId9" xr:uid="{00000000-0004-0000-0500-000008000000}"/>
    <hyperlink ref="Q8" r:id="rId10" xr:uid="{00000000-0004-0000-0500-000009000000}"/>
    <hyperlink ref="R8" r:id="rId11" xr:uid="{00000000-0004-0000-0500-00000A000000}"/>
    <hyperlink ref="Q9" r:id="rId12" xr:uid="{00000000-0004-0000-0500-00000B000000}"/>
    <hyperlink ref="Q10" r:id="rId13" xr:uid="{00000000-0004-0000-0500-00000C000000}"/>
    <hyperlink ref="R10" r:id="rId14" xr:uid="{00000000-0004-0000-0500-00000D000000}"/>
    <hyperlink ref="Q11" r:id="rId15" xr:uid="{00000000-0004-0000-0500-00000E000000}"/>
    <hyperlink ref="R11" r:id="rId16" xr:uid="{00000000-0004-0000-0500-00000F000000}"/>
    <hyperlink ref="Q12" r:id="rId17" xr:uid="{00000000-0004-0000-0500-000010000000}"/>
    <hyperlink ref="Q13" r:id="rId18" xr:uid="{00000000-0004-0000-0500-000011000000}"/>
    <hyperlink ref="R13" r:id="rId19" xr:uid="{00000000-0004-0000-0500-000012000000}"/>
    <hyperlink ref="Q14" r:id="rId20" xr:uid="{00000000-0004-0000-0500-000013000000}"/>
    <hyperlink ref="R14" r:id="rId21" xr:uid="{00000000-0004-0000-0500-000014000000}"/>
    <hyperlink ref="Q15" r:id="rId22" xr:uid="{00000000-0004-0000-0500-000017000000}"/>
    <hyperlink ref="Q16" r:id="rId23" xr:uid="{00000000-0004-0000-0500-000018000000}"/>
    <hyperlink ref="R16" r:id="rId24" xr:uid="{00000000-0004-0000-0500-000019000000}"/>
    <hyperlink ref="Q17" r:id="rId25" xr:uid="{00000000-0004-0000-0500-00001A000000}"/>
    <hyperlink ref="R17" r:id="rId26" xr:uid="{00000000-0004-0000-0500-00001B000000}"/>
    <hyperlink ref="Q18" r:id="rId27" xr:uid="{00000000-0004-0000-0500-00001C000000}"/>
    <hyperlink ref="Q19" r:id="rId28" xr:uid="{00000000-0004-0000-0500-00001D000000}"/>
    <hyperlink ref="R19" r:id="rId29" xr:uid="{00000000-0004-0000-0500-00001E000000}"/>
    <hyperlink ref="Q20" r:id="rId30" xr:uid="{00000000-0004-0000-0500-00001F000000}"/>
    <hyperlink ref="R20" r:id="rId31" xr:uid="{00000000-0004-0000-0500-000020000000}"/>
    <hyperlink ref="Q21" r:id="rId32" xr:uid="{00000000-0004-0000-0500-000021000000}"/>
    <hyperlink ref="R21" r:id="rId33" xr:uid="{00000000-0004-0000-0500-000022000000}"/>
    <hyperlink ref="Q22" r:id="rId34" xr:uid="{00000000-0004-0000-0500-000023000000}"/>
    <hyperlink ref="R22" r:id="rId35" xr:uid="{00000000-0004-0000-0500-000024000000}"/>
    <hyperlink ref="Q23" r:id="rId36" xr:uid="{00000000-0004-0000-0500-000025000000}"/>
    <hyperlink ref="R23" r:id="rId37" xr:uid="{00000000-0004-0000-0500-000026000000}"/>
    <hyperlink ref="Q24" r:id="rId38" xr:uid="{00000000-0004-0000-0500-000027000000}"/>
    <hyperlink ref="R24" r:id="rId39" xr:uid="{00000000-0004-0000-0500-000028000000}"/>
    <hyperlink ref="Q25" r:id="rId40" xr:uid="{00000000-0004-0000-0500-000029000000}"/>
    <hyperlink ref="Q26" r:id="rId41" xr:uid="{00000000-0004-0000-0500-00002A000000}"/>
    <hyperlink ref="Q27" r:id="rId42" xr:uid="{00000000-0004-0000-0500-00002B000000}"/>
    <hyperlink ref="Q28" r:id="rId43" xr:uid="{00000000-0004-0000-0500-00002C000000}"/>
    <hyperlink ref="Q29" r:id="rId44" xr:uid="{00000000-0004-0000-0500-00002D000000}"/>
    <hyperlink ref="Q30" r:id="rId45" xr:uid="{00000000-0004-0000-0500-00002E000000}"/>
    <hyperlink ref="Q31" r:id="rId46" xr:uid="{00000000-0004-0000-0500-00002F000000}"/>
    <hyperlink ref="R31" r:id="rId47" xr:uid="{00000000-0004-0000-0500-000030000000}"/>
    <hyperlink ref="Q32" r:id="rId48" xr:uid="{00000000-0004-0000-0500-000031000000}"/>
    <hyperlink ref="Q33" r:id="rId49" xr:uid="{00000000-0004-0000-0500-000032000000}"/>
    <hyperlink ref="Q34" r:id="rId50" xr:uid="{00000000-0004-0000-0500-000033000000}"/>
    <hyperlink ref="R34" r:id="rId51" xr:uid="{00000000-0004-0000-0500-000034000000}"/>
    <hyperlink ref="Q35" r:id="rId52" xr:uid="{00000000-0004-0000-0500-000035000000}"/>
    <hyperlink ref="R35" r:id="rId53" xr:uid="{00000000-0004-0000-0500-000036000000}"/>
    <hyperlink ref="Q36" r:id="rId54" xr:uid="{00000000-0004-0000-0500-000037000000}"/>
    <hyperlink ref="R36" r:id="rId55" xr:uid="{00000000-0004-0000-0500-000038000000}"/>
    <hyperlink ref="Q37" r:id="rId56" xr:uid="{00000000-0004-0000-0500-000039000000}"/>
    <hyperlink ref="Q38" r:id="rId57" xr:uid="{AAF21D63-3E01-4FE2-906A-B7BD546841D5}"/>
    <hyperlink ref="R38" r:id="rId58" xr:uid="{671AB6CC-8B4D-471E-9EC2-9CD253FE2AD1}"/>
    <hyperlink ref="Q39" r:id="rId59" xr:uid="{9FC75FAB-DC7A-4357-8F9E-5B35925E1756}"/>
    <hyperlink ref="R39" r:id="rId60" xr:uid="{A873C05C-8D5C-4EA0-9B7C-B6432A7D0532}"/>
    <hyperlink ref="Q40" r:id="rId61" xr:uid="{E128150A-79B8-450F-8257-C8DE33133ED8}"/>
    <hyperlink ref="R40" r:id="rId62" xr:uid="{DF45CFD5-D575-4C6B-8627-9E9410039D8D}"/>
    <hyperlink ref="Q41" r:id="rId63" xr:uid="{DD3294E3-1CBD-44B6-BAEB-C04179CECE98}"/>
    <hyperlink ref="R41" r:id="rId64" xr:uid="{20C3906D-0715-4B43-B2D7-23CC6A768DC4}"/>
    <hyperlink ref="Q42" r:id="rId65" xr:uid="{5C76DEE9-52FE-4C31-BC03-D875FFFDDC43}"/>
    <hyperlink ref="R42" r:id="rId66" xr:uid="{3D3CF126-A9E8-4608-8508-689EC29CF7E0}"/>
    <hyperlink ref="Q43" r:id="rId67" xr:uid="{7A5ED690-874E-4C02-BBBC-EE7DD3C90437}"/>
    <hyperlink ref="R43" r:id="rId68" xr:uid="{D64AAAD9-9996-44FC-830C-A79F584C21A8}"/>
    <hyperlink ref="Q44" r:id="rId69" xr:uid="{F0A464E5-12AF-4533-B858-2D540528D059}"/>
    <hyperlink ref="R44" r:id="rId70" xr:uid="{2D5E0639-0617-46A0-BFF3-63AECEBEB883}"/>
    <hyperlink ref="Q45" r:id="rId71" xr:uid="{761D8842-F840-421A-AFA0-254DD8F88457}"/>
    <hyperlink ref="R45" r:id="rId72" xr:uid="{1404156B-550B-4CCC-A1EC-B4E5E2B7B294}"/>
    <hyperlink ref="Q46" r:id="rId73" xr:uid="{6BEC4F6E-15B8-4D9E-9F24-BAB474932E3E}"/>
    <hyperlink ref="R46" r:id="rId74" xr:uid="{A8773DEE-93A8-409E-9F31-59A8E61AAFB6}"/>
    <hyperlink ref="Q47" r:id="rId75" xr:uid="{B883B320-997F-45EF-BF68-85C9EC8F6B58}"/>
    <hyperlink ref="R47" r:id="rId76" xr:uid="{922F456C-04CF-4719-822C-58AA214E1104}"/>
    <hyperlink ref="Q48" r:id="rId77" xr:uid="{2F908D59-0A3C-45D3-83EA-A6A069EFB3C0}"/>
    <hyperlink ref="R48" r:id="rId78" xr:uid="{1386A83D-AD28-47AB-9BE3-9BB85EDE7635}"/>
    <hyperlink ref="Q49" r:id="rId79" xr:uid="{1A9052A6-9CAA-4460-8D9C-9302908C4C8E}"/>
    <hyperlink ref="R49" r:id="rId80" xr:uid="{1566AEC0-FD21-48A8-A5AF-4444E25AF922}"/>
    <hyperlink ref="Q50" r:id="rId81" xr:uid="{2191EA3F-3C0A-4BE0-914A-E840E4FCC0B2}"/>
    <hyperlink ref="R50" r:id="rId82" xr:uid="{31388D22-6DB0-4EEC-B493-46A154F5033C}"/>
    <hyperlink ref="Q51" r:id="rId83" xr:uid="{EFFFD68A-31D9-4FAE-962A-CA385B2A5AF1}"/>
    <hyperlink ref="R51" r:id="rId84" xr:uid="{07435627-D1B9-434C-B5D9-F6AF9569AB26}"/>
    <hyperlink ref="Q52" r:id="rId85" xr:uid="{4C04CB67-566A-41C2-B101-033E73F857BF}"/>
    <hyperlink ref="R52" r:id="rId86" xr:uid="{8125F7A8-1738-4318-B0AA-CBFC8686AF60}"/>
    <hyperlink ref="Q53" r:id="rId87" xr:uid="{9A1DC28F-F515-4B30-806E-8B8F1256005F}"/>
    <hyperlink ref="R53" r:id="rId88" xr:uid="{C94FFA90-7C48-447E-9061-6166EBF6BCC9}"/>
    <hyperlink ref="Q54" r:id="rId89" xr:uid="{A3E5E77A-04E0-458D-8071-225AAFBE4E0B}"/>
    <hyperlink ref="R54" r:id="rId90" xr:uid="{77CCB74E-D4AF-4D06-8A1D-330429693F98}"/>
    <hyperlink ref="Q55" r:id="rId91" xr:uid="{53C1692D-A863-42F6-85E3-7EBE48D8074F}"/>
    <hyperlink ref="R55" r:id="rId92" xr:uid="{D617D782-9978-4DC6-8BAF-50DDD7E23407}"/>
    <hyperlink ref="Q56" r:id="rId93" xr:uid="{5ED7C0BA-1716-465A-8864-3307F03DF226}"/>
    <hyperlink ref="R56" r:id="rId94" xr:uid="{371B290E-0207-4590-AE32-DC21217C7D28}"/>
    <hyperlink ref="Q57" r:id="rId95" xr:uid="{A940FC1B-8853-4E02-80B4-9F7A603D1D52}"/>
    <hyperlink ref="R57" r:id="rId96" xr:uid="{1BC72873-749C-4418-8902-FFE342FFD7CC}"/>
    <hyperlink ref="R58" r:id="rId97" xr:uid="{128B188D-25B5-4BDC-BB05-97556A1051CE}"/>
    <hyperlink ref="Q58" r:id="rId98" xr:uid="{6E4EF43B-A695-458B-9822-EF98DF6DCC24}"/>
    <hyperlink ref="Q59" r:id="rId99" xr:uid="{48B26C16-EC23-409D-A856-E8289E73E713}"/>
    <hyperlink ref="Q60" r:id="rId100" xr:uid="{211BE315-D994-4340-A1C1-A8A3059B6145}"/>
    <hyperlink ref="Q61" r:id="rId101" xr:uid="{0B03FCD0-9AB2-4AF5-87C6-3D259A913D66}"/>
    <hyperlink ref="Q62" r:id="rId102" xr:uid="{28A0BE7F-AD42-4B11-8324-9A0AA29B13B5}"/>
    <hyperlink ref="Q63" r:id="rId103" xr:uid="{502F93EB-C9CC-4D22-AF6D-FCFC3447A7EF}"/>
    <hyperlink ref="R63" r:id="rId104" xr:uid="{6F8D99AF-6196-4E8A-9720-4678063AC2BB}"/>
    <hyperlink ref="Q64" r:id="rId105" xr:uid="{A721B362-9803-478F-844B-CC6DA09C556D}"/>
    <hyperlink ref="R64" r:id="rId106" xr:uid="{EBA2A832-E3E6-4864-9272-A83E1FF2EDDC}"/>
    <hyperlink ref="Q65" r:id="rId107" xr:uid="{C41F7040-F436-4945-9265-2531B9B6C6C7}"/>
    <hyperlink ref="P66" r:id="rId108" xr:uid="{1F598E59-B44E-491A-9AA6-67B6E49FBF30}"/>
    <hyperlink ref="Q66" r:id="rId109" xr:uid="{3D326967-C7AF-4C23-805D-57289EE6F56A}"/>
    <hyperlink ref="R66" r:id="rId110" xr:uid="{61B8DDDB-076F-42F5-B6AC-A27E3202577E}"/>
  </hyperlink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5"/>
  <sheetViews>
    <sheetView showGridLines="0" workbookViewId="0">
      <selection activeCell="E11" sqref="E11"/>
    </sheetView>
  </sheetViews>
  <sheetFormatPr defaultColWidth="14.3984375" defaultRowHeight="15" customHeight="1"/>
  <cols>
    <col min="1" max="1" width="14.3984375" style="1" customWidth="1"/>
    <col min="2" max="2" width="16.59765625" style="1" customWidth="1"/>
    <col min="3" max="11" width="14.3984375" style="1" customWidth="1"/>
    <col min="12" max="16384" width="14.3984375" style="1"/>
  </cols>
  <sheetData>
    <row r="1" spans="1:10" ht="13.75" customHeight="1">
      <c r="A1" s="2"/>
      <c r="B1" s="7"/>
      <c r="C1" s="7"/>
      <c r="D1" s="7"/>
      <c r="E1" s="7"/>
      <c r="F1" s="7"/>
      <c r="G1" s="7"/>
      <c r="H1" s="2"/>
      <c r="I1" s="2"/>
      <c r="J1" s="2"/>
    </row>
    <row r="2" spans="1:10" ht="15" customHeight="1">
      <c r="A2" s="8"/>
      <c r="B2" s="543" t="s">
        <v>1938</v>
      </c>
      <c r="C2" s="544" t="s">
        <v>2048</v>
      </c>
      <c r="D2" s="503"/>
      <c r="E2" s="504"/>
      <c r="F2" s="504"/>
      <c r="G2" s="505"/>
      <c r="H2" s="10"/>
      <c r="I2" s="2"/>
      <c r="J2" s="2"/>
    </row>
    <row r="3" spans="1:10" ht="15" customHeight="1">
      <c r="A3" s="8"/>
      <c r="B3" s="521"/>
      <c r="C3" s="240" t="s">
        <v>2049</v>
      </c>
      <c r="D3" s="240" t="s">
        <v>2050</v>
      </c>
      <c r="E3" s="240" t="s">
        <v>1956</v>
      </c>
      <c r="F3" s="240" t="s">
        <v>2051</v>
      </c>
      <c r="G3" s="240" t="s">
        <v>2052</v>
      </c>
      <c r="H3" s="10"/>
      <c r="I3" s="2"/>
      <c r="J3" s="2"/>
    </row>
    <row r="4" spans="1:10" ht="15" customHeight="1">
      <c r="A4" s="8"/>
      <c r="B4" s="384" t="s">
        <v>2053</v>
      </c>
      <c r="C4" s="385">
        <v>2.5532652804682701</v>
      </c>
      <c r="D4" s="386">
        <v>2.42365164754762</v>
      </c>
      <c r="E4" s="386">
        <v>2.4884584640079401</v>
      </c>
      <c r="F4" s="387" t="s">
        <v>19</v>
      </c>
      <c r="G4" s="388">
        <v>0.62211461600198503</v>
      </c>
      <c r="H4" s="10"/>
      <c r="I4" s="2"/>
      <c r="J4" s="2"/>
    </row>
    <row r="5" spans="1:10" ht="15" customHeight="1">
      <c r="A5" s="8"/>
      <c r="B5" s="389" t="s">
        <v>1937</v>
      </c>
      <c r="C5" s="385">
        <v>3.19050683392107</v>
      </c>
      <c r="D5" s="385">
        <v>2.12728044123886</v>
      </c>
      <c r="E5" s="385">
        <v>2.6588936375799701</v>
      </c>
      <c r="F5" s="387" t="s">
        <v>19</v>
      </c>
      <c r="G5" s="388">
        <v>0.66472340939499197</v>
      </c>
      <c r="H5" s="10"/>
      <c r="I5" s="2"/>
      <c r="J5" s="2"/>
    </row>
    <row r="6" spans="1:10" ht="15" customHeight="1">
      <c r="A6" s="8"/>
      <c r="B6" s="389" t="s">
        <v>1959</v>
      </c>
      <c r="C6" s="385">
        <v>4</v>
      </c>
      <c r="D6" s="386">
        <v>3.6768695772164599</v>
      </c>
      <c r="E6" s="386">
        <v>3.8384347886082302</v>
      </c>
      <c r="F6" s="388">
        <v>0.7</v>
      </c>
      <c r="G6" s="388">
        <v>0.95960869715205699</v>
      </c>
      <c r="H6" s="10"/>
      <c r="I6" s="2"/>
      <c r="J6" s="2"/>
    </row>
    <row r="7" spans="1:10" ht="15" customHeight="1">
      <c r="A7" s="8"/>
      <c r="B7" s="390" t="s">
        <v>2054</v>
      </c>
      <c r="C7" s="391">
        <v>3.05996942460754</v>
      </c>
      <c r="D7" s="392">
        <v>2.9368414928144499</v>
      </c>
      <c r="E7" s="392">
        <v>2.9984054587109901</v>
      </c>
      <c r="F7" s="393">
        <v>0.75</v>
      </c>
      <c r="G7" s="393">
        <v>0.73421037320361104</v>
      </c>
      <c r="H7" s="10"/>
      <c r="I7" s="2"/>
      <c r="J7" s="2"/>
    </row>
    <row r="8" spans="1:10" ht="13.75" customHeight="1">
      <c r="A8" s="2"/>
      <c r="B8" s="9"/>
      <c r="C8" s="9"/>
      <c r="D8" s="9"/>
      <c r="E8" s="9"/>
      <c r="F8" s="9"/>
      <c r="G8" s="9"/>
      <c r="H8" s="7"/>
      <c r="I8" s="7"/>
      <c r="J8" s="7"/>
    </row>
    <row r="9" spans="1:10" ht="15" customHeight="1">
      <c r="A9" s="8"/>
      <c r="B9" s="543" t="s">
        <v>1938</v>
      </c>
      <c r="C9" s="543" t="s">
        <v>2055</v>
      </c>
      <c r="D9" s="544" t="s">
        <v>2056</v>
      </c>
      <c r="E9" s="503"/>
      <c r="F9" s="505"/>
      <c r="G9" s="544" t="s">
        <v>2057</v>
      </c>
      <c r="H9" s="503"/>
      <c r="I9" s="505"/>
      <c r="J9" s="543" t="s">
        <v>2049</v>
      </c>
    </row>
    <row r="10" spans="1:10" ht="15" customHeight="1">
      <c r="A10" s="8"/>
      <c r="B10" s="521"/>
      <c r="C10" s="521"/>
      <c r="D10" s="240" t="s">
        <v>2058</v>
      </c>
      <c r="E10" s="240" t="s">
        <v>2059</v>
      </c>
      <c r="F10" s="240" t="s">
        <v>2060</v>
      </c>
      <c r="G10" s="240" t="s">
        <v>2061</v>
      </c>
      <c r="H10" s="240" t="s">
        <v>2062</v>
      </c>
      <c r="I10" s="240" t="s">
        <v>2063</v>
      </c>
      <c r="J10" s="521"/>
    </row>
    <row r="11" spans="1:10" ht="15" customHeight="1">
      <c r="A11" s="8"/>
      <c r="B11" s="394" t="s">
        <v>44</v>
      </c>
      <c r="C11" s="395">
        <v>5445</v>
      </c>
      <c r="D11" s="395">
        <v>2</v>
      </c>
      <c r="E11" s="395">
        <v>28</v>
      </c>
      <c r="F11" s="395">
        <v>9</v>
      </c>
      <c r="G11" s="17">
        <v>3.67309458218549E-4</v>
      </c>
      <c r="H11" s="17">
        <v>5.1423324150596901E-3</v>
      </c>
      <c r="I11" s="17">
        <v>1.6528925619834699E-3</v>
      </c>
      <c r="J11" s="396">
        <v>3.05996942460754</v>
      </c>
    </row>
    <row r="12" spans="1:10" ht="13.75" customHeight="1">
      <c r="A12" s="2"/>
      <c r="B12" s="9"/>
      <c r="C12" s="9"/>
      <c r="D12" s="9"/>
      <c r="E12" s="9"/>
      <c r="F12" s="9"/>
      <c r="G12" s="9"/>
      <c r="H12" s="9"/>
      <c r="I12" s="9"/>
      <c r="J12" s="9"/>
    </row>
    <row r="13" spans="1:10" ht="15" customHeight="1">
      <c r="A13" s="8"/>
      <c r="B13" s="543" t="s">
        <v>1938</v>
      </c>
      <c r="C13" s="543" t="s">
        <v>2055</v>
      </c>
      <c r="D13" s="562" t="s">
        <v>2064</v>
      </c>
      <c r="E13" s="503"/>
      <c r="F13" s="505"/>
      <c r="G13" s="562" t="s">
        <v>2065</v>
      </c>
      <c r="H13" s="503"/>
      <c r="I13" s="505"/>
      <c r="J13" s="563" t="s">
        <v>2050</v>
      </c>
    </row>
    <row r="14" spans="1:10" ht="15" customHeight="1">
      <c r="A14" s="8"/>
      <c r="B14" s="521"/>
      <c r="C14" s="521"/>
      <c r="D14" s="397" t="s">
        <v>2058</v>
      </c>
      <c r="E14" s="397" t="s">
        <v>2059</v>
      </c>
      <c r="F14" s="397" t="s">
        <v>2060</v>
      </c>
      <c r="G14" s="397" t="s">
        <v>2058</v>
      </c>
      <c r="H14" s="397" t="s">
        <v>2059</v>
      </c>
      <c r="I14" s="397" t="s">
        <v>2060</v>
      </c>
      <c r="J14" s="521"/>
    </row>
    <row r="15" spans="1:10" ht="15" customHeight="1">
      <c r="A15" s="8"/>
      <c r="B15" s="394" t="s">
        <v>44</v>
      </c>
      <c r="C15" s="395">
        <v>5445</v>
      </c>
      <c r="D15" s="395">
        <v>3</v>
      </c>
      <c r="E15" s="395">
        <v>58</v>
      </c>
      <c r="F15" s="395">
        <v>39</v>
      </c>
      <c r="G15" s="17">
        <v>5.5096418732782397E-4</v>
      </c>
      <c r="H15" s="17">
        <v>1.06519742883379E-2</v>
      </c>
      <c r="I15" s="17">
        <v>7.1625344352617103E-3</v>
      </c>
      <c r="J15" s="398">
        <v>2.9368414928144499</v>
      </c>
    </row>
  </sheetData>
  <mergeCells count="12">
    <mergeCell ref="B13:B14"/>
    <mergeCell ref="C13:C14"/>
    <mergeCell ref="D13:F13"/>
    <mergeCell ref="G13:I13"/>
    <mergeCell ref="J13:J14"/>
    <mergeCell ref="J9:J10"/>
    <mergeCell ref="B2:B3"/>
    <mergeCell ref="C2:G2"/>
    <mergeCell ref="B9:B10"/>
    <mergeCell ref="C9:C10"/>
    <mergeCell ref="D9:F9"/>
    <mergeCell ref="G9:I9"/>
  </mergeCells>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2"/>
  <sheetViews>
    <sheetView showGridLines="0" topLeftCell="A2" workbookViewId="0">
      <selection activeCell="D16" sqref="D16"/>
    </sheetView>
  </sheetViews>
  <sheetFormatPr defaultColWidth="14.3984375" defaultRowHeight="15" customHeight="1"/>
  <cols>
    <col min="1" max="1" width="11.19921875" style="1" customWidth="1"/>
    <col min="2" max="2" width="10.796875" style="1" customWidth="1"/>
    <col min="3" max="3" width="41.19921875" style="1" customWidth="1"/>
    <col min="4" max="5" width="14.3984375" style="1" customWidth="1"/>
    <col min="6" max="6" width="18.59765625" style="1" customWidth="1"/>
    <col min="7" max="11" width="14.3984375" style="1" customWidth="1"/>
    <col min="12" max="16384" width="14.3984375" style="1"/>
  </cols>
  <sheetData>
    <row r="1" spans="1:10" ht="12.75" customHeight="1">
      <c r="A1" s="399" t="s">
        <v>2066</v>
      </c>
      <c r="B1" s="2"/>
      <c r="C1" s="2"/>
      <c r="D1" s="2"/>
      <c r="E1" s="2"/>
      <c r="F1" s="2"/>
      <c r="G1" s="2"/>
      <c r="H1" s="2"/>
      <c r="I1" s="2"/>
      <c r="J1" s="2"/>
    </row>
    <row r="2" spans="1:10" ht="13.75" customHeight="1">
      <c r="A2" s="7"/>
      <c r="B2" s="7"/>
      <c r="C2" s="7"/>
      <c r="D2" s="7"/>
      <c r="E2" s="7"/>
      <c r="F2" s="7"/>
      <c r="G2" s="2"/>
      <c r="H2" s="2"/>
      <c r="I2" s="2"/>
      <c r="J2" s="2"/>
    </row>
    <row r="3" spans="1:10" ht="12.75" customHeight="1">
      <c r="A3" s="400" t="s">
        <v>112</v>
      </c>
      <c r="B3" s="400" t="s">
        <v>2067</v>
      </c>
      <c r="C3" s="400" t="s">
        <v>2068</v>
      </c>
      <c r="D3" s="400" t="s">
        <v>2069</v>
      </c>
      <c r="E3" s="400" t="s">
        <v>2070</v>
      </c>
      <c r="F3" s="400" t="s">
        <v>2071</v>
      </c>
      <c r="G3" s="10"/>
      <c r="H3" s="2"/>
      <c r="I3" s="2"/>
      <c r="J3" s="2"/>
    </row>
    <row r="4" spans="1:10" ht="12.75" customHeight="1">
      <c r="A4" s="394" t="s">
        <v>119</v>
      </c>
      <c r="B4" s="17"/>
      <c r="C4" s="17"/>
      <c r="D4" s="17"/>
      <c r="E4" s="17"/>
      <c r="F4" s="17"/>
      <c r="G4" s="10"/>
      <c r="H4" s="2"/>
      <c r="I4" s="2"/>
      <c r="J4" s="2"/>
    </row>
    <row r="5" spans="1:10" ht="12.75" customHeight="1">
      <c r="A5" s="394" t="s">
        <v>120</v>
      </c>
      <c r="B5" s="17"/>
      <c r="C5" s="17"/>
      <c r="D5" s="17"/>
      <c r="E5" s="17"/>
      <c r="F5" s="17"/>
      <c r="G5" s="10"/>
      <c r="H5" s="2"/>
      <c r="I5" s="2"/>
      <c r="J5" s="2"/>
    </row>
    <row r="6" spans="1:10" ht="12.75" customHeight="1">
      <c r="A6" s="394" t="s">
        <v>121</v>
      </c>
      <c r="B6" s="17"/>
      <c r="C6" s="17"/>
      <c r="D6" s="17"/>
      <c r="E6" s="17"/>
      <c r="F6" s="17"/>
      <c r="G6" s="10"/>
      <c r="H6" s="2"/>
      <c r="I6" s="2"/>
      <c r="J6" s="2"/>
    </row>
    <row r="7" spans="1:10" ht="12.75" customHeight="1">
      <c r="A7" s="394" t="s">
        <v>124</v>
      </c>
      <c r="B7" s="17"/>
      <c r="C7" s="17"/>
      <c r="D7" s="17"/>
      <c r="E7" s="17"/>
      <c r="F7" s="17"/>
      <c r="G7" s="10"/>
      <c r="H7" s="2"/>
      <c r="I7" s="2"/>
      <c r="J7" s="2"/>
    </row>
    <row r="8" spans="1:10" ht="12.75" customHeight="1">
      <c r="A8" s="394" t="s">
        <v>125</v>
      </c>
      <c r="B8" s="17"/>
      <c r="C8" s="17"/>
      <c r="D8" s="17"/>
      <c r="E8" s="17"/>
      <c r="F8" s="17"/>
      <c r="G8" s="10"/>
      <c r="H8" s="2"/>
      <c r="I8" s="2"/>
      <c r="J8" s="2"/>
    </row>
    <row r="9" spans="1:10" ht="12.75" customHeight="1">
      <c r="A9" s="394" t="s">
        <v>122</v>
      </c>
      <c r="B9" s="17"/>
      <c r="C9" s="17"/>
      <c r="D9" s="17"/>
      <c r="E9" s="17"/>
      <c r="F9" s="17"/>
      <c r="G9" s="10"/>
      <c r="H9" s="2"/>
      <c r="I9" s="2"/>
      <c r="J9" s="2"/>
    </row>
    <row r="10" spans="1:10" ht="12.75" customHeight="1">
      <c r="A10" s="394" t="s">
        <v>123</v>
      </c>
      <c r="B10" s="17"/>
      <c r="C10" s="17"/>
      <c r="D10" s="17"/>
      <c r="E10" s="17"/>
      <c r="F10" s="17"/>
      <c r="G10" s="10"/>
      <c r="H10" s="2"/>
      <c r="I10" s="2"/>
      <c r="J10" s="2"/>
    </row>
    <row r="11" spans="1:10" ht="13.75" customHeight="1">
      <c r="A11" s="23"/>
      <c r="B11" s="23"/>
      <c r="C11" s="23"/>
      <c r="D11" s="23"/>
      <c r="E11" s="23"/>
      <c r="F11" s="23"/>
      <c r="G11" s="2"/>
      <c r="H11" s="2"/>
      <c r="I11" s="2"/>
      <c r="J11" s="2"/>
    </row>
    <row r="12" spans="1:10" ht="13.75" customHeight="1">
      <c r="A12" s="7"/>
      <c r="B12" s="7"/>
      <c r="C12" s="7"/>
      <c r="D12" s="7"/>
      <c r="E12" s="7"/>
      <c r="F12" s="7"/>
      <c r="G12" s="7"/>
      <c r="H12" s="7"/>
      <c r="I12" s="7"/>
      <c r="J12" s="7"/>
    </row>
    <row r="13" spans="1:10" ht="12.75" customHeight="1">
      <c r="A13" s="400" t="s">
        <v>2072</v>
      </c>
      <c r="B13" s="400" t="s">
        <v>2073</v>
      </c>
      <c r="C13" s="400" t="s">
        <v>2074</v>
      </c>
      <c r="D13" s="400" t="s">
        <v>119</v>
      </c>
      <c r="E13" s="400" t="s">
        <v>120</v>
      </c>
      <c r="F13" s="400" t="s">
        <v>121</v>
      </c>
      <c r="G13" s="400" t="s">
        <v>124</v>
      </c>
      <c r="H13" s="400" t="s">
        <v>125</v>
      </c>
      <c r="I13" s="400" t="s">
        <v>122</v>
      </c>
      <c r="J13" s="400" t="s">
        <v>123</v>
      </c>
    </row>
    <row r="14" spans="1:10" ht="12.75" customHeight="1">
      <c r="A14" s="394" t="s">
        <v>2067</v>
      </c>
      <c r="B14" s="394" t="s">
        <v>2075</v>
      </c>
      <c r="C14" s="394" t="s">
        <v>2076</v>
      </c>
      <c r="D14" s="17"/>
      <c r="E14" s="17"/>
      <c r="F14" s="17"/>
      <c r="G14" s="17"/>
      <c r="H14" s="17"/>
      <c r="I14" s="17"/>
      <c r="J14" s="17"/>
    </row>
    <row r="15" spans="1:10" ht="12.75" customHeight="1">
      <c r="A15" s="394" t="s">
        <v>2067</v>
      </c>
      <c r="B15" s="394" t="s">
        <v>2077</v>
      </c>
      <c r="C15" s="394" t="s">
        <v>2078</v>
      </c>
      <c r="D15" s="17"/>
      <c r="E15" s="17"/>
      <c r="F15" s="17"/>
      <c r="G15" s="17"/>
      <c r="H15" s="17"/>
      <c r="I15" s="17"/>
      <c r="J15" s="17"/>
    </row>
    <row r="16" spans="1:10" ht="12.75" customHeight="1">
      <c r="A16" s="394" t="s">
        <v>2067</v>
      </c>
      <c r="B16" s="394" t="s">
        <v>2079</v>
      </c>
      <c r="C16" s="394" t="s">
        <v>2080</v>
      </c>
      <c r="D16" s="17"/>
      <c r="E16" s="17"/>
      <c r="F16" s="17"/>
      <c r="G16" s="17"/>
      <c r="H16" s="17"/>
      <c r="I16" s="17"/>
      <c r="J16" s="17"/>
    </row>
    <row r="17" spans="1:10" ht="12.75" customHeight="1">
      <c r="A17" s="394" t="s">
        <v>2067</v>
      </c>
      <c r="B17" s="394" t="s">
        <v>2081</v>
      </c>
      <c r="C17" s="394" t="s">
        <v>2082</v>
      </c>
      <c r="D17" s="17"/>
      <c r="E17" s="17"/>
      <c r="F17" s="17"/>
      <c r="G17" s="17"/>
      <c r="H17" s="17"/>
      <c r="I17" s="17"/>
      <c r="J17" s="17"/>
    </row>
    <row r="18" spans="1:10" ht="12.75" customHeight="1">
      <c r="A18" s="394" t="s">
        <v>2067</v>
      </c>
      <c r="B18" s="394" t="s">
        <v>2083</v>
      </c>
      <c r="C18" s="394" t="s">
        <v>2084</v>
      </c>
      <c r="D18" s="17"/>
      <c r="E18" s="17"/>
      <c r="F18" s="17"/>
      <c r="G18" s="17"/>
      <c r="H18" s="17"/>
      <c r="I18" s="17"/>
      <c r="J18" s="17"/>
    </row>
    <row r="19" spans="1:10" ht="12.75" customHeight="1">
      <c r="A19" s="394" t="s">
        <v>2068</v>
      </c>
      <c r="B19" s="394" t="s">
        <v>2085</v>
      </c>
      <c r="C19" s="394" t="s">
        <v>2086</v>
      </c>
      <c r="D19" s="17"/>
      <c r="E19" s="17"/>
      <c r="F19" s="17"/>
      <c r="G19" s="17"/>
      <c r="H19" s="17"/>
      <c r="I19" s="17"/>
      <c r="J19" s="17"/>
    </row>
    <row r="20" spans="1:10" ht="12.75" customHeight="1">
      <c r="A20" s="394" t="s">
        <v>2068</v>
      </c>
      <c r="B20" s="394" t="s">
        <v>2087</v>
      </c>
      <c r="C20" s="394" t="s">
        <v>2088</v>
      </c>
      <c r="D20" s="17"/>
      <c r="E20" s="17"/>
      <c r="F20" s="17"/>
      <c r="G20" s="17"/>
      <c r="H20" s="17"/>
      <c r="I20" s="17"/>
      <c r="J20" s="17"/>
    </row>
    <row r="21" spans="1:10" ht="15.75" customHeight="1">
      <c r="A21" s="394" t="s">
        <v>2068</v>
      </c>
      <c r="B21" s="394" t="s">
        <v>2089</v>
      </c>
      <c r="C21" s="394" t="s">
        <v>2090</v>
      </c>
      <c r="D21" s="17"/>
      <c r="E21" s="17"/>
      <c r="F21" s="17"/>
      <c r="G21" s="17"/>
      <c r="H21" s="17"/>
      <c r="I21" s="17"/>
      <c r="J21" s="17"/>
    </row>
    <row r="22" spans="1:10" ht="15.75" customHeight="1">
      <c r="A22" s="394" t="s">
        <v>2068</v>
      </c>
      <c r="B22" s="394" t="s">
        <v>2091</v>
      </c>
      <c r="C22" s="394" t="s">
        <v>2092</v>
      </c>
      <c r="D22" s="17"/>
      <c r="E22" s="17"/>
      <c r="F22" s="17"/>
      <c r="G22" s="17"/>
      <c r="H22" s="17"/>
      <c r="I22" s="17"/>
      <c r="J22" s="17"/>
    </row>
    <row r="23" spans="1:10" ht="15.75" customHeight="1">
      <c r="A23" s="394" t="s">
        <v>2068</v>
      </c>
      <c r="B23" s="394" t="s">
        <v>2093</v>
      </c>
      <c r="C23" s="394" t="s">
        <v>2094</v>
      </c>
      <c r="D23" s="17"/>
      <c r="E23" s="17"/>
      <c r="F23" s="17"/>
      <c r="G23" s="17"/>
      <c r="H23" s="17"/>
      <c r="I23" s="17"/>
      <c r="J23" s="17"/>
    </row>
    <row r="24" spans="1:10" ht="15.75" customHeight="1">
      <c r="A24" s="394" t="s">
        <v>2068</v>
      </c>
      <c r="B24" s="394" t="s">
        <v>2095</v>
      </c>
      <c r="C24" s="394" t="s">
        <v>2096</v>
      </c>
      <c r="D24" s="17"/>
      <c r="E24" s="17"/>
      <c r="F24" s="17"/>
      <c r="G24" s="17"/>
      <c r="H24" s="17"/>
      <c r="I24" s="17"/>
      <c r="J24" s="17"/>
    </row>
    <row r="25" spans="1:10" ht="15.75" customHeight="1">
      <c r="A25" s="394" t="s">
        <v>2068</v>
      </c>
      <c r="B25" s="394" t="s">
        <v>2097</v>
      </c>
      <c r="C25" s="394" t="s">
        <v>2098</v>
      </c>
      <c r="D25" s="17"/>
      <c r="E25" s="17"/>
      <c r="F25" s="17"/>
      <c r="G25" s="17"/>
      <c r="H25" s="17"/>
      <c r="I25" s="17"/>
      <c r="J25" s="17"/>
    </row>
    <row r="26" spans="1:10" ht="15.75" customHeight="1">
      <c r="A26" s="394" t="s">
        <v>2068</v>
      </c>
      <c r="B26" s="394" t="s">
        <v>2099</v>
      </c>
      <c r="C26" s="394" t="s">
        <v>2100</v>
      </c>
      <c r="D26" s="17"/>
      <c r="E26" s="17"/>
      <c r="F26" s="17"/>
      <c r="G26" s="17"/>
      <c r="H26" s="17"/>
      <c r="I26" s="17"/>
      <c r="J26" s="17"/>
    </row>
    <row r="27" spans="1:10" ht="15.75" customHeight="1">
      <c r="A27" s="394" t="s">
        <v>2068</v>
      </c>
      <c r="B27" s="394" t="s">
        <v>2101</v>
      </c>
      <c r="C27" s="394" t="s">
        <v>2102</v>
      </c>
      <c r="D27" s="17"/>
      <c r="E27" s="17"/>
      <c r="F27" s="17"/>
      <c r="G27" s="17"/>
      <c r="H27" s="17"/>
      <c r="I27" s="17"/>
      <c r="J27" s="17"/>
    </row>
    <row r="28" spans="1:10" ht="15.75" customHeight="1">
      <c r="A28" s="394" t="s">
        <v>2069</v>
      </c>
      <c r="B28" s="394" t="s">
        <v>2103</v>
      </c>
      <c r="C28" s="394" t="s">
        <v>2104</v>
      </c>
      <c r="D28" s="17"/>
      <c r="E28" s="17"/>
      <c r="F28" s="17"/>
      <c r="G28" s="17"/>
      <c r="H28" s="17"/>
      <c r="I28" s="17"/>
      <c r="J28" s="17"/>
    </row>
    <row r="29" spans="1:10" ht="15.75" customHeight="1">
      <c r="A29" s="394" t="s">
        <v>2069</v>
      </c>
      <c r="B29" s="394" t="s">
        <v>2105</v>
      </c>
      <c r="C29" s="394" t="s">
        <v>2106</v>
      </c>
      <c r="D29" s="17"/>
      <c r="E29" s="17"/>
      <c r="F29" s="17"/>
      <c r="G29" s="17"/>
      <c r="H29" s="17"/>
      <c r="I29" s="17"/>
      <c r="J29" s="17"/>
    </row>
    <row r="30" spans="1:10" ht="15.75" customHeight="1">
      <c r="A30" s="394" t="s">
        <v>2069</v>
      </c>
      <c r="B30" s="394" t="s">
        <v>2107</v>
      </c>
      <c r="C30" s="394" t="s">
        <v>2108</v>
      </c>
      <c r="D30" s="17"/>
      <c r="E30" s="17"/>
      <c r="F30" s="17"/>
      <c r="G30" s="17"/>
      <c r="H30" s="17"/>
      <c r="I30" s="17"/>
      <c r="J30" s="17"/>
    </row>
    <row r="31" spans="1:10" ht="15.75" customHeight="1">
      <c r="A31" s="394" t="s">
        <v>2069</v>
      </c>
      <c r="B31" s="394" t="s">
        <v>2109</v>
      </c>
      <c r="C31" s="394" t="s">
        <v>2110</v>
      </c>
      <c r="D31" s="17"/>
      <c r="E31" s="17"/>
      <c r="F31" s="17"/>
      <c r="G31" s="17"/>
      <c r="H31" s="17"/>
      <c r="I31" s="17"/>
      <c r="J31" s="17"/>
    </row>
    <row r="32" spans="1:10" ht="15.75" customHeight="1">
      <c r="A32" s="394" t="s">
        <v>2069</v>
      </c>
      <c r="B32" s="394" t="s">
        <v>2111</v>
      </c>
      <c r="C32" s="394" t="s">
        <v>2112</v>
      </c>
      <c r="D32" s="17"/>
      <c r="E32" s="17"/>
      <c r="F32" s="17"/>
      <c r="G32" s="17"/>
      <c r="H32" s="17"/>
      <c r="I32" s="17"/>
      <c r="J32" s="17"/>
    </row>
    <row r="33" spans="1:10" ht="15.75" customHeight="1">
      <c r="A33" s="394" t="s">
        <v>2069</v>
      </c>
      <c r="B33" s="394" t="s">
        <v>2113</v>
      </c>
      <c r="C33" s="394" t="s">
        <v>2114</v>
      </c>
      <c r="D33" s="17"/>
      <c r="E33" s="17"/>
      <c r="F33" s="17"/>
      <c r="G33" s="17"/>
      <c r="H33" s="17"/>
      <c r="I33" s="17"/>
      <c r="J33" s="17"/>
    </row>
    <row r="34" spans="1:10" ht="15.75" customHeight="1">
      <c r="A34" s="394" t="s">
        <v>2069</v>
      </c>
      <c r="B34" s="394" t="s">
        <v>2115</v>
      </c>
      <c r="C34" s="394" t="s">
        <v>2116</v>
      </c>
      <c r="D34" s="17"/>
      <c r="E34" s="17"/>
      <c r="F34" s="17"/>
      <c r="G34" s="17"/>
      <c r="H34" s="17"/>
      <c r="I34" s="17"/>
      <c r="J34" s="17"/>
    </row>
    <row r="35" spans="1:10" ht="15.75" customHeight="1">
      <c r="A35" s="394" t="s">
        <v>2069</v>
      </c>
      <c r="B35" s="394" t="s">
        <v>2117</v>
      </c>
      <c r="C35" s="401" t="s">
        <v>2118</v>
      </c>
      <c r="D35" s="17"/>
      <c r="E35" s="17"/>
      <c r="F35" s="17"/>
      <c r="G35" s="17"/>
      <c r="H35" s="17"/>
      <c r="I35" s="17"/>
      <c r="J35" s="17"/>
    </row>
    <row r="36" spans="1:10" ht="15.75" customHeight="1">
      <c r="A36" s="394" t="s">
        <v>2069</v>
      </c>
      <c r="B36" s="394" t="s">
        <v>2119</v>
      </c>
      <c r="C36" s="394" t="s">
        <v>2120</v>
      </c>
      <c r="D36" s="17"/>
      <c r="E36" s="17"/>
      <c r="F36" s="17"/>
      <c r="G36" s="17"/>
      <c r="H36" s="17"/>
      <c r="I36" s="17"/>
      <c r="J36" s="17"/>
    </row>
    <row r="37" spans="1:10" ht="15.75" customHeight="1">
      <c r="A37" s="394" t="s">
        <v>2069</v>
      </c>
      <c r="B37" s="394" t="s">
        <v>2121</v>
      </c>
      <c r="C37" s="394" t="s">
        <v>2122</v>
      </c>
      <c r="D37" s="17"/>
      <c r="E37" s="17"/>
      <c r="F37" s="17"/>
      <c r="G37" s="17"/>
      <c r="H37" s="17"/>
      <c r="I37" s="17"/>
      <c r="J37" s="17"/>
    </row>
    <row r="38" spans="1:10" ht="15.75" customHeight="1">
      <c r="A38" s="394" t="s">
        <v>2069</v>
      </c>
      <c r="B38" s="394" t="s">
        <v>2123</v>
      </c>
      <c r="C38" s="394" t="s">
        <v>2124</v>
      </c>
      <c r="D38" s="17"/>
      <c r="E38" s="17"/>
      <c r="F38" s="17"/>
      <c r="G38" s="17"/>
      <c r="H38" s="17"/>
      <c r="I38" s="17"/>
      <c r="J38" s="17"/>
    </row>
    <row r="39" spans="1:10" ht="15.75" customHeight="1">
      <c r="A39" s="394" t="s">
        <v>2070</v>
      </c>
      <c r="B39" s="394" t="s">
        <v>2125</v>
      </c>
      <c r="C39" s="394" t="s">
        <v>2126</v>
      </c>
      <c r="D39" s="17"/>
      <c r="E39" s="17"/>
      <c r="F39" s="17"/>
      <c r="G39" s="17"/>
      <c r="H39" s="17"/>
      <c r="I39" s="17"/>
      <c r="J39" s="17"/>
    </row>
    <row r="40" spans="1:10" ht="15.75" customHeight="1">
      <c r="A40" s="394" t="s">
        <v>2070</v>
      </c>
      <c r="B40" s="394" t="s">
        <v>2127</v>
      </c>
      <c r="C40" s="394" t="s">
        <v>2128</v>
      </c>
      <c r="D40" s="17"/>
      <c r="E40" s="17"/>
      <c r="F40" s="17"/>
      <c r="G40" s="17"/>
      <c r="H40" s="17"/>
      <c r="I40" s="17"/>
      <c r="J40" s="17"/>
    </row>
    <row r="41" spans="1:10" ht="15.75" customHeight="1">
      <c r="A41" s="394" t="s">
        <v>2070</v>
      </c>
      <c r="B41" s="394" t="s">
        <v>2129</v>
      </c>
      <c r="C41" s="394" t="s">
        <v>2130</v>
      </c>
      <c r="D41" s="17"/>
      <c r="E41" s="17"/>
      <c r="F41" s="17"/>
      <c r="G41" s="17"/>
      <c r="H41" s="17"/>
      <c r="I41" s="17"/>
      <c r="J41" s="17"/>
    </row>
    <row r="42" spans="1:10" ht="15.75" customHeight="1">
      <c r="A42" s="394" t="s">
        <v>2070</v>
      </c>
      <c r="B42" s="394" t="s">
        <v>2131</v>
      </c>
      <c r="C42" s="394" t="s">
        <v>2132</v>
      </c>
      <c r="D42" s="17"/>
      <c r="E42" s="17"/>
      <c r="F42" s="17"/>
      <c r="G42" s="17"/>
      <c r="H42" s="17"/>
      <c r="I42" s="17"/>
      <c r="J42" s="17"/>
    </row>
  </sheetData>
  <pageMargins left="0.7" right="0.7" top="0.75" bottom="0.75" header="0" footer="0"/>
  <pageSetup orientation="landscape"/>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
  <sheetViews>
    <sheetView showGridLines="0" workbookViewId="0">
      <selection activeCell="E20" sqref="E20"/>
    </sheetView>
  </sheetViews>
  <sheetFormatPr defaultColWidth="14.3984375" defaultRowHeight="15" customHeight="1"/>
  <cols>
    <col min="1" max="6" width="14.3984375" style="1" customWidth="1"/>
    <col min="7" max="16384" width="14.3984375" style="1"/>
  </cols>
  <sheetData>
    <row r="1" spans="1:5" ht="13.75" customHeight="1">
      <c r="A1" s="2"/>
      <c r="B1" s="2"/>
      <c r="C1" s="2"/>
      <c r="D1" s="2"/>
      <c r="E1" s="2"/>
    </row>
    <row r="2" spans="1:5" ht="13.75" customHeight="1">
      <c r="A2" s="2"/>
      <c r="B2" s="2"/>
      <c r="C2" s="2"/>
      <c r="D2" s="2"/>
      <c r="E2" s="2"/>
    </row>
    <row r="3" spans="1:5" ht="15" customHeight="1">
      <c r="A3" s="2"/>
      <c r="B3" s="2"/>
      <c r="C3" s="2"/>
      <c r="D3" s="402" t="s">
        <v>2133</v>
      </c>
      <c r="E3" s="402" t="s">
        <v>2134</v>
      </c>
    </row>
    <row r="4" spans="1:5" ht="13.75" customHeight="1">
      <c r="A4" s="2"/>
      <c r="B4" s="2"/>
      <c r="C4" s="2"/>
      <c r="D4" s="2"/>
      <c r="E4" s="2"/>
    </row>
    <row r="5" spans="1:5" ht="13.75" customHeight="1">
      <c r="A5" s="2"/>
      <c r="B5" s="2"/>
      <c r="C5" s="2"/>
      <c r="D5" s="2"/>
      <c r="E5" s="2"/>
    </row>
    <row r="6" spans="1:5" ht="13.75" customHeight="1">
      <c r="A6" s="2"/>
      <c r="B6" s="2"/>
      <c r="C6" s="2"/>
      <c r="D6" s="2"/>
      <c r="E6" s="2"/>
    </row>
    <row r="7" spans="1:5" ht="13.75" customHeight="1">
      <c r="A7" s="2"/>
      <c r="B7" s="2"/>
      <c r="C7" s="2"/>
      <c r="D7" s="2"/>
      <c r="E7" s="2"/>
    </row>
    <row r="8" spans="1:5" ht="13.75" customHeight="1">
      <c r="A8" s="2"/>
      <c r="B8" s="2"/>
      <c r="C8" s="2"/>
      <c r="D8" s="2"/>
      <c r="E8" s="2"/>
    </row>
    <row r="9" spans="1:5" ht="13.75" customHeight="1">
      <c r="A9" s="2"/>
      <c r="B9" s="2"/>
      <c r="C9" s="2"/>
      <c r="D9" s="2"/>
      <c r="E9" s="2"/>
    </row>
    <row r="10" spans="1:5" ht="13.75" customHeight="1">
      <c r="A10" s="2"/>
      <c r="B10" s="2"/>
      <c r="C10" s="2"/>
      <c r="D10" s="2"/>
      <c r="E10" s="2"/>
    </row>
  </sheetData>
  <pageMargins left="0.7" right="0.7" top="0.75" bottom="0.75" header="0" footer="0"/>
  <pageSetup orientation="landscape"/>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232"/>
  <sheetViews>
    <sheetView showGridLines="0" topLeftCell="C4" workbookViewId="0"/>
  </sheetViews>
  <sheetFormatPr defaultColWidth="14.3984375" defaultRowHeight="15" customHeight="1"/>
  <cols>
    <col min="1" max="2" width="14.3984375" style="1" hidden="1" customWidth="1"/>
    <col min="3" max="3" width="46.19921875" style="1" customWidth="1"/>
    <col min="4" max="20" width="8.796875" style="1" customWidth="1"/>
    <col min="21" max="21" width="9.19921875" style="1" customWidth="1"/>
    <col min="22" max="33" width="8.796875" style="1" customWidth="1"/>
    <col min="34" max="34" width="14.3984375" style="1" customWidth="1"/>
    <col min="35" max="16384" width="14.3984375" style="1"/>
  </cols>
  <sheetData>
    <row r="1" spans="1:33" ht="12.75" customHeight="1">
      <c r="A1" s="403" t="s">
        <v>2135</v>
      </c>
      <c r="B1" s="404"/>
      <c r="C1" s="404"/>
      <c r="D1" s="404"/>
      <c r="E1" s="404"/>
      <c r="F1" s="404"/>
      <c r="G1" s="404"/>
      <c r="H1" s="404"/>
      <c r="I1" s="404"/>
      <c r="J1" s="404"/>
      <c r="K1" s="404"/>
      <c r="L1" s="404"/>
      <c r="M1" s="404"/>
      <c r="N1" s="404"/>
      <c r="O1" s="404"/>
      <c r="P1" s="404"/>
      <c r="Q1" s="404"/>
      <c r="R1" s="404"/>
      <c r="S1" s="404"/>
      <c r="T1" s="404"/>
      <c r="U1" s="404"/>
      <c r="V1" s="404"/>
      <c r="W1" s="404"/>
      <c r="X1" s="404"/>
      <c r="Y1" s="404"/>
      <c r="Z1" s="404"/>
      <c r="AA1" s="404"/>
      <c r="AB1" s="404"/>
      <c r="AC1" s="404"/>
      <c r="AD1" s="404"/>
      <c r="AE1" s="404"/>
      <c r="AF1" s="404"/>
      <c r="AG1" s="404"/>
    </row>
    <row r="2" spans="1:33" ht="12.75" customHeight="1">
      <c r="A2" s="405"/>
      <c r="B2" s="405"/>
      <c r="C2" s="405"/>
      <c r="D2" s="405"/>
      <c r="E2" s="405"/>
      <c r="F2" s="406"/>
      <c r="G2" s="405"/>
      <c r="H2" s="405"/>
      <c r="I2" s="405"/>
      <c r="J2" s="406"/>
      <c r="K2" s="405"/>
      <c r="L2" s="405"/>
      <c r="M2" s="405"/>
      <c r="N2" s="405"/>
      <c r="O2" s="405"/>
      <c r="P2" s="406"/>
      <c r="Q2" s="405"/>
      <c r="R2" s="405"/>
      <c r="S2" s="405"/>
      <c r="T2" s="405"/>
      <c r="U2" s="405"/>
      <c r="V2" s="405"/>
      <c r="W2" s="405"/>
      <c r="X2" s="405"/>
      <c r="Y2" s="405"/>
      <c r="Z2" s="404"/>
      <c r="AA2" s="404"/>
      <c r="AB2" s="404"/>
      <c r="AC2" s="404"/>
      <c r="AD2" s="404"/>
      <c r="AE2" s="404"/>
      <c r="AF2" s="404"/>
      <c r="AG2" s="404"/>
    </row>
    <row r="3" spans="1:33" ht="30" customHeight="1">
      <c r="A3" s="407" t="s">
        <v>2072</v>
      </c>
      <c r="B3" s="408" t="s">
        <v>2073</v>
      </c>
      <c r="C3" s="408" t="s">
        <v>2074</v>
      </c>
      <c r="D3" s="408" t="s">
        <v>78</v>
      </c>
      <c r="E3" s="408" t="s">
        <v>77</v>
      </c>
      <c r="F3" s="409" t="s">
        <v>97</v>
      </c>
      <c r="G3" s="408" t="s">
        <v>91</v>
      </c>
      <c r="H3" s="408" t="s">
        <v>69</v>
      </c>
      <c r="I3" s="408" t="s">
        <v>85</v>
      </c>
      <c r="J3" s="409" t="s">
        <v>99</v>
      </c>
      <c r="K3" s="408" t="s">
        <v>72</v>
      </c>
      <c r="L3" s="408" t="s">
        <v>80</v>
      </c>
      <c r="M3" s="408" t="s">
        <v>88</v>
      </c>
      <c r="N3" s="408" t="s">
        <v>73</v>
      </c>
      <c r="O3" s="408" t="s">
        <v>79</v>
      </c>
      <c r="P3" s="409" t="s">
        <v>98</v>
      </c>
      <c r="Q3" s="408" t="s">
        <v>81</v>
      </c>
      <c r="R3" s="408" t="s">
        <v>87</v>
      </c>
      <c r="S3" s="408" t="s">
        <v>76</v>
      </c>
      <c r="T3" s="408" t="s">
        <v>70</v>
      </c>
      <c r="U3" s="408" t="s">
        <v>93</v>
      </c>
      <c r="V3" s="408" t="s">
        <v>75</v>
      </c>
      <c r="W3" s="408" t="s">
        <v>71</v>
      </c>
      <c r="X3" s="408" t="s">
        <v>84</v>
      </c>
      <c r="Y3" s="408" t="s">
        <v>83</v>
      </c>
      <c r="Z3" s="410"/>
      <c r="AA3" s="2"/>
      <c r="AB3" s="404"/>
      <c r="AC3" s="404"/>
      <c r="AD3" s="404"/>
      <c r="AE3" s="404"/>
      <c r="AF3" s="404"/>
      <c r="AG3" s="404"/>
    </row>
    <row r="4" spans="1:33" ht="12.75" customHeight="1">
      <c r="A4" s="411" t="s">
        <v>2067</v>
      </c>
      <c r="B4" s="412" t="s">
        <v>2075</v>
      </c>
      <c r="C4" s="413" t="s">
        <v>2076</v>
      </c>
      <c r="D4" s="414">
        <v>0.04</v>
      </c>
      <c r="E4" s="414">
        <v>0.04</v>
      </c>
      <c r="F4" s="415">
        <v>0.04</v>
      </c>
      <c r="G4" s="414">
        <v>0.04</v>
      </c>
      <c r="H4" s="414">
        <v>0.04</v>
      </c>
      <c r="I4" s="414">
        <v>0.04</v>
      </c>
      <c r="J4" s="415">
        <v>0.04</v>
      </c>
      <c r="K4" s="415">
        <v>0.04</v>
      </c>
      <c r="L4" s="414">
        <v>0.04</v>
      </c>
      <c r="M4" s="414">
        <v>0.04</v>
      </c>
      <c r="N4" s="414">
        <v>0.04</v>
      </c>
      <c r="O4" s="414">
        <v>0.04</v>
      </c>
      <c r="P4" s="415">
        <v>0.04</v>
      </c>
      <c r="Q4" s="414">
        <v>0.04</v>
      </c>
      <c r="R4" s="414">
        <v>0.04</v>
      </c>
      <c r="S4" s="414">
        <v>0.04</v>
      </c>
      <c r="T4" s="414">
        <v>0.04</v>
      </c>
      <c r="U4" s="414">
        <v>0.04</v>
      </c>
      <c r="V4" s="414">
        <v>0.04</v>
      </c>
      <c r="W4" s="414">
        <v>0.04</v>
      </c>
      <c r="X4" s="414">
        <v>0.04</v>
      </c>
      <c r="Y4" s="414">
        <v>0.04</v>
      </c>
      <c r="Z4" s="2"/>
      <c r="AA4" s="2"/>
      <c r="AB4" s="404"/>
      <c r="AC4" s="404"/>
      <c r="AD4" s="404"/>
      <c r="AE4" s="404"/>
      <c r="AF4" s="404"/>
      <c r="AG4" s="404"/>
    </row>
    <row r="5" spans="1:33" ht="12.75" customHeight="1">
      <c r="A5" s="411" t="s">
        <v>2067</v>
      </c>
      <c r="B5" s="416" t="s">
        <v>2077</v>
      </c>
      <c r="C5" s="417" t="s">
        <v>2078</v>
      </c>
      <c r="D5" s="418">
        <v>0.03</v>
      </c>
      <c r="E5" s="418">
        <v>0.03</v>
      </c>
      <c r="F5" s="419">
        <v>0.03</v>
      </c>
      <c r="G5" s="418">
        <v>0.03</v>
      </c>
      <c r="H5" s="418">
        <v>0.03</v>
      </c>
      <c r="I5" s="418">
        <v>0.03</v>
      </c>
      <c r="J5" s="419">
        <v>0.03</v>
      </c>
      <c r="K5" s="419">
        <v>0.03</v>
      </c>
      <c r="L5" s="418">
        <v>0.03</v>
      </c>
      <c r="M5" s="418">
        <v>0.03</v>
      </c>
      <c r="N5" s="418">
        <v>0.03</v>
      </c>
      <c r="O5" s="418">
        <v>0.03</v>
      </c>
      <c r="P5" s="419">
        <v>0.03</v>
      </c>
      <c r="Q5" s="418">
        <v>0.03</v>
      </c>
      <c r="R5" s="418">
        <v>0.03</v>
      </c>
      <c r="S5" s="418">
        <v>0.03</v>
      </c>
      <c r="T5" s="418">
        <v>0.03</v>
      </c>
      <c r="U5" s="418">
        <v>0.03</v>
      </c>
      <c r="V5" s="418">
        <v>0.03</v>
      </c>
      <c r="W5" s="418">
        <v>0.03</v>
      </c>
      <c r="X5" s="418">
        <v>0.03</v>
      </c>
      <c r="Y5" s="418">
        <v>0.03</v>
      </c>
      <c r="Z5" s="2"/>
      <c r="AA5" s="2"/>
      <c r="AB5" s="404"/>
      <c r="AC5" s="404"/>
      <c r="AD5" s="404"/>
      <c r="AE5" s="404"/>
      <c r="AF5" s="404"/>
      <c r="AG5" s="404"/>
    </row>
    <row r="6" spans="1:33" ht="12.75" customHeight="1">
      <c r="A6" s="411" t="s">
        <v>2067</v>
      </c>
      <c r="B6" s="416" t="s">
        <v>2079</v>
      </c>
      <c r="C6" s="417" t="s">
        <v>2080</v>
      </c>
      <c r="D6" s="418">
        <v>0.06</v>
      </c>
      <c r="E6" s="418">
        <v>0.06</v>
      </c>
      <c r="F6" s="419">
        <v>0.06</v>
      </c>
      <c r="G6" s="418">
        <v>0.06</v>
      </c>
      <c r="H6" s="418">
        <v>0.06</v>
      </c>
      <c r="I6" s="418">
        <v>0.06</v>
      </c>
      <c r="J6" s="419">
        <v>0.06</v>
      </c>
      <c r="K6" s="419">
        <v>0.06</v>
      </c>
      <c r="L6" s="418">
        <v>0.06</v>
      </c>
      <c r="M6" s="418">
        <v>0.06</v>
      </c>
      <c r="N6" s="418">
        <v>0.06</v>
      </c>
      <c r="O6" s="418">
        <v>0.06</v>
      </c>
      <c r="P6" s="419">
        <v>0.06</v>
      </c>
      <c r="Q6" s="418">
        <v>0.06</v>
      </c>
      <c r="R6" s="418">
        <v>0.06</v>
      </c>
      <c r="S6" s="418">
        <v>0.06</v>
      </c>
      <c r="T6" s="418">
        <v>0.06</v>
      </c>
      <c r="U6" s="418">
        <v>0.06</v>
      </c>
      <c r="V6" s="418">
        <v>0.06</v>
      </c>
      <c r="W6" s="418">
        <v>0.06</v>
      </c>
      <c r="X6" s="418">
        <v>0.06</v>
      </c>
      <c r="Y6" s="418">
        <v>0.06</v>
      </c>
      <c r="Z6" s="2"/>
      <c r="AA6" s="2"/>
      <c r="AB6" s="404"/>
      <c r="AC6" s="404"/>
      <c r="AD6" s="404"/>
      <c r="AE6" s="404"/>
      <c r="AF6" s="404"/>
      <c r="AG6" s="404"/>
    </row>
    <row r="7" spans="1:33" ht="12.75" customHeight="1">
      <c r="A7" s="411" t="s">
        <v>2067</v>
      </c>
      <c r="B7" s="416" t="s">
        <v>2081</v>
      </c>
      <c r="C7" s="417" t="s">
        <v>2082</v>
      </c>
      <c r="D7" s="418">
        <v>0.03</v>
      </c>
      <c r="E7" s="418">
        <v>0.03</v>
      </c>
      <c r="F7" s="419">
        <v>0.03</v>
      </c>
      <c r="G7" s="418">
        <v>0.03</v>
      </c>
      <c r="H7" s="418">
        <v>0.03</v>
      </c>
      <c r="I7" s="418">
        <v>0.03</v>
      </c>
      <c r="J7" s="419">
        <v>0.03</v>
      </c>
      <c r="K7" s="419">
        <v>0.03</v>
      </c>
      <c r="L7" s="418">
        <v>0.03</v>
      </c>
      <c r="M7" s="418">
        <v>0.03</v>
      </c>
      <c r="N7" s="418">
        <v>0.03</v>
      </c>
      <c r="O7" s="418">
        <v>0.03</v>
      </c>
      <c r="P7" s="419">
        <v>0.03</v>
      </c>
      <c r="Q7" s="418">
        <v>0.03</v>
      </c>
      <c r="R7" s="418">
        <v>0.03</v>
      </c>
      <c r="S7" s="418">
        <v>0.03</v>
      </c>
      <c r="T7" s="418">
        <v>0.03</v>
      </c>
      <c r="U7" s="418">
        <v>0.03</v>
      </c>
      <c r="V7" s="418">
        <v>0.03</v>
      </c>
      <c r="W7" s="418">
        <v>0.03</v>
      </c>
      <c r="X7" s="418">
        <v>0.03</v>
      </c>
      <c r="Y7" s="418">
        <v>0.03</v>
      </c>
      <c r="Z7" s="2"/>
      <c r="AA7" s="2"/>
      <c r="AB7" s="404"/>
      <c r="AC7" s="404"/>
      <c r="AD7" s="404"/>
      <c r="AE7" s="404"/>
      <c r="AF7" s="404"/>
      <c r="AG7" s="404"/>
    </row>
    <row r="8" spans="1:33" ht="12.75" customHeight="1">
      <c r="A8" s="411" t="s">
        <v>2067</v>
      </c>
      <c r="B8" s="416" t="s">
        <v>2083</v>
      </c>
      <c r="C8" s="417" t="s">
        <v>2084</v>
      </c>
      <c r="D8" s="418">
        <v>0.04</v>
      </c>
      <c r="E8" s="418">
        <v>0.04</v>
      </c>
      <c r="F8" s="419">
        <v>0.04</v>
      </c>
      <c r="G8" s="418">
        <v>0.04</v>
      </c>
      <c r="H8" s="418">
        <v>0.04</v>
      </c>
      <c r="I8" s="418">
        <v>0.04</v>
      </c>
      <c r="J8" s="419">
        <v>0.04</v>
      </c>
      <c r="K8" s="419">
        <v>0.04</v>
      </c>
      <c r="L8" s="418">
        <v>0.04</v>
      </c>
      <c r="M8" s="418">
        <v>0.04</v>
      </c>
      <c r="N8" s="418">
        <v>0.04</v>
      </c>
      <c r="O8" s="418">
        <v>0.04</v>
      </c>
      <c r="P8" s="420">
        <v>0.04</v>
      </c>
      <c r="Q8" s="418">
        <v>0.04</v>
      </c>
      <c r="R8" s="418">
        <v>0.04</v>
      </c>
      <c r="S8" s="418">
        <v>0.04</v>
      </c>
      <c r="T8" s="418">
        <v>0.04</v>
      </c>
      <c r="U8" s="418">
        <v>0.04</v>
      </c>
      <c r="V8" s="418">
        <v>0.04</v>
      </c>
      <c r="W8" s="418">
        <v>0.04</v>
      </c>
      <c r="X8" s="418">
        <v>0.04</v>
      </c>
      <c r="Y8" s="418">
        <v>0.04</v>
      </c>
      <c r="Z8" s="2"/>
      <c r="AA8" s="2"/>
      <c r="AB8" s="404"/>
      <c r="AC8" s="404"/>
      <c r="AD8" s="404"/>
      <c r="AE8" s="404"/>
      <c r="AF8" s="404"/>
      <c r="AG8" s="404"/>
    </row>
    <row r="9" spans="1:33" ht="12.75" customHeight="1">
      <c r="A9" s="421" t="s">
        <v>2068</v>
      </c>
      <c r="B9" s="416" t="s">
        <v>2085</v>
      </c>
      <c r="C9" s="422" t="s">
        <v>2086</v>
      </c>
      <c r="D9" s="423">
        <v>0.08</v>
      </c>
      <c r="E9" s="423">
        <v>0.08</v>
      </c>
      <c r="F9" s="420">
        <v>0.08</v>
      </c>
      <c r="G9" s="423">
        <v>0.08</v>
      </c>
      <c r="H9" s="423">
        <v>0.08</v>
      </c>
      <c r="I9" s="423">
        <v>7.0000000000000007E-2</v>
      </c>
      <c r="J9" s="420">
        <v>7.0000000000000007E-2</v>
      </c>
      <c r="K9" s="420">
        <v>7.0000000000000007E-2</v>
      </c>
      <c r="L9" s="423">
        <v>0.08</v>
      </c>
      <c r="M9" s="423">
        <v>0.08</v>
      </c>
      <c r="N9" s="423">
        <v>0.08</v>
      </c>
      <c r="O9" s="424">
        <v>0.08</v>
      </c>
      <c r="P9" s="425">
        <v>0.08</v>
      </c>
      <c r="Q9" s="426">
        <v>0.08</v>
      </c>
      <c r="R9" s="423">
        <v>0.08</v>
      </c>
      <c r="S9" s="423">
        <v>0.08</v>
      </c>
      <c r="T9" s="423">
        <v>0.08</v>
      </c>
      <c r="U9" s="423">
        <v>0.08</v>
      </c>
      <c r="V9" s="423">
        <v>0.08</v>
      </c>
      <c r="W9" s="423">
        <v>0.08</v>
      </c>
      <c r="X9" s="423">
        <v>0.08</v>
      </c>
      <c r="Y9" s="423">
        <v>0.08</v>
      </c>
      <c r="Z9" s="2"/>
      <c r="AA9" s="2"/>
      <c r="AB9" s="404"/>
      <c r="AC9" s="404"/>
      <c r="AD9" s="404"/>
      <c r="AE9" s="404"/>
      <c r="AF9" s="404"/>
      <c r="AG9" s="404"/>
    </row>
    <row r="10" spans="1:33" ht="12.75" customHeight="1">
      <c r="A10" s="427" t="s">
        <v>2068</v>
      </c>
      <c r="B10" s="428" t="s">
        <v>2087</v>
      </c>
      <c r="C10" s="429">
        <v>0</v>
      </c>
      <c r="D10" s="429">
        <v>0</v>
      </c>
      <c r="E10" s="429">
        <v>0</v>
      </c>
      <c r="F10" s="429">
        <v>0</v>
      </c>
      <c r="G10" s="429">
        <v>0</v>
      </c>
      <c r="H10" s="429">
        <v>0</v>
      </c>
      <c r="I10" s="429">
        <v>0</v>
      </c>
      <c r="J10" s="429">
        <v>0</v>
      </c>
      <c r="K10" s="429">
        <v>0</v>
      </c>
      <c r="L10" s="429">
        <v>0</v>
      </c>
      <c r="M10" s="429">
        <v>0</v>
      </c>
      <c r="N10" s="429">
        <v>0</v>
      </c>
      <c r="O10" s="429">
        <v>0</v>
      </c>
      <c r="P10" s="429">
        <v>0</v>
      </c>
      <c r="Q10" s="429">
        <v>0</v>
      </c>
      <c r="R10" s="429">
        <v>0</v>
      </c>
      <c r="S10" s="429">
        <v>0</v>
      </c>
      <c r="T10" s="429">
        <v>0</v>
      </c>
      <c r="U10" s="429">
        <v>0</v>
      </c>
      <c r="V10" s="429">
        <v>0</v>
      </c>
      <c r="W10" s="429">
        <v>0</v>
      </c>
      <c r="X10" s="429">
        <v>0</v>
      </c>
      <c r="Y10" s="429">
        <v>0</v>
      </c>
      <c r="Z10" s="31"/>
      <c r="AA10" s="2"/>
      <c r="AB10" s="404"/>
      <c r="AC10" s="404"/>
      <c r="AD10" s="404"/>
      <c r="AE10" s="404"/>
      <c r="AF10" s="404"/>
      <c r="AG10" s="404"/>
    </row>
    <row r="11" spans="1:33" ht="12.75" customHeight="1">
      <c r="A11" s="421" t="s">
        <v>2068</v>
      </c>
      <c r="B11" s="416" t="s">
        <v>2089</v>
      </c>
      <c r="C11" s="413" t="s">
        <v>2090</v>
      </c>
      <c r="D11" s="414">
        <v>0.09</v>
      </c>
      <c r="E11" s="414">
        <v>0.09</v>
      </c>
      <c r="F11" s="415">
        <v>0.09</v>
      </c>
      <c r="G11" s="414">
        <v>0.09</v>
      </c>
      <c r="H11" s="414">
        <v>0.09</v>
      </c>
      <c r="I11" s="414">
        <v>0.09</v>
      </c>
      <c r="J11" s="415">
        <v>0.09</v>
      </c>
      <c r="K11" s="415">
        <v>0.09</v>
      </c>
      <c r="L11" s="414">
        <v>0.09</v>
      </c>
      <c r="M11" s="414">
        <v>0.09</v>
      </c>
      <c r="N11" s="414">
        <v>0.09</v>
      </c>
      <c r="O11" s="414">
        <v>0.09</v>
      </c>
      <c r="P11" s="415">
        <v>0.09</v>
      </c>
      <c r="Q11" s="414">
        <v>0.09</v>
      </c>
      <c r="R11" s="414">
        <v>0.09</v>
      </c>
      <c r="S11" s="414">
        <v>0.09</v>
      </c>
      <c r="T11" s="414">
        <v>0.09</v>
      </c>
      <c r="U11" s="414">
        <v>0.09</v>
      </c>
      <c r="V11" s="414">
        <v>0.09</v>
      </c>
      <c r="W11" s="414">
        <v>0.09</v>
      </c>
      <c r="X11" s="414">
        <v>0.09</v>
      </c>
      <c r="Y11" s="414">
        <v>0.09</v>
      </c>
      <c r="Z11" s="2"/>
      <c r="AA11" s="2"/>
      <c r="AB11" s="404"/>
      <c r="AC11" s="404"/>
      <c r="AD11" s="404"/>
      <c r="AE11" s="404"/>
      <c r="AF11" s="404"/>
      <c r="AG11" s="404"/>
    </row>
    <row r="12" spans="1:33" ht="12.75" customHeight="1">
      <c r="A12" s="421" t="s">
        <v>2068</v>
      </c>
      <c r="B12" s="416" t="s">
        <v>2091</v>
      </c>
      <c r="C12" s="417" t="s">
        <v>2092</v>
      </c>
      <c r="D12" s="418">
        <v>0.01</v>
      </c>
      <c r="E12" s="418">
        <v>0.01</v>
      </c>
      <c r="F12" s="419">
        <v>0.01</v>
      </c>
      <c r="G12" s="418">
        <v>0.01</v>
      </c>
      <c r="H12" s="418">
        <v>0.01</v>
      </c>
      <c r="I12" s="418">
        <v>0.02</v>
      </c>
      <c r="J12" s="419">
        <v>0.02</v>
      </c>
      <c r="K12" s="419">
        <v>0.02</v>
      </c>
      <c r="L12" s="418">
        <v>0.01</v>
      </c>
      <c r="M12" s="418">
        <v>0.01</v>
      </c>
      <c r="N12" s="418">
        <v>0.01</v>
      </c>
      <c r="O12" s="418">
        <v>0.01</v>
      </c>
      <c r="P12" s="419">
        <v>0.01</v>
      </c>
      <c r="Q12" s="418">
        <v>0.01</v>
      </c>
      <c r="R12" s="418">
        <v>0.01</v>
      </c>
      <c r="S12" s="418">
        <v>0.01</v>
      </c>
      <c r="T12" s="418">
        <v>0.01</v>
      </c>
      <c r="U12" s="418">
        <v>0.01</v>
      </c>
      <c r="V12" s="418">
        <v>0.01</v>
      </c>
      <c r="W12" s="418">
        <v>0.01</v>
      </c>
      <c r="X12" s="418">
        <v>0.01</v>
      </c>
      <c r="Y12" s="418">
        <v>0.01</v>
      </c>
      <c r="Z12" s="2"/>
      <c r="AA12" s="2"/>
      <c r="AB12" s="404"/>
      <c r="AC12" s="404"/>
      <c r="AD12" s="404"/>
      <c r="AE12" s="404"/>
      <c r="AF12" s="404"/>
      <c r="AG12" s="404"/>
    </row>
    <row r="13" spans="1:33" ht="12.75" customHeight="1">
      <c r="A13" s="421" t="s">
        <v>2068</v>
      </c>
      <c r="B13" s="416" t="s">
        <v>2093</v>
      </c>
      <c r="C13" s="417" t="s">
        <v>2094</v>
      </c>
      <c r="D13" s="418">
        <v>0.05</v>
      </c>
      <c r="E13" s="418">
        <v>0.05</v>
      </c>
      <c r="F13" s="419">
        <v>0.05</v>
      </c>
      <c r="G13" s="418">
        <v>0.05</v>
      </c>
      <c r="H13" s="418">
        <v>0.05</v>
      </c>
      <c r="I13" s="418">
        <v>0.05</v>
      </c>
      <c r="J13" s="419">
        <v>0.05</v>
      </c>
      <c r="K13" s="419">
        <v>5.5E-2</v>
      </c>
      <c r="L13" s="418">
        <v>5.5E-2</v>
      </c>
      <c r="M13" s="418">
        <v>0.05</v>
      </c>
      <c r="N13" s="418">
        <v>5.5E-2</v>
      </c>
      <c r="O13" s="418">
        <v>0.05</v>
      </c>
      <c r="P13" s="419">
        <v>0.05</v>
      </c>
      <c r="Q13" s="418">
        <v>5.5E-2</v>
      </c>
      <c r="R13" s="418">
        <v>5.5E-2</v>
      </c>
      <c r="S13" s="418">
        <v>0.05</v>
      </c>
      <c r="T13" s="418">
        <v>0.05</v>
      </c>
      <c r="U13" s="418">
        <v>0.05</v>
      </c>
      <c r="V13" s="418">
        <v>5.5E-2</v>
      </c>
      <c r="W13" s="418">
        <v>0.05</v>
      </c>
      <c r="X13" s="418">
        <v>5.5E-2</v>
      </c>
      <c r="Y13" s="418">
        <v>5.5E-2</v>
      </c>
      <c r="Z13" s="2"/>
      <c r="AA13" s="2"/>
      <c r="AB13" s="404"/>
      <c r="AC13" s="404"/>
      <c r="AD13" s="404"/>
      <c r="AE13" s="404"/>
      <c r="AF13" s="404"/>
      <c r="AG13" s="404"/>
    </row>
    <row r="14" spans="1:33" ht="12.75" customHeight="1">
      <c r="A14" s="421" t="s">
        <v>2068</v>
      </c>
      <c r="B14" s="416" t="s">
        <v>2095</v>
      </c>
      <c r="C14" s="417" t="s">
        <v>2136</v>
      </c>
      <c r="D14" s="418">
        <v>0.03</v>
      </c>
      <c r="E14" s="418">
        <v>0.03</v>
      </c>
      <c r="F14" s="419">
        <v>0.03</v>
      </c>
      <c r="G14" s="418">
        <v>0.03</v>
      </c>
      <c r="H14" s="418">
        <v>0.03</v>
      </c>
      <c r="I14" s="418">
        <v>0.03</v>
      </c>
      <c r="J14" s="419">
        <v>0.03</v>
      </c>
      <c r="K14" s="419">
        <v>0.04</v>
      </c>
      <c r="L14" s="418">
        <v>0.04</v>
      </c>
      <c r="M14" s="418">
        <v>0.03</v>
      </c>
      <c r="N14" s="418">
        <v>0.04</v>
      </c>
      <c r="O14" s="418">
        <v>0.03</v>
      </c>
      <c r="P14" s="419">
        <v>0.03</v>
      </c>
      <c r="Q14" s="418">
        <v>0.04</v>
      </c>
      <c r="R14" s="418">
        <v>0.04</v>
      </c>
      <c r="S14" s="418">
        <v>0.03</v>
      </c>
      <c r="T14" s="418">
        <v>0.03</v>
      </c>
      <c r="U14" s="418">
        <v>0.03</v>
      </c>
      <c r="V14" s="418">
        <v>0.04</v>
      </c>
      <c r="W14" s="418">
        <v>0.03</v>
      </c>
      <c r="X14" s="418">
        <v>0.04</v>
      </c>
      <c r="Y14" s="418">
        <v>0.04</v>
      </c>
      <c r="Z14" s="2"/>
      <c r="AA14" s="2"/>
      <c r="AB14" s="404"/>
      <c r="AC14" s="404"/>
      <c r="AD14" s="404"/>
      <c r="AE14" s="404"/>
      <c r="AF14" s="404"/>
      <c r="AG14" s="404"/>
    </row>
    <row r="15" spans="1:33" ht="12.75" customHeight="1">
      <c r="A15" s="421" t="s">
        <v>2068</v>
      </c>
      <c r="B15" s="430" t="s">
        <v>2097</v>
      </c>
      <c r="C15" s="417" t="s">
        <v>2098</v>
      </c>
      <c r="D15" s="418">
        <v>1.4999999999999999E-2</v>
      </c>
      <c r="E15" s="418">
        <v>1.4999999999999999E-2</v>
      </c>
      <c r="F15" s="419">
        <v>1.4999999999999999E-2</v>
      </c>
      <c r="G15" s="418">
        <v>1.4999999999999999E-2</v>
      </c>
      <c r="H15" s="418">
        <v>1.4999999999999999E-2</v>
      </c>
      <c r="I15" s="418">
        <v>1.4999999999999999E-2</v>
      </c>
      <c r="J15" s="419">
        <v>1.4999999999999999E-2</v>
      </c>
      <c r="K15" s="431" t="s">
        <v>2137</v>
      </c>
      <c r="L15" s="418">
        <v>0</v>
      </c>
      <c r="M15" s="418">
        <v>1.4999999999999999E-2</v>
      </c>
      <c r="N15" s="418">
        <v>0</v>
      </c>
      <c r="O15" s="418">
        <v>1.4999999999999999E-2</v>
      </c>
      <c r="P15" s="419">
        <v>1.4999999999999999E-2</v>
      </c>
      <c r="Q15" s="418">
        <v>0</v>
      </c>
      <c r="R15" s="418">
        <v>0</v>
      </c>
      <c r="S15" s="418">
        <v>1.4999999999999999E-2</v>
      </c>
      <c r="T15" s="418">
        <v>1.4999999999999999E-2</v>
      </c>
      <c r="U15" s="418">
        <v>1.4999999999999999E-2</v>
      </c>
      <c r="V15" s="418">
        <v>0</v>
      </c>
      <c r="W15" s="418">
        <v>1.4999999999999999E-2</v>
      </c>
      <c r="X15" s="418">
        <v>0</v>
      </c>
      <c r="Y15" s="418">
        <v>0</v>
      </c>
      <c r="Z15" s="2"/>
      <c r="AA15" s="2"/>
      <c r="AB15" s="404"/>
      <c r="AC15" s="404"/>
      <c r="AD15" s="404"/>
      <c r="AE15" s="404"/>
      <c r="AF15" s="404"/>
      <c r="AG15" s="404"/>
    </row>
    <row r="16" spans="1:33" ht="12.75" customHeight="1">
      <c r="A16" s="421" t="s">
        <v>2068</v>
      </c>
      <c r="B16" s="432" t="s">
        <v>2099</v>
      </c>
      <c r="C16" s="417" t="s">
        <v>2100</v>
      </c>
      <c r="D16" s="418">
        <v>1.4999999999999999E-2</v>
      </c>
      <c r="E16" s="418">
        <v>1.4999999999999999E-2</v>
      </c>
      <c r="F16" s="419">
        <v>1.4999999999999999E-2</v>
      </c>
      <c r="G16" s="418">
        <v>1.4999999999999999E-2</v>
      </c>
      <c r="H16" s="418">
        <v>1.4999999999999999E-2</v>
      </c>
      <c r="I16" s="418">
        <v>1.4999999999999999E-2</v>
      </c>
      <c r="J16" s="419">
        <v>1.4999999999999999E-2</v>
      </c>
      <c r="K16" s="419">
        <v>1.4999999999999999E-2</v>
      </c>
      <c r="L16" s="418">
        <v>1.4999999999999999E-2</v>
      </c>
      <c r="M16" s="418">
        <v>1.4999999999999999E-2</v>
      </c>
      <c r="N16" s="418">
        <v>1.4999999999999999E-2</v>
      </c>
      <c r="O16" s="418">
        <v>1.4999999999999999E-2</v>
      </c>
      <c r="P16" s="419">
        <v>1.4999999999999999E-2</v>
      </c>
      <c r="Q16" s="418">
        <v>1.4999999999999999E-2</v>
      </c>
      <c r="R16" s="418">
        <v>1.4999999999999999E-2</v>
      </c>
      <c r="S16" s="418">
        <v>1.4999999999999999E-2</v>
      </c>
      <c r="T16" s="418">
        <v>1.4999999999999999E-2</v>
      </c>
      <c r="U16" s="418">
        <v>1.4999999999999999E-2</v>
      </c>
      <c r="V16" s="418">
        <v>1.4999999999999999E-2</v>
      </c>
      <c r="W16" s="418">
        <v>1.4999999999999999E-2</v>
      </c>
      <c r="X16" s="418">
        <v>1.4999999999999999E-2</v>
      </c>
      <c r="Y16" s="418">
        <v>1.4999999999999999E-2</v>
      </c>
      <c r="Z16" s="2"/>
      <c r="AA16" s="2"/>
      <c r="AB16" s="404"/>
      <c r="AC16" s="404"/>
      <c r="AD16" s="404"/>
      <c r="AE16" s="404"/>
      <c r="AF16" s="404"/>
      <c r="AG16" s="404"/>
    </row>
    <row r="17" spans="1:33" ht="12.75" customHeight="1">
      <c r="A17" s="421" t="s">
        <v>2068</v>
      </c>
      <c r="B17" s="412" t="s">
        <v>2101</v>
      </c>
      <c r="C17" s="417" t="s">
        <v>2102</v>
      </c>
      <c r="D17" s="418">
        <v>0.01</v>
      </c>
      <c r="E17" s="418">
        <v>0.01</v>
      </c>
      <c r="F17" s="419">
        <v>0.01</v>
      </c>
      <c r="G17" s="418">
        <v>0.01</v>
      </c>
      <c r="H17" s="418">
        <v>0.01</v>
      </c>
      <c r="I17" s="418">
        <v>0.01</v>
      </c>
      <c r="J17" s="419">
        <v>0.01</v>
      </c>
      <c r="K17" s="419">
        <v>0.01</v>
      </c>
      <c r="L17" s="418">
        <v>0.01</v>
      </c>
      <c r="M17" s="418">
        <v>0.01</v>
      </c>
      <c r="N17" s="418">
        <v>0.01</v>
      </c>
      <c r="O17" s="418">
        <v>0.01</v>
      </c>
      <c r="P17" s="433">
        <v>0.01</v>
      </c>
      <c r="Q17" s="418">
        <v>0.01</v>
      </c>
      <c r="R17" s="418">
        <v>0.01</v>
      </c>
      <c r="S17" s="418">
        <v>0.01</v>
      </c>
      <c r="T17" s="418">
        <v>0.01</v>
      </c>
      <c r="U17" s="418">
        <v>0.01</v>
      </c>
      <c r="V17" s="418">
        <v>0.01</v>
      </c>
      <c r="W17" s="418">
        <v>0.01</v>
      </c>
      <c r="X17" s="418">
        <v>0.01</v>
      </c>
      <c r="Y17" s="418">
        <v>0.01</v>
      </c>
      <c r="Z17" s="2"/>
      <c r="AA17" s="2"/>
      <c r="AB17" s="404"/>
      <c r="AC17" s="404"/>
      <c r="AD17" s="404"/>
      <c r="AE17" s="404"/>
      <c r="AF17" s="404"/>
      <c r="AG17" s="404"/>
    </row>
    <row r="18" spans="1:33" ht="12.75" customHeight="1">
      <c r="A18" s="434" t="s">
        <v>2069</v>
      </c>
      <c r="B18" s="416" t="s">
        <v>2103</v>
      </c>
      <c r="C18" s="417" t="s">
        <v>2104</v>
      </c>
      <c r="D18" s="418">
        <v>0.04</v>
      </c>
      <c r="E18" s="418">
        <v>0.04</v>
      </c>
      <c r="F18" s="419">
        <v>0</v>
      </c>
      <c r="G18" s="418">
        <v>0.04</v>
      </c>
      <c r="H18" s="418">
        <v>0.04</v>
      </c>
      <c r="I18" s="418">
        <v>0.05</v>
      </c>
      <c r="J18" s="419">
        <v>6.5000000000000002E-2</v>
      </c>
      <c r="K18" s="431" t="s">
        <v>2137</v>
      </c>
      <c r="L18" s="418">
        <v>0.04</v>
      </c>
      <c r="M18" s="418">
        <v>0.04</v>
      </c>
      <c r="N18" s="418">
        <v>0.04</v>
      </c>
      <c r="O18" s="418">
        <v>0.04</v>
      </c>
      <c r="P18" s="435" t="s">
        <v>2137</v>
      </c>
      <c r="Q18" s="436">
        <v>0.04</v>
      </c>
      <c r="R18" s="418">
        <v>0.04</v>
      </c>
      <c r="S18" s="418">
        <v>0.04</v>
      </c>
      <c r="T18" s="418">
        <v>0.04</v>
      </c>
      <c r="U18" s="418">
        <v>0.04</v>
      </c>
      <c r="V18" s="418">
        <v>0.04</v>
      </c>
      <c r="W18" s="418">
        <v>0.04</v>
      </c>
      <c r="X18" s="418">
        <v>0</v>
      </c>
      <c r="Y18" s="418">
        <v>0</v>
      </c>
      <c r="Z18" s="2"/>
      <c r="AA18" s="2"/>
      <c r="AB18" s="404"/>
      <c r="AC18" s="404"/>
      <c r="AD18" s="404"/>
      <c r="AE18" s="404"/>
      <c r="AF18" s="404"/>
      <c r="AG18" s="404"/>
    </row>
    <row r="19" spans="1:33" ht="12.75" customHeight="1">
      <c r="A19" s="434" t="s">
        <v>2069</v>
      </c>
      <c r="B19" s="416" t="s">
        <v>2105</v>
      </c>
      <c r="C19" s="417" t="s">
        <v>2106</v>
      </c>
      <c r="D19" s="418">
        <v>0.03</v>
      </c>
      <c r="E19" s="418">
        <v>0.03</v>
      </c>
      <c r="F19" s="419">
        <v>0</v>
      </c>
      <c r="G19" s="418">
        <v>0.03</v>
      </c>
      <c r="H19" s="418">
        <v>0.03</v>
      </c>
      <c r="I19" s="418">
        <v>3.5000000000000003E-2</v>
      </c>
      <c r="J19" s="419">
        <v>0</v>
      </c>
      <c r="K19" s="431" t="s">
        <v>2137</v>
      </c>
      <c r="L19" s="418">
        <v>0.03</v>
      </c>
      <c r="M19" s="418">
        <v>0.03</v>
      </c>
      <c r="N19" s="418">
        <v>0.03</v>
      </c>
      <c r="O19" s="418">
        <v>0.03</v>
      </c>
      <c r="P19" s="435" t="s">
        <v>2137</v>
      </c>
      <c r="Q19" s="436">
        <v>0.03</v>
      </c>
      <c r="R19" s="418">
        <v>0.03</v>
      </c>
      <c r="S19" s="418">
        <v>0.03</v>
      </c>
      <c r="T19" s="418">
        <v>0.03</v>
      </c>
      <c r="U19" s="418">
        <v>0.03</v>
      </c>
      <c r="V19" s="418">
        <v>0.03</v>
      </c>
      <c r="W19" s="418">
        <v>0.03</v>
      </c>
      <c r="X19" s="418">
        <v>0</v>
      </c>
      <c r="Y19" s="418">
        <v>0</v>
      </c>
      <c r="Z19" s="2"/>
      <c r="AA19" s="2"/>
      <c r="AB19" s="404"/>
      <c r="AC19" s="404"/>
      <c r="AD19" s="404"/>
      <c r="AE19" s="404"/>
      <c r="AF19" s="404"/>
      <c r="AG19" s="404"/>
    </row>
    <row r="20" spans="1:33" ht="12.75" customHeight="1">
      <c r="A20" s="434" t="s">
        <v>2069</v>
      </c>
      <c r="B20" s="416" t="s">
        <v>2107</v>
      </c>
      <c r="C20" s="417" t="s">
        <v>2108</v>
      </c>
      <c r="D20" s="418">
        <v>0.04</v>
      </c>
      <c r="E20" s="418">
        <v>0.04</v>
      </c>
      <c r="F20" s="419">
        <v>7.0000000000000007E-2</v>
      </c>
      <c r="G20" s="418">
        <v>0.04</v>
      </c>
      <c r="H20" s="418">
        <v>0.04</v>
      </c>
      <c r="I20" s="418">
        <v>0</v>
      </c>
      <c r="J20" s="419">
        <v>0</v>
      </c>
      <c r="K20" s="431" t="s">
        <v>2137</v>
      </c>
      <c r="L20" s="418">
        <v>0.04</v>
      </c>
      <c r="M20" s="418">
        <v>0.04</v>
      </c>
      <c r="N20" s="418">
        <v>0.04</v>
      </c>
      <c r="O20" s="418">
        <v>0.04</v>
      </c>
      <c r="P20" s="437">
        <v>7.0000000000000007E-2</v>
      </c>
      <c r="Q20" s="418">
        <v>0.04</v>
      </c>
      <c r="R20" s="418">
        <v>0.04</v>
      </c>
      <c r="S20" s="418">
        <v>0.04</v>
      </c>
      <c r="T20" s="418">
        <v>0.04</v>
      </c>
      <c r="U20" s="418">
        <v>0.04</v>
      </c>
      <c r="V20" s="418">
        <v>0.04</v>
      </c>
      <c r="W20" s="418">
        <v>0.04</v>
      </c>
      <c r="X20" s="418">
        <v>0.06</v>
      </c>
      <c r="Y20" s="418">
        <v>0</v>
      </c>
      <c r="Z20" s="2"/>
      <c r="AA20" s="2"/>
      <c r="AB20" s="404"/>
      <c r="AC20" s="404"/>
      <c r="AD20" s="404"/>
      <c r="AE20" s="404"/>
      <c r="AF20" s="404"/>
      <c r="AG20" s="404"/>
    </row>
    <row r="21" spans="1:33" ht="12.75" customHeight="1">
      <c r="A21" s="434" t="s">
        <v>2069</v>
      </c>
      <c r="B21" s="416" t="s">
        <v>2109</v>
      </c>
      <c r="C21" s="417" t="s">
        <v>2110</v>
      </c>
      <c r="D21" s="418">
        <v>0.01</v>
      </c>
      <c r="E21" s="418">
        <v>0.01</v>
      </c>
      <c r="F21" s="419">
        <v>0</v>
      </c>
      <c r="G21" s="418">
        <v>0.01</v>
      </c>
      <c r="H21" s="418">
        <v>0.01</v>
      </c>
      <c r="I21" s="418">
        <v>0</v>
      </c>
      <c r="J21" s="419">
        <v>0</v>
      </c>
      <c r="K21" s="431" t="s">
        <v>2137</v>
      </c>
      <c r="L21" s="418">
        <v>0.01</v>
      </c>
      <c r="M21" s="418">
        <v>0.01</v>
      </c>
      <c r="N21" s="418">
        <v>0.01</v>
      </c>
      <c r="O21" s="418">
        <v>0.01</v>
      </c>
      <c r="P21" s="419">
        <v>0</v>
      </c>
      <c r="Q21" s="418">
        <v>0.01</v>
      </c>
      <c r="R21" s="418">
        <v>0.01</v>
      </c>
      <c r="S21" s="418">
        <v>0.01</v>
      </c>
      <c r="T21" s="418">
        <v>0.01</v>
      </c>
      <c r="U21" s="418">
        <v>0.01</v>
      </c>
      <c r="V21" s="418">
        <v>0.01</v>
      </c>
      <c r="W21" s="418">
        <v>0.01</v>
      </c>
      <c r="X21" s="418">
        <v>0</v>
      </c>
      <c r="Y21" s="418">
        <v>0</v>
      </c>
      <c r="Z21" s="2"/>
      <c r="AA21" s="2"/>
      <c r="AB21" s="404"/>
      <c r="AC21" s="404"/>
      <c r="AD21" s="404"/>
      <c r="AE21" s="404"/>
      <c r="AF21" s="404"/>
      <c r="AG21" s="404"/>
    </row>
    <row r="22" spans="1:33" ht="12.75" customHeight="1">
      <c r="A22" s="434" t="s">
        <v>2069</v>
      </c>
      <c r="B22" s="416" t="s">
        <v>2111</v>
      </c>
      <c r="C22" s="417" t="s">
        <v>2112</v>
      </c>
      <c r="D22" s="418">
        <v>0.02</v>
      </c>
      <c r="E22" s="418">
        <v>0.02</v>
      </c>
      <c r="F22" s="419">
        <v>0.02</v>
      </c>
      <c r="G22" s="418">
        <v>0.02</v>
      </c>
      <c r="H22" s="418">
        <v>0.02</v>
      </c>
      <c r="I22" s="418">
        <v>2.5000000000000001E-2</v>
      </c>
      <c r="J22" s="419">
        <v>2.5000000000000001E-2</v>
      </c>
      <c r="K22" s="419">
        <v>0.02</v>
      </c>
      <c r="L22" s="418">
        <v>0.02</v>
      </c>
      <c r="M22" s="418">
        <v>0.02</v>
      </c>
      <c r="N22" s="418">
        <v>0.02</v>
      </c>
      <c r="O22" s="418">
        <v>0.02</v>
      </c>
      <c r="P22" s="433">
        <v>0.02</v>
      </c>
      <c r="Q22" s="418">
        <v>0.02</v>
      </c>
      <c r="R22" s="418">
        <v>0.02</v>
      </c>
      <c r="S22" s="418">
        <v>0.02</v>
      </c>
      <c r="T22" s="418">
        <v>0.02</v>
      </c>
      <c r="U22" s="418">
        <v>0.02</v>
      </c>
      <c r="V22" s="418">
        <v>0.02</v>
      </c>
      <c r="W22" s="418">
        <v>0.02</v>
      </c>
      <c r="X22" s="418">
        <v>0.03</v>
      </c>
      <c r="Y22" s="418">
        <v>3.5000000000000003E-2</v>
      </c>
      <c r="Z22" s="2"/>
      <c r="AA22" s="2"/>
      <c r="AB22" s="404"/>
      <c r="AC22" s="404"/>
      <c r="AD22" s="404"/>
      <c r="AE22" s="404"/>
      <c r="AF22" s="404"/>
      <c r="AG22" s="404"/>
    </row>
    <row r="23" spans="1:33" ht="12.75" customHeight="1">
      <c r="A23" s="434" t="s">
        <v>2069</v>
      </c>
      <c r="B23" s="416" t="s">
        <v>2113</v>
      </c>
      <c r="C23" s="417" t="s">
        <v>2114</v>
      </c>
      <c r="D23" s="418">
        <v>0.01</v>
      </c>
      <c r="E23" s="418">
        <v>0.01</v>
      </c>
      <c r="F23" s="419">
        <v>0</v>
      </c>
      <c r="G23" s="418">
        <v>0.01</v>
      </c>
      <c r="H23" s="418">
        <v>0.01</v>
      </c>
      <c r="I23" s="418">
        <v>0.01</v>
      </c>
      <c r="J23" s="419">
        <v>0.01</v>
      </c>
      <c r="K23" s="431" t="s">
        <v>2137</v>
      </c>
      <c r="L23" s="418">
        <v>0.01</v>
      </c>
      <c r="M23" s="418">
        <v>0.01</v>
      </c>
      <c r="N23" s="418">
        <v>0.01</v>
      </c>
      <c r="O23" s="418">
        <v>0.01</v>
      </c>
      <c r="P23" s="435" t="s">
        <v>2137</v>
      </c>
      <c r="Q23" s="436">
        <v>0.01</v>
      </c>
      <c r="R23" s="418">
        <v>0.01</v>
      </c>
      <c r="S23" s="418">
        <v>0.01</v>
      </c>
      <c r="T23" s="418">
        <v>0.01</v>
      </c>
      <c r="U23" s="418">
        <v>0.01</v>
      </c>
      <c r="V23" s="418">
        <v>0.01</v>
      </c>
      <c r="W23" s="418">
        <v>0.01</v>
      </c>
      <c r="X23" s="418">
        <v>0</v>
      </c>
      <c r="Y23" s="418">
        <v>1.4999999999999999E-2</v>
      </c>
      <c r="Z23" s="2"/>
      <c r="AA23" s="2"/>
      <c r="AB23" s="404"/>
      <c r="AC23" s="404"/>
      <c r="AD23" s="404"/>
      <c r="AE23" s="404"/>
      <c r="AF23" s="404"/>
      <c r="AG23" s="404"/>
    </row>
    <row r="24" spans="1:33" ht="12.75" customHeight="1">
      <c r="A24" s="434" t="s">
        <v>2069</v>
      </c>
      <c r="B24" s="416" t="s">
        <v>2115</v>
      </c>
      <c r="C24" s="417" t="s">
        <v>2116</v>
      </c>
      <c r="D24" s="418">
        <v>0.08</v>
      </c>
      <c r="E24" s="418">
        <v>0.08</v>
      </c>
      <c r="F24" s="419">
        <v>0.13500000000000001</v>
      </c>
      <c r="G24" s="418">
        <v>0.08</v>
      </c>
      <c r="H24" s="418">
        <v>0.08</v>
      </c>
      <c r="I24" s="418">
        <v>0.1</v>
      </c>
      <c r="J24" s="419">
        <v>0.13</v>
      </c>
      <c r="K24" s="419">
        <v>0.17</v>
      </c>
      <c r="L24" s="418">
        <v>0.08</v>
      </c>
      <c r="M24" s="418">
        <v>0.08</v>
      </c>
      <c r="N24" s="418">
        <v>0.08</v>
      </c>
      <c r="O24" s="418">
        <v>0.08</v>
      </c>
      <c r="P24" s="437">
        <v>0.13500000000000001</v>
      </c>
      <c r="Q24" s="418">
        <v>0.08</v>
      </c>
      <c r="R24" s="418">
        <v>0.08</v>
      </c>
      <c r="S24" s="418">
        <v>0.08</v>
      </c>
      <c r="T24" s="418">
        <v>0.08</v>
      </c>
      <c r="U24" s="418">
        <v>0.08</v>
      </c>
      <c r="V24" s="418">
        <v>0.08</v>
      </c>
      <c r="W24" s="418">
        <v>0.08</v>
      </c>
      <c r="X24" s="418">
        <v>0.12</v>
      </c>
      <c r="Y24" s="418">
        <v>0.14000000000000001</v>
      </c>
      <c r="Z24" s="2"/>
      <c r="AA24" s="2"/>
      <c r="AB24" s="404"/>
      <c r="AC24" s="404"/>
      <c r="AD24" s="404"/>
      <c r="AE24" s="404"/>
      <c r="AF24" s="404"/>
      <c r="AG24" s="404"/>
    </row>
    <row r="25" spans="1:33" ht="12.75" customHeight="1">
      <c r="A25" s="434" t="s">
        <v>2069</v>
      </c>
      <c r="B25" s="416" t="s">
        <v>2117</v>
      </c>
      <c r="C25" s="417" t="s">
        <v>2138</v>
      </c>
      <c r="D25" s="418">
        <v>0.02</v>
      </c>
      <c r="E25" s="418">
        <v>0.02</v>
      </c>
      <c r="F25" s="419">
        <v>0</v>
      </c>
      <c r="G25" s="418">
        <v>0.02</v>
      </c>
      <c r="H25" s="418">
        <v>0</v>
      </c>
      <c r="I25" s="418">
        <v>0</v>
      </c>
      <c r="J25" s="419">
        <v>0</v>
      </c>
      <c r="K25" s="419">
        <v>0</v>
      </c>
      <c r="L25" s="418">
        <v>0</v>
      </c>
      <c r="M25" s="418">
        <v>0</v>
      </c>
      <c r="N25" s="418">
        <v>0</v>
      </c>
      <c r="O25" s="418">
        <v>0</v>
      </c>
      <c r="P25" s="419">
        <v>0</v>
      </c>
      <c r="Q25" s="418">
        <v>0</v>
      </c>
      <c r="R25" s="418">
        <v>0</v>
      </c>
      <c r="S25" s="418">
        <v>0.02</v>
      </c>
      <c r="T25" s="418">
        <v>0.02</v>
      </c>
      <c r="U25" s="418">
        <v>0.02</v>
      </c>
      <c r="V25" s="418">
        <v>0.02</v>
      </c>
      <c r="W25" s="418">
        <v>0</v>
      </c>
      <c r="X25" s="418">
        <v>0</v>
      </c>
      <c r="Y25" s="418">
        <v>0</v>
      </c>
      <c r="Z25" s="2"/>
      <c r="AA25" s="2"/>
      <c r="AB25" s="404"/>
      <c r="AC25" s="404"/>
      <c r="AD25" s="404"/>
      <c r="AE25" s="404"/>
      <c r="AF25" s="404"/>
      <c r="AG25" s="404"/>
    </row>
    <row r="26" spans="1:33" ht="12.75" customHeight="1">
      <c r="A26" s="434" t="s">
        <v>2069</v>
      </c>
      <c r="B26" s="416" t="s">
        <v>2119</v>
      </c>
      <c r="C26" s="417" t="s">
        <v>2120</v>
      </c>
      <c r="D26" s="418">
        <v>0.02</v>
      </c>
      <c r="E26" s="418">
        <v>0.02</v>
      </c>
      <c r="F26" s="419">
        <v>4.4999999999999998E-2</v>
      </c>
      <c r="G26" s="418">
        <v>0.02</v>
      </c>
      <c r="H26" s="418">
        <v>0.04</v>
      </c>
      <c r="I26" s="418">
        <v>0.05</v>
      </c>
      <c r="J26" s="419">
        <v>0.04</v>
      </c>
      <c r="K26" s="419">
        <v>0.08</v>
      </c>
      <c r="L26" s="418">
        <v>0.04</v>
      </c>
      <c r="M26" s="418">
        <v>0.04</v>
      </c>
      <c r="N26" s="418">
        <v>0.04</v>
      </c>
      <c r="O26" s="418">
        <v>0.04</v>
      </c>
      <c r="P26" s="419">
        <v>4.4999999999999998E-2</v>
      </c>
      <c r="Q26" s="418">
        <v>0.04</v>
      </c>
      <c r="R26" s="418">
        <v>0.04</v>
      </c>
      <c r="S26" s="418">
        <v>0.02</v>
      </c>
      <c r="T26" s="418">
        <v>0.02</v>
      </c>
      <c r="U26" s="418">
        <v>0.02</v>
      </c>
      <c r="V26" s="418">
        <v>0.02</v>
      </c>
      <c r="W26" s="418">
        <v>0.04</v>
      </c>
      <c r="X26" s="418">
        <v>0.06</v>
      </c>
      <c r="Y26" s="418">
        <v>0.08</v>
      </c>
      <c r="Z26" s="2"/>
      <c r="AA26" s="2"/>
      <c r="AB26" s="404"/>
      <c r="AC26" s="404"/>
      <c r="AD26" s="404"/>
      <c r="AE26" s="404"/>
      <c r="AF26" s="404"/>
      <c r="AG26" s="404"/>
    </row>
    <row r="27" spans="1:33" ht="12.75" customHeight="1">
      <c r="A27" s="434" t="s">
        <v>2069</v>
      </c>
      <c r="B27" s="416" t="s">
        <v>2121</v>
      </c>
      <c r="C27" s="417" t="s">
        <v>2122</v>
      </c>
      <c r="D27" s="418">
        <v>0.02</v>
      </c>
      <c r="E27" s="418">
        <v>0.02</v>
      </c>
      <c r="F27" s="419">
        <v>0.02</v>
      </c>
      <c r="G27" s="418">
        <v>0.02</v>
      </c>
      <c r="H27" s="418">
        <v>0.02</v>
      </c>
      <c r="I27" s="418">
        <v>0.02</v>
      </c>
      <c r="J27" s="419">
        <v>0.02</v>
      </c>
      <c r="K27" s="419">
        <v>0.02</v>
      </c>
      <c r="L27" s="418">
        <v>0.02</v>
      </c>
      <c r="M27" s="418">
        <v>0.02</v>
      </c>
      <c r="N27" s="418">
        <v>0.02</v>
      </c>
      <c r="O27" s="418">
        <v>0.02</v>
      </c>
      <c r="P27" s="419">
        <v>0.02</v>
      </c>
      <c r="Q27" s="418">
        <v>0.02</v>
      </c>
      <c r="R27" s="418">
        <v>0.02</v>
      </c>
      <c r="S27" s="418">
        <v>0.02</v>
      </c>
      <c r="T27" s="418">
        <v>0.02</v>
      </c>
      <c r="U27" s="418">
        <v>0.02</v>
      </c>
      <c r="V27" s="418">
        <v>0.02</v>
      </c>
      <c r="W27" s="418">
        <v>0.02</v>
      </c>
      <c r="X27" s="418">
        <v>0.02</v>
      </c>
      <c r="Y27" s="418">
        <v>0.02</v>
      </c>
      <c r="Z27" s="2"/>
      <c r="AA27" s="2"/>
      <c r="AB27" s="404"/>
      <c r="AC27" s="404"/>
      <c r="AD27" s="404"/>
      <c r="AE27" s="404"/>
      <c r="AF27" s="404"/>
      <c r="AG27" s="404"/>
    </row>
    <row r="28" spans="1:33" ht="12.75" customHeight="1">
      <c r="A28" s="434" t="s">
        <v>2069</v>
      </c>
      <c r="B28" s="416" t="s">
        <v>2123</v>
      </c>
      <c r="C28" s="417" t="s">
        <v>2124</v>
      </c>
      <c r="D28" s="418">
        <v>0.01</v>
      </c>
      <c r="E28" s="418">
        <v>0.01</v>
      </c>
      <c r="F28" s="419">
        <v>0.01</v>
      </c>
      <c r="G28" s="418">
        <v>0.01</v>
      </c>
      <c r="H28" s="418">
        <v>0.01</v>
      </c>
      <c r="I28" s="418">
        <v>0.01</v>
      </c>
      <c r="J28" s="419">
        <v>0.01</v>
      </c>
      <c r="K28" s="419">
        <v>0.01</v>
      </c>
      <c r="L28" s="418">
        <v>0.01</v>
      </c>
      <c r="M28" s="418">
        <v>0.01</v>
      </c>
      <c r="N28" s="418">
        <v>0.01</v>
      </c>
      <c r="O28" s="418">
        <v>0.01</v>
      </c>
      <c r="P28" s="419">
        <v>0.01</v>
      </c>
      <c r="Q28" s="418">
        <v>0.01</v>
      </c>
      <c r="R28" s="418">
        <v>0.01</v>
      </c>
      <c r="S28" s="418">
        <v>0.01</v>
      </c>
      <c r="T28" s="418">
        <v>0.01</v>
      </c>
      <c r="U28" s="418">
        <v>0.01</v>
      </c>
      <c r="V28" s="418">
        <v>0.01</v>
      </c>
      <c r="W28" s="418">
        <v>0.01</v>
      </c>
      <c r="X28" s="418">
        <v>0.01</v>
      </c>
      <c r="Y28" s="418">
        <v>0.01</v>
      </c>
      <c r="Z28" s="2"/>
      <c r="AA28" s="2"/>
      <c r="AB28" s="404"/>
      <c r="AC28" s="404"/>
      <c r="AD28" s="404"/>
      <c r="AE28" s="404"/>
      <c r="AF28" s="404"/>
      <c r="AG28" s="404"/>
    </row>
    <row r="29" spans="1:33" ht="12.75" customHeight="1">
      <c r="A29" s="438" t="s">
        <v>2070</v>
      </c>
      <c r="B29" s="416" t="s">
        <v>2125</v>
      </c>
      <c r="C29" s="417" t="s">
        <v>2139</v>
      </c>
      <c r="D29" s="418">
        <v>0.14000000000000001</v>
      </c>
      <c r="E29" s="418">
        <v>0.14000000000000001</v>
      </c>
      <c r="F29" s="419">
        <v>0.14000000000000001</v>
      </c>
      <c r="G29" s="418">
        <v>0.14000000000000001</v>
      </c>
      <c r="H29" s="418">
        <v>0.14000000000000001</v>
      </c>
      <c r="I29" s="418">
        <v>0.14000000000000001</v>
      </c>
      <c r="J29" s="419">
        <v>0.14000000000000001</v>
      </c>
      <c r="K29" s="419">
        <v>0.14000000000000001</v>
      </c>
      <c r="L29" s="418">
        <v>0.14000000000000001</v>
      </c>
      <c r="M29" s="418">
        <v>0.14000000000000001</v>
      </c>
      <c r="N29" s="418">
        <v>0.14000000000000001</v>
      </c>
      <c r="O29" s="418">
        <v>0.14000000000000001</v>
      </c>
      <c r="P29" s="419">
        <v>0.14000000000000001</v>
      </c>
      <c r="Q29" s="418">
        <v>0.14000000000000001</v>
      </c>
      <c r="R29" s="418">
        <v>0.14000000000000001</v>
      </c>
      <c r="S29" s="418">
        <v>0.14000000000000001</v>
      </c>
      <c r="T29" s="418">
        <v>0.14000000000000001</v>
      </c>
      <c r="U29" s="418">
        <v>0.14000000000000001</v>
      </c>
      <c r="V29" s="418">
        <v>0.14000000000000001</v>
      </c>
      <c r="W29" s="418">
        <v>0.14000000000000001</v>
      </c>
      <c r="X29" s="418">
        <v>0.14000000000000001</v>
      </c>
      <c r="Y29" s="418">
        <v>0.14000000000000001</v>
      </c>
      <c r="Z29" s="2"/>
      <c r="AA29" s="2"/>
      <c r="AB29" s="404"/>
      <c r="AC29" s="404"/>
      <c r="AD29" s="404"/>
      <c r="AE29" s="404"/>
      <c r="AF29" s="404"/>
      <c r="AG29" s="404"/>
    </row>
    <row r="30" spans="1:33" ht="12.75" customHeight="1">
      <c r="A30" s="438" t="s">
        <v>2070</v>
      </c>
      <c r="B30" s="416" t="s">
        <v>2129</v>
      </c>
      <c r="C30" s="417" t="s">
        <v>2130</v>
      </c>
      <c r="D30" s="418">
        <v>0.02</v>
      </c>
      <c r="E30" s="418">
        <v>0.02</v>
      </c>
      <c r="F30" s="419">
        <v>0.02</v>
      </c>
      <c r="G30" s="418">
        <v>0.02</v>
      </c>
      <c r="H30" s="418">
        <v>0.02</v>
      </c>
      <c r="I30" s="418">
        <v>0.02</v>
      </c>
      <c r="J30" s="419">
        <v>0.02</v>
      </c>
      <c r="K30" s="418">
        <v>0.02</v>
      </c>
      <c r="L30" s="418">
        <v>0.02</v>
      </c>
      <c r="M30" s="418">
        <v>0.02</v>
      </c>
      <c r="N30" s="418">
        <v>0.02</v>
      </c>
      <c r="O30" s="418">
        <v>0.02</v>
      </c>
      <c r="P30" s="419">
        <v>0.02</v>
      </c>
      <c r="Q30" s="418">
        <v>0.02</v>
      </c>
      <c r="R30" s="418">
        <v>0.02</v>
      </c>
      <c r="S30" s="418">
        <v>0.02</v>
      </c>
      <c r="T30" s="418">
        <v>0.02</v>
      </c>
      <c r="U30" s="418">
        <v>0.02</v>
      </c>
      <c r="V30" s="418">
        <v>0.02</v>
      </c>
      <c r="W30" s="418">
        <v>0.02</v>
      </c>
      <c r="X30" s="418">
        <v>0.02</v>
      </c>
      <c r="Y30" s="418">
        <v>0.02</v>
      </c>
      <c r="Z30" s="2"/>
      <c r="AA30" s="2"/>
      <c r="AB30" s="404"/>
      <c r="AC30" s="404"/>
      <c r="AD30" s="404"/>
      <c r="AE30" s="404"/>
      <c r="AF30" s="404"/>
      <c r="AG30" s="404"/>
    </row>
    <row r="31" spans="1:33" ht="12.75" customHeight="1">
      <c r="A31" s="438" t="s">
        <v>2070</v>
      </c>
      <c r="B31" s="431" t="s">
        <v>2131</v>
      </c>
      <c r="C31" s="439" t="s">
        <v>2132</v>
      </c>
      <c r="D31" s="418">
        <v>0.04</v>
      </c>
      <c r="E31" s="418">
        <v>0.04</v>
      </c>
      <c r="F31" s="419">
        <v>0.04</v>
      </c>
      <c r="G31" s="418">
        <v>0.04</v>
      </c>
      <c r="H31" s="418">
        <v>0.04</v>
      </c>
      <c r="I31" s="418">
        <v>0.04</v>
      </c>
      <c r="J31" s="419">
        <v>0.04</v>
      </c>
      <c r="K31" s="418">
        <v>0.04</v>
      </c>
      <c r="L31" s="418">
        <v>0.04</v>
      </c>
      <c r="M31" s="418">
        <v>0.04</v>
      </c>
      <c r="N31" s="418">
        <v>0.04</v>
      </c>
      <c r="O31" s="418">
        <v>0.04</v>
      </c>
      <c r="P31" s="419">
        <v>0.04</v>
      </c>
      <c r="Q31" s="418">
        <v>0.04</v>
      </c>
      <c r="R31" s="418">
        <v>0.04</v>
      </c>
      <c r="S31" s="418">
        <v>0.04</v>
      </c>
      <c r="T31" s="418">
        <v>0.04</v>
      </c>
      <c r="U31" s="418">
        <v>0.04</v>
      </c>
      <c r="V31" s="418">
        <v>0.04</v>
      </c>
      <c r="W31" s="418">
        <v>0.04</v>
      </c>
      <c r="X31" s="418">
        <v>0.04</v>
      </c>
      <c r="Y31" s="418">
        <v>0.04</v>
      </c>
      <c r="Z31" s="2"/>
      <c r="AA31" s="2"/>
      <c r="AB31" s="404"/>
      <c r="AC31" s="404"/>
      <c r="AD31" s="404"/>
      <c r="AE31" s="404"/>
      <c r="AF31" s="404"/>
      <c r="AG31" s="404"/>
    </row>
    <row r="32" spans="1:33" ht="12.75" customHeight="1">
      <c r="A32" s="440"/>
      <c r="B32" s="404"/>
      <c r="C32" s="404"/>
      <c r="D32" s="441">
        <f t="shared" ref="D32:Y32" si="0">SUM(D4:D31)</f>
        <v>1.0000000000000002</v>
      </c>
      <c r="E32" s="441">
        <f t="shared" si="0"/>
        <v>1.0000000000000002</v>
      </c>
      <c r="F32" s="442">
        <f t="shared" si="0"/>
        <v>1.0000000000000002</v>
      </c>
      <c r="G32" s="441">
        <f t="shared" si="0"/>
        <v>1.0000000000000002</v>
      </c>
      <c r="H32" s="441">
        <f t="shared" si="0"/>
        <v>1.0000000000000002</v>
      </c>
      <c r="I32" s="441">
        <f t="shared" si="0"/>
        <v>1.0000000000000002</v>
      </c>
      <c r="J32" s="442">
        <f t="shared" si="0"/>
        <v>1</v>
      </c>
      <c r="K32" s="441">
        <f t="shared" si="0"/>
        <v>1</v>
      </c>
      <c r="L32" s="441">
        <f t="shared" si="0"/>
        <v>1.0000000000000002</v>
      </c>
      <c r="M32" s="441">
        <f t="shared" si="0"/>
        <v>1.0000000000000002</v>
      </c>
      <c r="N32" s="441">
        <f t="shared" si="0"/>
        <v>1.0000000000000002</v>
      </c>
      <c r="O32" s="441">
        <f t="shared" si="0"/>
        <v>1.0000000000000002</v>
      </c>
      <c r="P32" s="442">
        <f t="shared" si="0"/>
        <v>1.0000000000000002</v>
      </c>
      <c r="Q32" s="441">
        <f t="shared" si="0"/>
        <v>1.0000000000000002</v>
      </c>
      <c r="R32" s="441">
        <f t="shared" si="0"/>
        <v>1.0000000000000002</v>
      </c>
      <c r="S32" s="441">
        <f t="shared" si="0"/>
        <v>1.0000000000000002</v>
      </c>
      <c r="T32" s="441">
        <f t="shared" si="0"/>
        <v>1.0000000000000002</v>
      </c>
      <c r="U32" s="441">
        <f t="shared" si="0"/>
        <v>1.0000000000000002</v>
      </c>
      <c r="V32" s="441">
        <f t="shared" si="0"/>
        <v>1.0000000000000002</v>
      </c>
      <c r="W32" s="441">
        <f t="shared" si="0"/>
        <v>1.0000000000000002</v>
      </c>
      <c r="X32" s="441">
        <f t="shared" si="0"/>
        <v>1</v>
      </c>
      <c r="Y32" s="441">
        <f t="shared" si="0"/>
        <v>1</v>
      </c>
      <c r="Z32" s="2"/>
      <c r="AA32" s="2"/>
      <c r="AB32" s="404"/>
      <c r="AC32" s="404"/>
      <c r="AD32" s="404"/>
      <c r="AE32" s="404"/>
      <c r="AF32" s="404"/>
      <c r="AG32" s="404"/>
    </row>
    <row r="33" spans="1:33" ht="12.75" customHeight="1">
      <c r="A33" s="404"/>
      <c r="B33" s="404"/>
      <c r="C33" s="404"/>
      <c r="D33" s="404"/>
      <c r="E33" s="404"/>
      <c r="F33" s="404"/>
      <c r="G33" s="404"/>
      <c r="H33" s="404"/>
      <c r="I33" s="404"/>
      <c r="J33" s="404"/>
      <c r="K33" s="404"/>
      <c r="L33" s="404"/>
      <c r="M33" s="404"/>
      <c r="N33" s="404"/>
      <c r="O33" s="404"/>
      <c r="P33" s="404"/>
      <c r="Q33" s="404"/>
      <c r="R33" s="404"/>
      <c r="S33" s="404"/>
      <c r="T33" s="404"/>
      <c r="U33" s="404"/>
      <c r="V33" s="404"/>
      <c r="W33" s="404"/>
      <c r="X33" s="404"/>
      <c r="Y33" s="404"/>
      <c r="Z33" s="404"/>
      <c r="AA33" s="404"/>
      <c r="AB33" s="404"/>
      <c r="AC33" s="404"/>
      <c r="AD33" s="404"/>
      <c r="AE33" s="404"/>
      <c r="AF33" s="404"/>
      <c r="AG33" s="404"/>
    </row>
    <row r="34" spans="1:33" ht="12.75" customHeight="1">
      <c r="A34" s="405"/>
      <c r="B34" s="405"/>
      <c r="C34" s="405"/>
      <c r="D34" s="405"/>
      <c r="E34" s="405"/>
      <c r="F34" s="405"/>
      <c r="G34" s="405"/>
      <c r="H34" s="405"/>
      <c r="I34" s="405"/>
      <c r="J34" s="405"/>
      <c r="K34" s="405"/>
      <c r="L34" s="405"/>
      <c r="M34" s="404"/>
      <c r="N34" s="404"/>
      <c r="O34" s="404"/>
      <c r="P34" s="404"/>
      <c r="Q34" s="404"/>
      <c r="R34" s="404"/>
      <c r="S34" s="404"/>
      <c r="T34" s="404"/>
      <c r="U34" s="404"/>
      <c r="V34" s="404"/>
      <c r="W34" s="404"/>
      <c r="X34" s="404"/>
      <c r="Y34" s="404"/>
      <c r="Z34" s="404"/>
      <c r="AA34" s="404"/>
      <c r="AB34" s="404"/>
      <c r="AC34" s="404"/>
      <c r="AD34" s="404"/>
      <c r="AE34" s="404"/>
      <c r="AF34" s="404"/>
      <c r="AG34" s="404"/>
    </row>
    <row r="35" spans="1:33" ht="12.75" customHeight="1">
      <c r="A35" s="407" t="s">
        <v>2072</v>
      </c>
      <c r="B35" s="408" t="s">
        <v>2073</v>
      </c>
      <c r="C35" s="408" t="s">
        <v>2074</v>
      </c>
      <c r="D35" s="408" t="s">
        <v>119</v>
      </c>
      <c r="E35" s="408" t="s">
        <v>120</v>
      </c>
      <c r="F35" s="408" t="s">
        <v>1927</v>
      </c>
      <c r="G35" s="408" t="s">
        <v>121</v>
      </c>
      <c r="H35" s="408" t="s">
        <v>1928</v>
      </c>
      <c r="I35" s="408" t="s">
        <v>125</v>
      </c>
      <c r="J35" s="408" t="s">
        <v>124</v>
      </c>
      <c r="K35" s="408" t="s">
        <v>123</v>
      </c>
      <c r="L35" s="408" t="s">
        <v>122</v>
      </c>
      <c r="M35" s="443"/>
      <c r="N35" s="404"/>
      <c r="O35" s="404"/>
      <c r="P35" s="404"/>
      <c r="Q35" s="404"/>
      <c r="R35" s="404"/>
      <c r="S35" s="404"/>
      <c r="T35" s="404"/>
      <c r="U35" s="404"/>
      <c r="V35" s="404"/>
      <c r="W35" s="404"/>
      <c r="X35" s="404"/>
      <c r="Y35" s="404"/>
      <c r="Z35" s="404"/>
      <c r="AA35" s="404"/>
      <c r="AB35" s="404"/>
      <c r="AC35" s="404"/>
      <c r="AD35" s="404"/>
      <c r="AE35" s="404"/>
      <c r="AF35" s="404"/>
      <c r="AG35" s="404"/>
    </row>
    <row r="36" spans="1:33" ht="12.75" customHeight="1">
      <c r="A36" s="411" t="s">
        <v>2067</v>
      </c>
      <c r="B36" s="412" t="s">
        <v>2075</v>
      </c>
      <c r="C36" s="413" t="s">
        <v>2076</v>
      </c>
      <c r="D36" s="415">
        <v>0.04</v>
      </c>
      <c r="E36" s="415">
        <v>0.04</v>
      </c>
      <c r="F36" s="415">
        <v>0.04</v>
      </c>
      <c r="G36" s="415">
        <v>0.04</v>
      </c>
      <c r="H36" s="415">
        <v>0.04</v>
      </c>
      <c r="I36" s="415">
        <v>0.04</v>
      </c>
      <c r="J36" s="415">
        <v>0.04</v>
      </c>
      <c r="K36" s="415">
        <v>0.04</v>
      </c>
      <c r="L36" s="415">
        <v>0.04</v>
      </c>
      <c r="M36" s="404"/>
      <c r="N36" s="404"/>
      <c r="O36" s="404"/>
      <c r="P36" s="404"/>
      <c r="Q36" s="404"/>
      <c r="R36" s="404"/>
      <c r="S36" s="404"/>
      <c r="T36" s="404"/>
      <c r="U36" s="404"/>
      <c r="V36" s="404"/>
      <c r="W36" s="404"/>
      <c r="X36" s="404"/>
      <c r="Y36" s="404"/>
      <c r="Z36" s="404"/>
      <c r="AA36" s="404"/>
      <c r="AB36" s="404"/>
      <c r="AC36" s="404"/>
      <c r="AD36" s="404"/>
      <c r="AE36" s="404"/>
      <c r="AF36" s="404"/>
      <c r="AG36" s="404"/>
    </row>
    <row r="37" spans="1:33" ht="12.75" customHeight="1">
      <c r="A37" s="411" t="s">
        <v>2067</v>
      </c>
      <c r="B37" s="416" t="s">
        <v>2077</v>
      </c>
      <c r="C37" s="417" t="s">
        <v>2078</v>
      </c>
      <c r="D37" s="419">
        <v>0.03</v>
      </c>
      <c r="E37" s="419">
        <v>0.03</v>
      </c>
      <c r="F37" s="419">
        <v>0.03</v>
      </c>
      <c r="G37" s="419">
        <v>0.03</v>
      </c>
      <c r="H37" s="419">
        <v>0.03</v>
      </c>
      <c r="I37" s="419">
        <v>0.03</v>
      </c>
      <c r="J37" s="419">
        <v>0.03</v>
      </c>
      <c r="K37" s="419">
        <v>0.03</v>
      </c>
      <c r="L37" s="419">
        <v>0.03</v>
      </c>
      <c r="M37" s="404"/>
      <c r="N37" s="404"/>
      <c r="O37" s="404"/>
      <c r="P37" s="404"/>
      <c r="Q37" s="404"/>
      <c r="R37" s="404"/>
      <c r="S37" s="404"/>
      <c r="T37" s="404"/>
      <c r="U37" s="404"/>
      <c r="V37" s="404"/>
      <c r="W37" s="404"/>
      <c r="X37" s="404"/>
      <c r="Y37" s="404"/>
      <c r="Z37" s="404"/>
      <c r="AA37" s="404"/>
      <c r="AB37" s="404"/>
      <c r="AC37" s="404"/>
      <c r="AD37" s="404"/>
      <c r="AE37" s="404"/>
      <c r="AF37" s="404"/>
      <c r="AG37" s="404"/>
    </row>
    <row r="38" spans="1:33" ht="12.75" customHeight="1">
      <c r="A38" s="411" t="s">
        <v>2067</v>
      </c>
      <c r="B38" s="416" t="s">
        <v>2079</v>
      </c>
      <c r="C38" s="417" t="s">
        <v>2080</v>
      </c>
      <c r="D38" s="419">
        <v>0.06</v>
      </c>
      <c r="E38" s="419">
        <v>0.06</v>
      </c>
      <c r="F38" s="419">
        <v>0.06</v>
      </c>
      <c r="G38" s="419">
        <v>0.06</v>
      </c>
      <c r="H38" s="419">
        <v>0.06</v>
      </c>
      <c r="I38" s="419">
        <v>0.06</v>
      </c>
      <c r="J38" s="419">
        <v>0.06</v>
      </c>
      <c r="K38" s="419">
        <v>0.06</v>
      </c>
      <c r="L38" s="419">
        <v>0.06</v>
      </c>
      <c r="M38" s="404"/>
      <c r="N38" s="404"/>
      <c r="O38" s="404"/>
      <c r="P38" s="404"/>
      <c r="Q38" s="404"/>
      <c r="R38" s="404"/>
      <c r="S38" s="404"/>
      <c r="T38" s="404"/>
      <c r="U38" s="404"/>
      <c r="V38" s="404"/>
      <c r="W38" s="404"/>
      <c r="X38" s="404"/>
      <c r="Y38" s="404"/>
      <c r="Z38" s="404"/>
      <c r="AA38" s="404"/>
      <c r="AB38" s="404"/>
      <c r="AC38" s="404"/>
      <c r="AD38" s="404"/>
      <c r="AE38" s="404"/>
      <c r="AF38" s="404"/>
      <c r="AG38" s="404"/>
    </row>
    <row r="39" spans="1:33" ht="12.75" customHeight="1">
      <c r="A39" s="411" t="s">
        <v>2067</v>
      </c>
      <c r="B39" s="416" t="s">
        <v>2081</v>
      </c>
      <c r="C39" s="417" t="s">
        <v>2082</v>
      </c>
      <c r="D39" s="419">
        <v>0.03</v>
      </c>
      <c r="E39" s="419">
        <v>0.03</v>
      </c>
      <c r="F39" s="419">
        <v>0.03</v>
      </c>
      <c r="G39" s="419">
        <v>0.03</v>
      </c>
      <c r="H39" s="419">
        <v>0.03</v>
      </c>
      <c r="I39" s="419">
        <v>0.03</v>
      </c>
      <c r="J39" s="419">
        <v>0.03</v>
      </c>
      <c r="K39" s="419">
        <v>0.03</v>
      </c>
      <c r="L39" s="419">
        <v>0.03</v>
      </c>
      <c r="M39" s="404"/>
      <c r="N39" s="404"/>
      <c r="O39" s="404"/>
      <c r="P39" s="404"/>
      <c r="Q39" s="404"/>
      <c r="R39" s="404"/>
      <c r="S39" s="404"/>
      <c r="T39" s="404"/>
      <c r="U39" s="404"/>
      <c r="V39" s="404"/>
      <c r="W39" s="404"/>
      <c r="X39" s="404"/>
      <c r="Y39" s="404"/>
      <c r="Z39" s="404"/>
      <c r="AA39" s="404"/>
      <c r="AB39" s="404"/>
      <c r="AC39" s="404"/>
      <c r="AD39" s="404"/>
      <c r="AE39" s="404"/>
      <c r="AF39" s="404"/>
      <c r="AG39" s="404"/>
    </row>
    <row r="40" spans="1:33" ht="12.75" customHeight="1">
      <c r="A40" s="411" t="s">
        <v>2067</v>
      </c>
      <c r="B40" s="416" t="s">
        <v>2083</v>
      </c>
      <c r="C40" s="417" t="s">
        <v>2084</v>
      </c>
      <c r="D40" s="419">
        <v>0.04</v>
      </c>
      <c r="E40" s="419">
        <v>0.04</v>
      </c>
      <c r="F40" s="419">
        <v>0.04</v>
      </c>
      <c r="G40" s="419">
        <v>0.04</v>
      </c>
      <c r="H40" s="419">
        <v>0.04</v>
      </c>
      <c r="I40" s="419">
        <v>0.04</v>
      </c>
      <c r="J40" s="419">
        <v>0.04</v>
      </c>
      <c r="K40" s="419">
        <v>0.04</v>
      </c>
      <c r="L40" s="419">
        <v>0.04</v>
      </c>
      <c r="M40" s="404"/>
      <c r="N40" s="404"/>
      <c r="O40" s="404"/>
      <c r="P40" s="404"/>
      <c r="Q40" s="404"/>
      <c r="R40" s="404"/>
      <c r="S40" s="404"/>
      <c r="T40" s="404"/>
      <c r="U40" s="404"/>
      <c r="V40" s="404"/>
      <c r="W40" s="404"/>
      <c r="X40" s="404"/>
      <c r="Y40" s="404"/>
      <c r="Z40" s="404"/>
      <c r="AA40" s="404"/>
      <c r="AB40" s="404"/>
      <c r="AC40" s="404"/>
      <c r="AD40" s="404"/>
      <c r="AE40" s="404"/>
      <c r="AF40" s="404"/>
      <c r="AG40" s="404"/>
    </row>
    <row r="41" spans="1:33" ht="12.75" customHeight="1">
      <c r="A41" s="421" t="s">
        <v>2068</v>
      </c>
      <c r="B41" s="416" t="s">
        <v>2085</v>
      </c>
      <c r="C41" s="417" t="s">
        <v>2086</v>
      </c>
      <c r="D41" s="419">
        <v>7.0000000000000007E-2</v>
      </c>
      <c r="E41" s="419">
        <v>7.0000000000000007E-2</v>
      </c>
      <c r="F41" s="419">
        <v>7.0000000000000007E-2</v>
      </c>
      <c r="G41" s="419">
        <v>7.0000000000000007E-2</v>
      </c>
      <c r="H41" s="419">
        <v>7.0000000000000007E-2</v>
      </c>
      <c r="I41" s="419">
        <v>7.0000000000000007E-2</v>
      </c>
      <c r="J41" s="419">
        <v>7.0000000000000007E-2</v>
      </c>
      <c r="K41" s="419">
        <v>7.0000000000000007E-2</v>
      </c>
      <c r="L41" s="419">
        <v>7.0000000000000007E-2</v>
      </c>
      <c r="M41" s="404"/>
      <c r="N41" s="404"/>
      <c r="O41" s="404"/>
      <c r="P41" s="404"/>
      <c r="Q41" s="404"/>
      <c r="R41" s="404"/>
      <c r="S41" s="404"/>
      <c r="T41" s="404"/>
      <c r="U41" s="404"/>
      <c r="V41" s="404"/>
      <c r="W41" s="404"/>
      <c r="X41" s="404"/>
      <c r="Y41" s="404"/>
      <c r="Z41" s="404"/>
      <c r="AA41" s="404"/>
      <c r="AB41" s="404"/>
      <c r="AC41" s="404"/>
      <c r="AD41" s="404"/>
      <c r="AE41" s="404"/>
      <c r="AF41" s="404"/>
      <c r="AG41" s="404"/>
    </row>
    <row r="42" spans="1:33" ht="12.75" customHeight="1">
      <c r="A42" s="421" t="s">
        <v>2068</v>
      </c>
      <c r="B42" s="416" t="s">
        <v>2087</v>
      </c>
      <c r="C42" s="417" t="s">
        <v>2088</v>
      </c>
      <c r="D42" s="419">
        <v>0.01</v>
      </c>
      <c r="E42" s="419">
        <v>0.01</v>
      </c>
      <c r="F42" s="419">
        <v>0.01</v>
      </c>
      <c r="G42" s="419">
        <v>0.01</v>
      </c>
      <c r="H42" s="419">
        <v>0.01</v>
      </c>
      <c r="I42" s="419">
        <v>0.01</v>
      </c>
      <c r="J42" s="419">
        <v>0.01</v>
      </c>
      <c r="K42" s="419">
        <v>0.01</v>
      </c>
      <c r="L42" s="419">
        <v>0.01</v>
      </c>
      <c r="M42" s="404"/>
      <c r="N42" s="404"/>
      <c r="O42" s="404"/>
      <c r="P42" s="404"/>
      <c r="Q42" s="404"/>
      <c r="R42" s="404"/>
      <c r="S42" s="404"/>
      <c r="T42" s="404"/>
      <c r="U42" s="404"/>
      <c r="V42" s="404"/>
      <c r="W42" s="404"/>
      <c r="X42" s="404"/>
      <c r="Y42" s="404"/>
      <c r="Z42" s="404"/>
      <c r="AA42" s="404"/>
      <c r="AB42" s="404"/>
      <c r="AC42" s="404"/>
      <c r="AD42" s="404"/>
      <c r="AE42" s="404"/>
      <c r="AF42" s="404"/>
      <c r="AG42" s="404"/>
    </row>
    <row r="43" spans="1:33" ht="12.75" customHeight="1">
      <c r="A43" s="421" t="s">
        <v>2068</v>
      </c>
      <c r="B43" s="416" t="s">
        <v>2089</v>
      </c>
      <c r="C43" s="417" t="s">
        <v>2090</v>
      </c>
      <c r="D43" s="419">
        <v>0.09</v>
      </c>
      <c r="E43" s="419">
        <v>0.09</v>
      </c>
      <c r="F43" s="419">
        <v>0.09</v>
      </c>
      <c r="G43" s="419">
        <v>0.09</v>
      </c>
      <c r="H43" s="419">
        <v>0.09</v>
      </c>
      <c r="I43" s="419">
        <v>0.09</v>
      </c>
      <c r="J43" s="419">
        <v>0.09</v>
      </c>
      <c r="K43" s="419">
        <v>0.09</v>
      </c>
      <c r="L43" s="419">
        <v>0.09</v>
      </c>
      <c r="M43" s="404"/>
      <c r="N43" s="404"/>
      <c r="O43" s="404"/>
      <c r="P43" s="404"/>
      <c r="Q43" s="404"/>
      <c r="R43" s="404"/>
      <c r="S43" s="404"/>
      <c r="T43" s="404"/>
      <c r="U43" s="404"/>
      <c r="V43" s="404"/>
      <c r="W43" s="404"/>
      <c r="X43" s="404"/>
      <c r="Y43" s="404"/>
      <c r="Z43" s="404"/>
      <c r="AA43" s="404"/>
      <c r="AB43" s="404"/>
      <c r="AC43" s="404"/>
      <c r="AD43" s="404"/>
      <c r="AE43" s="404"/>
      <c r="AF43" s="404"/>
      <c r="AG43" s="404"/>
    </row>
    <row r="44" spans="1:33" ht="12.75" customHeight="1">
      <c r="A44" s="421" t="s">
        <v>2068</v>
      </c>
      <c r="B44" s="416" t="s">
        <v>2091</v>
      </c>
      <c r="C44" s="417" t="s">
        <v>2092</v>
      </c>
      <c r="D44" s="419">
        <v>0.01</v>
      </c>
      <c r="E44" s="419">
        <v>0.01</v>
      </c>
      <c r="F44" s="419">
        <v>0.01</v>
      </c>
      <c r="G44" s="419">
        <v>0.01</v>
      </c>
      <c r="H44" s="419">
        <v>0.01</v>
      </c>
      <c r="I44" s="419">
        <v>0.01</v>
      </c>
      <c r="J44" s="419">
        <v>0.01</v>
      </c>
      <c r="K44" s="419">
        <v>0.01</v>
      </c>
      <c r="L44" s="419">
        <v>0.01</v>
      </c>
      <c r="M44" s="404"/>
      <c r="N44" s="404"/>
      <c r="O44" s="404"/>
      <c r="P44" s="404"/>
      <c r="Q44" s="404"/>
      <c r="R44" s="404"/>
      <c r="S44" s="404"/>
      <c r="T44" s="404"/>
      <c r="U44" s="404"/>
      <c r="V44" s="404"/>
      <c r="W44" s="404"/>
      <c r="X44" s="404"/>
      <c r="Y44" s="404"/>
      <c r="Z44" s="404"/>
      <c r="AA44" s="404"/>
      <c r="AB44" s="404"/>
      <c r="AC44" s="404"/>
      <c r="AD44" s="404"/>
      <c r="AE44" s="404"/>
      <c r="AF44" s="404"/>
      <c r="AG44" s="404"/>
    </row>
    <row r="45" spans="1:33" ht="12.75" customHeight="1">
      <c r="A45" s="421" t="s">
        <v>2068</v>
      </c>
      <c r="B45" s="416" t="s">
        <v>2093</v>
      </c>
      <c r="C45" s="417" t="s">
        <v>2094</v>
      </c>
      <c r="D45" s="419">
        <v>0.05</v>
      </c>
      <c r="E45" s="419">
        <v>0.05</v>
      </c>
      <c r="F45" s="419">
        <v>0.05</v>
      </c>
      <c r="G45" s="419">
        <v>0.05</v>
      </c>
      <c r="H45" s="419">
        <v>0.05</v>
      </c>
      <c r="I45" s="419">
        <v>0.05</v>
      </c>
      <c r="J45" s="419">
        <v>5.5E-2</v>
      </c>
      <c r="K45" s="419">
        <v>5.5E-2</v>
      </c>
      <c r="L45" s="419">
        <v>0.05</v>
      </c>
      <c r="M45" s="404"/>
      <c r="N45" s="404"/>
      <c r="O45" s="404"/>
      <c r="P45" s="404"/>
      <c r="Q45" s="404"/>
      <c r="R45" s="404"/>
      <c r="S45" s="404"/>
      <c r="T45" s="404"/>
      <c r="U45" s="404"/>
      <c r="V45" s="404"/>
      <c r="W45" s="404"/>
      <c r="X45" s="404"/>
      <c r="Y45" s="404"/>
      <c r="Z45" s="404"/>
      <c r="AA45" s="404"/>
      <c r="AB45" s="404"/>
      <c r="AC45" s="404"/>
      <c r="AD45" s="404"/>
      <c r="AE45" s="404"/>
      <c r="AF45" s="404"/>
      <c r="AG45" s="404"/>
    </row>
    <row r="46" spans="1:33" ht="12.75" customHeight="1">
      <c r="A46" s="421" t="s">
        <v>2068</v>
      </c>
      <c r="B46" s="416" t="s">
        <v>2095</v>
      </c>
      <c r="C46" s="417" t="s">
        <v>2096</v>
      </c>
      <c r="D46" s="419">
        <v>0.03</v>
      </c>
      <c r="E46" s="419">
        <v>0.03</v>
      </c>
      <c r="F46" s="419">
        <v>0.03</v>
      </c>
      <c r="G46" s="419">
        <v>0.03</v>
      </c>
      <c r="H46" s="419">
        <v>0.03</v>
      </c>
      <c r="I46" s="419">
        <v>0.03</v>
      </c>
      <c r="J46" s="419">
        <v>0.04</v>
      </c>
      <c r="K46" s="419">
        <v>0.04</v>
      </c>
      <c r="L46" s="419">
        <v>0.03</v>
      </c>
      <c r="M46" s="404"/>
      <c r="N46" s="404"/>
      <c r="O46" s="404"/>
      <c r="P46" s="404"/>
      <c r="Q46" s="404"/>
      <c r="R46" s="404"/>
      <c r="S46" s="404"/>
      <c r="T46" s="404"/>
      <c r="U46" s="404"/>
      <c r="V46" s="404"/>
      <c r="W46" s="404"/>
      <c r="X46" s="404"/>
      <c r="Y46" s="404"/>
      <c r="Z46" s="404"/>
      <c r="AA46" s="404"/>
      <c r="AB46" s="404"/>
      <c r="AC46" s="404"/>
      <c r="AD46" s="404"/>
      <c r="AE46" s="404"/>
      <c r="AF46" s="404"/>
      <c r="AG46" s="404"/>
    </row>
    <row r="47" spans="1:33" ht="12.75" customHeight="1">
      <c r="A47" s="421" t="s">
        <v>2068</v>
      </c>
      <c r="B47" s="430" t="s">
        <v>2097</v>
      </c>
      <c r="C47" s="417" t="s">
        <v>2098</v>
      </c>
      <c r="D47" s="419">
        <v>1.4999999999999999E-2</v>
      </c>
      <c r="E47" s="419">
        <v>1.4999999999999999E-2</v>
      </c>
      <c r="F47" s="419">
        <v>1.4999999999999999E-2</v>
      </c>
      <c r="G47" s="419">
        <v>1.4999999999999999E-2</v>
      </c>
      <c r="H47" s="419">
        <v>1.4999999999999999E-2</v>
      </c>
      <c r="I47" s="419">
        <v>1.4999999999999999E-2</v>
      </c>
      <c r="J47" s="419">
        <v>0</v>
      </c>
      <c r="K47" s="419">
        <v>0</v>
      </c>
      <c r="L47" s="419">
        <v>1.4999999999999999E-2</v>
      </c>
      <c r="M47" s="404"/>
      <c r="N47" s="404"/>
      <c r="O47" s="404"/>
      <c r="P47" s="404"/>
      <c r="Q47" s="404"/>
      <c r="R47" s="404"/>
      <c r="S47" s="404"/>
      <c r="T47" s="404"/>
      <c r="U47" s="404"/>
      <c r="V47" s="404"/>
      <c r="W47" s="404"/>
      <c r="X47" s="404"/>
      <c r="Y47" s="404"/>
      <c r="Z47" s="404"/>
      <c r="AA47" s="404"/>
      <c r="AB47" s="404"/>
      <c r="AC47" s="404"/>
      <c r="AD47" s="404"/>
      <c r="AE47" s="404"/>
      <c r="AF47" s="404"/>
      <c r="AG47" s="404"/>
    </row>
    <row r="48" spans="1:33" ht="12.75" customHeight="1">
      <c r="A48" s="421" t="s">
        <v>2068</v>
      </c>
      <c r="B48" s="432" t="s">
        <v>2099</v>
      </c>
      <c r="C48" s="417" t="s">
        <v>2100</v>
      </c>
      <c r="D48" s="419">
        <v>1.4999999999999999E-2</v>
      </c>
      <c r="E48" s="419">
        <v>1.4999999999999999E-2</v>
      </c>
      <c r="F48" s="419">
        <v>1.4999999999999999E-2</v>
      </c>
      <c r="G48" s="419">
        <v>1.4999999999999999E-2</v>
      </c>
      <c r="H48" s="419">
        <v>1.4999999999999999E-2</v>
      </c>
      <c r="I48" s="419">
        <v>1.4999999999999999E-2</v>
      </c>
      <c r="J48" s="419">
        <v>1.4999999999999999E-2</v>
      </c>
      <c r="K48" s="419">
        <v>1.4999999999999999E-2</v>
      </c>
      <c r="L48" s="419">
        <v>1.4999999999999999E-2</v>
      </c>
      <c r="M48" s="404"/>
      <c r="N48" s="404"/>
      <c r="O48" s="404"/>
      <c r="P48" s="404"/>
      <c r="Q48" s="404"/>
      <c r="R48" s="404"/>
      <c r="S48" s="404"/>
      <c r="T48" s="404"/>
      <c r="U48" s="404"/>
      <c r="V48" s="404"/>
      <c r="W48" s="404"/>
      <c r="X48" s="404"/>
      <c r="Y48" s="404"/>
      <c r="Z48" s="404"/>
      <c r="AA48" s="404"/>
      <c r="AB48" s="404"/>
      <c r="AC48" s="404"/>
      <c r="AD48" s="404"/>
      <c r="AE48" s="404"/>
      <c r="AF48" s="404"/>
      <c r="AG48" s="404"/>
    </row>
    <row r="49" spans="1:33" ht="12.75" customHeight="1">
      <c r="A49" s="421" t="s">
        <v>2068</v>
      </c>
      <c r="B49" s="412" t="s">
        <v>2101</v>
      </c>
      <c r="C49" s="417" t="s">
        <v>2102</v>
      </c>
      <c r="D49" s="419">
        <v>0.01</v>
      </c>
      <c r="E49" s="419">
        <v>0.01</v>
      </c>
      <c r="F49" s="419">
        <v>0.01</v>
      </c>
      <c r="G49" s="419">
        <v>0.01</v>
      </c>
      <c r="H49" s="419">
        <v>0.01</v>
      </c>
      <c r="I49" s="419">
        <v>0.01</v>
      </c>
      <c r="J49" s="419">
        <v>0.01</v>
      </c>
      <c r="K49" s="419">
        <v>0.01</v>
      </c>
      <c r="L49" s="419">
        <v>0.01</v>
      </c>
      <c r="M49" s="404"/>
      <c r="N49" s="404"/>
      <c r="O49" s="404"/>
      <c r="P49" s="404"/>
      <c r="Q49" s="404"/>
      <c r="R49" s="404"/>
      <c r="S49" s="404"/>
      <c r="T49" s="404"/>
      <c r="U49" s="404"/>
      <c r="V49" s="404"/>
      <c r="W49" s="404"/>
      <c r="X49" s="404"/>
      <c r="Y49" s="404"/>
      <c r="Z49" s="404"/>
      <c r="AA49" s="404"/>
      <c r="AB49" s="404"/>
      <c r="AC49" s="404"/>
      <c r="AD49" s="404"/>
      <c r="AE49" s="404"/>
      <c r="AF49" s="404"/>
      <c r="AG49" s="404"/>
    </row>
    <row r="50" spans="1:33" ht="12.75" customHeight="1">
      <c r="A50" s="434" t="s">
        <v>2069</v>
      </c>
      <c r="B50" s="416" t="s">
        <v>2103</v>
      </c>
      <c r="C50" s="417" t="s">
        <v>2104</v>
      </c>
      <c r="D50" s="419">
        <v>0.04</v>
      </c>
      <c r="E50" s="419">
        <v>0.04</v>
      </c>
      <c r="F50" s="419">
        <v>0.04</v>
      </c>
      <c r="G50" s="419">
        <v>0.04</v>
      </c>
      <c r="H50" s="419">
        <v>0.04</v>
      </c>
      <c r="I50" s="419">
        <v>0.04</v>
      </c>
      <c r="J50" s="419">
        <v>0.04</v>
      </c>
      <c r="K50" s="444">
        <v>0</v>
      </c>
      <c r="L50" s="419">
        <v>0.04</v>
      </c>
      <c r="M50" s="404"/>
      <c r="N50" s="404"/>
      <c r="O50" s="404"/>
      <c r="P50" s="404"/>
      <c r="Q50" s="404"/>
      <c r="R50" s="404"/>
      <c r="S50" s="404"/>
      <c r="T50" s="404"/>
      <c r="U50" s="404"/>
      <c r="V50" s="404"/>
      <c r="W50" s="404"/>
      <c r="X50" s="404"/>
      <c r="Y50" s="404"/>
      <c r="Z50" s="404"/>
      <c r="AA50" s="404"/>
      <c r="AB50" s="404"/>
      <c r="AC50" s="404"/>
      <c r="AD50" s="404"/>
      <c r="AE50" s="404"/>
      <c r="AF50" s="404"/>
      <c r="AG50" s="404"/>
    </row>
    <row r="51" spans="1:33" ht="12.75" customHeight="1">
      <c r="A51" s="434" t="s">
        <v>2069</v>
      </c>
      <c r="B51" s="416" t="s">
        <v>2105</v>
      </c>
      <c r="C51" s="417" t="s">
        <v>2106</v>
      </c>
      <c r="D51" s="419">
        <v>0.03</v>
      </c>
      <c r="E51" s="419">
        <v>0.03</v>
      </c>
      <c r="F51" s="419">
        <v>0.03</v>
      </c>
      <c r="G51" s="419">
        <v>0.03</v>
      </c>
      <c r="H51" s="419">
        <v>0.03</v>
      </c>
      <c r="I51" s="419">
        <v>0.03</v>
      </c>
      <c r="J51" s="419">
        <v>0.03</v>
      </c>
      <c r="K51" s="419">
        <v>0</v>
      </c>
      <c r="L51" s="419">
        <v>0.03</v>
      </c>
      <c r="M51" s="404"/>
      <c r="N51" s="404"/>
      <c r="O51" s="404"/>
      <c r="P51" s="404"/>
      <c r="Q51" s="404"/>
      <c r="R51" s="404"/>
      <c r="S51" s="404"/>
      <c r="T51" s="404"/>
      <c r="U51" s="404"/>
      <c r="V51" s="404"/>
      <c r="W51" s="404"/>
      <c r="X51" s="404"/>
      <c r="Y51" s="404"/>
      <c r="Z51" s="404"/>
      <c r="AA51" s="404"/>
      <c r="AB51" s="404"/>
      <c r="AC51" s="404"/>
      <c r="AD51" s="404"/>
      <c r="AE51" s="404"/>
      <c r="AF51" s="404"/>
      <c r="AG51" s="404"/>
    </row>
    <row r="52" spans="1:33" ht="12.75" customHeight="1">
      <c r="A52" s="434" t="s">
        <v>2069</v>
      </c>
      <c r="B52" s="416" t="s">
        <v>2107</v>
      </c>
      <c r="C52" s="417" t="s">
        <v>2108</v>
      </c>
      <c r="D52" s="419">
        <v>0.04</v>
      </c>
      <c r="E52" s="419">
        <v>0.04</v>
      </c>
      <c r="F52" s="419">
        <v>0.04</v>
      </c>
      <c r="G52" s="419">
        <v>0.04</v>
      </c>
      <c r="H52" s="419">
        <v>0.04</v>
      </c>
      <c r="I52" s="419">
        <v>0.04</v>
      </c>
      <c r="J52" s="419">
        <v>0.04</v>
      </c>
      <c r="K52" s="419">
        <v>5.5E-2</v>
      </c>
      <c r="L52" s="419">
        <v>0.04</v>
      </c>
      <c r="M52" s="404"/>
      <c r="N52" s="404"/>
      <c r="O52" s="404"/>
      <c r="P52" s="404"/>
      <c r="Q52" s="404"/>
      <c r="R52" s="404"/>
      <c r="S52" s="404"/>
      <c r="T52" s="404"/>
      <c r="U52" s="404"/>
      <c r="V52" s="404"/>
      <c r="W52" s="404"/>
      <c r="X52" s="404"/>
      <c r="Y52" s="404"/>
      <c r="Z52" s="404"/>
      <c r="AA52" s="404"/>
      <c r="AB52" s="404"/>
      <c r="AC52" s="404"/>
      <c r="AD52" s="404"/>
      <c r="AE52" s="404"/>
      <c r="AF52" s="404"/>
      <c r="AG52" s="404"/>
    </row>
    <row r="53" spans="1:33" ht="12.75" customHeight="1">
      <c r="A53" s="434" t="s">
        <v>2069</v>
      </c>
      <c r="B53" s="416" t="s">
        <v>2109</v>
      </c>
      <c r="C53" s="417" t="s">
        <v>2110</v>
      </c>
      <c r="D53" s="419">
        <v>0.01</v>
      </c>
      <c r="E53" s="419">
        <v>0.01</v>
      </c>
      <c r="F53" s="419">
        <v>0.01</v>
      </c>
      <c r="G53" s="419">
        <v>0.01</v>
      </c>
      <c r="H53" s="419">
        <v>0.01</v>
      </c>
      <c r="I53" s="419">
        <v>0.01</v>
      </c>
      <c r="J53" s="419">
        <v>0.01</v>
      </c>
      <c r="K53" s="419">
        <v>0</v>
      </c>
      <c r="L53" s="419">
        <v>0.01</v>
      </c>
      <c r="M53" s="404"/>
      <c r="N53" s="404"/>
      <c r="O53" s="404"/>
      <c r="P53" s="404"/>
      <c r="Q53" s="404"/>
      <c r="R53" s="404"/>
      <c r="S53" s="404"/>
      <c r="T53" s="404"/>
      <c r="U53" s="404"/>
      <c r="V53" s="404"/>
      <c r="W53" s="404"/>
      <c r="X53" s="404"/>
      <c r="Y53" s="404"/>
      <c r="Z53" s="404"/>
      <c r="AA53" s="404"/>
      <c r="AB53" s="404"/>
      <c r="AC53" s="404"/>
      <c r="AD53" s="404"/>
      <c r="AE53" s="404"/>
      <c r="AF53" s="404"/>
      <c r="AG53" s="404"/>
    </row>
    <row r="54" spans="1:33" ht="12.75" customHeight="1">
      <c r="A54" s="434" t="s">
        <v>2069</v>
      </c>
      <c r="B54" s="416" t="s">
        <v>2111</v>
      </c>
      <c r="C54" s="417" t="s">
        <v>2112</v>
      </c>
      <c r="D54" s="419">
        <v>0.02</v>
      </c>
      <c r="E54" s="419">
        <v>0.02</v>
      </c>
      <c r="F54" s="419">
        <v>0.02</v>
      </c>
      <c r="G54" s="419">
        <v>0.02</v>
      </c>
      <c r="H54" s="419">
        <v>0.02</v>
      </c>
      <c r="I54" s="419">
        <v>0.02</v>
      </c>
      <c r="J54" s="419">
        <v>0.02</v>
      </c>
      <c r="K54" s="419">
        <v>0.03</v>
      </c>
      <c r="L54" s="419">
        <v>0.02</v>
      </c>
      <c r="M54" s="404"/>
      <c r="N54" s="404"/>
      <c r="O54" s="404"/>
      <c r="P54" s="404"/>
      <c r="Q54" s="404"/>
      <c r="R54" s="404"/>
      <c r="S54" s="404"/>
      <c r="T54" s="404"/>
      <c r="U54" s="404"/>
      <c r="V54" s="404"/>
      <c r="W54" s="404"/>
      <c r="X54" s="404"/>
      <c r="Y54" s="404"/>
      <c r="Z54" s="404"/>
      <c r="AA54" s="404"/>
      <c r="AB54" s="404"/>
      <c r="AC54" s="404"/>
      <c r="AD54" s="404"/>
      <c r="AE54" s="404"/>
      <c r="AF54" s="404"/>
      <c r="AG54" s="404"/>
    </row>
    <row r="55" spans="1:33" ht="12.75" customHeight="1">
      <c r="A55" s="434" t="s">
        <v>2069</v>
      </c>
      <c r="B55" s="416" t="s">
        <v>2113</v>
      </c>
      <c r="C55" s="417" t="s">
        <v>2114</v>
      </c>
      <c r="D55" s="419">
        <v>0.01</v>
      </c>
      <c r="E55" s="419">
        <v>0.01</v>
      </c>
      <c r="F55" s="419">
        <v>0.01</v>
      </c>
      <c r="G55" s="419">
        <v>0.01</v>
      </c>
      <c r="H55" s="419">
        <v>0.01</v>
      </c>
      <c r="I55" s="419">
        <v>0.01</v>
      </c>
      <c r="J55" s="419">
        <v>0.01</v>
      </c>
      <c r="K55" s="419">
        <v>1.4999999999999999E-2</v>
      </c>
      <c r="L55" s="419">
        <v>0.01</v>
      </c>
      <c r="M55" s="404"/>
      <c r="N55" s="404"/>
      <c r="O55" s="404"/>
      <c r="P55" s="404"/>
      <c r="Q55" s="404"/>
      <c r="R55" s="404"/>
      <c r="S55" s="404"/>
      <c r="T55" s="404"/>
      <c r="U55" s="404"/>
      <c r="V55" s="404"/>
      <c r="W55" s="404"/>
      <c r="X55" s="404"/>
      <c r="Y55" s="404"/>
      <c r="Z55" s="404"/>
      <c r="AA55" s="404"/>
      <c r="AB55" s="404"/>
      <c r="AC55" s="404"/>
      <c r="AD55" s="404"/>
      <c r="AE55" s="404"/>
      <c r="AF55" s="404"/>
      <c r="AG55" s="404"/>
    </row>
    <row r="56" spans="1:33" ht="12.75" customHeight="1">
      <c r="A56" s="434" t="s">
        <v>2069</v>
      </c>
      <c r="B56" s="416" t="s">
        <v>2115</v>
      </c>
      <c r="C56" s="417" t="s">
        <v>2116</v>
      </c>
      <c r="D56" s="419">
        <v>0.08</v>
      </c>
      <c r="E56" s="419">
        <v>0.08</v>
      </c>
      <c r="F56" s="419">
        <v>0.08</v>
      </c>
      <c r="G56" s="419">
        <v>0.08</v>
      </c>
      <c r="H56" s="419">
        <v>0.08</v>
      </c>
      <c r="I56" s="419">
        <v>0.08</v>
      </c>
      <c r="J56" s="419">
        <v>0.08</v>
      </c>
      <c r="K56" s="419">
        <v>0.11</v>
      </c>
      <c r="L56" s="419">
        <v>0.08</v>
      </c>
      <c r="M56" s="404"/>
      <c r="N56" s="404"/>
      <c r="O56" s="404"/>
      <c r="P56" s="404"/>
      <c r="Q56" s="404"/>
      <c r="R56" s="404"/>
      <c r="S56" s="404"/>
      <c r="T56" s="404"/>
      <c r="U56" s="404"/>
      <c r="V56" s="404"/>
      <c r="W56" s="404"/>
      <c r="X56" s="404"/>
      <c r="Y56" s="404"/>
      <c r="Z56" s="404"/>
      <c r="AA56" s="404"/>
      <c r="AB56" s="404"/>
      <c r="AC56" s="404"/>
      <c r="AD56" s="404"/>
      <c r="AE56" s="404"/>
      <c r="AF56" s="404"/>
      <c r="AG56" s="404"/>
    </row>
    <row r="57" spans="1:33" ht="12.75" customHeight="1">
      <c r="A57" s="434" t="s">
        <v>2069</v>
      </c>
      <c r="B57" s="416" t="s">
        <v>2117</v>
      </c>
      <c r="C57" s="417" t="s">
        <v>2138</v>
      </c>
      <c r="D57" s="419">
        <v>0.02</v>
      </c>
      <c r="E57" s="419">
        <v>0</v>
      </c>
      <c r="F57" s="419">
        <v>0</v>
      </c>
      <c r="G57" s="419">
        <v>0</v>
      </c>
      <c r="H57" s="419">
        <v>0</v>
      </c>
      <c r="I57" s="419">
        <v>0.02</v>
      </c>
      <c r="J57" s="419">
        <v>0</v>
      </c>
      <c r="K57" s="419">
        <v>0</v>
      </c>
      <c r="L57" s="419">
        <v>0</v>
      </c>
      <c r="M57" s="404"/>
      <c r="N57" s="404"/>
      <c r="O57" s="404"/>
      <c r="P57" s="404"/>
      <c r="Q57" s="404"/>
      <c r="R57" s="404"/>
      <c r="S57" s="404"/>
      <c r="T57" s="404"/>
      <c r="U57" s="404"/>
      <c r="V57" s="404"/>
      <c r="W57" s="404"/>
      <c r="X57" s="404"/>
      <c r="Y57" s="404"/>
      <c r="Z57" s="404"/>
      <c r="AA57" s="404"/>
      <c r="AB57" s="404"/>
      <c r="AC57" s="404"/>
      <c r="AD57" s="404"/>
      <c r="AE57" s="404"/>
      <c r="AF57" s="404"/>
      <c r="AG57" s="404"/>
    </row>
    <row r="58" spans="1:33" ht="12.75" customHeight="1">
      <c r="A58" s="434" t="s">
        <v>2069</v>
      </c>
      <c r="B58" s="416" t="s">
        <v>2119</v>
      </c>
      <c r="C58" s="417" t="s">
        <v>2120</v>
      </c>
      <c r="D58" s="419">
        <v>0.02</v>
      </c>
      <c r="E58" s="419">
        <v>0.04</v>
      </c>
      <c r="F58" s="419">
        <v>0.04</v>
      </c>
      <c r="G58" s="419">
        <v>0.04</v>
      </c>
      <c r="H58" s="419">
        <v>0.04</v>
      </c>
      <c r="I58" s="419">
        <v>0.02</v>
      </c>
      <c r="J58" s="419">
        <v>0.04</v>
      </c>
      <c r="K58" s="419">
        <v>0.06</v>
      </c>
      <c r="L58" s="419">
        <v>0.04</v>
      </c>
      <c r="M58" s="404"/>
      <c r="N58" s="404"/>
      <c r="O58" s="404"/>
      <c r="P58" s="404"/>
      <c r="Q58" s="404"/>
      <c r="R58" s="404"/>
      <c r="S58" s="404"/>
      <c r="T58" s="404"/>
      <c r="U58" s="404"/>
      <c r="V58" s="404"/>
      <c r="W58" s="404"/>
      <c r="X58" s="404"/>
      <c r="Y58" s="404"/>
      <c r="Z58" s="404"/>
      <c r="AA58" s="404"/>
      <c r="AB58" s="404"/>
      <c r="AC58" s="404"/>
      <c r="AD58" s="404"/>
      <c r="AE58" s="404"/>
      <c r="AF58" s="404"/>
      <c r="AG58" s="404"/>
    </row>
    <row r="59" spans="1:33" ht="12.75" customHeight="1">
      <c r="A59" s="434" t="s">
        <v>2069</v>
      </c>
      <c r="B59" s="416" t="s">
        <v>2121</v>
      </c>
      <c r="C59" s="417" t="s">
        <v>2122</v>
      </c>
      <c r="D59" s="419">
        <v>0.02</v>
      </c>
      <c r="E59" s="419">
        <v>0.02</v>
      </c>
      <c r="F59" s="419">
        <v>0.02</v>
      </c>
      <c r="G59" s="419">
        <v>0.02</v>
      </c>
      <c r="H59" s="419">
        <v>0.02</v>
      </c>
      <c r="I59" s="419">
        <v>0.02</v>
      </c>
      <c r="J59" s="419">
        <v>0.02</v>
      </c>
      <c r="K59" s="419">
        <v>0.02</v>
      </c>
      <c r="L59" s="419">
        <v>0.02</v>
      </c>
      <c r="M59" s="404"/>
      <c r="N59" s="404"/>
      <c r="O59" s="404"/>
      <c r="P59" s="404"/>
      <c r="Q59" s="404"/>
      <c r="R59" s="404"/>
      <c r="S59" s="404"/>
      <c r="T59" s="404"/>
      <c r="U59" s="404"/>
      <c r="V59" s="404"/>
      <c r="W59" s="404"/>
      <c r="X59" s="404"/>
      <c r="Y59" s="404"/>
      <c r="Z59" s="404"/>
      <c r="AA59" s="404"/>
      <c r="AB59" s="404"/>
      <c r="AC59" s="404"/>
      <c r="AD59" s="404"/>
      <c r="AE59" s="404"/>
      <c r="AF59" s="404"/>
      <c r="AG59" s="404"/>
    </row>
    <row r="60" spans="1:33" ht="12.75" customHeight="1">
      <c r="A60" s="434" t="s">
        <v>2069</v>
      </c>
      <c r="B60" s="416" t="s">
        <v>2123</v>
      </c>
      <c r="C60" s="417" t="s">
        <v>2124</v>
      </c>
      <c r="D60" s="419">
        <v>0.01</v>
      </c>
      <c r="E60" s="419">
        <v>0.01</v>
      </c>
      <c r="F60" s="419">
        <v>0.01</v>
      </c>
      <c r="G60" s="419">
        <v>0.01</v>
      </c>
      <c r="H60" s="419">
        <v>0.01</v>
      </c>
      <c r="I60" s="419">
        <v>0.01</v>
      </c>
      <c r="J60" s="419">
        <v>0.01</v>
      </c>
      <c r="K60" s="419">
        <v>0.01</v>
      </c>
      <c r="L60" s="419">
        <v>0.01</v>
      </c>
      <c r="M60" s="404"/>
      <c r="N60" s="404"/>
      <c r="O60" s="404"/>
      <c r="P60" s="404"/>
      <c r="Q60" s="404"/>
      <c r="R60" s="404"/>
      <c r="S60" s="404"/>
      <c r="T60" s="404"/>
      <c r="U60" s="404"/>
      <c r="V60" s="404"/>
      <c r="W60" s="404"/>
      <c r="X60" s="404"/>
      <c r="Y60" s="404"/>
      <c r="Z60" s="404"/>
      <c r="AA60" s="404"/>
      <c r="AB60" s="404"/>
      <c r="AC60" s="404"/>
      <c r="AD60" s="404"/>
      <c r="AE60" s="404"/>
      <c r="AF60" s="404"/>
      <c r="AG60" s="404"/>
    </row>
    <row r="61" spans="1:33" ht="12.75" customHeight="1">
      <c r="A61" s="438" t="s">
        <v>2070</v>
      </c>
      <c r="B61" s="416" t="s">
        <v>2125</v>
      </c>
      <c r="C61" s="417" t="s">
        <v>2139</v>
      </c>
      <c r="D61" s="419">
        <v>0.14000000000000001</v>
      </c>
      <c r="E61" s="419">
        <v>0.14000000000000001</v>
      </c>
      <c r="F61" s="419">
        <v>0.14000000000000001</v>
      </c>
      <c r="G61" s="419">
        <v>0.14000000000000001</v>
      </c>
      <c r="H61" s="419">
        <v>0.14000000000000001</v>
      </c>
      <c r="I61" s="419">
        <v>0.14000000000000001</v>
      </c>
      <c r="J61" s="419">
        <v>0.14000000000000001</v>
      </c>
      <c r="K61" s="419">
        <v>0.14000000000000001</v>
      </c>
      <c r="L61" s="419">
        <v>0.14000000000000001</v>
      </c>
      <c r="M61" s="404"/>
      <c r="N61" s="404"/>
      <c r="O61" s="404"/>
      <c r="P61" s="404"/>
      <c r="Q61" s="404"/>
      <c r="R61" s="404"/>
      <c r="S61" s="404"/>
      <c r="T61" s="404"/>
      <c r="U61" s="404"/>
      <c r="V61" s="404"/>
      <c r="W61" s="404"/>
      <c r="X61" s="404"/>
      <c r="Y61" s="404"/>
      <c r="Z61" s="404"/>
      <c r="AA61" s="404"/>
      <c r="AB61" s="404"/>
      <c r="AC61" s="404"/>
      <c r="AD61" s="404"/>
      <c r="AE61" s="404"/>
      <c r="AF61" s="404"/>
      <c r="AG61" s="404"/>
    </row>
    <row r="62" spans="1:33" ht="12.75" customHeight="1">
      <c r="A62" s="438" t="s">
        <v>2070</v>
      </c>
      <c r="B62" s="416" t="s">
        <v>2129</v>
      </c>
      <c r="C62" s="417" t="s">
        <v>2130</v>
      </c>
      <c r="D62" s="419">
        <v>0.02</v>
      </c>
      <c r="E62" s="419">
        <v>0.02</v>
      </c>
      <c r="F62" s="419">
        <v>0.02</v>
      </c>
      <c r="G62" s="419">
        <v>0.02</v>
      </c>
      <c r="H62" s="419">
        <v>0.02</v>
      </c>
      <c r="I62" s="419">
        <v>0.02</v>
      </c>
      <c r="J62" s="419">
        <v>0.02</v>
      </c>
      <c r="K62" s="419">
        <v>0.02</v>
      </c>
      <c r="L62" s="419">
        <v>0.02</v>
      </c>
      <c r="M62" s="404"/>
      <c r="N62" s="404"/>
      <c r="O62" s="404"/>
      <c r="P62" s="404"/>
      <c r="Q62" s="404"/>
      <c r="R62" s="404"/>
      <c r="S62" s="404"/>
      <c r="T62" s="404"/>
      <c r="U62" s="404"/>
      <c r="V62" s="404"/>
      <c r="W62" s="404"/>
      <c r="X62" s="404"/>
      <c r="Y62" s="404"/>
      <c r="Z62" s="404"/>
      <c r="AA62" s="404"/>
      <c r="AB62" s="404"/>
      <c r="AC62" s="404"/>
      <c r="AD62" s="404"/>
      <c r="AE62" s="404"/>
      <c r="AF62" s="404"/>
      <c r="AG62" s="404"/>
    </row>
    <row r="63" spans="1:33" ht="12.75" customHeight="1">
      <c r="A63" s="438" t="s">
        <v>2070</v>
      </c>
      <c r="B63" s="431" t="s">
        <v>2131</v>
      </c>
      <c r="C63" s="439" t="s">
        <v>2132</v>
      </c>
      <c r="D63" s="444">
        <v>0.04</v>
      </c>
      <c r="E63" s="444">
        <v>0.04</v>
      </c>
      <c r="F63" s="444">
        <v>0.04</v>
      </c>
      <c r="G63" s="444">
        <v>0.04</v>
      </c>
      <c r="H63" s="444">
        <v>0.04</v>
      </c>
      <c r="I63" s="419">
        <v>0.04</v>
      </c>
      <c r="J63" s="419">
        <v>0.04</v>
      </c>
      <c r="K63" s="419">
        <v>0.04</v>
      </c>
      <c r="L63" s="444">
        <v>0.04</v>
      </c>
      <c r="M63" s="404"/>
      <c r="N63" s="404"/>
      <c r="O63" s="404"/>
      <c r="P63" s="404"/>
      <c r="Q63" s="404"/>
      <c r="R63" s="404"/>
      <c r="S63" s="404"/>
      <c r="T63" s="404"/>
      <c r="U63" s="404"/>
      <c r="V63" s="404"/>
      <c r="W63" s="404"/>
      <c r="X63" s="404"/>
      <c r="Y63" s="404"/>
      <c r="Z63" s="404"/>
      <c r="AA63" s="404"/>
      <c r="AB63" s="404"/>
      <c r="AC63" s="404"/>
      <c r="AD63" s="404"/>
      <c r="AE63" s="404"/>
      <c r="AF63" s="404"/>
      <c r="AG63" s="404"/>
    </row>
    <row r="64" spans="1:33" ht="12.75" customHeight="1">
      <c r="A64" s="440"/>
      <c r="B64" s="404"/>
      <c r="C64" s="404"/>
      <c r="D64" s="441">
        <f t="shared" ref="D64:L64" si="1">SUM(D36:D63)</f>
        <v>1.0000000000000002</v>
      </c>
      <c r="E64" s="441">
        <f t="shared" si="1"/>
        <v>1.0000000000000002</v>
      </c>
      <c r="F64" s="441">
        <f t="shared" si="1"/>
        <v>1.0000000000000002</v>
      </c>
      <c r="G64" s="441">
        <f t="shared" si="1"/>
        <v>1.0000000000000002</v>
      </c>
      <c r="H64" s="441">
        <f t="shared" si="1"/>
        <v>1.0000000000000002</v>
      </c>
      <c r="I64" s="441">
        <f t="shared" si="1"/>
        <v>1.0000000000000002</v>
      </c>
      <c r="J64" s="441">
        <f t="shared" si="1"/>
        <v>1.0000000000000002</v>
      </c>
      <c r="K64" s="441">
        <f t="shared" si="1"/>
        <v>1</v>
      </c>
      <c r="L64" s="441">
        <f t="shared" si="1"/>
        <v>1.0000000000000002</v>
      </c>
      <c r="M64" s="404"/>
      <c r="N64" s="404"/>
      <c r="O64" s="404"/>
      <c r="P64" s="404"/>
      <c r="Q64" s="404"/>
      <c r="R64" s="404"/>
      <c r="S64" s="404"/>
      <c r="T64" s="404"/>
      <c r="U64" s="404"/>
      <c r="V64" s="404"/>
      <c r="W64" s="404"/>
      <c r="X64" s="404"/>
      <c r="Y64" s="404"/>
      <c r="Z64" s="404"/>
      <c r="AA64" s="404"/>
      <c r="AB64" s="404"/>
      <c r="AC64" s="404"/>
      <c r="AD64" s="404"/>
      <c r="AE64" s="404"/>
      <c r="AF64" s="404"/>
      <c r="AG64" s="404"/>
    </row>
    <row r="65" spans="1:33" ht="12.75" customHeight="1">
      <c r="A65" s="404"/>
      <c r="B65" s="404"/>
      <c r="C65" s="404"/>
      <c r="D65" s="404"/>
      <c r="E65" s="404"/>
      <c r="F65" s="404"/>
      <c r="G65" s="404"/>
      <c r="H65" s="404"/>
      <c r="I65" s="404"/>
      <c r="J65" s="404"/>
      <c r="K65" s="404"/>
      <c r="L65" s="404"/>
      <c r="M65" s="404"/>
      <c r="N65" s="404"/>
      <c r="O65" s="404"/>
      <c r="P65" s="404"/>
      <c r="Q65" s="404"/>
      <c r="R65" s="404"/>
      <c r="S65" s="404"/>
      <c r="T65" s="404"/>
      <c r="U65" s="404"/>
      <c r="V65" s="404"/>
      <c r="W65" s="404"/>
      <c r="X65" s="404"/>
      <c r="Y65" s="404"/>
      <c r="Z65" s="404"/>
      <c r="AA65" s="404"/>
      <c r="AB65" s="404"/>
      <c r="AC65" s="404"/>
      <c r="AD65" s="404"/>
      <c r="AE65" s="404"/>
      <c r="AF65" s="404"/>
      <c r="AG65" s="404"/>
    </row>
    <row r="66" spans="1:33" ht="12.75" customHeight="1">
      <c r="A66" s="404"/>
      <c r="B66" s="404"/>
      <c r="C66" s="404"/>
      <c r="D66" s="404"/>
      <c r="E66" s="404"/>
      <c r="F66" s="404"/>
      <c r="G66" s="404"/>
      <c r="H66" s="404"/>
      <c r="I66" s="404"/>
      <c r="J66" s="404"/>
      <c r="K66" s="404"/>
      <c r="L66" s="404"/>
      <c r="M66" s="404"/>
      <c r="N66" s="404"/>
      <c r="O66" s="404"/>
      <c r="P66" s="404"/>
      <c r="Q66" s="404"/>
      <c r="R66" s="404"/>
      <c r="S66" s="404"/>
      <c r="T66" s="404"/>
      <c r="U66" s="404"/>
      <c r="V66" s="404"/>
      <c r="W66" s="404"/>
      <c r="X66" s="404"/>
      <c r="Y66" s="404"/>
      <c r="Z66" s="404"/>
      <c r="AA66" s="404"/>
      <c r="AB66" s="404"/>
      <c r="AC66" s="404"/>
      <c r="AD66" s="404"/>
      <c r="AE66" s="404"/>
      <c r="AF66" s="404"/>
      <c r="AG66" s="404"/>
    </row>
    <row r="67" spans="1:33" ht="12.75" customHeight="1">
      <c r="A67" s="404"/>
      <c r="B67" s="404"/>
      <c r="C67" s="404"/>
      <c r="D67" s="404"/>
      <c r="E67" s="404"/>
      <c r="F67" s="404"/>
      <c r="G67" s="404"/>
      <c r="H67" s="404"/>
      <c r="I67" s="404"/>
      <c r="J67" s="404"/>
      <c r="K67" s="404"/>
      <c r="L67" s="404"/>
      <c r="M67" s="404"/>
      <c r="N67" s="404"/>
      <c r="O67" s="404"/>
      <c r="P67" s="404"/>
      <c r="Q67" s="404"/>
      <c r="R67" s="404"/>
      <c r="S67" s="404"/>
      <c r="T67" s="404"/>
      <c r="U67" s="404"/>
      <c r="V67" s="404"/>
      <c r="W67" s="404"/>
      <c r="X67" s="404"/>
      <c r="Y67" s="404"/>
      <c r="Z67" s="404"/>
      <c r="AA67" s="404"/>
      <c r="AB67" s="404"/>
      <c r="AC67" s="404"/>
      <c r="AD67" s="404"/>
      <c r="AE67" s="404"/>
      <c r="AF67" s="404"/>
      <c r="AG67" s="404"/>
    </row>
    <row r="68" spans="1:33" ht="12.75" customHeight="1">
      <c r="A68" s="404"/>
      <c r="B68" s="404"/>
      <c r="C68" s="404"/>
      <c r="D68" s="404"/>
      <c r="E68" s="404"/>
      <c r="F68" s="404"/>
      <c r="G68" s="404"/>
      <c r="H68" s="404"/>
      <c r="I68" s="404"/>
      <c r="J68" s="404"/>
      <c r="K68" s="404"/>
      <c r="L68" s="404"/>
      <c r="M68" s="404"/>
      <c r="N68" s="404"/>
      <c r="O68" s="404"/>
      <c r="P68" s="404"/>
      <c r="Q68" s="404"/>
      <c r="R68" s="404"/>
      <c r="S68" s="404"/>
      <c r="T68" s="404"/>
      <c r="U68" s="404"/>
      <c r="V68" s="404"/>
      <c r="W68" s="404"/>
      <c r="X68" s="404"/>
      <c r="Y68" s="404"/>
      <c r="Z68" s="404"/>
      <c r="AA68" s="404"/>
      <c r="AB68" s="404"/>
      <c r="AC68" s="404"/>
      <c r="AD68" s="404"/>
      <c r="AE68" s="404"/>
      <c r="AF68" s="404"/>
      <c r="AG68" s="404"/>
    </row>
    <row r="69" spans="1:33" ht="12.75" customHeight="1">
      <c r="A69" s="404"/>
      <c r="B69" s="404"/>
      <c r="C69" s="404"/>
      <c r="D69" s="404"/>
      <c r="E69" s="404"/>
      <c r="F69" s="404"/>
      <c r="G69" s="404"/>
      <c r="H69" s="404"/>
      <c r="I69" s="404"/>
      <c r="J69" s="404"/>
      <c r="K69" s="404"/>
      <c r="L69" s="404"/>
      <c r="M69" s="404"/>
      <c r="N69" s="404"/>
      <c r="O69" s="404"/>
      <c r="P69" s="404"/>
      <c r="Q69" s="404"/>
      <c r="R69" s="404"/>
      <c r="S69" s="404"/>
      <c r="T69" s="404"/>
      <c r="U69" s="404"/>
      <c r="V69" s="404"/>
      <c r="W69" s="404"/>
      <c r="X69" s="404"/>
      <c r="Y69" s="404"/>
      <c r="Z69" s="404"/>
      <c r="AA69" s="404"/>
      <c r="AB69" s="404"/>
      <c r="AC69" s="404"/>
      <c r="AD69" s="404"/>
      <c r="AE69" s="404"/>
      <c r="AF69" s="404"/>
      <c r="AG69" s="404"/>
    </row>
    <row r="70" spans="1:33" ht="12.75" customHeight="1">
      <c r="A70" s="404"/>
      <c r="B70" s="404"/>
      <c r="C70" s="404"/>
      <c r="D70" s="404"/>
      <c r="E70" s="404"/>
      <c r="F70" s="404"/>
      <c r="G70" s="404"/>
      <c r="H70" s="404"/>
      <c r="I70" s="404"/>
      <c r="J70" s="404"/>
      <c r="K70" s="404"/>
      <c r="L70" s="404"/>
      <c r="M70" s="404"/>
      <c r="N70" s="404"/>
      <c r="O70" s="404"/>
      <c r="P70" s="404"/>
      <c r="Q70" s="404"/>
      <c r="R70" s="404"/>
      <c r="S70" s="404"/>
      <c r="T70" s="404"/>
      <c r="U70" s="404"/>
      <c r="V70" s="404"/>
      <c r="W70" s="404"/>
      <c r="X70" s="404"/>
      <c r="Y70" s="404"/>
      <c r="Z70" s="404"/>
      <c r="AA70" s="404"/>
      <c r="AB70" s="404"/>
      <c r="AC70" s="404"/>
      <c r="AD70" s="404"/>
      <c r="AE70" s="404"/>
      <c r="AF70" s="404"/>
      <c r="AG70" s="404"/>
    </row>
    <row r="71" spans="1:33" ht="12.75" customHeight="1">
      <c r="A71" s="404"/>
      <c r="B71" s="404"/>
      <c r="C71" s="404"/>
      <c r="D71" s="404"/>
      <c r="E71" s="404"/>
      <c r="F71" s="404"/>
      <c r="G71" s="404"/>
      <c r="H71" s="404"/>
      <c r="I71" s="404"/>
      <c r="J71" s="404"/>
      <c r="K71" s="404"/>
      <c r="L71" s="404"/>
      <c r="M71" s="404"/>
      <c r="N71" s="404"/>
      <c r="O71" s="404"/>
      <c r="P71" s="404"/>
      <c r="Q71" s="404"/>
      <c r="R71" s="404"/>
      <c r="S71" s="404"/>
      <c r="T71" s="404"/>
      <c r="U71" s="404"/>
      <c r="V71" s="404"/>
      <c r="W71" s="404"/>
      <c r="X71" s="404"/>
      <c r="Y71" s="404"/>
      <c r="Z71" s="404"/>
      <c r="AA71" s="404"/>
      <c r="AB71" s="404"/>
      <c r="AC71" s="404"/>
      <c r="AD71" s="404"/>
      <c r="AE71" s="404"/>
      <c r="AF71" s="404"/>
      <c r="AG71" s="404"/>
    </row>
    <row r="72" spans="1:33" ht="12.75" customHeight="1">
      <c r="A72" s="404"/>
      <c r="B72" s="404"/>
      <c r="C72" s="404"/>
      <c r="D72" s="404"/>
      <c r="E72" s="404"/>
      <c r="F72" s="404"/>
      <c r="G72" s="404"/>
      <c r="H72" s="404"/>
      <c r="I72" s="404"/>
      <c r="J72" s="404"/>
      <c r="K72" s="404"/>
      <c r="L72" s="404"/>
      <c r="M72" s="404"/>
      <c r="N72" s="404"/>
      <c r="O72" s="404"/>
      <c r="P72" s="404"/>
      <c r="Q72" s="404"/>
      <c r="R72" s="404"/>
      <c r="S72" s="404"/>
      <c r="T72" s="404"/>
      <c r="U72" s="404"/>
      <c r="V72" s="404"/>
      <c r="W72" s="404"/>
      <c r="X72" s="404"/>
      <c r="Y72" s="404"/>
      <c r="Z72" s="404"/>
      <c r="AA72" s="404"/>
      <c r="AB72" s="404"/>
      <c r="AC72" s="404"/>
      <c r="AD72" s="404"/>
      <c r="AE72" s="404"/>
      <c r="AF72" s="404"/>
      <c r="AG72" s="404"/>
    </row>
    <row r="73" spans="1:33" ht="12.75" customHeight="1">
      <c r="A73" s="404"/>
      <c r="B73" s="404"/>
      <c r="C73" s="404"/>
      <c r="D73" s="404"/>
      <c r="E73" s="404"/>
      <c r="F73" s="404"/>
      <c r="G73" s="404"/>
      <c r="H73" s="404"/>
      <c r="I73" s="404"/>
      <c r="J73" s="404"/>
      <c r="K73" s="404"/>
      <c r="L73" s="404"/>
      <c r="M73" s="404"/>
      <c r="N73" s="404"/>
      <c r="O73" s="404"/>
      <c r="P73" s="404"/>
      <c r="Q73" s="404"/>
      <c r="R73" s="404"/>
      <c r="S73" s="404"/>
      <c r="T73" s="404"/>
      <c r="U73" s="404"/>
      <c r="V73" s="404"/>
      <c r="W73" s="404"/>
      <c r="X73" s="404"/>
      <c r="Y73" s="404"/>
      <c r="Z73" s="404"/>
      <c r="AA73" s="404"/>
      <c r="AB73" s="404"/>
      <c r="AC73" s="404"/>
      <c r="AD73" s="404"/>
      <c r="AE73" s="404"/>
      <c r="AF73" s="404"/>
      <c r="AG73" s="404"/>
    </row>
    <row r="74" spans="1:33" ht="12.75" customHeight="1">
      <c r="A74" s="404"/>
      <c r="B74" s="404"/>
      <c r="C74" s="404"/>
      <c r="D74" s="404"/>
      <c r="E74" s="404"/>
      <c r="F74" s="404"/>
      <c r="G74" s="404"/>
      <c r="H74" s="404"/>
      <c r="I74" s="404"/>
      <c r="J74" s="404"/>
      <c r="K74" s="404"/>
      <c r="L74" s="404"/>
      <c r="M74" s="404"/>
      <c r="N74" s="404"/>
      <c r="O74" s="404"/>
      <c r="P74" s="404"/>
      <c r="Q74" s="404"/>
      <c r="R74" s="404"/>
      <c r="S74" s="404"/>
      <c r="T74" s="404"/>
      <c r="U74" s="404"/>
      <c r="V74" s="404"/>
      <c r="W74" s="404"/>
      <c r="X74" s="404"/>
      <c r="Y74" s="404"/>
      <c r="Z74" s="404"/>
      <c r="AA74" s="404"/>
      <c r="AB74" s="404"/>
      <c r="AC74" s="404"/>
      <c r="AD74" s="404"/>
      <c r="AE74" s="404"/>
      <c r="AF74" s="404"/>
      <c r="AG74" s="404"/>
    </row>
    <row r="75" spans="1:33" ht="12.75" customHeight="1">
      <c r="A75" s="404"/>
      <c r="B75" s="404"/>
      <c r="C75" s="404"/>
      <c r="D75" s="404"/>
      <c r="E75" s="404"/>
      <c r="F75" s="404"/>
      <c r="G75" s="404"/>
      <c r="H75" s="404"/>
      <c r="I75" s="404"/>
      <c r="J75" s="404"/>
      <c r="K75" s="404"/>
      <c r="L75" s="404"/>
      <c r="M75" s="404"/>
      <c r="N75" s="404"/>
      <c r="O75" s="404"/>
      <c r="P75" s="404"/>
      <c r="Q75" s="404"/>
      <c r="R75" s="404"/>
      <c r="S75" s="404"/>
      <c r="T75" s="404"/>
      <c r="U75" s="404"/>
      <c r="V75" s="404"/>
      <c r="W75" s="404"/>
      <c r="X75" s="404"/>
      <c r="Y75" s="404"/>
      <c r="Z75" s="404"/>
      <c r="AA75" s="404"/>
      <c r="AB75" s="404"/>
      <c r="AC75" s="404"/>
      <c r="AD75" s="404"/>
      <c r="AE75" s="404"/>
      <c r="AF75" s="404"/>
      <c r="AG75" s="404"/>
    </row>
    <row r="76" spans="1:33" ht="12.75" customHeight="1">
      <c r="A76" s="404"/>
      <c r="B76" s="404"/>
      <c r="C76" s="404"/>
      <c r="D76" s="404"/>
      <c r="E76" s="404"/>
      <c r="F76" s="404"/>
      <c r="G76" s="404"/>
      <c r="H76" s="404"/>
      <c r="I76" s="404"/>
      <c r="J76" s="404"/>
      <c r="K76" s="404"/>
      <c r="L76" s="404"/>
      <c r="M76" s="404"/>
      <c r="N76" s="404"/>
      <c r="O76" s="404"/>
      <c r="P76" s="404"/>
      <c r="Q76" s="404"/>
      <c r="R76" s="404"/>
      <c r="S76" s="404"/>
      <c r="T76" s="404"/>
      <c r="U76" s="404"/>
      <c r="V76" s="404"/>
      <c r="W76" s="404"/>
      <c r="X76" s="404"/>
      <c r="Y76" s="404"/>
      <c r="Z76" s="404"/>
      <c r="AA76" s="404"/>
      <c r="AB76" s="404"/>
      <c r="AC76" s="404"/>
      <c r="AD76" s="404"/>
      <c r="AE76" s="404"/>
      <c r="AF76" s="404"/>
      <c r="AG76" s="404"/>
    </row>
    <row r="77" spans="1:33" ht="12.75" customHeight="1">
      <c r="A77" s="404"/>
      <c r="B77" s="404"/>
      <c r="C77" s="404"/>
      <c r="D77" s="404"/>
      <c r="E77" s="404"/>
      <c r="F77" s="404"/>
      <c r="G77" s="404"/>
      <c r="H77" s="404"/>
      <c r="I77" s="404"/>
      <c r="J77" s="404"/>
      <c r="K77" s="404"/>
      <c r="L77" s="404"/>
      <c r="M77" s="404"/>
      <c r="N77" s="404"/>
      <c r="O77" s="404"/>
      <c r="P77" s="404"/>
      <c r="Q77" s="404"/>
      <c r="R77" s="404"/>
      <c r="S77" s="404"/>
      <c r="T77" s="404"/>
      <c r="U77" s="404"/>
      <c r="V77" s="404"/>
      <c r="W77" s="404"/>
      <c r="X77" s="404"/>
      <c r="Y77" s="404"/>
      <c r="Z77" s="404"/>
      <c r="AA77" s="404"/>
      <c r="AB77" s="404"/>
      <c r="AC77" s="404"/>
      <c r="AD77" s="404"/>
      <c r="AE77" s="404"/>
      <c r="AF77" s="404"/>
      <c r="AG77" s="404"/>
    </row>
    <row r="78" spans="1:33" ht="12.75" customHeight="1">
      <c r="A78" s="404"/>
      <c r="B78" s="404"/>
      <c r="C78" s="404"/>
      <c r="D78" s="404"/>
      <c r="E78" s="404"/>
      <c r="F78" s="404"/>
      <c r="G78" s="404"/>
      <c r="H78" s="404"/>
      <c r="I78" s="404"/>
      <c r="J78" s="404"/>
      <c r="K78" s="404"/>
      <c r="L78" s="404"/>
      <c r="M78" s="404"/>
      <c r="N78" s="404"/>
      <c r="O78" s="404"/>
      <c r="P78" s="404"/>
      <c r="Q78" s="404"/>
      <c r="R78" s="404"/>
      <c r="S78" s="404"/>
      <c r="T78" s="404"/>
      <c r="U78" s="404"/>
      <c r="V78" s="404"/>
      <c r="W78" s="404"/>
      <c r="X78" s="404"/>
      <c r="Y78" s="404"/>
      <c r="Z78" s="404"/>
      <c r="AA78" s="404"/>
      <c r="AB78" s="404"/>
      <c r="AC78" s="404"/>
      <c r="AD78" s="404"/>
      <c r="AE78" s="404"/>
      <c r="AF78" s="404"/>
      <c r="AG78" s="404"/>
    </row>
    <row r="79" spans="1:33" ht="12.75" customHeight="1">
      <c r="A79" s="404"/>
      <c r="B79" s="404"/>
      <c r="C79" s="404"/>
      <c r="D79" s="404"/>
      <c r="E79" s="404"/>
      <c r="F79" s="404"/>
      <c r="G79" s="404"/>
      <c r="H79" s="404"/>
      <c r="I79" s="404"/>
      <c r="J79" s="404"/>
      <c r="K79" s="404"/>
      <c r="L79" s="404"/>
      <c r="M79" s="404"/>
      <c r="N79" s="404"/>
      <c r="O79" s="404"/>
      <c r="P79" s="404"/>
      <c r="Q79" s="404"/>
      <c r="R79" s="404"/>
      <c r="S79" s="404"/>
      <c r="T79" s="404"/>
      <c r="U79" s="404"/>
      <c r="V79" s="404"/>
      <c r="W79" s="404"/>
      <c r="X79" s="404"/>
      <c r="Y79" s="404"/>
      <c r="Z79" s="404"/>
      <c r="AA79" s="404"/>
      <c r="AB79" s="404"/>
      <c r="AC79" s="404"/>
      <c r="AD79" s="404"/>
      <c r="AE79" s="404"/>
      <c r="AF79" s="404"/>
      <c r="AG79" s="404"/>
    </row>
    <row r="80" spans="1:33" ht="12.75" customHeight="1">
      <c r="A80" s="404"/>
      <c r="B80" s="404"/>
      <c r="C80" s="404"/>
      <c r="D80" s="404"/>
      <c r="E80" s="404"/>
      <c r="F80" s="404"/>
      <c r="G80" s="404"/>
      <c r="H80" s="404"/>
      <c r="I80" s="404"/>
      <c r="J80" s="404"/>
      <c r="K80" s="404"/>
      <c r="L80" s="404"/>
      <c r="M80" s="404"/>
      <c r="N80" s="404"/>
      <c r="O80" s="404"/>
      <c r="P80" s="404"/>
      <c r="Q80" s="404"/>
      <c r="R80" s="404"/>
      <c r="S80" s="404"/>
      <c r="T80" s="404"/>
      <c r="U80" s="404"/>
      <c r="V80" s="404"/>
      <c r="W80" s="404"/>
      <c r="X80" s="404"/>
      <c r="Y80" s="404"/>
      <c r="Z80" s="404"/>
      <c r="AA80" s="404"/>
      <c r="AB80" s="404"/>
      <c r="AC80" s="404"/>
      <c r="AD80" s="404"/>
      <c r="AE80" s="404"/>
      <c r="AF80" s="404"/>
      <c r="AG80" s="404"/>
    </row>
    <row r="81" spans="1:33" ht="12.75" customHeight="1">
      <c r="A81" s="404"/>
      <c r="B81" s="404"/>
      <c r="C81" s="404"/>
      <c r="D81" s="404"/>
      <c r="E81" s="404"/>
      <c r="F81" s="404"/>
      <c r="G81" s="404"/>
      <c r="H81" s="404"/>
      <c r="I81" s="404"/>
      <c r="J81" s="404"/>
      <c r="K81" s="404"/>
      <c r="L81" s="404"/>
      <c r="M81" s="404"/>
      <c r="N81" s="404"/>
      <c r="O81" s="404"/>
      <c r="P81" s="404"/>
      <c r="Q81" s="404"/>
      <c r="R81" s="404"/>
      <c r="S81" s="404"/>
      <c r="T81" s="404"/>
      <c r="U81" s="404"/>
      <c r="V81" s="404"/>
      <c r="W81" s="404"/>
      <c r="X81" s="404"/>
      <c r="Y81" s="404"/>
      <c r="Z81" s="404"/>
      <c r="AA81" s="404"/>
      <c r="AB81" s="404"/>
      <c r="AC81" s="404"/>
      <c r="AD81" s="404"/>
      <c r="AE81" s="404"/>
      <c r="AF81" s="404"/>
      <c r="AG81" s="404"/>
    </row>
    <row r="82" spans="1:33" ht="12.75" customHeight="1">
      <c r="A82" s="404"/>
      <c r="B82" s="404"/>
      <c r="C82" s="404"/>
      <c r="D82" s="404"/>
      <c r="E82" s="404"/>
      <c r="F82" s="404"/>
      <c r="G82" s="404"/>
      <c r="H82" s="404"/>
      <c r="I82" s="404"/>
      <c r="J82" s="404"/>
      <c r="K82" s="404"/>
      <c r="L82" s="404"/>
      <c r="M82" s="404"/>
      <c r="N82" s="404"/>
      <c r="O82" s="404"/>
      <c r="P82" s="404"/>
      <c r="Q82" s="404"/>
      <c r="R82" s="404"/>
      <c r="S82" s="404"/>
      <c r="T82" s="404"/>
      <c r="U82" s="404"/>
      <c r="V82" s="404"/>
      <c r="W82" s="404"/>
      <c r="X82" s="404"/>
      <c r="Y82" s="404"/>
      <c r="Z82" s="404"/>
      <c r="AA82" s="404"/>
      <c r="AB82" s="404"/>
      <c r="AC82" s="404"/>
      <c r="AD82" s="404"/>
      <c r="AE82" s="404"/>
      <c r="AF82" s="404"/>
      <c r="AG82" s="404"/>
    </row>
    <row r="83" spans="1:33" ht="12.75" customHeight="1">
      <c r="A83" s="404"/>
      <c r="B83" s="404"/>
      <c r="C83" s="404"/>
      <c r="D83" s="404"/>
      <c r="E83" s="404"/>
      <c r="F83" s="404"/>
      <c r="G83" s="404"/>
      <c r="H83" s="404"/>
      <c r="I83" s="404"/>
      <c r="J83" s="404"/>
      <c r="K83" s="404"/>
      <c r="L83" s="404"/>
      <c r="M83" s="404"/>
      <c r="N83" s="404"/>
      <c r="O83" s="404"/>
      <c r="P83" s="404"/>
      <c r="Q83" s="404"/>
      <c r="R83" s="404"/>
      <c r="S83" s="404"/>
      <c r="T83" s="404"/>
      <c r="U83" s="404"/>
      <c r="V83" s="404"/>
      <c r="W83" s="404"/>
      <c r="X83" s="404"/>
      <c r="Y83" s="404"/>
      <c r="Z83" s="404"/>
      <c r="AA83" s="404"/>
      <c r="AB83" s="404"/>
      <c r="AC83" s="404"/>
      <c r="AD83" s="404"/>
      <c r="AE83" s="404"/>
      <c r="AF83" s="404"/>
      <c r="AG83" s="404"/>
    </row>
    <row r="84" spans="1:33" ht="12.75" customHeight="1">
      <c r="A84" s="404"/>
      <c r="B84" s="404"/>
      <c r="C84" s="404"/>
      <c r="D84" s="404"/>
      <c r="E84" s="404"/>
      <c r="F84" s="404"/>
      <c r="G84" s="404"/>
      <c r="H84" s="404"/>
      <c r="I84" s="404"/>
      <c r="J84" s="404"/>
      <c r="K84" s="404"/>
      <c r="L84" s="404"/>
      <c r="M84" s="404"/>
      <c r="N84" s="404"/>
      <c r="O84" s="404"/>
      <c r="P84" s="404"/>
      <c r="Q84" s="404"/>
      <c r="R84" s="404"/>
      <c r="S84" s="404"/>
      <c r="T84" s="404"/>
      <c r="U84" s="404"/>
      <c r="V84" s="404"/>
      <c r="W84" s="404"/>
      <c r="X84" s="404"/>
      <c r="Y84" s="404"/>
      <c r="Z84" s="404"/>
      <c r="AA84" s="404"/>
      <c r="AB84" s="404"/>
      <c r="AC84" s="404"/>
      <c r="AD84" s="404"/>
      <c r="AE84" s="404"/>
      <c r="AF84" s="404"/>
      <c r="AG84" s="404"/>
    </row>
    <row r="85" spans="1:33" ht="12.75" customHeight="1">
      <c r="A85" s="404"/>
      <c r="B85" s="404"/>
      <c r="C85" s="404"/>
      <c r="D85" s="404"/>
      <c r="E85" s="404"/>
      <c r="F85" s="404"/>
      <c r="G85" s="404"/>
      <c r="H85" s="404"/>
      <c r="I85" s="404"/>
      <c r="J85" s="404"/>
      <c r="K85" s="404"/>
      <c r="L85" s="404"/>
      <c r="M85" s="404"/>
      <c r="N85" s="404"/>
      <c r="O85" s="404"/>
      <c r="P85" s="404"/>
      <c r="Q85" s="404"/>
      <c r="R85" s="404"/>
      <c r="S85" s="404"/>
      <c r="T85" s="404"/>
      <c r="U85" s="404"/>
      <c r="V85" s="404"/>
      <c r="W85" s="404"/>
      <c r="X85" s="404"/>
      <c r="Y85" s="404"/>
      <c r="Z85" s="404"/>
      <c r="AA85" s="404"/>
      <c r="AB85" s="404"/>
      <c r="AC85" s="404"/>
      <c r="AD85" s="404"/>
      <c r="AE85" s="404"/>
      <c r="AF85" s="404"/>
      <c r="AG85" s="404"/>
    </row>
    <row r="86" spans="1:33" ht="12.75" customHeight="1">
      <c r="A86" s="404"/>
      <c r="B86" s="404"/>
      <c r="C86" s="404"/>
      <c r="D86" s="404"/>
      <c r="E86" s="404"/>
      <c r="F86" s="404"/>
      <c r="G86" s="404"/>
      <c r="H86" s="404"/>
      <c r="I86" s="404"/>
      <c r="J86" s="404"/>
      <c r="K86" s="404"/>
      <c r="L86" s="404"/>
      <c r="M86" s="404"/>
      <c r="N86" s="404"/>
      <c r="O86" s="404"/>
      <c r="P86" s="404"/>
      <c r="Q86" s="404"/>
      <c r="R86" s="404"/>
      <c r="S86" s="404"/>
      <c r="T86" s="404"/>
      <c r="U86" s="404"/>
      <c r="V86" s="404"/>
      <c r="W86" s="404"/>
      <c r="X86" s="404"/>
      <c r="Y86" s="404"/>
      <c r="Z86" s="404"/>
      <c r="AA86" s="404"/>
      <c r="AB86" s="404"/>
      <c r="AC86" s="404"/>
      <c r="AD86" s="404"/>
      <c r="AE86" s="404"/>
      <c r="AF86" s="404"/>
      <c r="AG86" s="404"/>
    </row>
    <row r="87" spans="1:33" ht="12.75" customHeight="1">
      <c r="A87" s="404"/>
      <c r="B87" s="404"/>
      <c r="C87" s="404"/>
      <c r="D87" s="404"/>
      <c r="E87" s="404"/>
      <c r="F87" s="404"/>
      <c r="G87" s="404"/>
      <c r="H87" s="404"/>
      <c r="I87" s="404"/>
      <c r="J87" s="404"/>
      <c r="K87" s="404"/>
      <c r="L87" s="404"/>
      <c r="M87" s="404"/>
      <c r="N87" s="404"/>
      <c r="O87" s="404"/>
      <c r="P87" s="404"/>
      <c r="Q87" s="404"/>
      <c r="R87" s="404"/>
      <c r="S87" s="404"/>
      <c r="T87" s="404"/>
      <c r="U87" s="404"/>
      <c r="V87" s="404"/>
      <c r="W87" s="404"/>
      <c r="X87" s="404"/>
      <c r="Y87" s="404"/>
      <c r="Z87" s="404"/>
      <c r="AA87" s="404"/>
      <c r="AB87" s="404"/>
      <c r="AC87" s="404"/>
      <c r="AD87" s="404"/>
      <c r="AE87" s="404"/>
      <c r="AF87" s="404"/>
      <c r="AG87" s="404"/>
    </row>
    <row r="88" spans="1:33" ht="12.75" customHeight="1">
      <c r="A88" s="404"/>
      <c r="B88" s="404"/>
      <c r="C88" s="404"/>
      <c r="D88" s="404"/>
      <c r="E88" s="404"/>
      <c r="F88" s="404"/>
      <c r="G88" s="404"/>
      <c r="H88" s="404"/>
      <c r="I88" s="404"/>
      <c r="J88" s="404"/>
      <c r="K88" s="404"/>
      <c r="L88" s="404"/>
      <c r="M88" s="404"/>
      <c r="N88" s="404"/>
      <c r="O88" s="404"/>
      <c r="P88" s="404"/>
      <c r="Q88" s="404"/>
      <c r="R88" s="404"/>
      <c r="S88" s="404"/>
      <c r="T88" s="404"/>
      <c r="U88" s="404"/>
      <c r="V88" s="404"/>
      <c r="W88" s="404"/>
      <c r="X88" s="404"/>
      <c r="Y88" s="404"/>
      <c r="Z88" s="404"/>
      <c r="AA88" s="404"/>
      <c r="AB88" s="404"/>
      <c r="AC88" s="404"/>
      <c r="AD88" s="404"/>
      <c r="AE88" s="404"/>
      <c r="AF88" s="404"/>
      <c r="AG88" s="404"/>
    </row>
    <row r="89" spans="1:33" ht="12.75" customHeight="1">
      <c r="A89" s="404"/>
      <c r="B89" s="404"/>
      <c r="C89" s="404"/>
      <c r="D89" s="404"/>
      <c r="E89" s="404"/>
      <c r="F89" s="404"/>
      <c r="G89" s="404"/>
      <c r="H89" s="404"/>
      <c r="I89" s="404"/>
      <c r="J89" s="404"/>
      <c r="K89" s="404"/>
      <c r="L89" s="404"/>
      <c r="M89" s="404"/>
      <c r="N89" s="404"/>
      <c r="O89" s="404"/>
      <c r="P89" s="404"/>
      <c r="Q89" s="404"/>
      <c r="R89" s="404"/>
      <c r="S89" s="404"/>
      <c r="T89" s="404"/>
      <c r="U89" s="404"/>
      <c r="V89" s="404"/>
      <c r="W89" s="404"/>
      <c r="X89" s="404"/>
      <c r="Y89" s="404"/>
      <c r="Z89" s="404"/>
      <c r="AA89" s="404"/>
      <c r="AB89" s="404"/>
      <c r="AC89" s="404"/>
      <c r="AD89" s="404"/>
      <c r="AE89" s="404"/>
      <c r="AF89" s="404"/>
      <c r="AG89" s="404"/>
    </row>
    <row r="90" spans="1:33" ht="12.75" customHeight="1">
      <c r="A90" s="404"/>
      <c r="B90" s="404"/>
      <c r="C90" s="404"/>
      <c r="D90" s="404"/>
      <c r="E90" s="404"/>
      <c r="F90" s="404"/>
      <c r="G90" s="404"/>
      <c r="H90" s="404"/>
      <c r="I90" s="404"/>
      <c r="J90" s="404"/>
      <c r="K90" s="404"/>
      <c r="L90" s="404"/>
      <c r="M90" s="404"/>
      <c r="N90" s="404"/>
      <c r="O90" s="404"/>
      <c r="P90" s="404"/>
      <c r="Q90" s="404"/>
      <c r="R90" s="404"/>
      <c r="S90" s="404"/>
      <c r="T90" s="404"/>
      <c r="U90" s="404"/>
      <c r="V90" s="404"/>
      <c r="W90" s="404"/>
      <c r="X90" s="404"/>
      <c r="Y90" s="404"/>
      <c r="Z90" s="404"/>
      <c r="AA90" s="404"/>
      <c r="AB90" s="404"/>
      <c r="AC90" s="404"/>
      <c r="AD90" s="404"/>
      <c r="AE90" s="404"/>
      <c r="AF90" s="404"/>
      <c r="AG90" s="404"/>
    </row>
    <row r="91" spans="1:33" ht="12.75" customHeight="1">
      <c r="A91" s="404"/>
      <c r="B91" s="404"/>
      <c r="C91" s="404"/>
      <c r="D91" s="404"/>
      <c r="E91" s="404"/>
      <c r="F91" s="404"/>
      <c r="G91" s="404"/>
      <c r="H91" s="404"/>
      <c r="I91" s="404"/>
      <c r="J91" s="404"/>
      <c r="K91" s="404"/>
      <c r="L91" s="404"/>
      <c r="M91" s="404"/>
      <c r="N91" s="404"/>
      <c r="O91" s="404"/>
      <c r="P91" s="404"/>
      <c r="Q91" s="404"/>
      <c r="R91" s="404"/>
      <c r="S91" s="404"/>
      <c r="T91" s="404"/>
      <c r="U91" s="404"/>
      <c r="V91" s="404"/>
      <c r="W91" s="404"/>
      <c r="X91" s="404"/>
      <c r="Y91" s="404"/>
      <c r="Z91" s="404"/>
      <c r="AA91" s="404"/>
      <c r="AB91" s="404"/>
      <c r="AC91" s="404"/>
      <c r="AD91" s="404"/>
      <c r="AE91" s="404"/>
      <c r="AF91" s="404"/>
      <c r="AG91" s="404"/>
    </row>
    <row r="92" spans="1:33" ht="12.75" customHeight="1">
      <c r="A92" s="404"/>
      <c r="B92" s="404"/>
      <c r="C92" s="404"/>
      <c r="D92" s="404"/>
      <c r="E92" s="404"/>
      <c r="F92" s="404"/>
      <c r="G92" s="404"/>
      <c r="H92" s="404"/>
      <c r="I92" s="404"/>
      <c r="J92" s="404"/>
      <c r="K92" s="404"/>
      <c r="L92" s="404"/>
      <c r="M92" s="404"/>
      <c r="N92" s="404"/>
      <c r="O92" s="404"/>
      <c r="P92" s="404"/>
      <c r="Q92" s="404"/>
      <c r="R92" s="404"/>
      <c r="S92" s="404"/>
      <c r="T92" s="404"/>
      <c r="U92" s="404"/>
      <c r="V92" s="404"/>
      <c r="W92" s="404"/>
      <c r="X92" s="404"/>
      <c r="Y92" s="404"/>
      <c r="Z92" s="404"/>
      <c r="AA92" s="404"/>
      <c r="AB92" s="404"/>
      <c r="AC92" s="404"/>
      <c r="AD92" s="404"/>
      <c r="AE92" s="404"/>
      <c r="AF92" s="404"/>
      <c r="AG92" s="404"/>
    </row>
    <row r="93" spans="1:33" ht="12.75" customHeight="1">
      <c r="A93" s="404"/>
      <c r="B93" s="404"/>
      <c r="C93" s="404"/>
      <c r="D93" s="404"/>
      <c r="E93" s="404"/>
      <c r="F93" s="404"/>
      <c r="G93" s="404"/>
      <c r="H93" s="404"/>
      <c r="I93" s="404"/>
      <c r="J93" s="404"/>
      <c r="K93" s="404"/>
      <c r="L93" s="404"/>
      <c r="M93" s="404"/>
      <c r="N93" s="404"/>
      <c r="O93" s="404"/>
      <c r="P93" s="404"/>
      <c r="Q93" s="404"/>
      <c r="R93" s="404"/>
      <c r="S93" s="404"/>
      <c r="T93" s="404"/>
      <c r="U93" s="404"/>
      <c r="V93" s="404"/>
      <c r="W93" s="404"/>
      <c r="X93" s="404"/>
      <c r="Y93" s="404"/>
      <c r="Z93" s="404"/>
      <c r="AA93" s="404"/>
      <c r="AB93" s="404"/>
      <c r="AC93" s="404"/>
      <c r="AD93" s="404"/>
      <c r="AE93" s="404"/>
      <c r="AF93" s="404"/>
      <c r="AG93" s="404"/>
    </row>
    <row r="94" spans="1:33" ht="12.75" customHeight="1">
      <c r="A94" s="404"/>
      <c r="B94" s="404"/>
      <c r="C94" s="404"/>
      <c r="D94" s="404"/>
      <c r="E94" s="404"/>
      <c r="F94" s="404"/>
      <c r="G94" s="404"/>
      <c r="H94" s="404"/>
      <c r="I94" s="404"/>
      <c r="J94" s="404"/>
      <c r="K94" s="404"/>
      <c r="L94" s="404"/>
      <c r="M94" s="404"/>
      <c r="N94" s="404"/>
      <c r="O94" s="404"/>
      <c r="P94" s="404"/>
      <c r="Q94" s="404"/>
      <c r="R94" s="404"/>
      <c r="S94" s="404"/>
      <c r="T94" s="404"/>
      <c r="U94" s="404"/>
      <c r="V94" s="404"/>
      <c r="W94" s="404"/>
      <c r="X94" s="404"/>
      <c r="Y94" s="404"/>
      <c r="Z94" s="404"/>
      <c r="AA94" s="404"/>
      <c r="AB94" s="404"/>
      <c r="AC94" s="404"/>
      <c r="AD94" s="404"/>
      <c r="AE94" s="404"/>
      <c r="AF94" s="404"/>
      <c r="AG94" s="404"/>
    </row>
    <row r="95" spans="1:33" ht="12.75" customHeight="1">
      <c r="A95" s="404"/>
      <c r="B95" s="404"/>
      <c r="C95" s="404"/>
      <c r="D95" s="404"/>
      <c r="E95" s="404"/>
      <c r="F95" s="404"/>
      <c r="G95" s="404"/>
      <c r="H95" s="404"/>
      <c r="I95" s="404"/>
      <c r="J95" s="404"/>
      <c r="K95" s="404"/>
      <c r="L95" s="404"/>
      <c r="M95" s="404"/>
      <c r="N95" s="404"/>
      <c r="O95" s="404"/>
      <c r="P95" s="404"/>
      <c r="Q95" s="404"/>
      <c r="R95" s="404"/>
      <c r="S95" s="404"/>
      <c r="T95" s="404"/>
      <c r="U95" s="404"/>
      <c r="V95" s="404"/>
      <c r="W95" s="404"/>
      <c r="X95" s="404"/>
      <c r="Y95" s="404"/>
      <c r="Z95" s="404"/>
      <c r="AA95" s="404"/>
      <c r="AB95" s="404"/>
      <c r="AC95" s="404"/>
      <c r="AD95" s="404"/>
      <c r="AE95" s="404"/>
      <c r="AF95" s="404"/>
      <c r="AG95" s="404"/>
    </row>
    <row r="96" spans="1:33" ht="12.75" customHeight="1">
      <c r="A96" s="404"/>
      <c r="B96" s="404"/>
      <c r="C96" s="404"/>
      <c r="D96" s="404"/>
      <c r="E96" s="404"/>
      <c r="F96" s="404"/>
      <c r="G96" s="404"/>
      <c r="H96" s="404"/>
      <c r="I96" s="404"/>
      <c r="J96" s="404"/>
      <c r="K96" s="404"/>
      <c r="L96" s="404"/>
      <c r="M96" s="404"/>
      <c r="N96" s="404"/>
      <c r="O96" s="404"/>
      <c r="P96" s="404"/>
      <c r="Q96" s="404"/>
      <c r="R96" s="404"/>
      <c r="S96" s="404"/>
      <c r="T96" s="404"/>
      <c r="U96" s="404"/>
      <c r="V96" s="404"/>
      <c r="W96" s="404"/>
      <c r="X96" s="404"/>
      <c r="Y96" s="404"/>
      <c r="Z96" s="404"/>
      <c r="AA96" s="404"/>
      <c r="AB96" s="404"/>
      <c r="AC96" s="404"/>
      <c r="AD96" s="404"/>
      <c r="AE96" s="404"/>
      <c r="AF96" s="404"/>
      <c r="AG96" s="404"/>
    </row>
    <row r="97" spans="1:33" ht="12.75" customHeight="1">
      <c r="A97" s="404"/>
      <c r="B97" s="404"/>
      <c r="C97" s="404"/>
      <c r="D97" s="404"/>
      <c r="E97" s="404"/>
      <c r="F97" s="404"/>
      <c r="G97" s="404"/>
      <c r="H97" s="404"/>
      <c r="I97" s="404"/>
      <c r="J97" s="404"/>
      <c r="K97" s="404"/>
      <c r="L97" s="404"/>
      <c r="M97" s="404"/>
      <c r="N97" s="404"/>
      <c r="O97" s="404"/>
      <c r="P97" s="404"/>
      <c r="Q97" s="404"/>
      <c r="R97" s="404"/>
      <c r="S97" s="404"/>
      <c r="T97" s="404"/>
      <c r="U97" s="404"/>
      <c r="V97" s="404"/>
      <c r="W97" s="404"/>
      <c r="X97" s="404"/>
      <c r="Y97" s="404"/>
      <c r="Z97" s="404"/>
      <c r="AA97" s="404"/>
      <c r="AB97" s="404"/>
      <c r="AC97" s="404"/>
      <c r="AD97" s="404"/>
      <c r="AE97" s="404"/>
      <c r="AF97" s="404"/>
      <c r="AG97" s="404"/>
    </row>
    <row r="98" spans="1:33" ht="12.75" customHeight="1">
      <c r="A98" s="404"/>
      <c r="B98" s="404"/>
      <c r="C98" s="404"/>
      <c r="D98" s="404"/>
      <c r="E98" s="404"/>
      <c r="F98" s="404"/>
      <c r="G98" s="404"/>
      <c r="H98" s="404"/>
      <c r="I98" s="404"/>
      <c r="J98" s="404"/>
      <c r="K98" s="404"/>
      <c r="L98" s="404"/>
      <c r="M98" s="404"/>
      <c r="N98" s="404"/>
      <c r="O98" s="404"/>
      <c r="P98" s="404"/>
      <c r="Q98" s="404"/>
      <c r="R98" s="404"/>
      <c r="S98" s="404"/>
      <c r="T98" s="404"/>
      <c r="U98" s="404"/>
      <c r="V98" s="404"/>
      <c r="W98" s="404"/>
      <c r="X98" s="404"/>
      <c r="Y98" s="404"/>
      <c r="Z98" s="404"/>
      <c r="AA98" s="404"/>
      <c r="AB98" s="404"/>
      <c r="AC98" s="404"/>
      <c r="AD98" s="404"/>
      <c r="AE98" s="404"/>
      <c r="AF98" s="404"/>
      <c r="AG98" s="404"/>
    </row>
    <row r="99" spans="1:33" ht="12.75" customHeight="1">
      <c r="A99" s="404"/>
      <c r="B99" s="404"/>
      <c r="C99" s="404"/>
      <c r="D99" s="404"/>
      <c r="E99" s="404"/>
      <c r="F99" s="404"/>
      <c r="G99" s="404"/>
      <c r="H99" s="404"/>
      <c r="I99" s="404"/>
      <c r="J99" s="404"/>
      <c r="K99" s="404"/>
      <c r="L99" s="404"/>
      <c r="M99" s="404"/>
      <c r="N99" s="404"/>
      <c r="O99" s="404"/>
      <c r="P99" s="404"/>
      <c r="Q99" s="404"/>
      <c r="R99" s="404"/>
      <c r="S99" s="404"/>
      <c r="T99" s="404"/>
      <c r="U99" s="404"/>
      <c r="V99" s="404"/>
      <c r="W99" s="404"/>
      <c r="X99" s="404"/>
      <c r="Y99" s="404"/>
      <c r="Z99" s="404"/>
      <c r="AA99" s="404"/>
      <c r="AB99" s="404"/>
      <c r="AC99" s="404"/>
      <c r="AD99" s="404"/>
      <c r="AE99" s="404"/>
      <c r="AF99" s="404"/>
      <c r="AG99" s="404"/>
    </row>
    <row r="100" spans="1:33" ht="12.75" customHeight="1">
      <c r="A100" s="404"/>
      <c r="B100" s="404"/>
      <c r="C100" s="404"/>
      <c r="D100" s="404"/>
      <c r="E100" s="404"/>
      <c r="F100" s="404"/>
      <c r="G100" s="404"/>
      <c r="H100" s="404"/>
      <c r="I100" s="404"/>
      <c r="J100" s="404"/>
      <c r="K100" s="404"/>
      <c r="L100" s="404"/>
      <c r="M100" s="404"/>
      <c r="N100" s="404"/>
      <c r="O100" s="404"/>
      <c r="P100" s="404"/>
      <c r="Q100" s="404"/>
      <c r="R100" s="404"/>
      <c r="S100" s="404"/>
      <c r="T100" s="404"/>
      <c r="U100" s="404"/>
      <c r="V100" s="404"/>
      <c r="W100" s="404"/>
      <c r="X100" s="404"/>
      <c r="Y100" s="404"/>
      <c r="Z100" s="404"/>
      <c r="AA100" s="404"/>
      <c r="AB100" s="404"/>
      <c r="AC100" s="404"/>
      <c r="AD100" s="404"/>
      <c r="AE100" s="404"/>
      <c r="AF100" s="404"/>
      <c r="AG100" s="404"/>
    </row>
    <row r="101" spans="1:33" ht="12.75" customHeight="1">
      <c r="A101" s="404"/>
      <c r="B101" s="404"/>
      <c r="C101" s="404"/>
      <c r="D101" s="404"/>
      <c r="E101" s="404"/>
      <c r="F101" s="404"/>
      <c r="G101" s="404"/>
      <c r="H101" s="404"/>
      <c r="I101" s="404"/>
      <c r="J101" s="404"/>
      <c r="K101" s="404"/>
      <c r="L101" s="404"/>
      <c r="M101" s="404"/>
      <c r="N101" s="404"/>
      <c r="O101" s="404"/>
      <c r="P101" s="404"/>
      <c r="Q101" s="404"/>
      <c r="R101" s="404"/>
      <c r="S101" s="404"/>
      <c r="T101" s="404"/>
      <c r="U101" s="404"/>
      <c r="V101" s="404"/>
      <c r="W101" s="404"/>
      <c r="X101" s="404"/>
      <c r="Y101" s="404"/>
      <c r="Z101" s="404"/>
      <c r="AA101" s="404"/>
      <c r="AB101" s="404"/>
      <c r="AC101" s="404"/>
      <c r="AD101" s="404"/>
      <c r="AE101" s="404"/>
      <c r="AF101" s="404"/>
      <c r="AG101" s="404"/>
    </row>
    <row r="102" spans="1:33" ht="12.75" customHeight="1">
      <c r="A102" s="404"/>
      <c r="B102" s="404"/>
      <c r="C102" s="404"/>
      <c r="D102" s="404"/>
      <c r="E102" s="404"/>
      <c r="F102" s="404"/>
      <c r="G102" s="404"/>
      <c r="H102" s="404"/>
      <c r="I102" s="404"/>
      <c r="J102" s="404"/>
      <c r="K102" s="404"/>
      <c r="L102" s="404"/>
      <c r="M102" s="404"/>
      <c r="N102" s="404"/>
      <c r="O102" s="404"/>
      <c r="P102" s="404"/>
      <c r="Q102" s="404"/>
      <c r="R102" s="404"/>
      <c r="S102" s="404"/>
      <c r="T102" s="404"/>
      <c r="U102" s="404"/>
      <c r="V102" s="404"/>
      <c r="W102" s="404"/>
      <c r="X102" s="404"/>
      <c r="Y102" s="404"/>
      <c r="Z102" s="404"/>
      <c r="AA102" s="404"/>
      <c r="AB102" s="404"/>
      <c r="AC102" s="404"/>
      <c r="AD102" s="404"/>
      <c r="AE102" s="404"/>
      <c r="AF102" s="404"/>
      <c r="AG102" s="404"/>
    </row>
    <row r="103" spans="1:33" ht="12.75" customHeight="1">
      <c r="A103" s="404"/>
      <c r="B103" s="404"/>
      <c r="C103" s="404"/>
      <c r="D103" s="404"/>
      <c r="E103" s="404"/>
      <c r="F103" s="404"/>
      <c r="G103" s="404"/>
      <c r="H103" s="404"/>
      <c r="I103" s="404"/>
      <c r="J103" s="404"/>
      <c r="K103" s="404"/>
      <c r="L103" s="404"/>
      <c r="M103" s="404"/>
      <c r="N103" s="404"/>
      <c r="O103" s="404"/>
      <c r="P103" s="404"/>
      <c r="Q103" s="404"/>
      <c r="R103" s="404"/>
      <c r="S103" s="404"/>
      <c r="T103" s="404"/>
      <c r="U103" s="404"/>
      <c r="V103" s="404"/>
      <c r="W103" s="404"/>
      <c r="X103" s="404"/>
      <c r="Y103" s="404"/>
      <c r="Z103" s="404"/>
      <c r="AA103" s="404"/>
      <c r="AB103" s="404"/>
      <c r="AC103" s="404"/>
      <c r="AD103" s="404"/>
      <c r="AE103" s="404"/>
      <c r="AF103" s="404"/>
      <c r="AG103" s="404"/>
    </row>
    <row r="104" spans="1:33" ht="12.75" customHeight="1">
      <c r="A104" s="404"/>
      <c r="B104" s="404"/>
      <c r="C104" s="404"/>
      <c r="D104" s="404"/>
      <c r="E104" s="404"/>
      <c r="F104" s="404"/>
      <c r="G104" s="404"/>
      <c r="H104" s="404"/>
      <c r="I104" s="404"/>
      <c r="J104" s="404"/>
      <c r="K104" s="404"/>
      <c r="L104" s="404"/>
      <c r="M104" s="404"/>
      <c r="N104" s="404"/>
      <c r="O104" s="404"/>
      <c r="P104" s="404"/>
      <c r="Q104" s="404"/>
      <c r="R104" s="404"/>
      <c r="S104" s="404"/>
      <c r="T104" s="404"/>
      <c r="U104" s="404"/>
      <c r="V104" s="404"/>
      <c r="W104" s="404"/>
      <c r="X104" s="404"/>
      <c r="Y104" s="404"/>
      <c r="Z104" s="404"/>
      <c r="AA104" s="404"/>
      <c r="AB104" s="404"/>
      <c r="AC104" s="404"/>
      <c r="AD104" s="404"/>
      <c r="AE104" s="404"/>
      <c r="AF104" s="404"/>
      <c r="AG104" s="404"/>
    </row>
    <row r="105" spans="1:33" ht="12.75" customHeight="1">
      <c r="A105" s="404"/>
      <c r="B105" s="404"/>
      <c r="C105" s="404"/>
      <c r="D105" s="404"/>
      <c r="E105" s="404"/>
      <c r="F105" s="404"/>
      <c r="G105" s="404"/>
      <c r="H105" s="404"/>
      <c r="I105" s="404"/>
      <c r="J105" s="404"/>
      <c r="K105" s="404"/>
      <c r="L105" s="404"/>
      <c r="M105" s="404"/>
      <c r="N105" s="404"/>
      <c r="O105" s="404"/>
      <c r="P105" s="404"/>
      <c r="Q105" s="404"/>
      <c r="R105" s="404"/>
      <c r="S105" s="404"/>
      <c r="T105" s="404"/>
      <c r="U105" s="404"/>
      <c r="V105" s="404"/>
      <c r="W105" s="404"/>
      <c r="X105" s="404"/>
      <c r="Y105" s="404"/>
      <c r="Z105" s="404"/>
      <c r="AA105" s="404"/>
      <c r="AB105" s="404"/>
      <c r="AC105" s="404"/>
      <c r="AD105" s="404"/>
      <c r="AE105" s="404"/>
      <c r="AF105" s="404"/>
      <c r="AG105" s="404"/>
    </row>
    <row r="106" spans="1:33" ht="12.75" customHeight="1">
      <c r="A106" s="404"/>
      <c r="B106" s="404"/>
      <c r="C106" s="404"/>
      <c r="D106" s="404"/>
      <c r="E106" s="404"/>
      <c r="F106" s="404"/>
      <c r="G106" s="404"/>
      <c r="H106" s="404"/>
      <c r="I106" s="404"/>
      <c r="J106" s="404"/>
      <c r="K106" s="404"/>
      <c r="L106" s="404"/>
      <c r="M106" s="404"/>
      <c r="N106" s="404"/>
      <c r="O106" s="404"/>
      <c r="P106" s="404"/>
      <c r="Q106" s="404"/>
      <c r="R106" s="404"/>
      <c r="S106" s="404"/>
      <c r="T106" s="404"/>
      <c r="U106" s="404"/>
      <c r="V106" s="404"/>
      <c r="W106" s="404"/>
      <c r="X106" s="404"/>
      <c r="Y106" s="404"/>
      <c r="Z106" s="404"/>
      <c r="AA106" s="404"/>
      <c r="AB106" s="404"/>
      <c r="AC106" s="404"/>
      <c r="AD106" s="404"/>
      <c r="AE106" s="404"/>
      <c r="AF106" s="404"/>
      <c r="AG106" s="404"/>
    </row>
    <row r="107" spans="1:33" ht="12.75" customHeight="1">
      <c r="A107" s="404"/>
      <c r="B107" s="404"/>
      <c r="C107" s="404"/>
      <c r="D107" s="404"/>
      <c r="E107" s="404"/>
      <c r="F107" s="404"/>
      <c r="G107" s="404"/>
      <c r="H107" s="404"/>
      <c r="I107" s="404"/>
      <c r="J107" s="404"/>
      <c r="K107" s="404"/>
      <c r="L107" s="404"/>
      <c r="M107" s="404"/>
      <c r="N107" s="404"/>
      <c r="O107" s="404"/>
      <c r="P107" s="404"/>
      <c r="Q107" s="404"/>
      <c r="R107" s="404"/>
      <c r="S107" s="404"/>
      <c r="T107" s="404"/>
      <c r="U107" s="404"/>
      <c r="V107" s="404"/>
      <c r="W107" s="404"/>
      <c r="X107" s="404"/>
      <c r="Y107" s="404"/>
      <c r="Z107" s="404"/>
      <c r="AA107" s="404"/>
      <c r="AB107" s="404"/>
      <c r="AC107" s="404"/>
      <c r="AD107" s="404"/>
      <c r="AE107" s="404"/>
      <c r="AF107" s="404"/>
      <c r="AG107" s="404"/>
    </row>
    <row r="108" spans="1:33" ht="12.75" customHeight="1">
      <c r="A108" s="404"/>
      <c r="B108" s="404"/>
      <c r="C108" s="404"/>
      <c r="D108" s="404"/>
      <c r="E108" s="404"/>
      <c r="F108" s="404"/>
      <c r="G108" s="404"/>
      <c r="H108" s="404"/>
      <c r="I108" s="404"/>
      <c r="J108" s="404"/>
      <c r="K108" s="404"/>
      <c r="L108" s="404"/>
      <c r="M108" s="404"/>
      <c r="N108" s="404"/>
      <c r="O108" s="404"/>
      <c r="P108" s="404"/>
      <c r="Q108" s="404"/>
      <c r="R108" s="404"/>
      <c r="S108" s="404"/>
      <c r="T108" s="404"/>
      <c r="U108" s="404"/>
      <c r="V108" s="404"/>
      <c r="W108" s="404"/>
      <c r="X108" s="404"/>
      <c r="Y108" s="404"/>
      <c r="Z108" s="404"/>
      <c r="AA108" s="404"/>
      <c r="AB108" s="404"/>
      <c r="AC108" s="404"/>
      <c r="AD108" s="404"/>
      <c r="AE108" s="404"/>
      <c r="AF108" s="404"/>
      <c r="AG108" s="404"/>
    </row>
    <row r="109" spans="1:33" ht="12.75" customHeight="1">
      <c r="A109" s="404"/>
      <c r="B109" s="404"/>
      <c r="C109" s="404"/>
      <c r="D109" s="404"/>
      <c r="E109" s="404"/>
      <c r="F109" s="404"/>
      <c r="G109" s="404"/>
      <c r="H109" s="404"/>
      <c r="I109" s="404"/>
      <c r="J109" s="404"/>
      <c r="K109" s="404"/>
      <c r="L109" s="404"/>
      <c r="M109" s="404"/>
      <c r="N109" s="404"/>
      <c r="O109" s="404"/>
      <c r="P109" s="404"/>
      <c r="Q109" s="404"/>
      <c r="R109" s="404"/>
      <c r="S109" s="404"/>
      <c r="T109" s="404"/>
      <c r="U109" s="404"/>
      <c r="V109" s="404"/>
      <c r="W109" s="404"/>
      <c r="X109" s="404"/>
      <c r="Y109" s="404"/>
      <c r="Z109" s="404"/>
      <c r="AA109" s="404"/>
      <c r="AB109" s="404"/>
      <c r="AC109" s="404"/>
      <c r="AD109" s="404"/>
      <c r="AE109" s="404"/>
      <c r="AF109" s="404"/>
      <c r="AG109" s="404"/>
    </row>
    <row r="110" spans="1:33" ht="12.75" customHeight="1">
      <c r="A110" s="404"/>
      <c r="B110" s="404"/>
      <c r="C110" s="404"/>
      <c r="D110" s="404"/>
      <c r="E110" s="404"/>
      <c r="F110" s="404"/>
      <c r="G110" s="404"/>
      <c r="H110" s="404"/>
      <c r="I110" s="404"/>
      <c r="J110" s="404"/>
      <c r="K110" s="404"/>
      <c r="L110" s="404"/>
      <c r="M110" s="404"/>
      <c r="N110" s="404"/>
      <c r="O110" s="404"/>
      <c r="P110" s="404"/>
      <c r="Q110" s="404"/>
      <c r="R110" s="404"/>
      <c r="S110" s="404"/>
      <c r="T110" s="404"/>
      <c r="U110" s="404"/>
      <c r="V110" s="404"/>
      <c r="W110" s="404"/>
      <c r="X110" s="404"/>
      <c r="Y110" s="404"/>
      <c r="Z110" s="404"/>
      <c r="AA110" s="404"/>
      <c r="AB110" s="404"/>
      <c r="AC110" s="404"/>
      <c r="AD110" s="404"/>
      <c r="AE110" s="404"/>
      <c r="AF110" s="404"/>
      <c r="AG110" s="404"/>
    </row>
    <row r="111" spans="1:33" ht="12.75" customHeight="1">
      <c r="A111" s="404"/>
      <c r="B111" s="404"/>
      <c r="C111" s="404"/>
      <c r="D111" s="404"/>
      <c r="E111" s="404"/>
      <c r="F111" s="404"/>
      <c r="G111" s="404"/>
      <c r="H111" s="404"/>
      <c r="I111" s="404"/>
      <c r="J111" s="404"/>
      <c r="K111" s="404"/>
      <c r="L111" s="404"/>
      <c r="M111" s="404"/>
      <c r="N111" s="404"/>
      <c r="O111" s="404"/>
      <c r="P111" s="404"/>
      <c r="Q111" s="404"/>
      <c r="R111" s="404"/>
      <c r="S111" s="404"/>
      <c r="T111" s="404"/>
      <c r="U111" s="404"/>
      <c r="V111" s="404"/>
      <c r="W111" s="404"/>
      <c r="X111" s="404"/>
      <c r="Y111" s="404"/>
      <c r="Z111" s="404"/>
      <c r="AA111" s="404"/>
      <c r="AB111" s="404"/>
      <c r="AC111" s="404"/>
      <c r="AD111" s="404"/>
      <c r="AE111" s="404"/>
      <c r="AF111" s="404"/>
      <c r="AG111" s="404"/>
    </row>
    <row r="112" spans="1:33" ht="12.75" customHeight="1">
      <c r="A112" s="404"/>
      <c r="B112" s="404"/>
      <c r="C112" s="404"/>
      <c r="D112" s="404"/>
      <c r="E112" s="404"/>
      <c r="F112" s="404"/>
      <c r="G112" s="404"/>
      <c r="H112" s="404"/>
      <c r="I112" s="404"/>
      <c r="J112" s="404"/>
      <c r="K112" s="404"/>
      <c r="L112" s="404"/>
      <c r="M112" s="404"/>
      <c r="N112" s="404"/>
      <c r="O112" s="404"/>
      <c r="P112" s="404"/>
      <c r="Q112" s="404"/>
      <c r="R112" s="404"/>
      <c r="S112" s="404"/>
      <c r="T112" s="404"/>
      <c r="U112" s="404"/>
      <c r="V112" s="404"/>
      <c r="W112" s="404"/>
      <c r="X112" s="404"/>
      <c r="Y112" s="404"/>
      <c r="Z112" s="404"/>
      <c r="AA112" s="404"/>
      <c r="AB112" s="404"/>
      <c r="AC112" s="404"/>
      <c r="AD112" s="404"/>
      <c r="AE112" s="404"/>
      <c r="AF112" s="404"/>
      <c r="AG112" s="404"/>
    </row>
    <row r="113" spans="1:33" ht="12.75" customHeight="1">
      <c r="A113" s="404"/>
      <c r="B113" s="404"/>
      <c r="C113" s="404"/>
      <c r="D113" s="404"/>
      <c r="E113" s="404"/>
      <c r="F113" s="404"/>
      <c r="G113" s="404"/>
      <c r="H113" s="404"/>
      <c r="I113" s="404"/>
      <c r="J113" s="404"/>
      <c r="K113" s="404"/>
      <c r="L113" s="404"/>
      <c r="M113" s="404"/>
      <c r="N113" s="404"/>
      <c r="O113" s="404"/>
      <c r="P113" s="404"/>
      <c r="Q113" s="404"/>
      <c r="R113" s="404"/>
      <c r="S113" s="404"/>
      <c r="T113" s="404"/>
      <c r="U113" s="404"/>
      <c r="V113" s="404"/>
      <c r="W113" s="404"/>
      <c r="X113" s="404"/>
      <c r="Y113" s="404"/>
      <c r="Z113" s="404"/>
      <c r="AA113" s="404"/>
      <c r="AB113" s="404"/>
      <c r="AC113" s="404"/>
      <c r="AD113" s="404"/>
      <c r="AE113" s="404"/>
      <c r="AF113" s="404"/>
      <c r="AG113" s="404"/>
    </row>
    <row r="114" spans="1:33" ht="12.75" customHeight="1">
      <c r="A114" s="404"/>
      <c r="B114" s="404"/>
      <c r="C114" s="404"/>
      <c r="D114" s="404"/>
      <c r="E114" s="404"/>
      <c r="F114" s="404"/>
      <c r="G114" s="404"/>
      <c r="H114" s="404"/>
      <c r="I114" s="404"/>
      <c r="J114" s="404"/>
      <c r="K114" s="404"/>
      <c r="L114" s="404"/>
      <c r="M114" s="404"/>
      <c r="N114" s="404"/>
      <c r="O114" s="404"/>
      <c r="P114" s="404"/>
      <c r="Q114" s="404"/>
      <c r="R114" s="404"/>
      <c r="S114" s="404"/>
      <c r="T114" s="404"/>
      <c r="U114" s="404"/>
      <c r="V114" s="404"/>
      <c r="W114" s="404"/>
      <c r="X114" s="404"/>
      <c r="Y114" s="404"/>
      <c r="Z114" s="404"/>
      <c r="AA114" s="404"/>
      <c r="AB114" s="404"/>
      <c r="AC114" s="404"/>
      <c r="AD114" s="404"/>
      <c r="AE114" s="404"/>
      <c r="AF114" s="404"/>
      <c r="AG114" s="404"/>
    </row>
    <row r="115" spans="1:33" ht="12.75" customHeight="1">
      <c r="A115" s="404"/>
      <c r="B115" s="404"/>
      <c r="C115" s="404"/>
      <c r="D115" s="404"/>
      <c r="E115" s="404"/>
      <c r="F115" s="404"/>
      <c r="G115" s="404"/>
      <c r="H115" s="404"/>
      <c r="I115" s="404"/>
      <c r="J115" s="404"/>
      <c r="K115" s="404"/>
      <c r="L115" s="404"/>
      <c r="M115" s="404"/>
      <c r="N115" s="404"/>
      <c r="O115" s="404"/>
      <c r="P115" s="404"/>
      <c r="Q115" s="404"/>
      <c r="R115" s="404"/>
      <c r="S115" s="404"/>
      <c r="T115" s="404"/>
      <c r="U115" s="404"/>
      <c r="V115" s="404"/>
      <c r="W115" s="404"/>
      <c r="X115" s="404"/>
      <c r="Y115" s="404"/>
      <c r="Z115" s="404"/>
      <c r="AA115" s="404"/>
      <c r="AB115" s="404"/>
      <c r="AC115" s="404"/>
      <c r="AD115" s="404"/>
      <c r="AE115" s="404"/>
      <c r="AF115" s="404"/>
      <c r="AG115" s="404"/>
    </row>
    <row r="116" spans="1:33" ht="12.75" customHeight="1">
      <c r="A116" s="404"/>
      <c r="B116" s="404"/>
      <c r="C116" s="404"/>
      <c r="D116" s="404"/>
      <c r="E116" s="404"/>
      <c r="F116" s="404"/>
      <c r="G116" s="404"/>
      <c r="H116" s="404"/>
      <c r="I116" s="404"/>
      <c r="J116" s="404"/>
      <c r="K116" s="404"/>
      <c r="L116" s="404"/>
      <c r="M116" s="404"/>
      <c r="N116" s="404"/>
      <c r="O116" s="404"/>
      <c r="P116" s="404"/>
      <c r="Q116" s="404"/>
      <c r="R116" s="404"/>
      <c r="S116" s="404"/>
      <c r="T116" s="404"/>
      <c r="U116" s="404"/>
      <c r="V116" s="404"/>
      <c r="W116" s="404"/>
      <c r="X116" s="404"/>
      <c r="Y116" s="404"/>
      <c r="Z116" s="404"/>
      <c r="AA116" s="404"/>
      <c r="AB116" s="404"/>
      <c r="AC116" s="404"/>
      <c r="AD116" s="404"/>
      <c r="AE116" s="404"/>
      <c r="AF116" s="404"/>
      <c r="AG116" s="404"/>
    </row>
    <row r="117" spans="1:33" ht="12.75" customHeight="1">
      <c r="A117" s="404"/>
      <c r="B117" s="404"/>
      <c r="C117" s="404"/>
      <c r="D117" s="404"/>
      <c r="E117" s="404"/>
      <c r="F117" s="404"/>
      <c r="G117" s="404"/>
      <c r="H117" s="404"/>
      <c r="I117" s="404"/>
      <c r="J117" s="404"/>
      <c r="K117" s="404"/>
      <c r="L117" s="404"/>
      <c r="M117" s="404"/>
      <c r="N117" s="404"/>
      <c r="O117" s="404"/>
      <c r="P117" s="404"/>
      <c r="Q117" s="404"/>
      <c r="R117" s="404"/>
      <c r="S117" s="404"/>
      <c r="T117" s="404"/>
      <c r="U117" s="404"/>
      <c r="V117" s="404"/>
      <c r="W117" s="404"/>
      <c r="X117" s="404"/>
      <c r="Y117" s="404"/>
      <c r="Z117" s="404"/>
      <c r="AA117" s="404"/>
      <c r="AB117" s="404"/>
      <c r="AC117" s="404"/>
      <c r="AD117" s="404"/>
      <c r="AE117" s="404"/>
      <c r="AF117" s="404"/>
      <c r="AG117" s="404"/>
    </row>
    <row r="118" spans="1:33" ht="12.75" customHeight="1">
      <c r="A118" s="404"/>
      <c r="B118" s="404"/>
      <c r="C118" s="404"/>
      <c r="D118" s="404"/>
      <c r="E118" s="404"/>
      <c r="F118" s="404"/>
      <c r="G118" s="404"/>
      <c r="H118" s="404"/>
      <c r="I118" s="404"/>
      <c r="J118" s="404"/>
      <c r="K118" s="404"/>
      <c r="L118" s="404"/>
      <c r="M118" s="404"/>
      <c r="N118" s="404"/>
      <c r="O118" s="404"/>
      <c r="P118" s="404"/>
      <c r="Q118" s="404"/>
      <c r="R118" s="404"/>
      <c r="S118" s="404"/>
      <c r="T118" s="404"/>
      <c r="U118" s="404"/>
      <c r="V118" s="404"/>
      <c r="W118" s="404"/>
      <c r="X118" s="404"/>
      <c r="Y118" s="404"/>
      <c r="Z118" s="404"/>
      <c r="AA118" s="404"/>
      <c r="AB118" s="404"/>
      <c r="AC118" s="404"/>
      <c r="AD118" s="404"/>
      <c r="AE118" s="404"/>
      <c r="AF118" s="404"/>
      <c r="AG118" s="404"/>
    </row>
    <row r="119" spans="1:33" ht="12.75" customHeight="1">
      <c r="A119" s="404"/>
      <c r="B119" s="404"/>
      <c r="C119" s="404"/>
      <c r="D119" s="404"/>
      <c r="E119" s="404"/>
      <c r="F119" s="404"/>
      <c r="G119" s="404"/>
      <c r="H119" s="404"/>
      <c r="I119" s="404"/>
      <c r="J119" s="404"/>
      <c r="K119" s="404"/>
      <c r="L119" s="404"/>
      <c r="M119" s="404"/>
      <c r="N119" s="404"/>
      <c r="O119" s="404"/>
      <c r="P119" s="404"/>
      <c r="Q119" s="404"/>
      <c r="R119" s="404"/>
      <c r="S119" s="404"/>
      <c r="T119" s="404"/>
      <c r="U119" s="404"/>
      <c r="V119" s="404"/>
      <c r="W119" s="404"/>
      <c r="X119" s="404"/>
      <c r="Y119" s="404"/>
      <c r="Z119" s="404"/>
      <c r="AA119" s="404"/>
      <c r="AB119" s="404"/>
      <c r="AC119" s="404"/>
      <c r="AD119" s="404"/>
      <c r="AE119" s="404"/>
      <c r="AF119" s="404"/>
      <c r="AG119" s="404"/>
    </row>
    <row r="120" spans="1:33" ht="12.75" customHeight="1">
      <c r="A120" s="404"/>
      <c r="B120" s="404"/>
      <c r="C120" s="404"/>
      <c r="D120" s="404"/>
      <c r="E120" s="404"/>
      <c r="F120" s="404"/>
      <c r="G120" s="404"/>
      <c r="H120" s="404"/>
      <c r="I120" s="404"/>
      <c r="J120" s="404"/>
      <c r="K120" s="404"/>
      <c r="L120" s="404"/>
      <c r="M120" s="404"/>
      <c r="N120" s="404"/>
      <c r="O120" s="404"/>
      <c r="P120" s="404"/>
      <c r="Q120" s="404"/>
      <c r="R120" s="404"/>
      <c r="S120" s="404"/>
      <c r="T120" s="404"/>
      <c r="U120" s="404"/>
      <c r="V120" s="404"/>
      <c r="W120" s="404"/>
      <c r="X120" s="404"/>
      <c r="Y120" s="404"/>
      <c r="Z120" s="404"/>
      <c r="AA120" s="404"/>
      <c r="AB120" s="404"/>
      <c r="AC120" s="404"/>
      <c r="AD120" s="404"/>
      <c r="AE120" s="404"/>
      <c r="AF120" s="404"/>
      <c r="AG120" s="404"/>
    </row>
    <row r="121" spans="1:33" ht="12.75" customHeight="1">
      <c r="A121" s="404"/>
      <c r="B121" s="404"/>
      <c r="C121" s="404"/>
      <c r="D121" s="404"/>
      <c r="E121" s="404"/>
      <c r="F121" s="404"/>
      <c r="G121" s="404"/>
      <c r="H121" s="404"/>
      <c r="I121" s="404"/>
      <c r="J121" s="404"/>
      <c r="K121" s="404"/>
      <c r="L121" s="404"/>
      <c r="M121" s="404"/>
      <c r="N121" s="404"/>
      <c r="O121" s="404"/>
      <c r="P121" s="404"/>
      <c r="Q121" s="404"/>
      <c r="R121" s="404"/>
      <c r="S121" s="404"/>
      <c r="T121" s="404"/>
      <c r="U121" s="404"/>
      <c r="V121" s="404"/>
      <c r="W121" s="404"/>
      <c r="X121" s="404"/>
      <c r="Y121" s="404"/>
      <c r="Z121" s="404"/>
      <c r="AA121" s="404"/>
      <c r="AB121" s="404"/>
      <c r="AC121" s="404"/>
      <c r="AD121" s="404"/>
      <c r="AE121" s="404"/>
      <c r="AF121" s="404"/>
      <c r="AG121" s="404"/>
    </row>
    <row r="122" spans="1:33" ht="12.75" customHeight="1">
      <c r="A122" s="404"/>
      <c r="B122" s="404"/>
      <c r="C122" s="404"/>
      <c r="D122" s="404"/>
      <c r="E122" s="404"/>
      <c r="F122" s="404"/>
      <c r="G122" s="404"/>
      <c r="H122" s="404"/>
      <c r="I122" s="404"/>
      <c r="J122" s="404"/>
      <c r="K122" s="404"/>
      <c r="L122" s="404"/>
      <c r="M122" s="404"/>
      <c r="N122" s="404"/>
      <c r="O122" s="404"/>
      <c r="P122" s="404"/>
      <c r="Q122" s="404"/>
      <c r="R122" s="404"/>
      <c r="S122" s="404"/>
      <c r="T122" s="404"/>
      <c r="U122" s="404"/>
      <c r="V122" s="404"/>
      <c r="W122" s="404"/>
      <c r="X122" s="404"/>
      <c r="Y122" s="404"/>
      <c r="Z122" s="404"/>
      <c r="AA122" s="404"/>
      <c r="AB122" s="404"/>
      <c r="AC122" s="404"/>
      <c r="AD122" s="404"/>
      <c r="AE122" s="404"/>
      <c r="AF122" s="404"/>
      <c r="AG122" s="404"/>
    </row>
    <row r="123" spans="1:33" ht="12.75" customHeight="1">
      <c r="A123" s="404"/>
      <c r="B123" s="404"/>
      <c r="C123" s="404"/>
      <c r="D123" s="404"/>
      <c r="E123" s="404"/>
      <c r="F123" s="404"/>
      <c r="G123" s="404"/>
      <c r="H123" s="404"/>
      <c r="I123" s="404"/>
      <c r="J123" s="404"/>
      <c r="K123" s="404"/>
      <c r="L123" s="404"/>
      <c r="M123" s="404"/>
      <c r="N123" s="404"/>
      <c r="O123" s="404"/>
      <c r="P123" s="404"/>
      <c r="Q123" s="404"/>
      <c r="R123" s="404"/>
      <c r="S123" s="404"/>
      <c r="T123" s="404"/>
      <c r="U123" s="404"/>
      <c r="V123" s="404"/>
      <c r="W123" s="404"/>
      <c r="X123" s="404"/>
      <c r="Y123" s="404"/>
      <c r="Z123" s="404"/>
      <c r="AA123" s="404"/>
      <c r="AB123" s="404"/>
      <c r="AC123" s="404"/>
      <c r="AD123" s="404"/>
      <c r="AE123" s="404"/>
      <c r="AF123" s="404"/>
      <c r="AG123" s="404"/>
    </row>
    <row r="124" spans="1:33" ht="12.75" customHeight="1">
      <c r="A124" s="404"/>
      <c r="B124" s="404"/>
      <c r="C124" s="404"/>
      <c r="D124" s="404"/>
      <c r="E124" s="404"/>
      <c r="F124" s="404"/>
      <c r="G124" s="404"/>
      <c r="H124" s="404"/>
      <c r="I124" s="404"/>
      <c r="J124" s="404"/>
      <c r="K124" s="404"/>
      <c r="L124" s="404"/>
      <c r="M124" s="404"/>
      <c r="N124" s="404"/>
      <c r="O124" s="404"/>
      <c r="P124" s="404"/>
      <c r="Q124" s="404"/>
      <c r="R124" s="404"/>
      <c r="S124" s="404"/>
      <c r="T124" s="404"/>
      <c r="U124" s="404"/>
      <c r="V124" s="404"/>
      <c r="W124" s="404"/>
      <c r="X124" s="404"/>
      <c r="Y124" s="404"/>
      <c r="Z124" s="404"/>
      <c r="AA124" s="404"/>
      <c r="AB124" s="404"/>
      <c r="AC124" s="404"/>
      <c r="AD124" s="404"/>
      <c r="AE124" s="404"/>
      <c r="AF124" s="404"/>
      <c r="AG124" s="404"/>
    </row>
    <row r="125" spans="1:33" ht="12.75" customHeight="1">
      <c r="A125" s="404"/>
      <c r="B125" s="404"/>
      <c r="C125" s="404"/>
      <c r="D125" s="404"/>
      <c r="E125" s="404"/>
      <c r="F125" s="404"/>
      <c r="G125" s="404"/>
      <c r="H125" s="404"/>
      <c r="I125" s="404"/>
      <c r="J125" s="404"/>
      <c r="K125" s="404"/>
      <c r="L125" s="404"/>
      <c r="M125" s="404"/>
      <c r="N125" s="404"/>
      <c r="O125" s="404"/>
      <c r="P125" s="404"/>
      <c r="Q125" s="404"/>
      <c r="R125" s="404"/>
      <c r="S125" s="404"/>
      <c r="T125" s="404"/>
      <c r="U125" s="404"/>
      <c r="V125" s="404"/>
      <c r="W125" s="404"/>
      <c r="X125" s="404"/>
      <c r="Y125" s="404"/>
      <c r="Z125" s="404"/>
      <c r="AA125" s="404"/>
      <c r="AB125" s="404"/>
      <c r="AC125" s="404"/>
      <c r="AD125" s="404"/>
      <c r="AE125" s="404"/>
      <c r="AF125" s="404"/>
      <c r="AG125" s="404"/>
    </row>
    <row r="126" spans="1:33" ht="12.75" customHeight="1">
      <c r="A126" s="404"/>
      <c r="B126" s="404"/>
      <c r="C126" s="404"/>
      <c r="D126" s="404"/>
      <c r="E126" s="404"/>
      <c r="F126" s="404"/>
      <c r="G126" s="404"/>
      <c r="H126" s="404"/>
      <c r="I126" s="404"/>
      <c r="J126" s="404"/>
      <c r="K126" s="404"/>
      <c r="L126" s="404"/>
      <c r="M126" s="404"/>
      <c r="N126" s="404"/>
      <c r="O126" s="404"/>
      <c r="P126" s="404"/>
      <c r="Q126" s="404"/>
      <c r="R126" s="404"/>
      <c r="S126" s="404"/>
      <c r="T126" s="404"/>
      <c r="U126" s="404"/>
      <c r="V126" s="404"/>
      <c r="W126" s="404"/>
      <c r="X126" s="404"/>
      <c r="Y126" s="404"/>
      <c r="Z126" s="404"/>
      <c r="AA126" s="404"/>
      <c r="AB126" s="404"/>
      <c r="AC126" s="404"/>
      <c r="AD126" s="404"/>
      <c r="AE126" s="404"/>
      <c r="AF126" s="404"/>
      <c r="AG126" s="404"/>
    </row>
    <row r="127" spans="1:33" ht="12.75" customHeight="1">
      <c r="A127" s="404"/>
      <c r="B127" s="404"/>
      <c r="C127" s="404"/>
      <c r="D127" s="404"/>
      <c r="E127" s="404"/>
      <c r="F127" s="404"/>
      <c r="G127" s="404"/>
      <c r="H127" s="404"/>
      <c r="I127" s="404"/>
      <c r="J127" s="404"/>
      <c r="K127" s="404"/>
      <c r="L127" s="404"/>
      <c r="M127" s="404"/>
      <c r="N127" s="404"/>
      <c r="O127" s="404"/>
      <c r="P127" s="404"/>
      <c r="Q127" s="404"/>
      <c r="R127" s="404"/>
      <c r="S127" s="404"/>
      <c r="T127" s="404"/>
      <c r="U127" s="404"/>
      <c r="V127" s="404"/>
      <c r="W127" s="404"/>
      <c r="X127" s="404"/>
      <c r="Y127" s="404"/>
      <c r="Z127" s="404"/>
      <c r="AA127" s="404"/>
      <c r="AB127" s="404"/>
      <c r="AC127" s="404"/>
      <c r="AD127" s="404"/>
      <c r="AE127" s="404"/>
      <c r="AF127" s="404"/>
      <c r="AG127" s="404"/>
    </row>
    <row r="128" spans="1:33" ht="12.75" customHeight="1">
      <c r="A128" s="404"/>
      <c r="B128" s="404"/>
      <c r="C128" s="404"/>
      <c r="D128" s="404"/>
      <c r="E128" s="404"/>
      <c r="F128" s="404"/>
      <c r="G128" s="404"/>
      <c r="H128" s="404"/>
      <c r="I128" s="404"/>
      <c r="J128" s="404"/>
      <c r="K128" s="404"/>
      <c r="L128" s="404"/>
      <c r="M128" s="404"/>
      <c r="N128" s="404"/>
      <c r="O128" s="404"/>
      <c r="P128" s="404"/>
      <c r="Q128" s="404"/>
      <c r="R128" s="404"/>
      <c r="S128" s="404"/>
      <c r="T128" s="404"/>
      <c r="U128" s="404"/>
      <c r="V128" s="404"/>
      <c r="W128" s="404"/>
      <c r="X128" s="404"/>
      <c r="Y128" s="404"/>
      <c r="Z128" s="404"/>
      <c r="AA128" s="404"/>
      <c r="AB128" s="404"/>
      <c r="AC128" s="404"/>
      <c r="AD128" s="404"/>
      <c r="AE128" s="404"/>
      <c r="AF128" s="404"/>
      <c r="AG128" s="404"/>
    </row>
    <row r="129" spans="1:33" ht="12.75" customHeight="1">
      <c r="A129" s="404"/>
      <c r="B129" s="404"/>
      <c r="C129" s="404"/>
      <c r="D129" s="404"/>
      <c r="E129" s="404"/>
      <c r="F129" s="404"/>
      <c r="G129" s="404"/>
      <c r="H129" s="404"/>
      <c r="I129" s="404"/>
      <c r="J129" s="404"/>
      <c r="K129" s="404"/>
      <c r="L129" s="404"/>
      <c r="M129" s="404"/>
      <c r="N129" s="404"/>
      <c r="O129" s="404"/>
      <c r="P129" s="404"/>
      <c r="Q129" s="404"/>
      <c r="R129" s="404"/>
      <c r="S129" s="404"/>
      <c r="T129" s="404"/>
      <c r="U129" s="404"/>
      <c r="V129" s="404"/>
      <c r="W129" s="404"/>
      <c r="X129" s="404"/>
      <c r="Y129" s="404"/>
      <c r="Z129" s="404"/>
      <c r="AA129" s="404"/>
      <c r="AB129" s="404"/>
      <c r="AC129" s="404"/>
      <c r="AD129" s="404"/>
      <c r="AE129" s="404"/>
      <c r="AF129" s="404"/>
      <c r="AG129" s="404"/>
    </row>
    <row r="130" spans="1:33" ht="12.75" customHeight="1">
      <c r="A130" s="404"/>
      <c r="B130" s="404"/>
      <c r="C130" s="404"/>
      <c r="D130" s="404"/>
      <c r="E130" s="404"/>
      <c r="F130" s="404"/>
      <c r="G130" s="404"/>
      <c r="H130" s="404"/>
      <c r="I130" s="404"/>
      <c r="J130" s="404"/>
      <c r="K130" s="404"/>
      <c r="L130" s="404"/>
      <c r="M130" s="404"/>
      <c r="N130" s="404"/>
      <c r="O130" s="404"/>
      <c r="P130" s="404"/>
      <c r="Q130" s="404"/>
      <c r="R130" s="404"/>
      <c r="S130" s="404"/>
      <c r="T130" s="404"/>
      <c r="U130" s="404"/>
      <c r="V130" s="404"/>
      <c r="W130" s="404"/>
      <c r="X130" s="404"/>
      <c r="Y130" s="404"/>
      <c r="Z130" s="404"/>
      <c r="AA130" s="404"/>
      <c r="AB130" s="404"/>
      <c r="AC130" s="404"/>
      <c r="AD130" s="404"/>
      <c r="AE130" s="404"/>
      <c r="AF130" s="404"/>
      <c r="AG130" s="404"/>
    </row>
    <row r="131" spans="1:33" ht="12.75" customHeight="1">
      <c r="A131" s="404"/>
      <c r="B131" s="404"/>
      <c r="C131" s="404"/>
      <c r="D131" s="404"/>
      <c r="E131" s="404"/>
      <c r="F131" s="404"/>
      <c r="G131" s="404"/>
      <c r="H131" s="404"/>
      <c r="I131" s="404"/>
      <c r="J131" s="404"/>
      <c r="K131" s="404"/>
      <c r="L131" s="404"/>
      <c r="M131" s="404"/>
      <c r="N131" s="404"/>
      <c r="O131" s="404"/>
      <c r="P131" s="404"/>
      <c r="Q131" s="404"/>
      <c r="R131" s="404"/>
      <c r="S131" s="404"/>
      <c r="T131" s="404"/>
      <c r="U131" s="404"/>
      <c r="V131" s="404"/>
      <c r="W131" s="404"/>
      <c r="X131" s="404"/>
      <c r="Y131" s="404"/>
      <c r="Z131" s="404"/>
      <c r="AA131" s="404"/>
      <c r="AB131" s="404"/>
      <c r="AC131" s="404"/>
      <c r="AD131" s="404"/>
      <c r="AE131" s="404"/>
      <c r="AF131" s="404"/>
      <c r="AG131" s="404"/>
    </row>
    <row r="132" spans="1:33" ht="12.75" customHeight="1">
      <c r="A132" s="404"/>
      <c r="B132" s="404"/>
      <c r="C132" s="404"/>
      <c r="D132" s="404"/>
      <c r="E132" s="404"/>
      <c r="F132" s="404"/>
      <c r="G132" s="404"/>
      <c r="H132" s="404"/>
      <c r="I132" s="404"/>
      <c r="J132" s="404"/>
      <c r="K132" s="404"/>
      <c r="L132" s="404"/>
      <c r="M132" s="404"/>
      <c r="N132" s="404"/>
      <c r="O132" s="404"/>
      <c r="P132" s="404"/>
      <c r="Q132" s="404"/>
      <c r="R132" s="404"/>
      <c r="S132" s="404"/>
      <c r="T132" s="404"/>
      <c r="U132" s="404"/>
      <c r="V132" s="404"/>
      <c r="W132" s="404"/>
      <c r="X132" s="404"/>
      <c r="Y132" s="404"/>
      <c r="Z132" s="404"/>
      <c r="AA132" s="404"/>
      <c r="AB132" s="404"/>
      <c r="AC132" s="404"/>
      <c r="AD132" s="404"/>
      <c r="AE132" s="404"/>
      <c r="AF132" s="404"/>
      <c r="AG132" s="404"/>
    </row>
    <row r="133" spans="1:33" ht="12.75" customHeight="1">
      <c r="A133" s="404"/>
      <c r="B133" s="404"/>
      <c r="C133" s="404"/>
      <c r="D133" s="404"/>
      <c r="E133" s="404"/>
      <c r="F133" s="404"/>
      <c r="G133" s="404"/>
      <c r="H133" s="404"/>
      <c r="I133" s="404"/>
      <c r="J133" s="404"/>
      <c r="K133" s="404"/>
      <c r="L133" s="404"/>
      <c r="M133" s="404"/>
      <c r="N133" s="404"/>
      <c r="O133" s="404"/>
      <c r="P133" s="404"/>
      <c r="Q133" s="404"/>
      <c r="R133" s="404"/>
      <c r="S133" s="404"/>
      <c r="T133" s="404"/>
      <c r="U133" s="404"/>
      <c r="V133" s="404"/>
      <c r="W133" s="404"/>
      <c r="X133" s="404"/>
      <c r="Y133" s="404"/>
      <c r="Z133" s="404"/>
      <c r="AA133" s="404"/>
      <c r="AB133" s="404"/>
      <c r="AC133" s="404"/>
      <c r="AD133" s="404"/>
      <c r="AE133" s="404"/>
      <c r="AF133" s="404"/>
      <c r="AG133" s="404"/>
    </row>
    <row r="134" spans="1:33" ht="12.75" customHeight="1">
      <c r="A134" s="404"/>
      <c r="B134" s="404"/>
      <c r="C134" s="404"/>
      <c r="D134" s="404"/>
      <c r="E134" s="404"/>
      <c r="F134" s="404"/>
      <c r="G134" s="404"/>
      <c r="H134" s="404"/>
      <c r="I134" s="404"/>
      <c r="J134" s="404"/>
      <c r="K134" s="404"/>
      <c r="L134" s="404"/>
      <c r="M134" s="404"/>
      <c r="N134" s="404"/>
      <c r="O134" s="404"/>
      <c r="P134" s="404"/>
      <c r="Q134" s="404"/>
      <c r="R134" s="404"/>
      <c r="S134" s="404"/>
      <c r="T134" s="404"/>
      <c r="U134" s="404"/>
      <c r="V134" s="404"/>
      <c r="W134" s="404"/>
      <c r="X134" s="404"/>
      <c r="Y134" s="404"/>
      <c r="Z134" s="404"/>
      <c r="AA134" s="404"/>
      <c r="AB134" s="404"/>
      <c r="AC134" s="404"/>
      <c r="AD134" s="404"/>
      <c r="AE134" s="404"/>
      <c r="AF134" s="404"/>
      <c r="AG134" s="404"/>
    </row>
    <row r="135" spans="1:33" ht="12.75" customHeight="1">
      <c r="A135" s="404"/>
      <c r="B135" s="404"/>
      <c r="C135" s="404"/>
      <c r="D135" s="404"/>
      <c r="E135" s="404"/>
      <c r="F135" s="404"/>
      <c r="G135" s="404"/>
      <c r="H135" s="404"/>
      <c r="I135" s="404"/>
      <c r="J135" s="404"/>
      <c r="K135" s="404"/>
      <c r="L135" s="404"/>
      <c r="M135" s="404"/>
      <c r="N135" s="404"/>
      <c r="O135" s="404"/>
      <c r="P135" s="404"/>
      <c r="Q135" s="404"/>
      <c r="R135" s="404"/>
      <c r="S135" s="404"/>
      <c r="T135" s="404"/>
      <c r="U135" s="404"/>
      <c r="V135" s="404"/>
      <c r="W135" s="404"/>
      <c r="X135" s="404"/>
      <c r="Y135" s="404"/>
      <c r="Z135" s="404"/>
      <c r="AA135" s="404"/>
      <c r="AB135" s="404"/>
      <c r="AC135" s="404"/>
      <c r="AD135" s="404"/>
      <c r="AE135" s="404"/>
      <c r="AF135" s="404"/>
      <c r="AG135" s="404"/>
    </row>
    <row r="136" spans="1:33" ht="12.75" customHeight="1">
      <c r="A136" s="404"/>
      <c r="B136" s="404"/>
      <c r="C136" s="404"/>
      <c r="D136" s="404"/>
      <c r="E136" s="404"/>
      <c r="F136" s="404"/>
      <c r="G136" s="404"/>
      <c r="H136" s="404"/>
      <c r="I136" s="404"/>
      <c r="J136" s="404"/>
      <c r="K136" s="404"/>
      <c r="L136" s="404"/>
      <c r="M136" s="404"/>
      <c r="N136" s="404"/>
      <c r="O136" s="404"/>
      <c r="P136" s="404"/>
      <c r="Q136" s="404"/>
      <c r="R136" s="404"/>
      <c r="S136" s="404"/>
      <c r="T136" s="404"/>
      <c r="U136" s="404"/>
      <c r="V136" s="404"/>
      <c r="W136" s="404"/>
      <c r="X136" s="404"/>
      <c r="Y136" s="404"/>
      <c r="Z136" s="404"/>
      <c r="AA136" s="404"/>
      <c r="AB136" s="404"/>
      <c r="AC136" s="404"/>
      <c r="AD136" s="404"/>
      <c r="AE136" s="404"/>
      <c r="AF136" s="404"/>
      <c r="AG136" s="404"/>
    </row>
    <row r="137" spans="1:33" ht="12.75" customHeight="1">
      <c r="A137" s="404"/>
      <c r="B137" s="404"/>
      <c r="C137" s="404"/>
      <c r="D137" s="404"/>
      <c r="E137" s="404"/>
      <c r="F137" s="404"/>
      <c r="G137" s="404"/>
      <c r="H137" s="404"/>
      <c r="I137" s="404"/>
      <c r="J137" s="404"/>
      <c r="K137" s="404"/>
      <c r="L137" s="404"/>
      <c r="M137" s="404"/>
      <c r="N137" s="404"/>
      <c r="O137" s="404"/>
      <c r="P137" s="404"/>
      <c r="Q137" s="404"/>
      <c r="R137" s="404"/>
      <c r="S137" s="404"/>
      <c r="T137" s="404"/>
      <c r="U137" s="404"/>
      <c r="V137" s="404"/>
      <c r="W137" s="404"/>
      <c r="X137" s="404"/>
      <c r="Y137" s="404"/>
      <c r="Z137" s="404"/>
      <c r="AA137" s="404"/>
      <c r="AB137" s="404"/>
      <c r="AC137" s="404"/>
      <c r="AD137" s="404"/>
      <c r="AE137" s="404"/>
      <c r="AF137" s="404"/>
      <c r="AG137" s="404"/>
    </row>
    <row r="138" spans="1:33" ht="12.75" customHeight="1">
      <c r="A138" s="404"/>
      <c r="B138" s="404"/>
      <c r="C138" s="404"/>
      <c r="D138" s="404"/>
      <c r="E138" s="404"/>
      <c r="F138" s="404"/>
      <c r="G138" s="404"/>
      <c r="H138" s="404"/>
      <c r="I138" s="404"/>
      <c r="J138" s="404"/>
      <c r="K138" s="404"/>
      <c r="L138" s="404"/>
      <c r="M138" s="404"/>
      <c r="N138" s="404"/>
      <c r="O138" s="404"/>
      <c r="P138" s="404"/>
      <c r="Q138" s="404"/>
      <c r="R138" s="404"/>
      <c r="S138" s="404"/>
      <c r="T138" s="404"/>
      <c r="U138" s="404"/>
      <c r="V138" s="404"/>
      <c r="W138" s="404"/>
      <c r="X138" s="404"/>
      <c r="Y138" s="404"/>
      <c r="Z138" s="404"/>
      <c r="AA138" s="404"/>
      <c r="AB138" s="404"/>
      <c r="AC138" s="404"/>
      <c r="AD138" s="404"/>
      <c r="AE138" s="404"/>
      <c r="AF138" s="404"/>
      <c r="AG138" s="404"/>
    </row>
    <row r="139" spans="1:33" ht="12.75" customHeight="1">
      <c r="A139" s="404"/>
      <c r="B139" s="404"/>
      <c r="C139" s="404"/>
      <c r="D139" s="404"/>
      <c r="E139" s="404"/>
      <c r="F139" s="404"/>
      <c r="G139" s="404"/>
      <c r="H139" s="404"/>
      <c r="I139" s="404"/>
      <c r="J139" s="404"/>
      <c r="K139" s="404"/>
      <c r="L139" s="404"/>
      <c r="M139" s="404"/>
      <c r="N139" s="404"/>
      <c r="O139" s="404"/>
      <c r="P139" s="404"/>
      <c r="Q139" s="404"/>
      <c r="R139" s="404"/>
      <c r="S139" s="404"/>
      <c r="T139" s="404"/>
      <c r="U139" s="404"/>
      <c r="V139" s="404"/>
      <c r="W139" s="404"/>
      <c r="X139" s="404"/>
      <c r="Y139" s="404"/>
      <c r="Z139" s="404"/>
      <c r="AA139" s="404"/>
      <c r="AB139" s="404"/>
      <c r="AC139" s="404"/>
      <c r="AD139" s="404"/>
      <c r="AE139" s="404"/>
      <c r="AF139" s="404"/>
      <c r="AG139" s="404"/>
    </row>
    <row r="140" spans="1:33" ht="12.75" customHeight="1">
      <c r="A140" s="404"/>
      <c r="B140" s="404"/>
      <c r="C140" s="404"/>
      <c r="D140" s="404"/>
      <c r="E140" s="404"/>
      <c r="F140" s="404"/>
      <c r="G140" s="404"/>
      <c r="H140" s="404"/>
      <c r="I140" s="404"/>
      <c r="J140" s="404"/>
      <c r="K140" s="404"/>
      <c r="L140" s="404"/>
      <c r="M140" s="404"/>
      <c r="N140" s="404"/>
      <c r="O140" s="404"/>
      <c r="P140" s="404"/>
      <c r="Q140" s="404"/>
      <c r="R140" s="404"/>
      <c r="S140" s="404"/>
      <c r="T140" s="404"/>
      <c r="U140" s="404"/>
      <c r="V140" s="404"/>
      <c r="W140" s="404"/>
      <c r="X140" s="404"/>
      <c r="Y140" s="404"/>
      <c r="Z140" s="404"/>
      <c r="AA140" s="404"/>
      <c r="AB140" s="404"/>
      <c r="AC140" s="404"/>
      <c r="AD140" s="404"/>
      <c r="AE140" s="404"/>
      <c r="AF140" s="404"/>
      <c r="AG140" s="404"/>
    </row>
    <row r="141" spans="1:33" ht="12.75" customHeight="1">
      <c r="A141" s="404"/>
      <c r="B141" s="404"/>
      <c r="C141" s="404"/>
      <c r="D141" s="404"/>
      <c r="E141" s="404"/>
      <c r="F141" s="404"/>
      <c r="G141" s="404"/>
      <c r="H141" s="404"/>
      <c r="I141" s="404"/>
      <c r="J141" s="404"/>
      <c r="K141" s="404"/>
      <c r="L141" s="404"/>
      <c r="M141" s="404"/>
      <c r="N141" s="404"/>
      <c r="O141" s="404"/>
      <c r="P141" s="404"/>
      <c r="Q141" s="404"/>
      <c r="R141" s="404"/>
      <c r="S141" s="404"/>
      <c r="T141" s="404"/>
      <c r="U141" s="404"/>
      <c r="V141" s="404"/>
      <c r="W141" s="404"/>
      <c r="X141" s="404"/>
      <c r="Y141" s="404"/>
      <c r="Z141" s="404"/>
      <c r="AA141" s="404"/>
      <c r="AB141" s="404"/>
      <c r="AC141" s="404"/>
      <c r="AD141" s="404"/>
      <c r="AE141" s="404"/>
      <c r="AF141" s="404"/>
      <c r="AG141" s="404"/>
    </row>
    <row r="142" spans="1:33" ht="12.75" customHeight="1">
      <c r="A142" s="404"/>
      <c r="B142" s="404"/>
      <c r="C142" s="404"/>
      <c r="D142" s="404"/>
      <c r="E142" s="404"/>
      <c r="F142" s="404"/>
      <c r="G142" s="404"/>
      <c r="H142" s="404"/>
      <c r="I142" s="404"/>
      <c r="J142" s="404"/>
      <c r="K142" s="404"/>
      <c r="L142" s="404"/>
      <c r="M142" s="404"/>
      <c r="N142" s="404"/>
      <c r="O142" s="404"/>
      <c r="P142" s="404"/>
      <c r="Q142" s="404"/>
      <c r="R142" s="404"/>
      <c r="S142" s="404"/>
      <c r="T142" s="404"/>
      <c r="U142" s="404"/>
      <c r="V142" s="404"/>
      <c r="W142" s="404"/>
      <c r="X142" s="404"/>
      <c r="Y142" s="404"/>
      <c r="Z142" s="404"/>
      <c r="AA142" s="404"/>
      <c r="AB142" s="404"/>
      <c r="AC142" s="404"/>
      <c r="AD142" s="404"/>
      <c r="AE142" s="404"/>
      <c r="AF142" s="404"/>
      <c r="AG142" s="404"/>
    </row>
    <row r="143" spans="1:33" ht="12.75" customHeight="1">
      <c r="A143" s="404"/>
      <c r="B143" s="404"/>
      <c r="C143" s="404"/>
      <c r="D143" s="404"/>
      <c r="E143" s="404"/>
      <c r="F143" s="404"/>
      <c r="G143" s="404"/>
      <c r="H143" s="404"/>
      <c r="I143" s="404"/>
      <c r="J143" s="404"/>
      <c r="K143" s="404"/>
      <c r="L143" s="404"/>
      <c r="M143" s="404"/>
      <c r="N143" s="404"/>
      <c r="O143" s="404"/>
      <c r="P143" s="404"/>
      <c r="Q143" s="404"/>
      <c r="R143" s="404"/>
      <c r="S143" s="404"/>
      <c r="T143" s="404"/>
      <c r="U143" s="404"/>
      <c r="V143" s="404"/>
      <c r="W143" s="404"/>
      <c r="X143" s="404"/>
      <c r="Y143" s="404"/>
      <c r="Z143" s="404"/>
      <c r="AA143" s="404"/>
      <c r="AB143" s="404"/>
      <c r="AC143" s="404"/>
      <c r="AD143" s="404"/>
      <c r="AE143" s="404"/>
      <c r="AF143" s="404"/>
      <c r="AG143" s="404"/>
    </row>
    <row r="144" spans="1:33" ht="12.75" customHeight="1">
      <c r="A144" s="404"/>
      <c r="B144" s="404"/>
      <c r="C144" s="404"/>
      <c r="D144" s="404"/>
      <c r="E144" s="404"/>
      <c r="F144" s="404"/>
      <c r="G144" s="404"/>
      <c r="H144" s="404"/>
      <c r="I144" s="404"/>
      <c r="J144" s="404"/>
      <c r="K144" s="404"/>
      <c r="L144" s="404"/>
      <c r="M144" s="404"/>
      <c r="N144" s="404"/>
      <c r="O144" s="404"/>
      <c r="P144" s="404"/>
      <c r="Q144" s="404"/>
      <c r="R144" s="404"/>
      <c r="S144" s="404"/>
      <c r="T144" s="404"/>
      <c r="U144" s="404"/>
      <c r="V144" s="404"/>
      <c r="W144" s="404"/>
      <c r="X144" s="404"/>
      <c r="Y144" s="404"/>
      <c r="Z144" s="404"/>
      <c r="AA144" s="404"/>
      <c r="AB144" s="404"/>
      <c r="AC144" s="404"/>
      <c r="AD144" s="404"/>
      <c r="AE144" s="404"/>
      <c r="AF144" s="404"/>
      <c r="AG144" s="404"/>
    </row>
    <row r="145" spans="1:33" ht="12.75" customHeight="1">
      <c r="A145" s="404"/>
      <c r="B145" s="404"/>
      <c r="C145" s="404"/>
      <c r="D145" s="404"/>
      <c r="E145" s="404"/>
      <c r="F145" s="404"/>
      <c r="G145" s="404"/>
      <c r="H145" s="404"/>
      <c r="I145" s="404"/>
      <c r="J145" s="404"/>
      <c r="K145" s="404"/>
      <c r="L145" s="404"/>
      <c r="M145" s="404"/>
      <c r="N145" s="404"/>
      <c r="O145" s="404"/>
      <c r="P145" s="404"/>
      <c r="Q145" s="404"/>
      <c r="R145" s="404"/>
      <c r="S145" s="404"/>
      <c r="T145" s="404"/>
      <c r="U145" s="404"/>
      <c r="V145" s="404"/>
      <c r="W145" s="404"/>
      <c r="X145" s="404"/>
      <c r="Y145" s="404"/>
      <c r="Z145" s="404"/>
      <c r="AA145" s="404"/>
      <c r="AB145" s="404"/>
      <c r="AC145" s="404"/>
      <c r="AD145" s="404"/>
      <c r="AE145" s="404"/>
      <c r="AF145" s="404"/>
      <c r="AG145" s="404"/>
    </row>
    <row r="146" spans="1:33" ht="12.75" customHeight="1">
      <c r="A146" s="404"/>
      <c r="B146" s="404"/>
      <c r="C146" s="404"/>
      <c r="D146" s="404"/>
      <c r="E146" s="404"/>
      <c r="F146" s="404"/>
      <c r="G146" s="404"/>
      <c r="H146" s="404"/>
      <c r="I146" s="404"/>
      <c r="J146" s="404"/>
      <c r="K146" s="404"/>
      <c r="L146" s="404"/>
      <c r="M146" s="404"/>
      <c r="N146" s="404"/>
      <c r="O146" s="404"/>
      <c r="P146" s="404"/>
      <c r="Q146" s="404"/>
      <c r="R146" s="404"/>
      <c r="S146" s="404"/>
      <c r="T146" s="404"/>
      <c r="U146" s="404"/>
      <c r="V146" s="404"/>
      <c r="W146" s="404"/>
      <c r="X146" s="404"/>
      <c r="Y146" s="404"/>
      <c r="Z146" s="404"/>
      <c r="AA146" s="404"/>
      <c r="AB146" s="404"/>
      <c r="AC146" s="404"/>
      <c r="AD146" s="404"/>
      <c r="AE146" s="404"/>
      <c r="AF146" s="404"/>
      <c r="AG146" s="404"/>
    </row>
    <row r="147" spans="1:33" ht="12.75" customHeight="1">
      <c r="A147" s="404"/>
      <c r="B147" s="404"/>
      <c r="C147" s="404"/>
      <c r="D147" s="404"/>
      <c r="E147" s="404"/>
      <c r="F147" s="404"/>
      <c r="G147" s="404"/>
      <c r="H147" s="404"/>
      <c r="I147" s="404"/>
      <c r="J147" s="404"/>
      <c r="K147" s="404"/>
      <c r="L147" s="404"/>
      <c r="M147" s="404"/>
      <c r="N147" s="404"/>
      <c r="O147" s="404"/>
      <c r="P147" s="404"/>
      <c r="Q147" s="404"/>
      <c r="R147" s="404"/>
      <c r="S147" s="404"/>
      <c r="T147" s="404"/>
      <c r="U147" s="404"/>
      <c r="V147" s="404"/>
      <c r="W147" s="404"/>
      <c r="X147" s="404"/>
      <c r="Y147" s="404"/>
      <c r="Z147" s="404"/>
      <c r="AA147" s="404"/>
      <c r="AB147" s="404"/>
      <c r="AC147" s="404"/>
      <c r="AD147" s="404"/>
      <c r="AE147" s="404"/>
      <c r="AF147" s="404"/>
      <c r="AG147" s="404"/>
    </row>
    <row r="148" spans="1:33" ht="12.75" customHeight="1">
      <c r="A148" s="404"/>
      <c r="B148" s="404"/>
      <c r="C148" s="404"/>
      <c r="D148" s="404"/>
      <c r="E148" s="404"/>
      <c r="F148" s="404"/>
      <c r="G148" s="404"/>
      <c r="H148" s="404"/>
      <c r="I148" s="404"/>
      <c r="J148" s="404"/>
      <c r="K148" s="404"/>
      <c r="L148" s="404"/>
      <c r="M148" s="404"/>
      <c r="N148" s="404"/>
      <c r="O148" s="404"/>
      <c r="P148" s="404"/>
      <c r="Q148" s="404"/>
      <c r="R148" s="404"/>
      <c r="S148" s="404"/>
      <c r="T148" s="404"/>
      <c r="U148" s="404"/>
      <c r="V148" s="404"/>
      <c r="W148" s="404"/>
      <c r="X148" s="404"/>
      <c r="Y148" s="404"/>
      <c r="Z148" s="404"/>
      <c r="AA148" s="404"/>
      <c r="AB148" s="404"/>
      <c r="AC148" s="404"/>
      <c r="AD148" s="404"/>
      <c r="AE148" s="404"/>
      <c r="AF148" s="404"/>
      <c r="AG148" s="404"/>
    </row>
    <row r="149" spans="1:33" ht="12.75" customHeight="1">
      <c r="A149" s="404"/>
      <c r="B149" s="404"/>
      <c r="C149" s="404"/>
      <c r="D149" s="404"/>
      <c r="E149" s="404"/>
      <c r="F149" s="404"/>
      <c r="G149" s="404"/>
      <c r="H149" s="404"/>
      <c r="I149" s="404"/>
      <c r="J149" s="404"/>
      <c r="K149" s="404"/>
      <c r="L149" s="404"/>
      <c r="M149" s="404"/>
      <c r="N149" s="404"/>
      <c r="O149" s="404"/>
      <c r="P149" s="404"/>
      <c r="Q149" s="404"/>
      <c r="R149" s="404"/>
      <c r="S149" s="404"/>
      <c r="T149" s="404"/>
      <c r="U149" s="404"/>
      <c r="V149" s="404"/>
      <c r="W149" s="404"/>
      <c r="X149" s="404"/>
      <c r="Y149" s="404"/>
      <c r="Z149" s="404"/>
      <c r="AA149" s="404"/>
      <c r="AB149" s="404"/>
      <c r="AC149" s="404"/>
      <c r="AD149" s="404"/>
      <c r="AE149" s="404"/>
      <c r="AF149" s="404"/>
      <c r="AG149" s="404"/>
    </row>
    <row r="150" spans="1:33" ht="12.75" customHeight="1">
      <c r="A150" s="404"/>
      <c r="B150" s="404"/>
      <c r="C150" s="404"/>
      <c r="D150" s="404"/>
      <c r="E150" s="404"/>
      <c r="F150" s="404"/>
      <c r="G150" s="404"/>
      <c r="H150" s="404"/>
      <c r="I150" s="404"/>
      <c r="J150" s="404"/>
      <c r="K150" s="404"/>
      <c r="L150" s="404"/>
      <c r="M150" s="404"/>
      <c r="N150" s="404"/>
      <c r="O150" s="404"/>
      <c r="P150" s="404"/>
      <c r="Q150" s="404"/>
      <c r="R150" s="404"/>
      <c r="S150" s="404"/>
      <c r="T150" s="404"/>
      <c r="U150" s="404"/>
      <c r="V150" s="404"/>
      <c r="W150" s="404"/>
      <c r="X150" s="404"/>
      <c r="Y150" s="404"/>
      <c r="Z150" s="404"/>
      <c r="AA150" s="404"/>
      <c r="AB150" s="404"/>
      <c r="AC150" s="404"/>
      <c r="AD150" s="404"/>
      <c r="AE150" s="404"/>
      <c r="AF150" s="404"/>
      <c r="AG150" s="404"/>
    </row>
    <row r="151" spans="1:33" ht="12.75" customHeight="1">
      <c r="A151" s="404"/>
      <c r="B151" s="404"/>
      <c r="C151" s="404"/>
      <c r="D151" s="404"/>
      <c r="E151" s="404"/>
      <c r="F151" s="404"/>
      <c r="G151" s="404"/>
      <c r="H151" s="404"/>
      <c r="I151" s="404"/>
      <c r="J151" s="404"/>
      <c r="K151" s="404"/>
      <c r="L151" s="404"/>
      <c r="M151" s="404"/>
      <c r="N151" s="404"/>
      <c r="O151" s="404"/>
      <c r="P151" s="404"/>
      <c r="Q151" s="404"/>
      <c r="R151" s="404"/>
      <c r="S151" s="404"/>
      <c r="T151" s="404"/>
      <c r="U151" s="404"/>
      <c r="V151" s="404"/>
      <c r="W151" s="404"/>
      <c r="X151" s="404"/>
      <c r="Y151" s="404"/>
      <c r="Z151" s="404"/>
      <c r="AA151" s="404"/>
      <c r="AB151" s="404"/>
      <c r="AC151" s="404"/>
      <c r="AD151" s="404"/>
      <c r="AE151" s="404"/>
      <c r="AF151" s="404"/>
      <c r="AG151" s="404"/>
    </row>
    <row r="152" spans="1:33" ht="12.75" customHeight="1">
      <c r="A152" s="404"/>
      <c r="B152" s="404"/>
      <c r="C152" s="404"/>
      <c r="D152" s="404"/>
      <c r="E152" s="404"/>
      <c r="F152" s="404"/>
      <c r="G152" s="404"/>
      <c r="H152" s="404"/>
      <c r="I152" s="404"/>
      <c r="J152" s="404"/>
      <c r="K152" s="404"/>
      <c r="L152" s="404"/>
      <c r="M152" s="404"/>
      <c r="N152" s="404"/>
      <c r="O152" s="404"/>
      <c r="P152" s="404"/>
      <c r="Q152" s="404"/>
      <c r="R152" s="404"/>
      <c r="S152" s="404"/>
      <c r="T152" s="404"/>
      <c r="U152" s="404"/>
      <c r="V152" s="404"/>
      <c r="W152" s="404"/>
      <c r="X152" s="404"/>
      <c r="Y152" s="404"/>
      <c r="Z152" s="404"/>
      <c r="AA152" s="404"/>
      <c r="AB152" s="404"/>
      <c r="AC152" s="404"/>
      <c r="AD152" s="404"/>
      <c r="AE152" s="404"/>
      <c r="AF152" s="404"/>
      <c r="AG152" s="404"/>
    </row>
    <row r="153" spans="1:33" ht="12.75" customHeight="1">
      <c r="A153" s="404"/>
      <c r="B153" s="404"/>
      <c r="C153" s="404"/>
      <c r="D153" s="404"/>
      <c r="E153" s="404"/>
      <c r="F153" s="404"/>
      <c r="G153" s="404"/>
      <c r="H153" s="404"/>
      <c r="I153" s="404"/>
      <c r="J153" s="404"/>
      <c r="K153" s="404"/>
      <c r="L153" s="404"/>
      <c r="M153" s="404"/>
      <c r="N153" s="404"/>
      <c r="O153" s="404"/>
      <c r="P153" s="404"/>
      <c r="Q153" s="404"/>
      <c r="R153" s="404"/>
      <c r="S153" s="404"/>
      <c r="T153" s="404"/>
      <c r="U153" s="404"/>
      <c r="V153" s="404"/>
      <c r="W153" s="404"/>
      <c r="X153" s="404"/>
      <c r="Y153" s="404"/>
      <c r="Z153" s="404"/>
      <c r="AA153" s="404"/>
      <c r="AB153" s="404"/>
      <c r="AC153" s="404"/>
      <c r="AD153" s="404"/>
      <c r="AE153" s="404"/>
      <c r="AF153" s="404"/>
      <c r="AG153" s="404"/>
    </row>
    <row r="154" spans="1:33" ht="12.75" customHeight="1">
      <c r="A154" s="404"/>
      <c r="B154" s="404"/>
      <c r="C154" s="404"/>
      <c r="D154" s="404"/>
      <c r="E154" s="404"/>
      <c r="F154" s="404"/>
      <c r="G154" s="404"/>
      <c r="H154" s="404"/>
      <c r="I154" s="404"/>
      <c r="J154" s="404"/>
      <c r="K154" s="404"/>
      <c r="L154" s="404"/>
      <c r="M154" s="404"/>
      <c r="N154" s="404"/>
      <c r="O154" s="404"/>
      <c r="P154" s="404"/>
      <c r="Q154" s="404"/>
      <c r="R154" s="404"/>
      <c r="S154" s="404"/>
      <c r="T154" s="404"/>
      <c r="U154" s="404"/>
      <c r="V154" s="404"/>
      <c r="W154" s="404"/>
      <c r="X154" s="404"/>
      <c r="Y154" s="404"/>
      <c r="Z154" s="404"/>
      <c r="AA154" s="404"/>
      <c r="AB154" s="404"/>
      <c r="AC154" s="404"/>
      <c r="AD154" s="404"/>
      <c r="AE154" s="404"/>
      <c r="AF154" s="404"/>
      <c r="AG154" s="404"/>
    </row>
    <row r="155" spans="1:33" ht="12.75" customHeight="1">
      <c r="A155" s="404"/>
      <c r="B155" s="404"/>
      <c r="C155" s="404"/>
      <c r="D155" s="404"/>
      <c r="E155" s="404"/>
      <c r="F155" s="404"/>
      <c r="G155" s="404"/>
      <c r="H155" s="404"/>
      <c r="I155" s="404"/>
      <c r="J155" s="404"/>
      <c r="K155" s="404"/>
      <c r="L155" s="404"/>
      <c r="M155" s="404"/>
      <c r="N155" s="404"/>
      <c r="O155" s="404"/>
      <c r="P155" s="404"/>
      <c r="Q155" s="404"/>
      <c r="R155" s="404"/>
      <c r="S155" s="404"/>
      <c r="T155" s="404"/>
      <c r="U155" s="404"/>
      <c r="V155" s="404"/>
      <c r="W155" s="404"/>
      <c r="X155" s="404"/>
      <c r="Y155" s="404"/>
      <c r="Z155" s="404"/>
      <c r="AA155" s="404"/>
      <c r="AB155" s="404"/>
      <c r="AC155" s="404"/>
      <c r="AD155" s="404"/>
      <c r="AE155" s="404"/>
      <c r="AF155" s="404"/>
      <c r="AG155" s="404"/>
    </row>
    <row r="156" spans="1:33" ht="12.75" customHeight="1">
      <c r="A156" s="404"/>
      <c r="B156" s="404"/>
      <c r="C156" s="404"/>
      <c r="D156" s="404"/>
      <c r="E156" s="404"/>
      <c r="F156" s="404"/>
      <c r="G156" s="404"/>
      <c r="H156" s="404"/>
      <c r="I156" s="404"/>
      <c r="J156" s="404"/>
      <c r="K156" s="404"/>
      <c r="L156" s="404"/>
      <c r="M156" s="404"/>
      <c r="N156" s="404"/>
      <c r="O156" s="404"/>
      <c r="P156" s="404"/>
      <c r="Q156" s="404"/>
      <c r="R156" s="404"/>
      <c r="S156" s="404"/>
      <c r="T156" s="404"/>
      <c r="U156" s="404"/>
      <c r="V156" s="404"/>
      <c r="W156" s="404"/>
      <c r="X156" s="404"/>
      <c r="Y156" s="404"/>
      <c r="Z156" s="404"/>
      <c r="AA156" s="404"/>
      <c r="AB156" s="404"/>
      <c r="AC156" s="404"/>
      <c r="AD156" s="404"/>
      <c r="AE156" s="404"/>
      <c r="AF156" s="404"/>
      <c r="AG156" s="404"/>
    </row>
    <row r="157" spans="1:33" ht="12.75" customHeight="1">
      <c r="A157" s="404"/>
      <c r="B157" s="404"/>
      <c r="C157" s="404"/>
      <c r="D157" s="404"/>
      <c r="E157" s="404"/>
      <c r="F157" s="404"/>
      <c r="G157" s="404"/>
      <c r="H157" s="404"/>
      <c r="I157" s="404"/>
      <c r="J157" s="404"/>
      <c r="K157" s="404"/>
      <c r="L157" s="404"/>
      <c r="M157" s="404"/>
      <c r="N157" s="404"/>
      <c r="O157" s="404"/>
      <c r="P157" s="404"/>
      <c r="Q157" s="404"/>
      <c r="R157" s="404"/>
      <c r="S157" s="404"/>
      <c r="T157" s="404"/>
      <c r="U157" s="404"/>
      <c r="V157" s="404"/>
      <c r="W157" s="404"/>
      <c r="X157" s="404"/>
      <c r="Y157" s="404"/>
      <c r="Z157" s="404"/>
      <c r="AA157" s="404"/>
      <c r="AB157" s="404"/>
      <c r="AC157" s="404"/>
      <c r="AD157" s="404"/>
      <c r="AE157" s="404"/>
      <c r="AF157" s="404"/>
      <c r="AG157" s="404"/>
    </row>
    <row r="158" spans="1:33" ht="12.75" customHeight="1">
      <c r="A158" s="404"/>
      <c r="B158" s="404"/>
      <c r="C158" s="404"/>
      <c r="D158" s="404"/>
      <c r="E158" s="404"/>
      <c r="F158" s="404"/>
      <c r="G158" s="404"/>
      <c r="H158" s="404"/>
      <c r="I158" s="404"/>
      <c r="J158" s="404"/>
      <c r="K158" s="404"/>
      <c r="L158" s="404"/>
      <c r="M158" s="404"/>
      <c r="N158" s="404"/>
      <c r="O158" s="404"/>
      <c r="P158" s="404"/>
      <c r="Q158" s="404"/>
      <c r="R158" s="404"/>
      <c r="S158" s="404"/>
      <c r="T158" s="404"/>
      <c r="U158" s="404"/>
      <c r="V158" s="404"/>
      <c r="W158" s="404"/>
      <c r="X158" s="404"/>
      <c r="Y158" s="404"/>
      <c r="Z158" s="404"/>
      <c r="AA158" s="404"/>
      <c r="AB158" s="404"/>
      <c r="AC158" s="404"/>
      <c r="AD158" s="404"/>
      <c r="AE158" s="404"/>
      <c r="AF158" s="404"/>
      <c r="AG158" s="404"/>
    </row>
    <row r="159" spans="1:33" ht="12.75" customHeight="1">
      <c r="A159" s="404"/>
      <c r="B159" s="404"/>
      <c r="C159" s="404"/>
      <c r="D159" s="404"/>
      <c r="E159" s="404"/>
      <c r="F159" s="404"/>
      <c r="G159" s="404"/>
      <c r="H159" s="404"/>
      <c r="I159" s="404"/>
      <c r="J159" s="404"/>
      <c r="K159" s="404"/>
      <c r="L159" s="404"/>
      <c r="M159" s="404"/>
      <c r="N159" s="404"/>
      <c r="O159" s="404"/>
      <c r="P159" s="404"/>
      <c r="Q159" s="404"/>
      <c r="R159" s="404"/>
      <c r="S159" s="404"/>
      <c r="T159" s="404"/>
      <c r="U159" s="404"/>
      <c r="V159" s="404"/>
      <c r="W159" s="404"/>
      <c r="X159" s="404"/>
      <c r="Y159" s="404"/>
      <c r="Z159" s="404"/>
      <c r="AA159" s="404"/>
      <c r="AB159" s="404"/>
      <c r="AC159" s="404"/>
      <c r="AD159" s="404"/>
      <c r="AE159" s="404"/>
      <c r="AF159" s="404"/>
      <c r="AG159" s="404"/>
    </row>
    <row r="160" spans="1:33" ht="12.75" customHeight="1">
      <c r="A160" s="404"/>
      <c r="B160" s="404"/>
      <c r="C160" s="404"/>
      <c r="D160" s="404"/>
      <c r="E160" s="404"/>
      <c r="F160" s="404"/>
      <c r="G160" s="404"/>
      <c r="H160" s="404"/>
      <c r="I160" s="404"/>
      <c r="J160" s="404"/>
      <c r="K160" s="404"/>
      <c r="L160" s="404"/>
      <c r="M160" s="404"/>
      <c r="N160" s="404"/>
      <c r="O160" s="404"/>
      <c r="P160" s="404"/>
      <c r="Q160" s="404"/>
      <c r="R160" s="404"/>
      <c r="S160" s="404"/>
      <c r="T160" s="404"/>
      <c r="U160" s="404"/>
      <c r="V160" s="404"/>
      <c r="W160" s="404"/>
      <c r="X160" s="404"/>
      <c r="Y160" s="404"/>
      <c r="Z160" s="404"/>
      <c r="AA160" s="404"/>
      <c r="AB160" s="404"/>
      <c r="AC160" s="404"/>
      <c r="AD160" s="404"/>
      <c r="AE160" s="404"/>
      <c r="AF160" s="404"/>
      <c r="AG160" s="404"/>
    </row>
    <row r="161" spans="1:33" ht="12.75" customHeight="1">
      <c r="A161" s="404"/>
      <c r="B161" s="404"/>
      <c r="C161" s="404"/>
      <c r="D161" s="404"/>
      <c r="E161" s="404"/>
      <c r="F161" s="404"/>
      <c r="G161" s="404"/>
      <c r="H161" s="404"/>
      <c r="I161" s="404"/>
      <c r="J161" s="404"/>
      <c r="K161" s="404"/>
      <c r="L161" s="404"/>
      <c r="M161" s="404"/>
      <c r="N161" s="404"/>
      <c r="O161" s="404"/>
      <c r="P161" s="404"/>
      <c r="Q161" s="404"/>
      <c r="R161" s="404"/>
      <c r="S161" s="404"/>
      <c r="T161" s="404"/>
      <c r="U161" s="404"/>
      <c r="V161" s="404"/>
      <c r="W161" s="404"/>
      <c r="X161" s="404"/>
      <c r="Y161" s="404"/>
      <c r="Z161" s="404"/>
      <c r="AA161" s="404"/>
      <c r="AB161" s="404"/>
      <c r="AC161" s="404"/>
      <c r="AD161" s="404"/>
      <c r="AE161" s="404"/>
      <c r="AF161" s="404"/>
      <c r="AG161" s="404"/>
    </row>
    <row r="162" spans="1:33" ht="12.75" customHeight="1">
      <c r="A162" s="404"/>
      <c r="B162" s="404"/>
      <c r="C162" s="404"/>
      <c r="D162" s="404"/>
      <c r="E162" s="404"/>
      <c r="F162" s="404"/>
      <c r="G162" s="404"/>
      <c r="H162" s="404"/>
      <c r="I162" s="404"/>
      <c r="J162" s="404"/>
      <c r="K162" s="404"/>
      <c r="L162" s="404"/>
      <c r="M162" s="404"/>
      <c r="N162" s="404"/>
      <c r="O162" s="404"/>
      <c r="P162" s="404"/>
      <c r="Q162" s="404"/>
      <c r="R162" s="404"/>
      <c r="S162" s="404"/>
      <c r="T162" s="404"/>
      <c r="U162" s="404"/>
      <c r="V162" s="404"/>
      <c r="W162" s="404"/>
      <c r="X162" s="404"/>
      <c r="Y162" s="404"/>
      <c r="Z162" s="404"/>
      <c r="AA162" s="404"/>
      <c r="AB162" s="404"/>
      <c r="AC162" s="404"/>
      <c r="AD162" s="404"/>
      <c r="AE162" s="404"/>
      <c r="AF162" s="404"/>
      <c r="AG162" s="404"/>
    </row>
    <row r="163" spans="1:33" ht="12.75" customHeight="1">
      <c r="A163" s="404"/>
      <c r="B163" s="404"/>
      <c r="C163" s="404"/>
      <c r="D163" s="404"/>
      <c r="E163" s="404"/>
      <c r="F163" s="404"/>
      <c r="G163" s="404"/>
      <c r="H163" s="404"/>
      <c r="I163" s="404"/>
      <c r="J163" s="404"/>
      <c r="K163" s="404"/>
      <c r="L163" s="404"/>
      <c r="M163" s="404"/>
      <c r="N163" s="404"/>
      <c r="O163" s="404"/>
      <c r="P163" s="404"/>
      <c r="Q163" s="404"/>
      <c r="R163" s="404"/>
      <c r="S163" s="404"/>
      <c r="T163" s="404"/>
      <c r="U163" s="404"/>
      <c r="V163" s="404"/>
      <c r="W163" s="404"/>
      <c r="X163" s="404"/>
      <c r="Y163" s="404"/>
      <c r="Z163" s="404"/>
      <c r="AA163" s="404"/>
      <c r="AB163" s="404"/>
      <c r="AC163" s="404"/>
      <c r="AD163" s="404"/>
      <c r="AE163" s="404"/>
      <c r="AF163" s="404"/>
      <c r="AG163" s="404"/>
    </row>
    <row r="164" spans="1:33" ht="12.75" customHeight="1">
      <c r="A164" s="404"/>
      <c r="B164" s="404"/>
      <c r="C164" s="404"/>
      <c r="D164" s="404"/>
      <c r="E164" s="404"/>
      <c r="F164" s="404"/>
      <c r="G164" s="404"/>
      <c r="H164" s="404"/>
      <c r="I164" s="404"/>
      <c r="J164" s="404"/>
      <c r="K164" s="404"/>
      <c r="L164" s="404"/>
      <c r="M164" s="404"/>
      <c r="N164" s="404"/>
      <c r="O164" s="404"/>
      <c r="P164" s="404"/>
      <c r="Q164" s="404"/>
      <c r="R164" s="404"/>
      <c r="S164" s="404"/>
      <c r="T164" s="404"/>
      <c r="U164" s="404"/>
      <c r="V164" s="404"/>
      <c r="W164" s="404"/>
      <c r="X164" s="404"/>
      <c r="Y164" s="404"/>
      <c r="Z164" s="404"/>
      <c r="AA164" s="404"/>
      <c r="AB164" s="404"/>
      <c r="AC164" s="404"/>
      <c r="AD164" s="404"/>
      <c r="AE164" s="404"/>
      <c r="AF164" s="404"/>
      <c r="AG164" s="404"/>
    </row>
    <row r="165" spans="1:33" ht="12.75" customHeight="1">
      <c r="A165" s="404"/>
      <c r="B165" s="404"/>
      <c r="C165" s="404"/>
      <c r="D165" s="404"/>
      <c r="E165" s="404"/>
      <c r="F165" s="404"/>
      <c r="G165" s="404"/>
      <c r="H165" s="404"/>
      <c r="I165" s="404"/>
      <c r="J165" s="404"/>
      <c r="K165" s="404"/>
      <c r="L165" s="404"/>
      <c r="M165" s="404"/>
      <c r="N165" s="404"/>
      <c r="O165" s="404"/>
      <c r="P165" s="404"/>
      <c r="Q165" s="404"/>
      <c r="R165" s="404"/>
      <c r="S165" s="404"/>
      <c r="T165" s="404"/>
      <c r="U165" s="404"/>
      <c r="V165" s="404"/>
      <c r="W165" s="404"/>
      <c r="X165" s="404"/>
      <c r="Y165" s="404"/>
      <c r="Z165" s="404"/>
      <c r="AA165" s="404"/>
      <c r="AB165" s="404"/>
      <c r="AC165" s="404"/>
      <c r="AD165" s="404"/>
      <c r="AE165" s="404"/>
      <c r="AF165" s="404"/>
      <c r="AG165" s="404"/>
    </row>
    <row r="166" spans="1:33" ht="12.75" customHeight="1">
      <c r="A166" s="404"/>
      <c r="B166" s="404"/>
      <c r="C166" s="404"/>
      <c r="D166" s="404"/>
      <c r="E166" s="404"/>
      <c r="F166" s="404"/>
      <c r="G166" s="404"/>
      <c r="H166" s="404"/>
      <c r="I166" s="404"/>
      <c r="J166" s="404"/>
      <c r="K166" s="404"/>
      <c r="L166" s="404"/>
      <c r="M166" s="404"/>
      <c r="N166" s="404"/>
      <c r="O166" s="404"/>
      <c r="P166" s="404"/>
      <c r="Q166" s="404"/>
      <c r="R166" s="404"/>
      <c r="S166" s="404"/>
      <c r="T166" s="404"/>
      <c r="U166" s="404"/>
      <c r="V166" s="404"/>
      <c r="W166" s="404"/>
      <c r="X166" s="404"/>
      <c r="Y166" s="404"/>
      <c r="Z166" s="404"/>
      <c r="AA166" s="404"/>
      <c r="AB166" s="404"/>
      <c r="AC166" s="404"/>
      <c r="AD166" s="404"/>
      <c r="AE166" s="404"/>
      <c r="AF166" s="404"/>
      <c r="AG166" s="404"/>
    </row>
    <row r="167" spans="1:33" ht="12.75" customHeight="1">
      <c r="A167" s="404"/>
      <c r="B167" s="404"/>
      <c r="C167" s="404"/>
      <c r="D167" s="404"/>
      <c r="E167" s="404"/>
      <c r="F167" s="404"/>
      <c r="G167" s="404"/>
      <c r="H167" s="404"/>
      <c r="I167" s="404"/>
      <c r="J167" s="404"/>
      <c r="K167" s="404"/>
      <c r="L167" s="404"/>
      <c r="M167" s="404"/>
      <c r="N167" s="404"/>
      <c r="O167" s="404"/>
      <c r="P167" s="404"/>
      <c r="Q167" s="404"/>
      <c r="R167" s="404"/>
      <c r="S167" s="404"/>
      <c r="T167" s="404"/>
      <c r="U167" s="404"/>
      <c r="V167" s="404"/>
      <c r="W167" s="404"/>
      <c r="X167" s="404"/>
      <c r="Y167" s="404"/>
      <c r="Z167" s="404"/>
      <c r="AA167" s="404"/>
      <c r="AB167" s="404"/>
      <c r="AC167" s="404"/>
      <c r="AD167" s="404"/>
      <c r="AE167" s="404"/>
      <c r="AF167" s="404"/>
      <c r="AG167" s="404"/>
    </row>
    <row r="168" spans="1:33" ht="12.75" customHeight="1">
      <c r="A168" s="404"/>
      <c r="B168" s="404"/>
      <c r="C168" s="404"/>
      <c r="D168" s="404"/>
      <c r="E168" s="404"/>
      <c r="F168" s="404"/>
      <c r="G168" s="404"/>
      <c r="H168" s="404"/>
      <c r="I168" s="404"/>
      <c r="J168" s="404"/>
      <c r="K168" s="404"/>
      <c r="L168" s="404"/>
      <c r="M168" s="404"/>
      <c r="N168" s="404"/>
      <c r="O168" s="404"/>
      <c r="P168" s="404"/>
      <c r="Q168" s="404"/>
      <c r="R168" s="404"/>
      <c r="S168" s="404"/>
      <c r="T168" s="404"/>
      <c r="U168" s="404"/>
      <c r="V168" s="404"/>
      <c r="W168" s="404"/>
      <c r="X168" s="404"/>
      <c r="Y168" s="404"/>
      <c r="Z168" s="404"/>
      <c r="AA168" s="404"/>
      <c r="AB168" s="404"/>
      <c r="AC168" s="404"/>
      <c r="AD168" s="404"/>
      <c r="AE168" s="404"/>
      <c r="AF168" s="404"/>
      <c r="AG168" s="404"/>
    </row>
    <row r="169" spans="1:33" ht="12.75" customHeight="1">
      <c r="A169" s="404"/>
      <c r="B169" s="404"/>
      <c r="C169" s="404"/>
      <c r="D169" s="404"/>
      <c r="E169" s="404"/>
      <c r="F169" s="404"/>
      <c r="G169" s="404"/>
      <c r="H169" s="404"/>
      <c r="I169" s="404"/>
      <c r="J169" s="404"/>
      <c r="K169" s="404"/>
      <c r="L169" s="404"/>
      <c r="M169" s="404"/>
      <c r="N169" s="404"/>
      <c r="O169" s="404"/>
      <c r="P169" s="404"/>
      <c r="Q169" s="404"/>
      <c r="R169" s="404"/>
      <c r="S169" s="404"/>
      <c r="T169" s="404"/>
      <c r="U169" s="404"/>
      <c r="V169" s="404"/>
      <c r="W169" s="404"/>
      <c r="X169" s="404"/>
      <c r="Y169" s="404"/>
      <c r="Z169" s="404"/>
      <c r="AA169" s="404"/>
      <c r="AB169" s="404"/>
      <c r="AC169" s="404"/>
      <c r="AD169" s="404"/>
      <c r="AE169" s="404"/>
      <c r="AF169" s="404"/>
      <c r="AG169" s="404"/>
    </row>
    <row r="170" spans="1:33" ht="12.75" customHeight="1">
      <c r="A170" s="404"/>
      <c r="B170" s="404"/>
      <c r="C170" s="404"/>
      <c r="D170" s="404"/>
      <c r="E170" s="404"/>
      <c r="F170" s="404"/>
      <c r="G170" s="404"/>
      <c r="H170" s="404"/>
      <c r="I170" s="404"/>
      <c r="J170" s="404"/>
      <c r="K170" s="404"/>
      <c r="L170" s="404"/>
      <c r="M170" s="404"/>
      <c r="N170" s="404"/>
      <c r="O170" s="404"/>
      <c r="P170" s="404"/>
      <c r="Q170" s="404"/>
      <c r="R170" s="404"/>
      <c r="S170" s="404"/>
      <c r="T170" s="404"/>
      <c r="U170" s="404"/>
      <c r="V170" s="404"/>
      <c r="W170" s="404"/>
      <c r="X170" s="404"/>
      <c r="Y170" s="404"/>
      <c r="Z170" s="404"/>
      <c r="AA170" s="404"/>
      <c r="AB170" s="404"/>
      <c r="AC170" s="404"/>
      <c r="AD170" s="404"/>
      <c r="AE170" s="404"/>
      <c r="AF170" s="404"/>
      <c r="AG170" s="404"/>
    </row>
    <row r="171" spans="1:33" ht="12.75" customHeight="1">
      <c r="A171" s="404"/>
      <c r="B171" s="404"/>
      <c r="C171" s="404"/>
      <c r="D171" s="404"/>
      <c r="E171" s="404"/>
      <c r="F171" s="404"/>
      <c r="G171" s="404"/>
      <c r="H171" s="404"/>
      <c r="I171" s="404"/>
      <c r="J171" s="404"/>
      <c r="K171" s="404"/>
      <c r="L171" s="404"/>
      <c r="M171" s="404"/>
      <c r="N171" s="404"/>
      <c r="O171" s="404"/>
      <c r="P171" s="404"/>
      <c r="Q171" s="404"/>
      <c r="R171" s="404"/>
      <c r="S171" s="404"/>
      <c r="T171" s="404"/>
      <c r="U171" s="404"/>
      <c r="V171" s="404"/>
      <c r="W171" s="404"/>
      <c r="X171" s="404"/>
      <c r="Y171" s="404"/>
      <c r="Z171" s="404"/>
      <c r="AA171" s="404"/>
      <c r="AB171" s="404"/>
      <c r="AC171" s="404"/>
      <c r="AD171" s="404"/>
      <c r="AE171" s="404"/>
      <c r="AF171" s="404"/>
      <c r="AG171" s="404"/>
    </row>
    <row r="172" spans="1:33" ht="12.75" customHeight="1">
      <c r="A172" s="404"/>
      <c r="B172" s="404"/>
      <c r="C172" s="404"/>
      <c r="D172" s="404"/>
      <c r="E172" s="404"/>
      <c r="F172" s="404"/>
      <c r="G172" s="404"/>
      <c r="H172" s="404"/>
      <c r="I172" s="404"/>
      <c r="J172" s="404"/>
      <c r="K172" s="404"/>
      <c r="L172" s="404"/>
      <c r="M172" s="404"/>
      <c r="N172" s="404"/>
      <c r="O172" s="404"/>
      <c r="P172" s="404"/>
      <c r="Q172" s="404"/>
      <c r="R172" s="404"/>
      <c r="S172" s="404"/>
      <c r="T172" s="404"/>
      <c r="U172" s="404"/>
      <c r="V172" s="404"/>
      <c r="W172" s="404"/>
      <c r="X172" s="404"/>
      <c r="Y172" s="404"/>
      <c r="Z172" s="404"/>
      <c r="AA172" s="404"/>
      <c r="AB172" s="404"/>
      <c r="AC172" s="404"/>
      <c r="AD172" s="404"/>
      <c r="AE172" s="404"/>
      <c r="AF172" s="404"/>
      <c r="AG172" s="404"/>
    </row>
    <row r="173" spans="1:33" ht="12.75" customHeight="1">
      <c r="A173" s="404"/>
      <c r="B173" s="404"/>
      <c r="C173" s="404"/>
      <c r="D173" s="404"/>
      <c r="E173" s="404"/>
      <c r="F173" s="404"/>
      <c r="G173" s="404"/>
      <c r="H173" s="404"/>
      <c r="I173" s="404"/>
      <c r="J173" s="404"/>
      <c r="K173" s="404"/>
      <c r="L173" s="404"/>
      <c r="M173" s="404"/>
      <c r="N173" s="404"/>
      <c r="O173" s="404"/>
      <c r="P173" s="404"/>
      <c r="Q173" s="404"/>
      <c r="R173" s="404"/>
      <c r="S173" s="404"/>
      <c r="T173" s="404"/>
      <c r="U173" s="404"/>
      <c r="V173" s="404"/>
      <c r="W173" s="404"/>
      <c r="X173" s="404"/>
      <c r="Y173" s="404"/>
      <c r="Z173" s="404"/>
      <c r="AA173" s="404"/>
      <c r="AB173" s="404"/>
      <c r="AC173" s="404"/>
      <c r="AD173" s="404"/>
      <c r="AE173" s="404"/>
      <c r="AF173" s="404"/>
      <c r="AG173" s="404"/>
    </row>
    <row r="174" spans="1:33" ht="12.75" customHeight="1">
      <c r="A174" s="404"/>
      <c r="B174" s="404"/>
      <c r="C174" s="404"/>
      <c r="D174" s="404"/>
      <c r="E174" s="404"/>
      <c r="F174" s="404"/>
      <c r="G174" s="404"/>
      <c r="H174" s="404"/>
      <c r="I174" s="404"/>
      <c r="J174" s="404"/>
      <c r="K174" s="404"/>
      <c r="L174" s="404"/>
      <c r="M174" s="404"/>
      <c r="N174" s="404"/>
      <c r="O174" s="404"/>
      <c r="P174" s="404"/>
      <c r="Q174" s="404"/>
      <c r="R174" s="404"/>
      <c r="S174" s="404"/>
      <c r="T174" s="404"/>
      <c r="U174" s="404"/>
      <c r="V174" s="404"/>
      <c r="W174" s="404"/>
      <c r="X174" s="404"/>
      <c r="Y174" s="404"/>
      <c r="Z174" s="404"/>
      <c r="AA174" s="404"/>
      <c r="AB174" s="404"/>
      <c r="AC174" s="404"/>
      <c r="AD174" s="404"/>
      <c r="AE174" s="404"/>
      <c r="AF174" s="404"/>
      <c r="AG174" s="404"/>
    </row>
    <row r="175" spans="1:33" ht="12.75" customHeight="1">
      <c r="A175" s="404"/>
      <c r="B175" s="404"/>
      <c r="C175" s="404"/>
      <c r="D175" s="404"/>
      <c r="E175" s="404"/>
      <c r="F175" s="404"/>
      <c r="G175" s="404"/>
      <c r="H175" s="404"/>
      <c r="I175" s="404"/>
      <c r="J175" s="404"/>
      <c r="K175" s="404"/>
      <c r="L175" s="404"/>
      <c r="M175" s="404"/>
      <c r="N175" s="404"/>
      <c r="O175" s="404"/>
      <c r="P175" s="404"/>
      <c r="Q175" s="404"/>
      <c r="R175" s="404"/>
      <c r="S175" s="404"/>
      <c r="T175" s="404"/>
      <c r="U175" s="404"/>
      <c r="V175" s="404"/>
      <c r="W175" s="404"/>
      <c r="X175" s="404"/>
      <c r="Y175" s="404"/>
      <c r="Z175" s="404"/>
      <c r="AA175" s="404"/>
      <c r="AB175" s="404"/>
      <c r="AC175" s="404"/>
      <c r="AD175" s="404"/>
      <c r="AE175" s="404"/>
      <c r="AF175" s="404"/>
      <c r="AG175" s="404"/>
    </row>
    <row r="176" spans="1:33" ht="12.75" customHeight="1">
      <c r="A176" s="404"/>
      <c r="B176" s="404"/>
      <c r="C176" s="404"/>
      <c r="D176" s="404"/>
      <c r="E176" s="404"/>
      <c r="F176" s="404"/>
      <c r="G176" s="404"/>
      <c r="H176" s="404"/>
      <c r="I176" s="404"/>
      <c r="J176" s="404"/>
      <c r="K176" s="404"/>
      <c r="L176" s="404"/>
      <c r="M176" s="404"/>
      <c r="N176" s="404"/>
      <c r="O176" s="404"/>
      <c r="P176" s="404"/>
      <c r="Q176" s="404"/>
      <c r="R176" s="404"/>
      <c r="S176" s="404"/>
      <c r="T176" s="404"/>
      <c r="U176" s="404"/>
      <c r="V176" s="404"/>
      <c r="W176" s="404"/>
      <c r="X176" s="404"/>
      <c r="Y176" s="404"/>
      <c r="Z176" s="404"/>
      <c r="AA176" s="404"/>
      <c r="AB176" s="404"/>
      <c r="AC176" s="404"/>
      <c r="AD176" s="404"/>
      <c r="AE176" s="404"/>
      <c r="AF176" s="404"/>
      <c r="AG176" s="404"/>
    </row>
    <row r="177" spans="1:33" ht="12.75" customHeight="1">
      <c r="A177" s="404"/>
      <c r="B177" s="404"/>
      <c r="C177" s="404"/>
      <c r="D177" s="404"/>
      <c r="E177" s="404"/>
      <c r="F177" s="404"/>
      <c r="G177" s="404"/>
      <c r="H177" s="404"/>
      <c r="I177" s="404"/>
      <c r="J177" s="404"/>
      <c r="K177" s="404"/>
      <c r="L177" s="404"/>
      <c r="M177" s="404"/>
      <c r="N177" s="404"/>
      <c r="O177" s="404"/>
      <c r="P177" s="404"/>
      <c r="Q177" s="404"/>
      <c r="R177" s="404"/>
      <c r="S177" s="404"/>
      <c r="T177" s="404"/>
      <c r="U177" s="404"/>
      <c r="V177" s="404"/>
      <c r="W177" s="404"/>
      <c r="X177" s="404"/>
      <c r="Y177" s="404"/>
      <c r="Z177" s="404"/>
      <c r="AA177" s="404"/>
      <c r="AB177" s="404"/>
      <c r="AC177" s="404"/>
      <c r="AD177" s="404"/>
      <c r="AE177" s="404"/>
      <c r="AF177" s="404"/>
      <c r="AG177" s="404"/>
    </row>
    <row r="178" spans="1:33" ht="12.75" customHeight="1">
      <c r="A178" s="404"/>
      <c r="B178" s="404"/>
      <c r="C178" s="404"/>
      <c r="D178" s="404"/>
      <c r="E178" s="404"/>
      <c r="F178" s="404"/>
      <c r="G178" s="404"/>
      <c r="H178" s="404"/>
      <c r="I178" s="404"/>
      <c r="J178" s="404"/>
      <c r="K178" s="404"/>
      <c r="L178" s="404"/>
      <c r="M178" s="404"/>
      <c r="N178" s="404"/>
      <c r="O178" s="404"/>
      <c r="P178" s="404"/>
      <c r="Q178" s="404"/>
      <c r="R178" s="404"/>
      <c r="S178" s="404"/>
      <c r="T178" s="404"/>
      <c r="U178" s="404"/>
      <c r="V178" s="404"/>
      <c r="W178" s="404"/>
      <c r="X178" s="404"/>
      <c r="Y178" s="404"/>
      <c r="Z178" s="404"/>
      <c r="AA178" s="404"/>
      <c r="AB178" s="404"/>
      <c r="AC178" s="404"/>
      <c r="AD178" s="404"/>
      <c r="AE178" s="404"/>
      <c r="AF178" s="404"/>
      <c r="AG178" s="404"/>
    </row>
    <row r="179" spans="1:33" ht="12.75" customHeight="1">
      <c r="A179" s="404"/>
      <c r="B179" s="404"/>
      <c r="C179" s="404"/>
      <c r="D179" s="404"/>
      <c r="E179" s="404"/>
      <c r="F179" s="404"/>
      <c r="G179" s="404"/>
      <c r="H179" s="404"/>
      <c r="I179" s="404"/>
      <c r="J179" s="404"/>
      <c r="K179" s="404"/>
      <c r="L179" s="404"/>
      <c r="M179" s="404"/>
      <c r="N179" s="404"/>
      <c r="O179" s="404"/>
      <c r="P179" s="404"/>
      <c r="Q179" s="404"/>
      <c r="R179" s="404"/>
      <c r="S179" s="404"/>
      <c r="T179" s="404"/>
      <c r="U179" s="404"/>
      <c r="V179" s="404"/>
      <c r="W179" s="404"/>
      <c r="X179" s="404"/>
      <c r="Y179" s="404"/>
      <c r="Z179" s="404"/>
      <c r="AA179" s="404"/>
      <c r="AB179" s="404"/>
      <c r="AC179" s="404"/>
      <c r="AD179" s="404"/>
      <c r="AE179" s="404"/>
      <c r="AF179" s="404"/>
      <c r="AG179" s="404"/>
    </row>
    <row r="180" spans="1:33" ht="12.75" customHeight="1">
      <c r="A180" s="404"/>
      <c r="B180" s="404"/>
      <c r="C180" s="404"/>
      <c r="D180" s="404"/>
      <c r="E180" s="404"/>
      <c r="F180" s="404"/>
      <c r="G180" s="404"/>
      <c r="H180" s="404"/>
      <c r="I180" s="404"/>
      <c r="J180" s="404"/>
      <c r="K180" s="404"/>
      <c r="L180" s="404"/>
      <c r="M180" s="404"/>
      <c r="N180" s="404"/>
      <c r="O180" s="404"/>
      <c r="P180" s="404"/>
      <c r="Q180" s="404"/>
      <c r="R180" s="404"/>
      <c r="S180" s="404"/>
      <c r="T180" s="404"/>
      <c r="U180" s="404"/>
      <c r="V180" s="404"/>
      <c r="W180" s="404"/>
      <c r="X180" s="404"/>
      <c r="Y180" s="404"/>
      <c r="Z180" s="404"/>
      <c r="AA180" s="404"/>
      <c r="AB180" s="404"/>
      <c r="AC180" s="404"/>
      <c r="AD180" s="404"/>
      <c r="AE180" s="404"/>
      <c r="AF180" s="404"/>
      <c r="AG180" s="404"/>
    </row>
    <row r="181" spans="1:33" ht="12.75" customHeight="1">
      <c r="A181" s="404"/>
      <c r="B181" s="404"/>
      <c r="C181" s="404"/>
      <c r="D181" s="404"/>
      <c r="E181" s="404"/>
      <c r="F181" s="404"/>
      <c r="G181" s="404"/>
      <c r="H181" s="404"/>
      <c r="I181" s="404"/>
      <c r="J181" s="404"/>
      <c r="K181" s="404"/>
      <c r="L181" s="404"/>
      <c r="M181" s="404"/>
      <c r="N181" s="404"/>
      <c r="O181" s="404"/>
      <c r="P181" s="404"/>
      <c r="Q181" s="404"/>
      <c r="R181" s="404"/>
      <c r="S181" s="404"/>
      <c r="T181" s="404"/>
      <c r="U181" s="404"/>
      <c r="V181" s="404"/>
      <c r="W181" s="404"/>
      <c r="X181" s="404"/>
      <c r="Y181" s="404"/>
      <c r="Z181" s="404"/>
      <c r="AA181" s="404"/>
      <c r="AB181" s="404"/>
      <c r="AC181" s="404"/>
      <c r="AD181" s="404"/>
      <c r="AE181" s="404"/>
      <c r="AF181" s="404"/>
      <c r="AG181" s="404"/>
    </row>
    <row r="182" spans="1:33" ht="12.75" customHeight="1">
      <c r="A182" s="404"/>
      <c r="B182" s="404"/>
      <c r="C182" s="404"/>
      <c r="D182" s="404"/>
      <c r="E182" s="404"/>
      <c r="F182" s="404"/>
      <c r="G182" s="404"/>
      <c r="H182" s="404"/>
      <c r="I182" s="404"/>
      <c r="J182" s="404"/>
      <c r="K182" s="404"/>
      <c r="L182" s="404"/>
      <c r="M182" s="404"/>
      <c r="N182" s="404"/>
      <c r="O182" s="404"/>
      <c r="P182" s="404"/>
      <c r="Q182" s="404"/>
      <c r="R182" s="404"/>
      <c r="S182" s="404"/>
      <c r="T182" s="404"/>
      <c r="U182" s="404"/>
      <c r="V182" s="404"/>
      <c r="W182" s="404"/>
      <c r="X182" s="404"/>
      <c r="Y182" s="404"/>
      <c r="Z182" s="404"/>
      <c r="AA182" s="404"/>
      <c r="AB182" s="404"/>
      <c r="AC182" s="404"/>
      <c r="AD182" s="404"/>
      <c r="AE182" s="404"/>
      <c r="AF182" s="404"/>
      <c r="AG182" s="404"/>
    </row>
    <row r="183" spans="1:33" ht="12.75" customHeight="1">
      <c r="A183" s="404"/>
      <c r="B183" s="404"/>
      <c r="C183" s="404"/>
      <c r="D183" s="404"/>
      <c r="E183" s="404"/>
      <c r="F183" s="404"/>
      <c r="G183" s="404"/>
      <c r="H183" s="404"/>
      <c r="I183" s="404"/>
      <c r="J183" s="404"/>
      <c r="K183" s="404"/>
      <c r="L183" s="404"/>
      <c r="M183" s="404"/>
      <c r="N183" s="404"/>
      <c r="O183" s="404"/>
      <c r="P183" s="404"/>
      <c r="Q183" s="404"/>
      <c r="R183" s="404"/>
      <c r="S183" s="404"/>
      <c r="T183" s="404"/>
      <c r="U183" s="404"/>
      <c r="V183" s="404"/>
      <c r="W183" s="404"/>
      <c r="X183" s="404"/>
      <c r="Y183" s="404"/>
      <c r="Z183" s="404"/>
      <c r="AA183" s="404"/>
      <c r="AB183" s="404"/>
      <c r="AC183" s="404"/>
      <c r="AD183" s="404"/>
      <c r="AE183" s="404"/>
      <c r="AF183" s="404"/>
      <c r="AG183" s="404"/>
    </row>
    <row r="184" spans="1:33" ht="12.75" customHeight="1">
      <c r="A184" s="404"/>
      <c r="B184" s="404"/>
      <c r="C184" s="404"/>
      <c r="D184" s="404"/>
      <c r="E184" s="404"/>
      <c r="F184" s="404"/>
      <c r="G184" s="404"/>
      <c r="H184" s="404"/>
      <c r="I184" s="404"/>
      <c r="J184" s="404"/>
      <c r="K184" s="404"/>
      <c r="L184" s="404"/>
      <c r="M184" s="404"/>
      <c r="N184" s="404"/>
      <c r="O184" s="404"/>
      <c r="P184" s="404"/>
      <c r="Q184" s="404"/>
      <c r="R184" s="404"/>
      <c r="S184" s="404"/>
      <c r="T184" s="404"/>
      <c r="U184" s="404"/>
      <c r="V184" s="404"/>
      <c r="W184" s="404"/>
      <c r="X184" s="404"/>
      <c r="Y184" s="404"/>
      <c r="Z184" s="404"/>
      <c r="AA184" s="404"/>
      <c r="AB184" s="404"/>
      <c r="AC184" s="404"/>
      <c r="AD184" s="404"/>
      <c r="AE184" s="404"/>
      <c r="AF184" s="404"/>
      <c r="AG184" s="404"/>
    </row>
    <row r="185" spans="1:33" ht="12.75" customHeight="1">
      <c r="A185" s="404"/>
      <c r="B185" s="404"/>
      <c r="C185" s="404"/>
      <c r="D185" s="404"/>
      <c r="E185" s="404"/>
      <c r="F185" s="404"/>
      <c r="G185" s="404"/>
      <c r="H185" s="404"/>
      <c r="I185" s="404"/>
      <c r="J185" s="404"/>
      <c r="K185" s="404"/>
      <c r="L185" s="404"/>
      <c r="M185" s="404"/>
      <c r="N185" s="404"/>
      <c r="O185" s="404"/>
      <c r="P185" s="404"/>
      <c r="Q185" s="404"/>
      <c r="R185" s="404"/>
      <c r="S185" s="404"/>
      <c r="T185" s="404"/>
      <c r="U185" s="404"/>
      <c r="V185" s="404"/>
      <c r="W185" s="404"/>
      <c r="X185" s="404"/>
      <c r="Y185" s="404"/>
      <c r="Z185" s="404"/>
      <c r="AA185" s="404"/>
      <c r="AB185" s="404"/>
      <c r="AC185" s="404"/>
      <c r="AD185" s="404"/>
      <c r="AE185" s="404"/>
      <c r="AF185" s="404"/>
      <c r="AG185" s="404"/>
    </row>
    <row r="186" spans="1:33" ht="12.75" customHeight="1">
      <c r="A186" s="404"/>
      <c r="B186" s="404"/>
      <c r="C186" s="404"/>
      <c r="D186" s="404"/>
      <c r="E186" s="404"/>
      <c r="F186" s="404"/>
      <c r="G186" s="404"/>
      <c r="H186" s="404"/>
      <c r="I186" s="404"/>
      <c r="J186" s="404"/>
      <c r="K186" s="404"/>
      <c r="L186" s="404"/>
      <c r="M186" s="404"/>
      <c r="N186" s="404"/>
      <c r="O186" s="404"/>
      <c r="P186" s="404"/>
      <c r="Q186" s="404"/>
      <c r="R186" s="404"/>
      <c r="S186" s="404"/>
      <c r="T186" s="404"/>
      <c r="U186" s="404"/>
      <c r="V186" s="404"/>
      <c r="W186" s="404"/>
      <c r="X186" s="404"/>
      <c r="Y186" s="404"/>
      <c r="Z186" s="404"/>
      <c r="AA186" s="404"/>
      <c r="AB186" s="404"/>
      <c r="AC186" s="404"/>
      <c r="AD186" s="404"/>
      <c r="AE186" s="404"/>
      <c r="AF186" s="404"/>
      <c r="AG186" s="404"/>
    </row>
    <row r="187" spans="1:33" ht="12.75" customHeight="1">
      <c r="A187" s="404"/>
      <c r="B187" s="404"/>
      <c r="C187" s="404"/>
      <c r="D187" s="404"/>
      <c r="E187" s="404"/>
      <c r="F187" s="404"/>
      <c r="G187" s="404"/>
      <c r="H187" s="404"/>
      <c r="I187" s="404"/>
      <c r="J187" s="404"/>
      <c r="K187" s="404"/>
      <c r="L187" s="404"/>
      <c r="M187" s="404"/>
      <c r="N187" s="404"/>
      <c r="O187" s="404"/>
      <c r="P187" s="404"/>
      <c r="Q187" s="404"/>
      <c r="R187" s="404"/>
      <c r="S187" s="404"/>
      <c r="T187" s="404"/>
      <c r="U187" s="404"/>
      <c r="V187" s="404"/>
      <c r="W187" s="404"/>
      <c r="X187" s="404"/>
      <c r="Y187" s="404"/>
      <c r="Z187" s="404"/>
      <c r="AA187" s="404"/>
      <c r="AB187" s="404"/>
      <c r="AC187" s="404"/>
      <c r="AD187" s="404"/>
      <c r="AE187" s="404"/>
      <c r="AF187" s="404"/>
      <c r="AG187" s="404"/>
    </row>
    <row r="188" spans="1:33" ht="12.75" customHeight="1">
      <c r="A188" s="404"/>
      <c r="B188" s="404"/>
      <c r="C188" s="404"/>
      <c r="D188" s="404"/>
      <c r="E188" s="404"/>
      <c r="F188" s="404"/>
      <c r="G188" s="404"/>
      <c r="H188" s="404"/>
      <c r="I188" s="404"/>
      <c r="J188" s="404"/>
      <c r="K188" s="404"/>
      <c r="L188" s="404"/>
      <c r="M188" s="404"/>
      <c r="N188" s="404"/>
      <c r="O188" s="404"/>
      <c r="P188" s="404"/>
      <c r="Q188" s="404"/>
      <c r="R188" s="404"/>
      <c r="S188" s="404"/>
      <c r="T188" s="404"/>
      <c r="U188" s="404"/>
      <c r="V188" s="404"/>
      <c r="W188" s="404"/>
      <c r="X188" s="404"/>
      <c r="Y188" s="404"/>
      <c r="Z188" s="404"/>
      <c r="AA188" s="404"/>
      <c r="AB188" s="404"/>
      <c r="AC188" s="404"/>
      <c r="AD188" s="404"/>
      <c r="AE188" s="404"/>
      <c r="AF188" s="404"/>
      <c r="AG188" s="404"/>
    </row>
    <row r="189" spans="1:33" ht="12.75" customHeight="1">
      <c r="A189" s="404"/>
      <c r="B189" s="404"/>
      <c r="C189" s="404"/>
      <c r="D189" s="404"/>
      <c r="E189" s="404"/>
      <c r="F189" s="404"/>
      <c r="G189" s="404"/>
      <c r="H189" s="404"/>
      <c r="I189" s="404"/>
      <c r="J189" s="404"/>
      <c r="K189" s="404"/>
      <c r="L189" s="404"/>
      <c r="M189" s="404"/>
      <c r="N189" s="404"/>
      <c r="O189" s="404"/>
      <c r="P189" s="404"/>
      <c r="Q189" s="404"/>
      <c r="R189" s="404"/>
      <c r="S189" s="404"/>
      <c r="T189" s="404"/>
      <c r="U189" s="404"/>
      <c r="V189" s="404"/>
      <c r="W189" s="404"/>
      <c r="X189" s="404"/>
      <c r="Y189" s="404"/>
      <c r="Z189" s="404"/>
      <c r="AA189" s="404"/>
      <c r="AB189" s="404"/>
      <c r="AC189" s="404"/>
      <c r="AD189" s="404"/>
      <c r="AE189" s="404"/>
      <c r="AF189" s="404"/>
      <c r="AG189" s="404"/>
    </row>
    <row r="190" spans="1:33" ht="12.75" customHeight="1">
      <c r="A190" s="404"/>
      <c r="B190" s="404"/>
      <c r="C190" s="404"/>
      <c r="D190" s="404"/>
      <c r="E190" s="404"/>
      <c r="F190" s="404"/>
      <c r="G190" s="404"/>
      <c r="H190" s="404"/>
      <c r="I190" s="404"/>
      <c r="J190" s="404"/>
      <c r="K190" s="404"/>
      <c r="L190" s="404"/>
      <c r="M190" s="404"/>
      <c r="N190" s="404"/>
      <c r="O190" s="404"/>
      <c r="P190" s="404"/>
      <c r="Q190" s="404"/>
      <c r="R190" s="404"/>
      <c r="S190" s="404"/>
      <c r="T190" s="404"/>
      <c r="U190" s="404"/>
      <c r="V190" s="404"/>
      <c r="W190" s="404"/>
      <c r="X190" s="404"/>
      <c r="Y190" s="404"/>
      <c r="Z190" s="404"/>
      <c r="AA190" s="404"/>
      <c r="AB190" s="404"/>
      <c r="AC190" s="404"/>
      <c r="AD190" s="404"/>
      <c r="AE190" s="404"/>
      <c r="AF190" s="404"/>
      <c r="AG190" s="404"/>
    </row>
    <row r="191" spans="1:33" ht="12.75" customHeight="1">
      <c r="A191" s="404"/>
      <c r="B191" s="404"/>
      <c r="C191" s="404"/>
      <c r="D191" s="404"/>
      <c r="E191" s="404"/>
      <c r="F191" s="404"/>
      <c r="G191" s="404"/>
      <c r="H191" s="404"/>
      <c r="I191" s="404"/>
      <c r="J191" s="404"/>
      <c r="K191" s="404"/>
      <c r="L191" s="404"/>
      <c r="M191" s="404"/>
      <c r="N191" s="404"/>
      <c r="O191" s="404"/>
      <c r="P191" s="404"/>
      <c r="Q191" s="404"/>
      <c r="R191" s="404"/>
      <c r="S191" s="404"/>
      <c r="T191" s="404"/>
      <c r="U191" s="404"/>
      <c r="V191" s="404"/>
      <c r="W191" s="404"/>
      <c r="X191" s="404"/>
      <c r="Y191" s="404"/>
      <c r="Z191" s="404"/>
      <c r="AA191" s="404"/>
      <c r="AB191" s="404"/>
      <c r="AC191" s="404"/>
      <c r="AD191" s="404"/>
      <c r="AE191" s="404"/>
      <c r="AF191" s="404"/>
      <c r="AG191" s="404"/>
    </row>
    <row r="192" spans="1:33" ht="12.75" customHeight="1">
      <c r="A192" s="404"/>
      <c r="B192" s="404"/>
      <c r="C192" s="404"/>
      <c r="D192" s="404"/>
      <c r="E192" s="404"/>
      <c r="F192" s="404"/>
      <c r="G192" s="404"/>
      <c r="H192" s="404"/>
      <c r="I192" s="404"/>
      <c r="J192" s="404"/>
      <c r="K192" s="404"/>
      <c r="L192" s="404"/>
      <c r="M192" s="404"/>
      <c r="N192" s="404"/>
      <c r="O192" s="404"/>
      <c r="P192" s="404"/>
      <c r="Q192" s="404"/>
      <c r="R192" s="404"/>
      <c r="S192" s="404"/>
      <c r="T192" s="404"/>
      <c r="U192" s="404"/>
      <c r="V192" s="404"/>
      <c r="W192" s="404"/>
      <c r="X192" s="404"/>
      <c r="Y192" s="404"/>
      <c r="Z192" s="404"/>
      <c r="AA192" s="404"/>
      <c r="AB192" s="404"/>
      <c r="AC192" s="404"/>
      <c r="AD192" s="404"/>
      <c r="AE192" s="404"/>
      <c r="AF192" s="404"/>
      <c r="AG192" s="404"/>
    </row>
    <row r="193" spans="1:33" ht="12.75" customHeight="1">
      <c r="A193" s="404"/>
      <c r="B193" s="404"/>
      <c r="C193" s="404"/>
      <c r="D193" s="404"/>
      <c r="E193" s="404"/>
      <c r="F193" s="404"/>
      <c r="G193" s="404"/>
      <c r="H193" s="404"/>
      <c r="I193" s="404"/>
      <c r="J193" s="404"/>
      <c r="K193" s="404"/>
      <c r="L193" s="404"/>
      <c r="M193" s="404"/>
      <c r="N193" s="404"/>
      <c r="O193" s="404"/>
      <c r="P193" s="404"/>
      <c r="Q193" s="404"/>
      <c r="R193" s="404"/>
      <c r="S193" s="404"/>
      <c r="T193" s="404"/>
      <c r="U193" s="404"/>
      <c r="V193" s="404"/>
      <c r="W193" s="404"/>
      <c r="X193" s="404"/>
      <c r="Y193" s="404"/>
      <c r="Z193" s="404"/>
      <c r="AA193" s="404"/>
      <c r="AB193" s="404"/>
      <c r="AC193" s="404"/>
      <c r="AD193" s="404"/>
      <c r="AE193" s="404"/>
      <c r="AF193" s="404"/>
      <c r="AG193" s="404"/>
    </row>
    <row r="194" spans="1:33" ht="12.75" customHeight="1">
      <c r="A194" s="404"/>
      <c r="B194" s="404"/>
      <c r="C194" s="404"/>
      <c r="D194" s="404"/>
      <c r="E194" s="404"/>
      <c r="F194" s="404"/>
      <c r="G194" s="404"/>
      <c r="H194" s="404"/>
      <c r="I194" s="404"/>
      <c r="J194" s="404"/>
      <c r="K194" s="404"/>
      <c r="L194" s="404"/>
      <c r="M194" s="404"/>
      <c r="N194" s="404"/>
      <c r="O194" s="404"/>
      <c r="P194" s="404"/>
      <c r="Q194" s="404"/>
      <c r="R194" s="404"/>
      <c r="S194" s="404"/>
      <c r="T194" s="404"/>
      <c r="U194" s="404"/>
      <c r="V194" s="404"/>
      <c r="W194" s="404"/>
      <c r="X194" s="404"/>
      <c r="Y194" s="404"/>
      <c r="Z194" s="404"/>
      <c r="AA194" s="404"/>
      <c r="AB194" s="404"/>
      <c r="AC194" s="404"/>
      <c r="AD194" s="404"/>
      <c r="AE194" s="404"/>
      <c r="AF194" s="404"/>
      <c r="AG194" s="404"/>
    </row>
    <row r="195" spans="1:33" ht="12.75" customHeight="1">
      <c r="A195" s="404"/>
      <c r="B195" s="404"/>
      <c r="C195" s="404"/>
      <c r="D195" s="404"/>
      <c r="E195" s="404"/>
      <c r="F195" s="404"/>
      <c r="G195" s="404"/>
      <c r="H195" s="404"/>
      <c r="I195" s="404"/>
      <c r="J195" s="404"/>
      <c r="K195" s="404"/>
      <c r="L195" s="404"/>
      <c r="M195" s="404"/>
      <c r="N195" s="404"/>
      <c r="O195" s="404"/>
      <c r="P195" s="404"/>
      <c r="Q195" s="404"/>
      <c r="R195" s="404"/>
      <c r="S195" s="404"/>
      <c r="T195" s="404"/>
      <c r="U195" s="404"/>
      <c r="V195" s="404"/>
      <c r="W195" s="404"/>
      <c r="X195" s="404"/>
      <c r="Y195" s="404"/>
      <c r="Z195" s="404"/>
      <c r="AA195" s="404"/>
      <c r="AB195" s="404"/>
      <c r="AC195" s="404"/>
      <c r="AD195" s="404"/>
      <c r="AE195" s="404"/>
      <c r="AF195" s="404"/>
      <c r="AG195" s="404"/>
    </row>
    <row r="196" spans="1:33" ht="12.75" customHeight="1">
      <c r="A196" s="404"/>
      <c r="B196" s="404"/>
      <c r="C196" s="404"/>
      <c r="D196" s="404"/>
      <c r="E196" s="404"/>
      <c r="F196" s="404"/>
      <c r="G196" s="404"/>
      <c r="H196" s="404"/>
      <c r="I196" s="404"/>
      <c r="J196" s="404"/>
      <c r="K196" s="404"/>
      <c r="L196" s="404"/>
      <c r="M196" s="404"/>
      <c r="N196" s="404"/>
      <c r="O196" s="404"/>
      <c r="P196" s="404"/>
      <c r="Q196" s="404"/>
      <c r="R196" s="404"/>
      <c r="S196" s="404"/>
      <c r="T196" s="404"/>
      <c r="U196" s="404"/>
      <c r="V196" s="404"/>
      <c r="W196" s="404"/>
      <c r="X196" s="404"/>
      <c r="Y196" s="404"/>
      <c r="Z196" s="404"/>
      <c r="AA196" s="404"/>
      <c r="AB196" s="404"/>
      <c r="AC196" s="404"/>
      <c r="AD196" s="404"/>
      <c r="AE196" s="404"/>
      <c r="AF196" s="404"/>
      <c r="AG196" s="404"/>
    </row>
    <row r="197" spans="1:33" ht="12.75" customHeight="1">
      <c r="A197" s="404"/>
      <c r="B197" s="404"/>
      <c r="C197" s="404"/>
      <c r="D197" s="404"/>
      <c r="E197" s="404"/>
      <c r="F197" s="404"/>
      <c r="G197" s="404"/>
      <c r="H197" s="404"/>
      <c r="I197" s="404"/>
      <c r="J197" s="404"/>
      <c r="K197" s="404"/>
      <c r="L197" s="404"/>
      <c r="M197" s="404"/>
      <c r="N197" s="404"/>
      <c r="O197" s="404"/>
      <c r="P197" s="404"/>
      <c r="Q197" s="404"/>
      <c r="R197" s="404"/>
      <c r="S197" s="404"/>
      <c r="T197" s="404"/>
      <c r="U197" s="404"/>
      <c r="V197" s="404"/>
      <c r="W197" s="404"/>
      <c r="X197" s="404"/>
      <c r="Y197" s="404"/>
      <c r="Z197" s="404"/>
      <c r="AA197" s="404"/>
      <c r="AB197" s="404"/>
      <c r="AC197" s="404"/>
      <c r="AD197" s="404"/>
      <c r="AE197" s="404"/>
      <c r="AF197" s="404"/>
      <c r="AG197" s="404"/>
    </row>
    <row r="198" spans="1:33" ht="12.75" customHeight="1">
      <c r="A198" s="404"/>
      <c r="B198" s="404"/>
      <c r="C198" s="404"/>
      <c r="D198" s="404"/>
      <c r="E198" s="404"/>
      <c r="F198" s="404"/>
      <c r="G198" s="404"/>
      <c r="H198" s="404"/>
      <c r="I198" s="404"/>
      <c r="J198" s="404"/>
      <c r="K198" s="404"/>
      <c r="L198" s="404"/>
      <c r="M198" s="404"/>
      <c r="N198" s="404"/>
      <c r="O198" s="404"/>
      <c r="P198" s="404"/>
      <c r="Q198" s="404"/>
      <c r="R198" s="404"/>
      <c r="S198" s="404"/>
      <c r="T198" s="404"/>
      <c r="U198" s="404"/>
      <c r="V198" s="404"/>
      <c r="W198" s="404"/>
      <c r="X198" s="404"/>
      <c r="Y198" s="404"/>
      <c r="Z198" s="404"/>
      <c r="AA198" s="404"/>
      <c r="AB198" s="404"/>
      <c r="AC198" s="404"/>
      <c r="AD198" s="404"/>
      <c r="AE198" s="404"/>
      <c r="AF198" s="404"/>
      <c r="AG198" s="404"/>
    </row>
    <row r="199" spans="1:33" ht="12.75" customHeight="1">
      <c r="A199" s="404"/>
      <c r="B199" s="404"/>
      <c r="C199" s="404"/>
      <c r="D199" s="404"/>
      <c r="E199" s="404"/>
      <c r="F199" s="404"/>
      <c r="G199" s="404"/>
      <c r="H199" s="404"/>
      <c r="I199" s="404"/>
      <c r="J199" s="404"/>
      <c r="K199" s="404"/>
      <c r="L199" s="404"/>
      <c r="M199" s="404"/>
      <c r="N199" s="404"/>
      <c r="O199" s="404"/>
      <c r="P199" s="404"/>
      <c r="Q199" s="404"/>
      <c r="R199" s="404"/>
      <c r="S199" s="404"/>
      <c r="T199" s="404"/>
      <c r="U199" s="404"/>
      <c r="V199" s="404"/>
      <c r="W199" s="404"/>
      <c r="X199" s="404"/>
      <c r="Y199" s="404"/>
      <c r="Z199" s="404"/>
      <c r="AA199" s="404"/>
      <c r="AB199" s="404"/>
      <c r="AC199" s="404"/>
      <c r="AD199" s="404"/>
      <c r="AE199" s="404"/>
      <c r="AF199" s="404"/>
      <c r="AG199" s="404"/>
    </row>
    <row r="200" spans="1:33" ht="12.75" customHeight="1">
      <c r="A200" s="404"/>
      <c r="B200" s="404"/>
      <c r="C200" s="404"/>
      <c r="D200" s="404"/>
      <c r="E200" s="404"/>
      <c r="F200" s="404"/>
      <c r="G200" s="404"/>
      <c r="H200" s="404"/>
      <c r="I200" s="404"/>
      <c r="J200" s="404"/>
      <c r="K200" s="404"/>
      <c r="L200" s="404"/>
      <c r="M200" s="404"/>
      <c r="N200" s="404"/>
      <c r="O200" s="404"/>
      <c r="P200" s="404"/>
      <c r="Q200" s="404"/>
      <c r="R200" s="404"/>
      <c r="S200" s="404"/>
      <c r="T200" s="404"/>
      <c r="U200" s="404"/>
      <c r="V200" s="404"/>
      <c r="W200" s="404"/>
      <c r="X200" s="404"/>
      <c r="Y200" s="404"/>
      <c r="Z200" s="404"/>
      <c r="AA200" s="404"/>
      <c r="AB200" s="404"/>
      <c r="AC200" s="404"/>
      <c r="AD200" s="404"/>
      <c r="AE200" s="404"/>
      <c r="AF200" s="404"/>
      <c r="AG200" s="404"/>
    </row>
    <row r="201" spans="1:33" ht="12.75" customHeight="1">
      <c r="A201" s="404"/>
      <c r="B201" s="404"/>
      <c r="C201" s="404"/>
      <c r="D201" s="404"/>
      <c r="E201" s="404"/>
      <c r="F201" s="404"/>
      <c r="G201" s="404"/>
      <c r="H201" s="404"/>
      <c r="I201" s="404"/>
      <c r="J201" s="404"/>
      <c r="K201" s="404"/>
      <c r="L201" s="404"/>
      <c r="M201" s="404"/>
      <c r="N201" s="404"/>
      <c r="O201" s="404"/>
      <c r="P201" s="404"/>
      <c r="Q201" s="404"/>
      <c r="R201" s="404"/>
      <c r="S201" s="404"/>
      <c r="T201" s="404"/>
      <c r="U201" s="404"/>
      <c r="V201" s="404"/>
      <c r="W201" s="404"/>
      <c r="X201" s="404"/>
      <c r="Y201" s="404"/>
      <c r="Z201" s="404"/>
      <c r="AA201" s="404"/>
      <c r="AB201" s="404"/>
      <c r="AC201" s="404"/>
      <c r="AD201" s="404"/>
      <c r="AE201" s="404"/>
      <c r="AF201" s="404"/>
      <c r="AG201" s="404"/>
    </row>
    <row r="202" spans="1:33" ht="12.75" customHeight="1">
      <c r="A202" s="404"/>
      <c r="B202" s="404"/>
      <c r="C202" s="404"/>
      <c r="D202" s="404"/>
      <c r="E202" s="404"/>
      <c r="F202" s="404"/>
      <c r="G202" s="404"/>
      <c r="H202" s="404"/>
      <c r="I202" s="404"/>
      <c r="J202" s="404"/>
      <c r="K202" s="404"/>
      <c r="L202" s="404"/>
      <c r="M202" s="404"/>
      <c r="N202" s="404"/>
      <c r="O202" s="404"/>
      <c r="P202" s="404"/>
      <c r="Q202" s="404"/>
      <c r="R202" s="404"/>
      <c r="S202" s="404"/>
      <c r="T202" s="404"/>
      <c r="U202" s="404"/>
      <c r="V202" s="404"/>
      <c r="W202" s="404"/>
      <c r="X202" s="404"/>
      <c r="Y202" s="404"/>
      <c r="Z202" s="404"/>
      <c r="AA202" s="404"/>
      <c r="AB202" s="404"/>
      <c r="AC202" s="404"/>
      <c r="AD202" s="404"/>
      <c r="AE202" s="404"/>
      <c r="AF202" s="404"/>
      <c r="AG202" s="404"/>
    </row>
    <row r="203" spans="1:33" ht="12.75" customHeight="1">
      <c r="A203" s="404"/>
      <c r="B203" s="404"/>
      <c r="C203" s="404"/>
      <c r="D203" s="404"/>
      <c r="E203" s="404"/>
      <c r="F203" s="404"/>
      <c r="G203" s="404"/>
      <c r="H203" s="404"/>
      <c r="I203" s="404"/>
      <c r="J203" s="404"/>
      <c r="K203" s="404"/>
      <c r="L203" s="404"/>
      <c r="M203" s="404"/>
      <c r="N203" s="404"/>
      <c r="O203" s="404"/>
      <c r="P203" s="404"/>
      <c r="Q203" s="404"/>
      <c r="R203" s="404"/>
      <c r="S203" s="404"/>
      <c r="T203" s="404"/>
      <c r="U203" s="404"/>
      <c r="V203" s="404"/>
      <c r="W203" s="404"/>
      <c r="X203" s="404"/>
      <c r="Y203" s="404"/>
      <c r="Z203" s="404"/>
      <c r="AA203" s="404"/>
      <c r="AB203" s="404"/>
      <c r="AC203" s="404"/>
      <c r="AD203" s="404"/>
      <c r="AE203" s="404"/>
      <c r="AF203" s="404"/>
      <c r="AG203" s="404"/>
    </row>
    <row r="204" spans="1:33" ht="12.75" customHeight="1">
      <c r="A204" s="404"/>
      <c r="B204" s="404"/>
      <c r="C204" s="404"/>
      <c r="D204" s="404"/>
      <c r="E204" s="404"/>
      <c r="F204" s="404"/>
      <c r="G204" s="404"/>
      <c r="H204" s="404"/>
      <c r="I204" s="404"/>
      <c r="J204" s="404"/>
      <c r="K204" s="404"/>
      <c r="L204" s="404"/>
      <c r="M204" s="404"/>
      <c r="N204" s="404"/>
      <c r="O204" s="404"/>
      <c r="P204" s="404"/>
      <c r="Q204" s="404"/>
      <c r="R204" s="404"/>
      <c r="S204" s="404"/>
      <c r="T204" s="404"/>
      <c r="U204" s="404"/>
      <c r="V204" s="404"/>
      <c r="W204" s="404"/>
      <c r="X204" s="404"/>
      <c r="Y204" s="404"/>
      <c r="Z204" s="404"/>
      <c r="AA204" s="404"/>
      <c r="AB204" s="404"/>
      <c r="AC204" s="404"/>
      <c r="AD204" s="404"/>
      <c r="AE204" s="404"/>
      <c r="AF204" s="404"/>
      <c r="AG204" s="404"/>
    </row>
    <row r="205" spans="1:33" ht="12.75" customHeight="1">
      <c r="A205" s="404"/>
      <c r="B205" s="404"/>
      <c r="C205" s="404"/>
      <c r="D205" s="404"/>
      <c r="E205" s="404"/>
      <c r="F205" s="404"/>
      <c r="G205" s="404"/>
      <c r="H205" s="404"/>
      <c r="I205" s="404"/>
      <c r="J205" s="404"/>
      <c r="K205" s="404"/>
      <c r="L205" s="404"/>
      <c r="M205" s="404"/>
      <c r="N205" s="404"/>
      <c r="O205" s="404"/>
      <c r="P205" s="404"/>
      <c r="Q205" s="404"/>
      <c r="R205" s="404"/>
      <c r="S205" s="404"/>
      <c r="T205" s="404"/>
      <c r="U205" s="404"/>
      <c r="V205" s="404"/>
      <c r="W205" s="404"/>
      <c r="X205" s="404"/>
      <c r="Y205" s="404"/>
      <c r="Z205" s="404"/>
      <c r="AA205" s="404"/>
      <c r="AB205" s="404"/>
      <c r="AC205" s="404"/>
      <c r="AD205" s="404"/>
      <c r="AE205" s="404"/>
      <c r="AF205" s="404"/>
      <c r="AG205" s="404"/>
    </row>
    <row r="206" spans="1:33" ht="12.75" customHeight="1">
      <c r="A206" s="404"/>
      <c r="B206" s="404"/>
      <c r="C206" s="404"/>
      <c r="D206" s="404"/>
      <c r="E206" s="404"/>
      <c r="F206" s="404"/>
      <c r="G206" s="404"/>
      <c r="H206" s="404"/>
      <c r="I206" s="404"/>
      <c r="J206" s="404"/>
      <c r="K206" s="404"/>
      <c r="L206" s="404"/>
      <c r="M206" s="404"/>
      <c r="N206" s="404"/>
      <c r="O206" s="404"/>
      <c r="P206" s="404"/>
      <c r="Q206" s="404"/>
      <c r="R206" s="404"/>
      <c r="S206" s="404"/>
      <c r="T206" s="404"/>
      <c r="U206" s="404"/>
      <c r="V206" s="404"/>
      <c r="W206" s="404"/>
      <c r="X206" s="404"/>
      <c r="Y206" s="404"/>
      <c r="Z206" s="404"/>
      <c r="AA206" s="404"/>
      <c r="AB206" s="404"/>
      <c r="AC206" s="404"/>
      <c r="AD206" s="404"/>
      <c r="AE206" s="404"/>
      <c r="AF206" s="404"/>
      <c r="AG206" s="404"/>
    </row>
    <row r="207" spans="1:33" ht="12.75" customHeight="1">
      <c r="A207" s="404"/>
      <c r="B207" s="404"/>
      <c r="C207" s="404"/>
      <c r="D207" s="404"/>
      <c r="E207" s="404"/>
      <c r="F207" s="404"/>
      <c r="G207" s="404"/>
      <c r="H207" s="404"/>
      <c r="I207" s="404"/>
      <c r="J207" s="404"/>
      <c r="K207" s="404"/>
      <c r="L207" s="404"/>
      <c r="M207" s="404"/>
      <c r="N207" s="404"/>
      <c r="O207" s="404"/>
      <c r="P207" s="404"/>
      <c r="Q207" s="404"/>
      <c r="R207" s="404"/>
      <c r="S207" s="404"/>
      <c r="T207" s="404"/>
      <c r="U207" s="404"/>
      <c r="V207" s="404"/>
      <c r="W207" s="404"/>
      <c r="X207" s="404"/>
      <c r="Y207" s="404"/>
      <c r="Z207" s="404"/>
      <c r="AA207" s="404"/>
      <c r="AB207" s="404"/>
      <c r="AC207" s="404"/>
      <c r="AD207" s="404"/>
      <c r="AE207" s="404"/>
      <c r="AF207" s="404"/>
      <c r="AG207" s="404"/>
    </row>
    <row r="208" spans="1:33" ht="12.75" customHeight="1">
      <c r="A208" s="404"/>
      <c r="B208" s="404"/>
      <c r="C208" s="404"/>
      <c r="D208" s="404"/>
      <c r="E208" s="404"/>
      <c r="F208" s="404"/>
      <c r="G208" s="404"/>
      <c r="H208" s="404"/>
      <c r="I208" s="404"/>
      <c r="J208" s="404"/>
      <c r="K208" s="404"/>
      <c r="L208" s="404"/>
      <c r="M208" s="404"/>
      <c r="N208" s="404"/>
      <c r="O208" s="404"/>
      <c r="P208" s="404"/>
      <c r="Q208" s="404"/>
      <c r="R208" s="404"/>
      <c r="S208" s="404"/>
      <c r="T208" s="404"/>
      <c r="U208" s="404"/>
      <c r="V208" s="404"/>
      <c r="W208" s="404"/>
      <c r="X208" s="404"/>
      <c r="Y208" s="404"/>
      <c r="Z208" s="404"/>
      <c r="AA208" s="404"/>
      <c r="AB208" s="404"/>
      <c r="AC208" s="404"/>
      <c r="AD208" s="404"/>
      <c r="AE208" s="404"/>
      <c r="AF208" s="404"/>
      <c r="AG208" s="404"/>
    </row>
    <row r="209" spans="1:33" ht="12.75" customHeight="1">
      <c r="A209" s="404"/>
      <c r="B209" s="404"/>
      <c r="C209" s="404"/>
      <c r="D209" s="404"/>
      <c r="E209" s="404"/>
      <c r="F209" s="404"/>
      <c r="G209" s="404"/>
      <c r="H209" s="404"/>
      <c r="I209" s="404"/>
      <c r="J209" s="404"/>
      <c r="K209" s="404"/>
      <c r="L209" s="404"/>
      <c r="M209" s="404"/>
      <c r="N209" s="404"/>
      <c r="O209" s="404"/>
      <c r="P209" s="404"/>
      <c r="Q209" s="404"/>
      <c r="R209" s="404"/>
      <c r="S209" s="404"/>
      <c r="T209" s="404"/>
      <c r="U209" s="404"/>
      <c r="V209" s="404"/>
      <c r="W209" s="404"/>
      <c r="X209" s="404"/>
      <c r="Y209" s="404"/>
      <c r="Z209" s="404"/>
      <c r="AA209" s="404"/>
      <c r="AB209" s="404"/>
      <c r="AC209" s="404"/>
      <c r="AD209" s="404"/>
      <c r="AE209" s="404"/>
      <c r="AF209" s="404"/>
      <c r="AG209" s="404"/>
    </row>
    <row r="210" spans="1:33" ht="12.75" customHeight="1">
      <c r="A210" s="404"/>
      <c r="B210" s="404"/>
      <c r="C210" s="404"/>
      <c r="D210" s="404"/>
      <c r="E210" s="404"/>
      <c r="F210" s="404"/>
      <c r="G210" s="404"/>
      <c r="H210" s="404"/>
      <c r="I210" s="404"/>
      <c r="J210" s="404"/>
      <c r="K210" s="404"/>
      <c r="L210" s="404"/>
      <c r="M210" s="404"/>
      <c r="N210" s="404"/>
      <c r="O210" s="404"/>
      <c r="P210" s="404"/>
      <c r="Q210" s="404"/>
      <c r="R210" s="404"/>
      <c r="S210" s="404"/>
      <c r="T210" s="404"/>
      <c r="U210" s="404"/>
      <c r="V210" s="404"/>
      <c r="W210" s="404"/>
      <c r="X210" s="404"/>
      <c r="Y210" s="404"/>
      <c r="Z210" s="404"/>
      <c r="AA210" s="404"/>
      <c r="AB210" s="404"/>
      <c r="AC210" s="404"/>
      <c r="AD210" s="404"/>
      <c r="AE210" s="404"/>
      <c r="AF210" s="404"/>
      <c r="AG210" s="404"/>
    </row>
    <row r="211" spans="1:33" ht="12.75" customHeight="1">
      <c r="A211" s="404"/>
      <c r="B211" s="404"/>
      <c r="C211" s="404"/>
      <c r="D211" s="404"/>
      <c r="E211" s="404"/>
      <c r="F211" s="404"/>
      <c r="G211" s="404"/>
      <c r="H211" s="404"/>
      <c r="I211" s="404"/>
      <c r="J211" s="404"/>
      <c r="K211" s="404"/>
      <c r="L211" s="404"/>
      <c r="M211" s="404"/>
      <c r="N211" s="404"/>
      <c r="O211" s="404"/>
      <c r="P211" s="404"/>
      <c r="Q211" s="404"/>
      <c r="R211" s="404"/>
      <c r="S211" s="404"/>
      <c r="T211" s="404"/>
      <c r="U211" s="404"/>
      <c r="V211" s="404"/>
      <c r="W211" s="404"/>
      <c r="X211" s="404"/>
      <c r="Y211" s="404"/>
      <c r="Z211" s="404"/>
      <c r="AA211" s="404"/>
      <c r="AB211" s="404"/>
      <c r="AC211" s="404"/>
      <c r="AD211" s="404"/>
      <c r="AE211" s="404"/>
      <c r="AF211" s="404"/>
      <c r="AG211" s="404"/>
    </row>
    <row r="212" spans="1:33" ht="12.75" customHeight="1">
      <c r="A212" s="404"/>
      <c r="B212" s="404"/>
      <c r="C212" s="404"/>
      <c r="D212" s="404"/>
      <c r="E212" s="404"/>
      <c r="F212" s="404"/>
      <c r="G212" s="404"/>
      <c r="H212" s="404"/>
      <c r="I212" s="404"/>
      <c r="J212" s="404"/>
      <c r="K212" s="404"/>
      <c r="L212" s="404"/>
      <c r="M212" s="404"/>
      <c r="N212" s="404"/>
      <c r="O212" s="404"/>
      <c r="P212" s="404"/>
      <c r="Q212" s="404"/>
      <c r="R212" s="404"/>
      <c r="S212" s="404"/>
      <c r="T212" s="404"/>
      <c r="U212" s="404"/>
      <c r="V212" s="404"/>
      <c r="W212" s="404"/>
      <c r="X212" s="404"/>
      <c r="Y212" s="404"/>
      <c r="Z212" s="404"/>
      <c r="AA212" s="404"/>
      <c r="AB212" s="404"/>
      <c r="AC212" s="404"/>
      <c r="AD212" s="404"/>
      <c r="AE212" s="404"/>
      <c r="AF212" s="404"/>
      <c r="AG212" s="404"/>
    </row>
    <row r="213" spans="1:33" ht="12.75" customHeight="1">
      <c r="A213" s="404"/>
      <c r="B213" s="404"/>
      <c r="C213" s="404"/>
      <c r="D213" s="404"/>
      <c r="E213" s="404"/>
      <c r="F213" s="404"/>
      <c r="G213" s="404"/>
      <c r="H213" s="404"/>
      <c r="I213" s="404"/>
      <c r="J213" s="404"/>
      <c r="K213" s="404"/>
      <c r="L213" s="404"/>
      <c r="M213" s="404"/>
      <c r="N213" s="404"/>
      <c r="O213" s="404"/>
      <c r="P213" s="404"/>
      <c r="Q213" s="404"/>
      <c r="R213" s="404"/>
      <c r="S213" s="404"/>
      <c r="T213" s="404"/>
      <c r="U213" s="404"/>
      <c r="V213" s="404"/>
      <c r="W213" s="404"/>
      <c r="X213" s="404"/>
      <c r="Y213" s="404"/>
      <c r="Z213" s="404"/>
      <c r="AA213" s="404"/>
      <c r="AB213" s="404"/>
      <c r="AC213" s="404"/>
      <c r="AD213" s="404"/>
      <c r="AE213" s="404"/>
      <c r="AF213" s="404"/>
      <c r="AG213" s="404"/>
    </row>
    <row r="214" spans="1:33" ht="12.75" customHeight="1">
      <c r="A214" s="404"/>
      <c r="B214" s="404"/>
      <c r="C214" s="404"/>
      <c r="D214" s="404"/>
      <c r="E214" s="404"/>
      <c r="F214" s="404"/>
      <c r="G214" s="404"/>
      <c r="H214" s="404"/>
      <c r="I214" s="404"/>
      <c r="J214" s="404"/>
      <c r="K214" s="404"/>
      <c r="L214" s="404"/>
      <c r="M214" s="404"/>
      <c r="N214" s="404"/>
      <c r="O214" s="404"/>
      <c r="P214" s="404"/>
      <c r="Q214" s="404"/>
      <c r="R214" s="404"/>
      <c r="S214" s="404"/>
      <c r="T214" s="404"/>
      <c r="U214" s="404"/>
      <c r="V214" s="404"/>
      <c r="W214" s="404"/>
      <c r="X214" s="404"/>
      <c r="Y214" s="404"/>
      <c r="Z214" s="404"/>
      <c r="AA214" s="404"/>
      <c r="AB214" s="404"/>
      <c r="AC214" s="404"/>
      <c r="AD214" s="404"/>
      <c r="AE214" s="404"/>
      <c r="AF214" s="404"/>
      <c r="AG214" s="404"/>
    </row>
    <row r="215" spans="1:33" ht="12.75" customHeight="1">
      <c r="A215" s="404"/>
      <c r="B215" s="404"/>
      <c r="C215" s="404"/>
      <c r="D215" s="404"/>
      <c r="E215" s="404"/>
      <c r="F215" s="404"/>
      <c r="G215" s="404"/>
      <c r="H215" s="404"/>
      <c r="I215" s="404"/>
      <c r="J215" s="404"/>
      <c r="K215" s="404"/>
      <c r="L215" s="404"/>
      <c r="M215" s="404"/>
      <c r="N215" s="404"/>
      <c r="O215" s="404"/>
      <c r="P215" s="404"/>
      <c r="Q215" s="404"/>
      <c r="R215" s="404"/>
      <c r="S215" s="404"/>
      <c r="T215" s="404"/>
      <c r="U215" s="404"/>
      <c r="V215" s="404"/>
      <c r="W215" s="404"/>
      <c r="X215" s="404"/>
      <c r="Y215" s="404"/>
      <c r="Z215" s="404"/>
      <c r="AA215" s="404"/>
      <c r="AB215" s="404"/>
      <c r="AC215" s="404"/>
      <c r="AD215" s="404"/>
      <c r="AE215" s="404"/>
      <c r="AF215" s="404"/>
      <c r="AG215" s="404"/>
    </row>
    <row r="216" spans="1:33" ht="12.75" customHeight="1">
      <c r="A216" s="404"/>
      <c r="B216" s="404"/>
      <c r="C216" s="404"/>
      <c r="D216" s="404"/>
      <c r="E216" s="404"/>
      <c r="F216" s="404"/>
      <c r="G216" s="404"/>
      <c r="H216" s="404"/>
      <c r="I216" s="404"/>
      <c r="J216" s="404"/>
      <c r="K216" s="404"/>
      <c r="L216" s="404"/>
      <c r="M216" s="404"/>
      <c r="N216" s="404"/>
      <c r="O216" s="404"/>
      <c r="P216" s="404"/>
      <c r="Q216" s="404"/>
      <c r="R216" s="404"/>
      <c r="S216" s="404"/>
      <c r="T216" s="404"/>
      <c r="U216" s="404"/>
      <c r="V216" s="404"/>
      <c r="W216" s="404"/>
      <c r="X216" s="404"/>
      <c r="Y216" s="404"/>
      <c r="Z216" s="404"/>
      <c r="AA216" s="404"/>
      <c r="AB216" s="404"/>
      <c r="AC216" s="404"/>
      <c r="AD216" s="404"/>
      <c r="AE216" s="404"/>
      <c r="AF216" s="404"/>
      <c r="AG216" s="404"/>
    </row>
    <row r="217" spans="1:33" ht="12.75" customHeight="1">
      <c r="A217" s="404"/>
      <c r="B217" s="404"/>
      <c r="C217" s="404"/>
      <c r="D217" s="404"/>
      <c r="E217" s="404"/>
      <c r="F217" s="404"/>
      <c r="G217" s="404"/>
      <c r="H217" s="404"/>
      <c r="I217" s="404"/>
      <c r="J217" s="404"/>
      <c r="K217" s="404"/>
      <c r="L217" s="404"/>
      <c r="M217" s="404"/>
      <c r="N217" s="404"/>
      <c r="O217" s="404"/>
      <c r="P217" s="404"/>
      <c r="Q217" s="404"/>
      <c r="R217" s="404"/>
      <c r="S217" s="404"/>
      <c r="T217" s="404"/>
      <c r="U217" s="404"/>
      <c r="V217" s="404"/>
      <c r="W217" s="404"/>
      <c r="X217" s="404"/>
      <c r="Y217" s="404"/>
      <c r="Z217" s="404"/>
      <c r="AA217" s="404"/>
      <c r="AB217" s="404"/>
      <c r="AC217" s="404"/>
      <c r="AD217" s="404"/>
      <c r="AE217" s="404"/>
      <c r="AF217" s="404"/>
      <c r="AG217" s="404"/>
    </row>
    <row r="218" spans="1:33" ht="12.75" customHeight="1">
      <c r="A218" s="404"/>
      <c r="B218" s="404"/>
      <c r="C218" s="404"/>
      <c r="D218" s="404"/>
      <c r="E218" s="404"/>
      <c r="F218" s="404"/>
      <c r="G218" s="404"/>
      <c r="H218" s="404"/>
      <c r="I218" s="404"/>
      <c r="J218" s="404"/>
      <c r="K218" s="404"/>
      <c r="L218" s="404"/>
      <c r="M218" s="404"/>
      <c r="N218" s="404"/>
      <c r="O218" s="404"/>
      <c r="P218" s="404"/>
      <c r="Q218" s="404"/>
      <c r="R218" s="404"/>
      <c r="S218" s="404"/>
      <c r="T218" s="404"/>
      <c r="U218" s="404"/>
      <c r="V218" s="404"/>
      <c r="W218" s="404"/>
      <c r="X218" s="404"/>
      <c r="Y218" s="404"/>
      <c r="Z218" s="404"/>
      <c r="AA218" s="404"/>
      <c r="AB218" s="404"/>
      <c r="AC218" s="404"/>
      <c r="AD218" s="404"/>
      <c r="AE218" s="404"/>
      <c r="AF218" s="404"/>
      <c r="AG218" s="404"/>
    </row>
    <row r="219" spans="1:33" ht="12.75" customHeight="1">
      <c r="A219" s="404"/>
      <c r="B219" s="404"/>
      <c r="C219" s="404"/>
      <c r="D219" s="404"/>
      <c r="E219" s="404"/>
      <c r="F219" s="404"/>
      <c r="G219" s="404"/>
      <c r="H219" s="404"/>
      <c r="I219" s="404"/>
      <c r="J219" s="404"/>
      <c r="K219" s="404"/>
      <c r="L219" s="404"/>
      <c r="M219" s="404"/>
      <c r="N219" s="404"/>
      <c r="O219" s="404"/>
      <c r="P219" s="404"/>
      <c r="Q219" s="404"/>
      <c r="R219" s="404"/>
      <c r="S219" s="404"/>
      <c r="T219" s="404"/>
      <c r="U219" s="404"/>
      <c r="V219" s="404"/>
      <c r="W219" s="404"/>
      <c r="X219" s="404"/>
      <c r="Y219" s="404"/>
      <c r="Z219" s="404"/>
      <c r="AA219" s="404"/>
      <c r="AB219" s="404"/>
      <c r="AC219" s="404"/>
      <c r="AD219" s="404"/>
      <c r="AE219" s="404"/>
      <c r="AF219" s="404"/>
      <c r="AG219" s="404"/>
    </row>
    <row r="220" spans="1:33" ht="12.75" customHeight="1">
      <c r="A220" s="404"/>
      <c r="B220" s="404"/>
      <c r="C220" s="404"/>
      <c r="D220" s="404"/>
      <c r="E220" s="404"/>
      <c r="F220" s="404"/>
      <c r="G220" s="404"/>
      <c r="H220" s="404"/>
      <c r="I220" s="404"/>
      <c r="J220" s="404"/>
      <c r="K220" s="404"/>
      <c r="L220" s="404"/>
      <c r="M220" s="404"/>
      <c r="N220" s="404"/>
      <c r="O220" s="404"/>
      <c r="P220" s="404"/>
      <c r="Q220" s="404"/>
      <c r="R220" s="404"/>
      <c r="S220" s="404"/>
      <c r="T220" s="404"/>
      <c r="U220" s="404"/>
      <c r="V220" s="404"/>
      <c r="W220" s="404"/>
      <c r="X220" s="404"/>
      <c r="Y220" s="404"/>
      <c r="Z220" s="404"/>
      <c r="AA220" s="404"/>
      <c r="AB220" s="404"/>
      <c r="AC220" s="404"/>
      <c r="AD220" s="404"/>
      <c r="AE220" s="404"/>
      <c r="AF220" s="404"/>
      <c r="AG220" s="404"/>
    </row>
    <row r="221" spans="1:33" ht="12.75" customHeight="1">
      <c r="A221" s="404"/>
      <c r="B221" s="404"/>
      <c r="C221" s="404"/>
      <c r="D221" s="404"/>
      <c r="E221" s="404"/>
      <c r="F221" s="404"/>
      <c r="G221" s="404"/>
      <c r="H221" s="404"/>
      <c r="I221" s="404"/>
      <c r="J221" s="404"/>
      <c r="K221" s="404"/>
      <c r="L221" s="404"/>
      <c r="M221" s="404"/>
      <c r="N221" s="404"/>
      <c r="O221" s="404"/>
      <c r="P221" s="404"/>
      <c r="Q221" s="404"/>
      <c r="R221" s="404"/>
      <c r="S221" s="404"/>
      <c r="T221" s="404"/>
      <c r="U221" s="404"/>
      <c r="V221" s="404"/>
      <c r="W221" s="404"/>
      <c r="X221" s="404"/>
      <c r="Y221" s="404"/>
      <c r="Z221" s="404"/>
      <c r="AA221" s="404"/>
      <c r="AB221" s="404"/>
      <c r="AC221" s="404"/>
      <c r="AD221" s="404"/>
      <c r="AE221" s="404"/>
      <c r="AF221" s="404"/>
      <c r="AG221" s="404"/>
    </row>
    <row r="222" spans="1:33" ht="12.75" customHeight="1">
      <c r="A222" s="404"/>
      <c r="B222" s="404"/>
      <c r="C222" s="404"/>
      <c r="D222" s="404"/>
      <c r="E222" s="404"/>
      <c r="F222" s="404"/>
      <c r="G222" s="404"/>
      <c r="H222" s="404"/>
      <c r="I222" s="404"/>
      <c r="J222" s="404"/>
      <c r="K222" s="404"/>
      <c r="L222" s="404"/>
      <c r="M222" s="404"/>
      <c r="N222" s="404"/>
      <c r="O222" s="404"/>
      <c r="P222" s="404"/>
      <c r="Q222" s="404"/>
      <c r="R222" s="404"/>
      <c r="S222" s="404"/>
      <c r="T222" s="404"/>
      <c r="U222" s="404"/>
      <c r="V222" s="404"/>
      <c r="W222" s="404"/>
      <c r="X222" s="404"/>
      <c r="Y222" s="404"/>
      <c r="Z222" s="404"/>
      <c r="AA222" s="404"/>
      <c r="AB222" s="404"/>
      <c r="AC222" s="404"/>
      <c r="AD222" s="404"/>
      <c r="AE222" s="404"/>
      <c r="AF222" s="404"/>
      <c r="AG222" s="404"/>
    </row>
    <row r="223" spans="1:33" ht="12.75" customHeight="1">
      <c r="A223" s="404"/>
      <c r="B223" s="404"/>
      <c r="C223" s="404"/>
      <c r="D223" s="404"/>
      <c r="E223" s="404"/>
      <c r="F223" s="404"/>
      <c r="G223" s="404"/>
      <c r="H223" s="404"/>
      <c r="I223" s="404"/>
      <c r="J223" s="404"/>
      <c r="K223" s="404"/>
      <c r="L223" s="404"/>
      <c r="M223" s="404"/>
      <c r="N223" s="404"/>
      <c r="O223" s="404"/>
      <c r="P223" s="404"/>
      <c r="Q223" s="404"/>
      <c r="R223" s="404"/>
      <c r="S223" s="404"/>
      <c r="T223" s="404"/>
      <c r="U223" s="404"/>
      <c r="V223" s="404"/>
      <c r="W223" s="404"/>
      <c r="X223" s="404"/>
      <c r="Y223" s="404"/>
      <c r="Z223" s="404"/>
      <c r="AA223" s="404"/>
      <c r="AB223" s="404"/>
      <c r="AC223" s="404"/>
      <c r="AD223" s="404"/>
      <c r="AE223" s="404"/>
      <c r="AF223" s="404"/>
      <c r="AG223" s="404"/>
    </row>
    <row r="224" spans="1:33" ht="12.75" customHeight="1">
      <c r="A224" s="404"/>
      <c r="B224" s="404"/>
      <c r="C224" s="404"/>
      <c r="D224" s="404"/>
      <c r="E224" s="404"/>
      <c r="F224" s="404"/>
      <c r="G224" s="404"/>
      <c r="H224" s="404"/>
      <c r="I224" s="404"/>
      <c r="J224" s="404"/>
      <c r="K224" s="404"/>
      <c r="L224" s="404"/>
      <c r="M224" s="404"/>
      <c r="N224" s="404"/>
      <c r="O224" s="404"/>
      <c r="P224" s="404"/>
      <c r="Q224" s="404"/>
      <c r="R224" s="404"/>
      <c r="S224" s="404"/>
      <c r="T224" s="404"/>
      <c r="U224" s="404"/>
      <c r="V224" s="404"/>
      <c r="W224" s="404"/>
      <c r="X224" s="404"/>
      <c r="Y224" s="404"/>
      <c r="Z224" s="404"/>
      <c r="AA224" s="404"/>
      <c r="AB224" s="404"/>
      <c r="AC224" s="404"/>
      <c r="AD224" s="404"/>
      <c r="AE224" s="404"/>
      <c r="AF224" s="404"/>
      <c r="AG224" s="404"/>
    </row>
    <row r="225" spans="1:33" ht="12.75" customHeight="1">
      <c r="A225" s="404"/>
      <c r="B225" s="404"/>
      <c r="C225" s="404"/>
      <c r="D225" s="404"/>
      <c r="E225" s="404"/>
      <c r="F225" s="404"/>
      <c r="G225" s="404"/>
      <c r="H225" s="404"/>
      <c r="I225" s="404"/>
      <c r="J225" s="404"/>
      <c r="K225" s="404"/>
      <c r="L225" s="404"/>
      <c r="M225" s="404"/>
      <c r="N225" s="404"/>
      <c r="O225" s="404"/>
      <c r="P225" s="404"/>
      <c r="Q225" s="404"/>
      <c r="R225" s="404"/>
      <c r="S225" s="404"/>
      <c r="T225" s="404"/>
      <c r="U225" s="404"/>
      <c r="V225" s="404"/>
      <c r="W225" s="404"/>
      <c r="X225" s="404"/>
      <c r="Y225" s="404"/>
      <c r="Z225" s="404"/>
      <c r="AA225" s="404"/>
      <c r="AB225" s="404"/>
      <c r="AC225" s="404"/>
      <c r="AD225" s="404"/>
      <c r="AE225" s="404"/>
      <c r="AF225" s="404"/>
      <c r="AG225" s="404"/>
    </row>
    <row r="226" spans="1:33" ht="12.75" customHeight="1">
      <c r="A226" s="404"/>
      <c r="B226" s="404"/>
      <c r="C226" s="404"/>
      <c r="D226" s="404"/>
      <c r="E226" s="404"/>
      <c r="F226" s="404"/>
      <c r="G226" s="404"/>
      <c r="H226" s="404"/>
      <c r="I226" s="404"/>
      <c r="J226" s="404"/>
      <c r="K226" s="404"/>
      <c r="L226" s="404"/>
      <c r="M226" s="404"/>
      <c r="N226" s="404"/>
      <c r="O226" s="404"/>
      <c r="P226" s="404"/>
      <c r="Q226" s="404"/>
      <c r="R226" s="404"/>
      <c r="S226" s="404"/>
      <c r="T226" s="404"/>
      <c r="U226" s="404"/>
      <c r="V226" s="404"/>
      <c r="W226" s="404"/>
      <c r="X226" s="404"/>
      <c r="Y226" s="404"/>
      <c r="Z226" s="404"/>
      <c r="AA226" s="404"/>
      <c r="AB226" s="404"/>
      <c r="AC226" s="404"/>
      <c r="AD226" s="404"/>
      <c r="AE226" s="404"/>
      <c r="AF226" s="404"/>
      <c r="AG226" s="404"/>
    </row>
    <row r="227" spans="1:33" ht="12.75" customHeight="1">
      <c r="A227" s="404"/>
      <c r="B227" s="404"/>
      <c r="C227" s="404"/>
      <c r="D227" s="404"/>
      <c r="E227" s="404"/>
      <c r="F227" s="404"/>
      <c r="G227" s="404"/>
      <c r="H227" s="404"/>
      <c r="I227" s="404"/>
      <c r="J227" s="404"/>
      <c r="K227" s="404"/>
      <c r="L227" s="404"/>
      <c r="M227" s="404"/>
      <c r="N227" s="404"/>
      <c r="O227" s="404"/>
      <c r="P227" s="404"/>
      <c r="Q227" s="404"/>
      <c r="R227" s="404"/>
      <c r="S227" s="404"/>
      <c r="T227" s="404"/>
      <c r="U227" s="404"/>
      <c r="V227" s="404"/>
      <c r="W227" s="404"/>
      <c r="X227" s="404"/>
      <c r="Y227" s="404"/>
      <c r="Z227" s="404"/>
      <c r="AA227" s="404"/>
      <c r="AB227" s="404"/>
      <c r="AC227" s="404"/>
      <c r="AD227" s="404"/>
      <c r="AE227" s="404"/>
      <c r="AF227" s="404"/>
      <c r="AG227" s="404"/>
    </row>
    <row r="228" spans="1:33" ht="12.75" customHeight="1">
      <c r="A228" s="404"/>
      <c r="B228" s="404"/>
      <c r="C228" s="404"/>
      <c r="D228" s="404"/>
      <c r="E228" s="404"/>
      <c r="F228" s="404"/>
      <c r="G228" s="404"/>
      <c r="H228" s="404"/>
      <c r="I228" s="404"/>
      <c r="J228" s="404"/>
      <c r="K228" s="404"/>
      <c r="L228" s="404"/>
      <c r="M228" s="404"/>
      <c r="N228" s="404"/>
      <c r="O228" s="404"/>
      <c r="P228" s="404"/>
      <c r="Q228" s="404"/>
      <c r="R228" s="404"/>
      <c r="S228" s="404"/>
      <c r="T228" s="404"/>
      <c r="U228" s="404"/>
      <c r="V228" s="404"/>
      <c r="W228" s="404"/>
      <c r="X228" s="404"/>
      <c r="Y228" s="404"/>
      <c r="Z228" s="404"/>
      <c r="AA228" s="404"/>
      <c r="AB228" s="404"/>
      <c r="AC228" s="404"/>
      <c r="AD228" s="404"/>
      <c r="AE228" s="404"/>
      <c r="AF228" s="404"/>
      <c r="AG228" s="404"/>
    </row>
    <row r="229" spans="1:33" ht="12.75" customHeight="1">
      <c r="A229" s="404"/>
      <c r="B229" s="404"/>
      <c r="C229" s="404"/>
      <c r="D229" s="404"/>
      <c r="E229" s="404"/>
      <c r="F229" s="404"/>
      <c r="G229" s="404"/>
      <c r="H229" s="404"/>
      <c r="I229" s="404"/>
      <c r="J229" s="404"/>
      <c r="K229" s="404"/>
      <c r="L229" s="404"/>
      <c r="M229" s="404"/>
      <c r="N229" s="404"/>
      <c r="O229" s="404"/>
      <c r="P229" s="404"/>
      <c r="Q229" s="404"/>
      <c r="R229" s="404"/>
      <c r="S229" s="404"/>
      <c r="T229" s="404"/>
      <c r="U229" s="404"/>
      <c r="V229" s="404"/>
      <c r="W229" s="404"/>
      <c r="X229" s="404"/>
      <c r="Y229" s="404"/>
      <c r="Z229" s="404"/>
      <c r="AA229" s="404"/>
      <c r="AB229" s="404"/>
      <c r="AC229" s="404"/>
      <c r="AD229" s="404"/>
      <c r="AE229" s="404"/>
      <c r="AF229" s="404"/>
      <c r="AG229" s="404"/>
    </row>
    <row r="230" spans="1:33" ht="12.75" customHeight="1">
      <c r="A230" s="404"/>
      <c r="B230" s="404"/>
      <c r="C230" s="404"/>
      <c r="D230" s="404"/>
      <c r="E230" s="404"/>
      <c r="F230" s="404"/>
      <c r="G230" s="404"/>
      <c r="H230" s="404"/>
      <c r="I230" s="404"/>
      <c r="J230" s="404"/>
      <c r="K230" s="404"/>
      <c r="L230" s="404"/>
      <c r="M230" s="404"/>
      <c r="N230" s="404"/>
      <c r="O230" s="404"/>
      <c r="P230" s="404"/>
      <c r="Q230" s="404"/>
      <c r="R230" s="404"/>
      <c r="S230" s="404"/>
      <c r="T230" s="404"/>
      <c r="U230" s="404"/>
      <c r="V230" s="404"/>
      <c r="W230" s="404"/>
      <c r="X230" s="404"/>
      <c r="Y230" s="404"/>
      <c r="Z230" s="404"/>
      <c r="AA230" s="404"/>
      <c r="AB230" s="404"/>
      <c r="AC230" s="404"/>
      <c r="AD230" s="404"/>
      <c r="AE230" s="404"/>
      <c r="AF230" s="404"/>
      <c r="AG230" s="404"/>
    </row>
    <row r="231" spans="1:33" ht="12.75" customHeight="1">
      <c r="A231" s="404"/>
      <c r="B231" s="404"/>
      <c r="C231" s="404"/>
      <c r="D231" s="404"/>
      <c r="E231" s="404"/>
      <c r="F231" s="404"/>
      <c r="G231" s="404"/>
      <c r="H231" s="404"/>
      <c r="I231" s="404"/>
      <c r="J231" s="404"/>
      <c r="K231" s="404"/>
      <c r="L231" s="404"/>
      <c r="M231" s="404"/>
      <c r="N231" s="404"/>
      <c r="O231" s="404"/>
      <c r="P231" s="404"/>
      <c r="Q231" s="404"/>
      <c r="R231" s="404"/>
      <c r="S231" s="404"/>
      <c r="T231" s="404"/>
      <c r="U231" s="404"/>
      <c r="V231" s="404"/>
      <c r="W231" s="404"/>
      <c r="X231" s="404"/>
      <c r="Y231" s="404"/>
      <c r="Z231" s="404"/>
      <c r="AA231" s="404"/>
      <c r="AB231" s="404"/>
      <c r="AC231" s="404"/>
      <c r="AD231" s="404"/>
      <c r="AE231" s="404"/>
      <c r="AF231" s="404"/>
      <c r="AG231" s="404"/>
    </row>
    <row r="232" spans="1:33" ht="12.75" customHeight="1">
      <c r="A232" s="404"/>
      <c r="B232" s="404"/>
      <c r="C232" s="404"/>
      <c r="D232" s="404"/>
      <c r="E232" s="404"/>
      <c r="F232" s="404"/>
      <c r="G232" s="404"/>
      <c r="H232" s="404"/>
      <c r="I232" s="404"/>
      <c r="J232" s="404"/>
      <c r="K232" s="404"/>
      <c r="L232" s="404"/>
      <c r="M232" s="404"/>
      <c r="N232" s="404"/>
      <c r="O232" s="404"/>
      <c r="P232" s="404"/>
      <c r="Q232" s="404"/>
      <c r="R232" s="404"/>
      <c r="S232" s="404"/>
      <c r="T232" s="404"/>
      <c r="U232" s="404"/>
      <c r="V232" s="404"/>
      <c r="W232" s="404"/>
      <c r="X232" s="404"/>
      <c r="Y232" s="404"/>
      <c r="Z232" s="404"/>
      <c r="AA232" s="404"/>
      <c r="AB232" s="404"/>
      <c r="AC232" s="404"/>
      <c r="AD232" s="404"/>
      <c r="AE232" s="404"/>
      <c r="AF232" s="404"/>
      <c r="AG232" s="404"/>
    </row>
  </sheetData>
  <pageMargins left="0.25" right="0.25" top="0.75" bottom="0.75" header="0" footer="0"/>
  <pageSetup scale="66" orientation="landscape"/>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12"/>
  <sheetViews>
    <sheetView showGridLines="0" workbookViewId="0">
      <selection activeCell="D9" sqref="D9"/>
    </sheetView>
  </sheetViews>
  <sheetFormatPr defaultColWidth="14.3984375" defaultRowHeight="15" customHeight="1"/>
  <cols>
    <col min="1" max="1" width="2.59765625" style="1" customWidth="1"/>
    <col min="2" max="2" width="29" style="1" customWidth="1"/>
    <col min="3" max="32" width="6.796875" style="1" customWidth="1"/>
    <col min="33" max="33" width="14.3984375" style="1" customWidth="1"/>
    <col min="34" max="16384" width="14.3984375" style="1"/>
  </cols>
  <sheetData>
    <row r="1" spans="1:32" ht="14.25" customHeight="1">
      <c r="A1" s="2"/>
      <c r="B1" s="2"/>
      <c r="C1" s="7"/>
      <c r="D1" s="7"/>
      <c r="E1" s="7"/>
      <c r="F1" s="7"/>
      <c r="G1" s="7"/>
      <c r="H1" s="7"/>
      <c r="I1" s="7"/>
      <c r="J1" s="7"/>
      <c r="K1" s="7"/>
      <c r="L1" s="7"/>
      <c r="M1" s="7"/>
      <c r="N1" s="7"/>
      <c r="O1" s="7"/>
      <c r="P1" s="7"/>
      <c r="Q1" s="7"/>
      <c r="R1" s="7"/>
      <c r="S1" s="7"/>
      <c r="T1" s="7"/>
      <c r="U1" s="7"/>
      <c r="V1" s="7"/>
      <c r="W1" s="7"/>
      <c r="X1" s="7"/>
      <c r="Y1" s="7"/>
      <c r="Z1" s="7"/>
      <c r="AA1" s="7"/>
      <c r="AB1" s="7"/>
      <c r="AC1" s="7"/>
      <c r="AD1" s="7"/>
      <c r="AE1" s="7"/>
      <c r="AF1" s="25"/>
    </row>
    <row r="2" spans="1:32" ht="14.25" customHeight="1">
      <c r="A2" s="2"/>
      <c r="B2" s="445"/>
      <c r="C2" s="446" t="s">
        <v>119</v>
      </c>
      <c r="D2" s="447" t="s">
        <v>69</v>
      </c>
      <c r="E2" s="447" t="s">
        <v>77</v>
      </c>
      <c r="F2" s="447" t="s">
        <v>78</v>
      </c>
      <c r="G2" s="447" t="s">
        <v>85</v>
      </c>
      <c r="H2" s="447" t="s">
        <v>72</v>
      </c>
      <c r="I2" s="447" t="s">
        <v>97</v>
      </c>
      <c r="J2" s="447" t="s">
        <v>99</v>
      </c>
      <c r="K2" s="446" t="s">
        <v>120</v>
      </c>
      <c r="L2" s="447" t="s">
        <v>88</v>
      </c>
      <c r="M2" s="447" t="s">
        <v>74</v>
      </c>
      <c r="N2" s="447" t="s">
        <v>80</v>
      </c>
      <c r="O2" s="447" t="s">
        <v>1981</v>
      </c>
      <c r="P2" s="446" t="s">
        <v>121</v>
      </c>
      <c r="Q2" s="447" t="s">
        <v>79</v>
      </c>
      <c r="R2" s="447" t="s">
        <v>81</v>
      </c>
      <c r="S2" s="447" t="s">
        <v>98</v>
      </c>
      <c r="T2" s="447" t="s">
        <v>1929</v>
      </c>
      <c r="U2" s="446" t="s">
        <v>122</v>
      </c>
      <c r="V2" s="447" t="s">
        <v>71</v>
      </c>
      <c r="W2" s="446" t="s">
        <v>123</v>
      </c>
      <c r="X2" s="447" t="s">
        <v>2140</v>
      </c>
      <c r="Y2" s="447" t="s">
        <v>83</v>
      </c>
      <c r="Z2" s="446" t="s">
        <v>124</v>
      </c>
      <c r="AA2" s="447" t="s">
        <v>2141</v>
      </c>
      <c r="AB2" s="446" t="s">
        <v>125</v>
      </c>
      <c r="AC2" s="447" t="s">
        <v>76</v>
      </c>
      <c r="AD2" s="447" t="s">
        <v>70</v>
      </c>
      <c r="AE2" s="447" t="s">
        <v>75</v>
      </c>
      <c r="AF2" s="448"/>
    </row>
    <row r="3" spans="1:32" ht="14.25" customHeight="1">
      <c r="A3" s="8"/>
      <c r="B3" s="394" t="s">
        <v>2142</v>
      </c>
      <c r="C3" s="449"/>
      <c r="D3" s="449"/>
      <c r="E3" s="449"/>
      <c r="F3" s="449"/>
      <c r="G3" s="449"/>
      <c r="H3" s="449"/>
      <c r="I3" s="449"/>
      <c r="J3" s="449"/>
      <c r="K3" s="449"/>
      <c r="L3" s="449"/>
      <c r="M3" s="449"/>
      <c r="N3" s="449"/>
      <c r="O3" s="449"/>
      <c r="P3" s="449"/>
      <c r="Q3" s="449"/>
      <c r="R3" s="449"/>
      <c r="S3" s="449"/>
      <c r="T3" s="449"/>
      <c r="U3" s="449"/>
      <c r="V3" s="449"/>
      <c r="W3" s="449"/>
      <c r="X3" s="449"/>
      <c r="Y3" s="449"/>
      <c r="Z3" s="449"/>
      <c r="AA3" s="449"/>
      <c r="AB3" s="449"/>
      <c r="AC3" s="449"/>
      <c r="AD3" s="449"/>
      <c r="AE3" s="449"/>
      <c r="AF3" s="450">
        <f>C3+K3+P3+U3+W3+Z3+AB3</f>
        <v>0</v>
      </c>
    </row>
    <row r="4" spans="1:32" ht="14.25" customHeight="1">
      <c r="A4" s="8"/>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0"/>
    </row>
    <row r="5" spans="1:32" ht="14.25" customHeight="1">
      <c r="A5" s="8"/>
      <c r="B5" s="394" t="s">
        <v>2143</v>
      </c>
      <c r="C5" s="451">
        <v>21</v>
      </c>
      <c r="D5" s="451">
        <v>4</v>
      </c>
      <c r="E5" s="451">
        <v>13</v>
      </c>
      <c r="F5" s="451">
        <v>7</v>
      </c>
      <c r="G5" s="451">
        <v>7</v>
      </c>
      <c r="H5" s="451">
        <v>5</v>
      </c>
      <c r="I5" s="451">
        <v>2</v>
      </c>
      <c r="J5" s="451">
        <v>2</v>
      </c>
      <c r="K5" s="451">
        <v>10</v>
      </c>
      <c r="L5" s="451">
        <v>9</v>
      </c>
      <c r="M5" s="451">
        <v>3</v>
      </c>
      <c r="N5" s="451">
        <v>3</v>
      </c>
      <c r="O5" s="451">
        <v>2</v>
      </c>
      <c r="P5" s="451">
        <v>4</v>
      </c>
      <c r="Q5" s="451">
        <v>4</v>
      </c>
      <c r="R5" s="451">
        <v>4</v>
      </c>
      <c r="S5" s="451">
        <v>2</v>
      </c>
      <c r="T5" s="451">
        <v>2</v>
      </c>
      <c r="U5" s="451">
        <v>13</v>
      </c>
      <c r="V5" s="451">
        <v>13</v>
      </c>
      <c r="W5" s="451">
        <v>2</v>
      </c>
      <c r="X5" s="451">
        <v>2</v>
      </c>
      <c r="Y5" s="451">
        <v>2</v>
      </c>
      <c r="Z5" s="451">
        <v>4</v>
      </c>
      <c r="AA5" s="451">
        <v>4</v>
      </c>
      <c r="AB5" s="451">
        <v>3</v>
      </c>
      <c r="AC5" s="451">
        <v>2</v>
      </c>
      <c r="AD5" s="451">
        <v>3</v>
      </c>
      <c r="AE5" s="451">
        <v>2</v>
      </c>
      <c r="AF5" s="452">
        <f>SUM(C5:AE5)</f>
        <v>154</v>
      </c>
    </row>
    <row r="6" spans="1:32" ht="14.25" customHeight="1">
      <c r="A6" s="8"/>
      <c r="B6" s="394" t="s">
        <v>2144</v>
      </c>
      <c r="C6" s="451">
        <v>0</v>
      </c>
      <c r="D6" s="451">
        <v>0</v>
      </c>
      <c r="E6" s="451">
        <v>0</v>
      </c>
      <c r="F6" s="451">
        <v>1</v>
      </c>
      <c r="G6" s="451">
        <v>0</v>
      </c>
      <c r="H6" s="451">
        <v>0</v>
      </c>
      <c r="I6" s="451">
        <v>0</v>
      </c>
      <c r="J6" s="451">
        <v>0</v>
      </c>
      <c r="K6" s="451">
        <v>10</v>
      </c>
      <c r="L6" s="451">
        <v>2</v>
      </c>
      <c r="M6" s="451">
        <v>3</v>
      </c>
      <c r="N6" s="451">
        <v>5</v>
      </c>
      <c r="O6" s="451">
        <v>0</v>
      </c>
      <c r="P6" s="451">
        <v>0</v>
      </c>
      <c r="Q6" s="451">
        <v>0</v>
      </c>
      <c r="R6" s="451">
        <v>0</v>
      </c>
      <c r="S6" s="451">
        <v>0</v>
      </c>
      <c r="T6" s="451">
        <v>0</v>
      </c>
      <c r="U6" s="451">
        <v>4</v>
      </c>
      <c r="V6" s="451">
        <v>4</v>
      </c>
      <c r="W6" s="451">
        <v>0</v>
      </c>
      <c r="X6" s="451">
        <v>0</v>
      </c>
      <c r="Y6" s="451">
        <v>0</v>
      </c>
      <c r="Z6" s="451">
        <v>3</v>
      </c>
      <c r="AA6" s="451">
        <v>3</v>
      </c>
      <c r="AB6" s="451">
        <v>1</v>
      </c>
      <c r="AC6" s="451">
        <v>0</v>
      </c>
      <c r="AD6" s="451">
        <v>1</v>
      </c>
      <c r="AE6" s="451">
        <v>0</v>
      </c>
      <c r="AF6" s="452">
        <f>SUM(C6:AE6)</f>
        <v>37</v>
      </c>
    </row>
    <row r="7" spans="1:32" ht="14.25" customHeight="1">
      <c r="A7" s="8"/>
      <c r="B7" s="394" t="s">
        <v>2145</v>
      </c>
      <c r="C7" s="451">
        <v>0</v>
      </c>
      <c r="D7" s="451">
        <v>0</v>
      </c>
      <c r="E7" s="451">
        <v>0</v>
      </c>
      <c r="F7" s="451">
        <v>1</v>
      </c>
      <c r="G7" s="451">
        <v>0</v>
      </c>
      <c r="H7" s="451">
        <v>0</v>
      </c>
      <c r="I7" s="451">
        <v>0</v>
      </c>
      <c r="J7" s="451">
        <v>0</v>
      </c>
      <c r="K7" s="451">
        <v>10</v>
      </c>
      <c r="L7" s="451">
        <v>2</v>
      </c>
      <c r="M7" s="451">
        <v>3</v>
      </c>
      <c r="N7" s="451">
        <v>5</v>
      </c>
      <c r="O7" s="451">
        <v>0</v>
      </c>
      <c r="P7" s="451">
        <v>0</v>
      </c>
      <c r="Q7" s="451">
        <v>0</v>
      </c>
      <c r="R7" s="451">
        <v>0</v>
      </c>
      <c r="S7" s="451">
        <v>0</v>
      </c>
      <c r="T7" s="451">
        <v>0</v>
      </c>
      <c r="U7" s="451">
        <v>4</v>
      </c>
      <c r="V7" s="451">
        <v>4</v>
      </c>
      <c r="W7" s="451">
        <v>0</v>
      </c>
      <c r="X7" s="451">
        <v>0</v>
      </c>
      <c r="Y7" s="451">
        <v>0</v>
      </c>
      <c r="Z7" s="451">
        <v>3</v>
      </c>
      <c r="AA7" s="451">
        <v>3</v>
      </c>
      <c r="AB7" s="451">
        <v>2</v>
      </c>
      <c r="AC7" s="451">
        <v>0</v>
      </c>
      <c r="AD7" s="451">
        <v>1</v>
      </c>
      <c r="AE7" s="451">
        <v>1</v>
      </c>
      <c r="AF7" s="452">
        <f>SUM(C7:AE7)</f>
        <v>39</v>
      </c>
    </row>
    <row r="8" spans="1:32" ht="14.25" customHeight="1">
      <c r="A8" s="2"/>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25"/>
    </row>
    <row r="9" spans="1:32" ht="14.25" customHeight="1">
      <c r="A9" s="8"/>
      <c r="B9" s="453" t="s">
        <v>2146</v>
      </c>
      <c r="C9" s="454" t="e">
        <f t="shared" ref="C9:AE9" si="0">IF((C5/C3)&gt;=0.02,4,IF(AND((C5/C3)&lt;0.02,(C6/C3)&gt;=0.2),3+((C5/C3)/0.02),IF(AND(0&lt;(C5/C3)&lt;0.02,0&lt;(C6/C3)&lt;0.2),2+(2*((C5/C3)/0.02))+((C6/C3)/0.2)-(((C5/C3)*(C6/C3))/(0.02*0.2)),IF(AND((C5/C3)=0,(C6/C3)=0,(C7/C3)&gt;=0.5),2,IF(AND((C5/C3)=0,(C6/C3)=0,(C7/C3)&lt;0.5),(2*(C7/C3))/0.5)))))</f>
        <v>#DIV/0!</v>
      </c>
      <c r="D9" s="454" t="e">
        <f t="shared" si="0"/>
        <v>#DIV/0!</v>
      </c>
      <c r="E9" s="454" t="e">
        <f t="shared" si="0"/>
        <v>#DIV/0!</v>
      </c>
      <c r="F9" s="454" t="e">
        <f t="shared" si="0"/>
        <v>#DIV/0!</v>
      </c>
      <c r="G9" s="454" t="e">
        <f t="shared" si="0"/>
        <v>#DIV/0!</v>
      </c>
      <c r="H9" s="454" t="e">
        <f t="shared" si="0"/>
        <v>#DIV/0!</v>
      </c>
      <c r="I9" s="454" t="e">
        <f t="shared" si="0"/>
        <v>#DIV/0!</v>
      </c>
      <c r="J9" s="454" t="e">
        <f t="shared" si="0"/>
        <v>#DIV/0!</v>
      </c>
      <c r="K9" s="454" t="e">
        <f t="shared" si="0"/>
        <v>#DIV/0!</v>
      </c>
      <c r="L9" s="454" t="e">
        <f t="shared" si="0"/>
        <v>#DIV/0!</v>
      </c>
      <c r="M9" s="454" t="e">
        <f t="shared" si="0"/>
        <v>#DIV/0!</v>
      </c>
      <c r="N9" s="454" t="e">
        <f t="shared" si="0"/>
        <v>#DIV/0!</v>
      </c>
      <c r="O9" s="454" t="e">
        <f t="shared" si="0"/>
        <v>#DIV/0!</v>
      </c>
      <c r="P9" s="454" t="e">
        <f t="shared" si="0"/>
        <v>#DIV/0!</v>
      </c>
      <c r="Q9" s="454" t="e">
        <f t="shared" si="0"/>
        <v>#DIV/0!</v>
      </c>
      <c r="R9" s="454" t="e">
        <f t="shared" si="0"/>
        <v>#DIV/0!</v>
      </c>
      <c r="S9" s="454" t="e">
        <f t="shared" si="0"/>
        <v>#DIV/0!</v>
      </c>
      <c r="T9" s="454" t="e">
        <f t="shared" si="0"/>
        <v>#DIV/0!</v>
      </c>
      <c r="U9" s="454" t="e">
        <f t="shared" si="0"/>
        <v>#DIV/0!</v>
      </c>
      <c r="V9" s="454" t="e">
        <f t="shared" si="0"/>
        <v>#DIV/0!</v>
      </c>
      <c r="W9" s="454" t="e">
        <f t="shared" si="0"/>
        <v>#DIV/0!</v>
      </c>
      <c r="X9" s="454" t="e">
        <f t="shared" si="0"/>
        <v>#DIV/0!</v>
      </c>
      <c r="Y9" s="454" t="e">
        <f t="shared" si="0"/>
        <v>#DIV/0!</v>
      </c>
      <c r="Z9" s="454" t="e">
        <f t="shared" si="0"/>
        <v>#DIV/0!</v>
      </c>
      <c r="AA9" s="454" t="e">
        <f t="shared" si="0"/>
        <v>#DIV/0!</v>
      </c>
      <c r="AB9" s="454" t="e">
        <f t="shared" si="0"/>
        <v>#DIV/0!</v>
      </c>
      <c r="AC9" s="454" t="e">
        <f t="shared" si="0"/>
        <v>#DIV/0!</v>
      </c>
      <c r="AD9" s="454" t="e">
        <f t="shared" si="0"/>
        <v>#DIV/0!</v>
      </c>
      <c r="AE9" s="454" t="e">
        <f t="shared" si="0"/>
        <v>#DIV/0!</v>
      </c>
      <c r="AF9" s="455"/>
    </row>
    <row r="10" spans="1:32" ht="14.25" customHeight="1">
      <c r="A10" s="2"/>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63"/>
    </row>
    <row r="11" spans="1:32" ht="14.25"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sheetData>
  <pageMargins left="0.7" right="0.7" top="0.75" bottom="0.75"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Sheet15</vt:lpstr>
      <vt:lpstr>CSS 2023-2024(CutOff 240731)</vt:lpstr>
      <vt:lpstr>CSS 2022-2023(CutOff 230827)</vt:lpstr>
      <vt:lpstr>Data All (Backup)</vt:lpstr>
      <vt:lpstr>Data All</vt:lpstr>
      <vt:lpstr>Sheet1</vt:lpstr>
      <vt:lpstr>Grading_Table</vt:lpstr>
      <vt:lpstr>Input</vt:lpstr>
      <vt:lpstr>Tidak Jelas n Internal UC</vt:lpstr>
      <vt:lpstr>Sheet3</vt:lpstr>
      <vt:lpstr>Summary Fakultas</vt:lpstr>
      <vt:lpstr>UC Online</vt:lpstr>
      <vt:lpstr>Tabel Bobot</vt:lpstr>
      <vt:lpstr>NNP Data PPT Networking 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Joachim</dc:creator>
  <cp:lastModifiedBy>Hans Joachim</cp:lastModifiedBy>
  <dcterms:created xsi:type="dcterms:W3CDTF">2024-08-29T08:56:05Z</dcterms:created>
  <dcterms:modified xsi:type="dcterms:W3CDTF">2024-09-12T03:40:06Z</dcterms:modified>
</cp:coreProperties>
</file>