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8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9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0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s_t_van_liempd_st_hanze_nl/Documents/Hanze Racing Division/TAMIYA 419/calibration/"/>
    </mc:Choice>
  </mc:AlternateContent>
  <xr:revisionPtr revIDLastSave="1849" documentId="8_{3CE12D86-629D-452A-AD33-FAFA62D25E0F}" xr6:coauthVersionLast="46" xr6:coauthVersionMax="46" xr10:uidLastSave="{5EC715BD-3088-4490-BAC3-EA6A4B5B4CCB}"/>
  <bookViews>
    <workbookView xWindow="-110" yWindow="-110" windowWidth="19420" windowHeight="10420" activeTab="8" xr2:uid="{7D5FCF4F-61CA-461D-8932-647D06EDC3BF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3" sheetId="3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1" l="1"/>
  <c r="F5" i="11"/>
  <c r="F6" i="11"/>
  <c r="F7" i="11"/>
  <c r="F8" i="11"/>
  <c r="F9" i="11"/>
  <c r="F3" i="11"/>
  <c r="D9" i="11"/>
  <c r="D8" i="11"/>
  <c r="D7" i="11"/>
  <c r="D5" i="11"/>
  <c r="D4" i="11"/>
  <c r="D3" i="11"/>
  <c r="H2" i="10" l="1"/>
  <c r="H38" i="10" s="1"/>
  <c r="I38" i="10" s="1"/>
  <c r="H41" i="10"/>
  <c r="I41" i="10" s="1"/>
  <c r="H45" i="10"/>
  <c r="I45" i="10" s="1"/>
  <c r="F42" i="10" a="1"/>
  <c r="F42" i="10" s="1"/>
  <c r="F35" i="10" a="1"/>
  <c r="F35" i="10" s="1"/>
  <c r="G42" i="10" a="1"/>
  <c r="G42" i="10" s="1"/>
  <c r="G35" i="10" a="1"/>
  <c r="G35" i="10" s="1"/>
  <c r="C33" i="10"/>
  <c r="D33" i="10" s="1"/>
  <c r="C34" i="10"/>
  <c r="D34" i="10" s="1"/>
  <c r="C35" i="10"/>
  <c r="D35" i="10" s="1"/>
  <c r="C36" i="10"/>
  <c r="D36" i="10" s="1"/>
  <c r="C37" i="10"/>
  <c r="D37" i="10" s="1"/>
  <c r="C38" i="10"/>
  <c r="D38" i="10" s="1"/>
  <c r="C39" i="10"/>
  <c r="D39" i="10" s="1"/>
  <c r="C40" i="10"/>
  <c r="D40" i="10" s="1"/>
  <c r="C41" i="10"/>
  <c r="D41" i="10" s="1"/>
  <c r="C42" i="10"/>
  <c r="D42" i="10" s="1"/>
  <c r="C43" i="10"/>
  <c r="D43" i="10" s="1"/>
  <c r="C44" i="10"/>
  <c r="D44" i="10" s="1"/>
  <c r="C45" i="10"/>
  <c r="D45" i="10" s="1"/>
  <c r="C46" i="10"/>
  <c r="D46" i="10" s="1"/>
  <c r="B40" i="10" a="1"/>
  <c r="B40" i="10" s="1"/>
  <c r="A40" i="10" a="1"/>
  <c r="A40" i="10" s="1"/>
  <c r="C32" i="10"/>
  <c r="B33" i="10" a="1"/>
  <c r="B33" i="10" s="1"/>
  <c r="A33" i="10" a="1"/>
  <c r="A33" i="10" s="1"/>
  <c r="G34" i="10"/>
  <c r="F34" i="10"/>
  <c r="G33" i="10"/>
  <c r="F33" i="10"/>
  <c r="H30" i="10"/>
  <c r="G26" i="10" a="1"/>
  <c r="F26" i="10" a="1"/>
  <c r="F26" i="10" s="1"/>
  <c r="H26" i="10" s="1"/>
  <c r="B26" i="10" a="1"/>
  <c r="A25" i="10"/>
  <c r="C25" i="10" s="1"/>
  <c r="D25" i="10" s="1"/>
  <c r="A23" i="10"/>
  <c r="C23" i="10" s="1"/>
  <c r="D23" i="10" s="1"/>
  <c r="A21" i="10"/>
  <c r="C21" i="10" s="1"/>
  <c r="D21" i="10" s="1"/>
  <c r="G19" i="10"/>
  <c r="G19" i="10" a="1"/>
  <c r="F19" i="10"/>
  <c r="F19" i="10" a="1"/>
  <c r="B19" i="10"/>
  <c r="B19" i="10" a="1"/>
  <c r="A19" i="10"/>
  <c r="C19" i="10" s="1"/>
  <c r="G11" i="10" a="1"/>
  <c r="F11" i="10" a="1"/>
  <c r="B11" i="10" a="1"/>
  <c r="A10" i="10"/>
  <c r="C10" i="10" s="1"/>
  <c r="D10" i="10" s="1"/>
  <c r="A8" i="10"/>
  <c r="C8" i="10" s="1"/>
  <c r="D8" i="10" s="1"/>
  <c r="A6" i="10"/>
  <c r="C6" i="10" s="1"/>
  <c r="D6" i="10" s="1"/>
  <c r="G4" i="10"/>
  <c r="G4" i="10" a="1"/>
  <c r="F4" i="10"/>
  <c r="F4" i="10" a="1"/>
  <c r="B4" i="10"/>
  <c r="B4" i="10" a="1"/>
  <c r="A4" i="10"/>
  <c r="C4" i="10" s="1"/>
  <c r="F5" i="9"/>
  <c r="H5" i="9" s="1"/>
  <c r="H6" i="9"/>
  <c r="H7" i="9"/>
  <c r="H8" i="9"/>
  <c r="H9" i="9"/>
  <c r="H10" i="9"/>
  <c r="H11" i="9"/>
  <c r="G4" i="9"/>
  <c r="F4" i="9"/>
  <c r="F6" i="9"/>
  <c r="F7" i="9"/>
  <c r="F9" i="9"/>
  <c r="G5" i="9"/>
  <c r="G6" i="9"/>
  <c r="I6" i="9" s="1"/>
  <c r="G7" i="9"/>
  <c r="I7" i="9" s="1"/>
  <c r="G9" i="9"/>
  <c r="G10" i="9"/>
  <c r="I10" i="9" s="1"/>
  <c r="G11" i="9"/>
  <c r="I11" i="9" s="1"/>
  <c r="D11" i="9"/>
  <c r="D10" i="9"/>
  <c r="I9" i="9"/>
  <c r="D9" i="9"/>
  <c r="D7" i="9"/>
  <c r="D6" i="9"/>
  <c r="I5" i="9"/>
  <c r="D5" i="9"/>
  <c r="F11" i="9"/>
  <c r="F4" i="8"/>
  <c r="F6" i="8"/>
  <c r="F8" i="8"/>
  <c r="F9" i="8"/>
  <c r="F10" i="8"/>
  <c r="F5" i="8"/>
  <c r="D6" i="8"/>
  <c r="D8" i="8"/>
  <c r="D9" i="8"/>
  <c r="D10" i="8"/>
  <c r="D5" i="8"/>
  <c r="D4" i="8"/>
  <c r="G2" i="8"/>
  <c r="G10" i="8"/>
  <c r="I10" i="8" s="1"/>
  <c r="G9" i="8"/>
  <c r="G8" i="8"/>
  <c r="I8" i="8" s="1"/>
  <c r="G4" i="8"/>
  <c r="I4" i="8" s="1"/>
  <c r="G5" i="8"/>
  <c r="I5" i="8" s="1"/>
  <c r="I9" i="8"/>
  <c r="G6" i="8"/>
  <c r="I6" i="8" s="1"/>
  <c r="H9" i="10" l="1"/>
  <c r="H20" i="10"/>
  <c r="H28" i="10"/>
  <c r="H47" i="10"/>
  <c r="I47" i="10" s="1"/>
  <c r="H43" i="10"/>
  <c r="I43" i="10" s="1"/>
  <c r="H39" i="10"/>
  <c r="I39" i="10" s="1"/>
  <c r="H35" i="10"/>
  <c r="I35" i="10" s="1"/>
  <c r="H37" i="10"/>
  <c r="I37" i="10" s="1"/>
  <c r="H15" i="10"/>
  <c r="H24" i="10"/>
  <c r="I24" i="10" s="1"/>
  <c r="H33" i="10"/>
  <c r="H48" i="10"/>
  <c r="I48" i="10" s="1"/>
  <c r="H44" i="10"/>
  <c r="I44" i="10" s="1"/>
  <c r="H40" i="10"/>
  <c r="I40" i="10" s="1"/>
  <c r="H36" i="10"/>
  <c r="I36" i="10" s="1"/>
  <c r="H27" i="10"/>
  <c r="I27" i="10" s="1"/>
  <c r="H5" i="10"/>
  <c r="I5" i="10" s="1"/>
  <c r="H29" i="10"/>
  <c r="H34" i="10"/>
  <c r="H46" i="10"/>
  <c r="I46" i="10" s="1"/>
  <c r="H42" i="10"/>
  <c r="I42" i="10" s="1"/>
  <c r="D19" i="10"/>
  <c r="I34" i="10"/>
  <c r="D4" i="10"/>
  <c r="I15" i="10"/>
  <c r="I33" i="10"/>
  <c r="A14" i="10"/>
  <c r="C14" i="10" s="1"/>
  <c r="A16" i="10"/>
  <c r="C16" i="10" s="1"/>
  <c r="D16" i="10" s="1"/>
  <c r="H17" i="10"/>
  <c r="I17" i="10" s="1"/>
  <c r="A27" i="10"/>
  <c r="C27" i="10" s="1"/>
  <c r="D27" i="10" s="1"/>
  <c r="H4" i="10"/>
  <c r="I4" i="10" s="1"/>
  <c r="A7" i="10"/>
  <c r="C7" i="10" s="1"/>
  <c r="A9" i="10"/>
  <c r="C9" i="10" s="1"/>
  <c r="D9" i="10" s="1"/>
  <c r="I9" i="10"/>
  <c r="H10" i="10"/>
  <c r="I10" i="10" s="1"/>
  <c r="B11" i="10"/>
  <c r="F11" i="10"/>
  <c r="H11" i="10" s="1"/>
  <c r="H12" i="10"/>
  <c r="I12" i="10" s="1"/>
  <c r="A17" i="10"/>
  <c r="C17" i="10" s="1"/>
  <c r="D17" i="10" s="1"/>
  <c r="A20" i="10"/>
  <c r="C20" i="10" s="1"/>
  <c r="D20" i="10" s="1"/>
  <c r="I20" i="10"/>
  <c r="H21" i="10"/>
  <c r="I21" i="10" s="1"/>
  <c r="H22" i="10"/>
  <c r="H23" i="10"/>
  <c r="I23" i="10" s="1"/>
  <c r="G26" i="10"/>
  <c r="A28" i="10"/>
  <c r="C28" i="10" s="1"/>
  <c r="D28" i="10" s="1"/>
  <c r="I28" i="10"/>
  <c r="A30" i="10"/>
  <c r="C30" i="10" s="1"/>
  <c r="D30" i="10" s="1"/>
  <c r="I30" i="10"/>
  <c r="H31" i="10"/>
  <c r="I31" i="10" s="1"/>
  <c r="A12" i="10"/>
  <c r="C12" i="10" s="1"/>
  <c r="D12" i="10" s="1"/>
  <c r="H13" i="10"/>
  <c r="I13" i="10" s="1"/>
  <c r="H14" i="10"/>
  <c r="A29" i="10"/>
  <c r="C29" i="10" s="1"/>
  <c r="A31" i="10"/>
  <c r="C31" i="10" s="1"/>
  <c r="D31" i="10" s="1"/>
  <c r="H32" i="10"/>
  <c r="I32" i="10" s="1"/>
  <c r="A5" i="10"/>
  <c r="C5" i="10" s="1"/>
  <c r="D5" i="10" s="1"/>
  <c r="H6" i="10"/>
  <c r="I6" i="10" s="1"/>
  <c r="H7" i="10"/>
  <c r="H8" i="10"/>
  <c r="I8" i="10" s="1"/>
  <c r="G11" i="10"/>
  <c r="A13" i="10"/>
  <c r="C13" i="10" s="1"/>
  <c r="D13" i="10" s="1"/>
  <c r="A15" i="10"/>
  <c r="C15" i="10" s="1"/>
  <c r="D15" i="10" s="1"/>
  <c r="H16" i="10"/>
  <c r="I16" i="10" s="1"/>
  <c r="H19" i="10"/>
  <c r="I19" i="10" s="1"/>
  <c r="A22" i="10"/>
  <c r="C22" i="10" s="1"/>
  <c r="A24" i="10"/>
  <c r="C24" i="10" s="1"/>
  <c r="D24" i="10" s="1"/>
  <c r="H25" i="10"/>
  <c r="I25" i="10" s="1"/>
  <c r="B26" i="10"/>
  <c r="A32" i="10"/>
  <c r="D32" i="10" s="1"/>
  <c r="F10" i="9"/>
  <c r="D37" i="7" a="1"/>
  <c r="D37" i="7" s="1"/>
  <c r="D36" i="7"/>
  <c r="D5" i="7"/>
  <c r="D6" i="7"/>
  <c r="D8" i="7"/>
  <c r="D9" i="7"/>
  <c r="D10" i="7"/>
  <c r="D11" i="7"/>
  <c r="D12" i="7"/>
  <c r="D13" i="7"/>
  <c r="D15" i="7"/>
  <c r="D16" i="7"/>
  <c r="D17" i="7"/>
  <c r="D19" i="7"/>
  <c r="D20" i="7"/>
  <c r="D21" i="7"/>
  <c r="D23" i="7"/>
  <c r="D24" i="7"/>
  <c r="D25" i="7"/>
  <c r="D26" i="7"/>
  <c r="D27" i="7"/>
  <c r="D28" i="7"/>
  <c r="D30" i="7"/>
  <c r="D31" i="7"/>
  <c r="D32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4" i="7"/>
  <c r="H2" i="7"/>
  <c r="B26" i="7" a="1"/>
  <c r="B26" i="7" s="1"/>
  <c r="B19" i="7" a="1"/>
  <c r="B19" i="7" s="1"/>
  <c r="B11" i="7" a="1"/>
  <c r="B11" i="7" s="1"/>
  <c r="B4" i="7" a="1"/>
  <c r="B4" i="7" s="1"/>
  <c r="H7" i="1"/>
  <c r="H6" i="1"/>
  <c r="H5" i="1"/>
  <c r="G34" i="7"/>
  <c r="F34" i="7"/>
  <c r="G33" i="7"/>
  <c r="F33" i="7"/>
  <c r="G26" i="7" a="1"/>
  <c r="G26" i="7" s="1"/>
  <c r="F26" i="7" a="1"/>
  <c r="F26" i="7" s="1"/>
  <c r="G19" i="7" a="1"/>
  <c r="G19" i="7" s="1"/>
  <c r="F19" i="7" a="1"/>
  <c r="F19" i="7" s="1"/>
  <c r="G11" i="7" a="1"/>
  <c r="G11" i="7" s="1"/>
  <c r="F11" i="7" a="1"/>
  <c r="F11" i="7" s="1"/>
  <c r="F4" i="7" a="1"/>
  <c r="F4" i="7" s="1"/>
  <c r="A11" i="10" l="1"/>
  <c r="C11" i="10" s="1"/>
  <c r="I11" i="10"/>
  <c r="I26" i="10"/>
  <c r="I51" i="10" s="1" a="1"/>
  <c r="I51" i="10" s="1"/>
  <c r="A26" i="10"/>
  <c r="C26" i="10" s="1"/>
  <c r="D26" i="10" s="1"/>
  <c r="D11" i="10"/>
  <c r="H34" i="7"/>
  <c r="I34" i="7" s="1"/>
  <c r="H31" i="7"/>
  <c r="I31" i="7" s="1"/>
  <c r="H27" i="7"/>
  <c r="I27" i="7" s="1"/>
  <c r="H23" i="7"/>
  <c r="I23" i="7" s="1"/>
  <c r="H19" i="7"/>
  <c r="I19" i="7" s="1"/>
  <c r="H15" i="7"/>
  <c r="I15" i="7" s="1"/>
  <c r="H11" i="7"/>
  <c r="I11" i="7" s="1"/>
  <c r="H7" i="7"/>
  <c r="H4" i="7"/>
  <c r="I4" i="7" s="1"/>
  <c r="H30" i="7"/>
  <c r="I30" i="7" s="1"/>
  <c r="H26" i="7"/>
  <c r="I26" i="7" s="1"/>
  <c r="H22" i="7"/>
  <c r="H14" i="7"/>
  <c r="H10" i="7"/>
  <c r="H6" i="7"/>
  <c r="H33" i="7"/>
  <c r="I33" i="7" s="1"/>
  <c r="H29" i="7"/>
  <c r="H25" i="7"/>
  <c r="I25" i="7" s="1"/>
  <c r="H21" i="7"/>
  <c r="I21" i="7" s="1"/>
  <c r="H17" i="7"/>
  <c r="I17" i="7" s="1"/>
  <c r="H13" i="7"/>
  <c r="I13" i="7" s="1"/>
  <c r="H9" i="7"/>
  <c r="H5" i="7"/>
  <c r="H32" i="7"/>
  <c r="I32" i="7" s="1"/>
  <c r="H28" i="7"/>
  <c r="I28" i="7" s="1"/>
  <c r="H24" i="7"/>
  <c r="I24" i="7" s="1"/>
  <c r="H20" i="7"/>
  <c r="I20" i="7" s="1"/>
  <c r="H16" i="7"/>
  <c r="I16" i="7" s="1"/>
  <c r="H12" i="7"/>
  <c r="I12" i="7" s="1"/>
  <c r="H8" i="7"/>
  <c r="G4" i="7" a="1"/>
  <c r="G4" i="7" s="1"/>
  <c r="H13" i="6"/>
  <c r="J13" i="6" s="1"/>
  <c r="H7" i="6"/>
  <c r="O7" i="6" s="1"/>
  <c r="P7" i="6" s="1"/>
  <c r="H23" i="6"/>
  <c r="H22" i="6"/>
  <c r="H21" i="6"/>
  <c r="J20" i="6"/>
  <c r="K20" i="6" s="1"/>
  <c r="H20" i="6"/>
  <c r="I20" i="6" s="1"/>
  <c r="F20" i="6"/>
  <c r="G20" i="6" s="1"/>
  <c r="E20" i="6"/>
  <c r="D20" i="6"/>
  <c r="H19" i="6"/>
  <c r="H18" i="6"/>
  <c r="I18" i="6" s="1"/>
  <c r="H17" i="6"/>
  <c r="J16" i="6"/>
  <c r="K16" i="6" s="1"/>
  <c r="H16" i="6"/>
  <c r="I16" i="6" s="1"/>
  <c r="F16" i="6"/>
  <c r="G16" i="6" s="1"/>
  <c r="E16" i="6"/>
  <c r="D16" i="6"/>
  <c r="E14" i="6"/>
  <c r="G13" i="6"/>
  <c r="K23" i="6" s="1"/>
  <c r="J23" i="6" s="1"/>
  <c r="E13" i="6"/>
  <c r="J12" i="6"/>
  <c r="G12" i="6"/>
  <c r="K22" i="6" s="1"/>
  <c r="E12" i="6"/>
  <c r="J11" i="6"/>
  <c r="G11" i="6"/>
  <c r="K21" i="6" s="1"/>
  <c r="E11" i="6"/>
  <c r="J9" i="6"/>
  <c r="G9" i="6"/>
  <c r="K19" i="6" s="1"/>
  <c r="E9" i="6"/>
  <c r="J8" i="6"/>
  <c r="G8" i="6"/>
  <c r="K18" i="6" s="1"/>
  <c r="E8" i="6"/>
  <c r="K8" i="6" s="1"/>
  <c r="G7" i="6"/>
  <c r="K17" i="6" s="1"/>
  <c r="E7" i="6"/>
  <c r="H7" i="5"/>
  <c r="J7" i="5" s="1"/>
  <c r="I22" i="5"/>
  <c r="I23" i="5"/>
  <c r="I21" i="5"/>
  <c r="I20" i="5"/>
  <c r="I18" i="5"/>
  <c r="I19" i="5"/>
  <c r="I17" i="5"/>
  <c r="I16" i="5"/>
  <c r="H20" i="5"/>
  <c r="H16" i="5"/>
  <c r="H18" i="5"/>
  <c r="H19" i="5"/>
  <c r="H21" i="5"/>
  <c r="H22" i="5"/>
  <c r="H23" i="5"/>
  <c r="H17" i="5"/>
  <c r="F16" i="5"/>
  <c r="G16" i="5" s="1"/>
  <c r="E17" i="5"/>
  <c r="E20" i="5"/>
  <c r="D20" i="5"/>
  <c r="D16" i="5"/>
  <c r="D17" i="5" s="1"/>
  <c r="E16" i="5"/>
  <c r="G20" i="5"/>
  <c r="F21" i="5" s="1"/>
  <c r="G7" i="5"/>
  <c r="K17" i="5" s="1"/>
  <c r="G8" i="5"/>
  <c r="K18" i="5" s="1"/>
  <c r="J18" i="5" s="1"/>
  <c r="G9" i="5"/>
  <c r="K19" i="5"/>
  <c r="K16" i="5"/>
  <c r="J16" i="5"/>
  <c r="J19" i="5"/>
  <c r="J20" i="5"/>
  <c r="K20" i="5" s="1"/>
  <c r="H8" i="5"/>
  <c r="J8" i="5" s="1"/>
  <c r="H9" i="5"/>
  <c r="K20" i="4"/>
  <c r="J20" i="4"/>
  <c r="K24" i="4"/>
  <c r="K23" i="4"/>
  <c r="K22" i="4"/>
  <c r="K21" i="4"/>
  <c r="K22" i="5"/>
  <c r="K23" i="5"/>
  <c r="K21" i="5"/>
  <c r="F20" i="5"/>
  <c r="H11" i="5"/>
  <c r="J11" i="5" s="1"/>
  <c r="H12" i="5"/>
  <c r="H13" i="5"/>
  <c r="J13" i="5" s="1"/>
  <c r="G12" i="5"/>
  <c r="G13" i="5"/>
  <c r="G11" i="5"/>
  <c r="E14" i="5"/>
  <c r="E13" i="5"/>
  <c r="J12" i="5"/>
  <c r="E12" i="5"/>
  <c r="E11" i="5"/>
  <c r="J9" i="5"/>
  <c r="E9" i="5"/>
  <c r="E8" i="5"/>
  <c r="E7" i="5"/>
  <c r="E18" i="4"/>
  <c r="E19" i="4"/>
  <c r="E17" i="4"/>
  <c r="E20" i="4"/>
  <c r="D20" i="4"/>
  <c r="E12" i="4"/>
  <c r="E13" i="4"/>
  <c r="E11" i="4"/>
  <c r="E8" i="4"/>
  <c r="E9" i="4"/>
  <c r="E7" i="4"/>
  <c r="E16" i="4"/>
  <c r="D16" i="4"/>
  <c r="G22" i="4"/>
  <c r="G23" i="4"/>
  <c r="G21" i="4"/>
  <c r="G18" i="4"/>
  <c r="G19" i="4"/>
  <c r="G17" i="4"/>
  <c r="G7" i="4"/>
  <c r="F17" i="4" s="1"/>
  <c r="G8" i="4"/>
  <c r="G9" i="4"/>
  <c r="G11" i="4"/>
  <c r="G12" i="4"/>
  <c r="G13" i="4"/>
  <c r="G18" i="2"/>
  <c r="G14" i="2"/>
  <c r="G20" i="4"/>
  <c r="G16" i="4"/>
  <c r="F20" i="4"/>
  <c r="H11" i="4"/>
  <c r="H12" i="4"/>
  <c r="H13" i="4"/>
  <c r="F16" i="4"/>
  <c r="H7" i="4"/>
  <c r="H8" i="4"/>
  <c r="H9" i="4"/>
  <c r="E19" i="2"/>
  <c r="D51" i="10" l="1" a="1"/>
  <c r="D51" i="10" s="1"/>
  <c r="D50" i="10"/>
  <c r="I50" i="10"/>
  <c r="I8" i="7"/>
  <c r="I9" i="7"/>
  <c r="I5" i="7"/>
  <c r="I6" i="7"/>
  <c r="I10" i="7"/>
  <c r="I36" i="7"/>
  <c r="D23" i="6"/>
  <c r="E23" i="6" s="1"/>
  <c r="D17" i="6"/>
  <c r="E17" i="6" s="1"/>
  <c r="D19" i="6"/>
  <c r="E19" i="6" s="1"/>
  <c r="K13" i="6"/>
  <c r="K12" i="6"/>
  <c r="K11" i="6"/>
  <c r="K9" i="6"/>
  <c r="J21" i="6"/>
  <c r="J22" i="6"/>
  <c r="I17" i="6"/>
  <c r="I21" i="6"/>
  <c r="J18" i="6"/>
  <c r="J19" i="6"/>
  <c r="I22" i="6"/>
  <c r="J17" i="6"/>
  <c r="I19" i="6"/>
  <c r="I23" i="6"/>
  <c r="L9" i="6"/>
  <c r="L12" i="6"/>
  <c r="D21" i="6"/>
  <c r="E21" i="6" s="1"/>
  <c r="D22" i="6"/>
  <c r="E22" i="6" s="1"/>
  <c r="L8" i="6"/>
  <c r="L11" i="6"/>
  <c r="L13" i="6"/>
  <c r="F17" i="6"/>
  <c r="G17" i="6" s="1"/>
  <c r="F18" i="6"/>
  <c r="G18" i="6" s="1"/>
  <c r="F19" i="6"/>
  <c r="G19" i="6" s="1"/>
  <c r="F21" i="6"/>
  <c r="G21" i="6" s="1"/>
  <c r="F22" i="6"/>
  <c r="G22" i="6" s="1"/>
  <c r="F23" i="6"/>
  <c r="G23" i="6" s="1"/>
  <c r="D18" i="6"/>
  <c r="E18" i="6" s="1"/>
  <c r="N7" i="6"/>
  <c r="J7" i="6"/>
  <c r="K7" i="6" s="1"/>
  <c r="J17" i="5"/>
  <c r="L7" i="5"/>
  <c r="F18" i="5"/>
  <c r="G18" i="5" s="1"/>
  <c r="L9" i="5"/>
  <c r="J21" i="4"/>
  <c r="J23" i="4"/>
  <c r="J22" i="4"/>
  <c r="J24" i="4"/>
  <c r="L12" i="5"/>
  <c r="F23" i="5"/>
  <c r="G23" i="5" s="1"/>
  <c r="K13" i="5"/>
  <c r="D22" i="5"/>
  <c r="E22" i="5" s="1"/>
  <c r="D19" i="5"/>
  <c r="E19" i="5" s="1"/>
  <c r="K11" i="5"/>
  <c r="L11" i="5"/>
  <c r="F19" i="5"/>
  <c r="G19" i="5" s="1"/>
  <c r="F22" i="5"/>
  <c r="G22" i="5" s="1"/>
  <c r="K8" i="5"/>
  <c r="L8" i="5"/>
  <c r="L13" i="5"/>
  <c r="F17" i="5"/>
  <c r="G17" i="5" s="1"/>
  <c r="G21" i="5"/>
  <c r="O7" i="5"/>
  <c r="P7" i="5" s="1"/>
  <c r="K9" i="5"/>
  <c r="K12" i="5"/>
  <c r="K7" i="5"/>
  <c r="D18" i="5"/>
  <c r="E18" i="5" s="1"/>
  <c r="D21" i="5"/>
  <c r="E21" i="5" s="1"/>
  <c r="D23" i="5"/>
  <c r="E23" i="5" s="1"/>
  <c r="N7" i="5"/>
  <c r="F19" i="4"/>
  <c r="F18" i="4"/>
  <c r="G10" i="3"/>
  <c r="H10" i="3" s="1"/>
  <c r="E14" i="4"/>
  <c r="J13" i="4"/>
  <c r="J12" i="4"/>
  <c r="J11" i="4"/>
  <c r="F21" i="4"/>
  <c r="J9" i="4"/>
  <c r="J8" i="4"/>
  <c r="O7" i="4"/>
  <c r="P7" i="4" s="1"/>
  <c r="I37" i="7" l="1" a="1"/>
  <c r="I37" i="7" s="1"/>
  <c r="L7" i="6"/>
  <c r="K11" i="4"/>
  <c r="L12" i="4"/>
  <c r="L13" i="4"/>
  <c r="K8" i="4"/>
  <c r="D17" i="4"/>
  <c r="D22" i="4"/>
  <c r="E22" i="4" s="1"/>
  <c r="N7" i="4"/>
  <c r="L8" i="4"/>
  <c r="D21" i="4"/>
  <c r="E21" i="4" s="1"/>
  <c r="F23" i="4"/>
  <c r="J7" i="4"/>
  <c r="L7" i="4" s="1"/>
  <c r="K9" i="4"/>
  <c r="K12" i="4"/>
  <c r="D19" i="4"/>
  <c r="F22" i="4"/>
  <c r="L11" i="4"/>
  <c r="K7" i="4"/>
  <c r="D18" i="4"/>
  <c r="D23" i="4"/>
  <c r="E23" i="4" s="1"/>
  <c r="L9" i="4"/>
  <c r="K13" i="4"/>
  <c r="J6" i="3" l="1"/>
  <c r="K6" i="3" s="1"/>
  <c r="J2" i="3"/>
  <c r="K2" i="3" s="1"/>
  <c r="G6" i="3"/>
  <c r="G2" i="3"/>
  <c r="D8" i="3"/>
  <c r="D9" i="3"/>
  <c r="D7" i="3"/>
  <c r="D4" i="3"/>
  <c r="D5" i="3"/>
  <c r="D3" i="3"/>
  <c r="C38" i="2"/>
  <c r="C39" i="2"/>
  <c r="C37" i="2"/>
  <c r="C42" i="2"/>
  <c r="C43" i="2"/>
  <c r="D41" i="2"/>
  <c r="C41" i="2"/>
  <c r="G3" i="3" l="1"/>
  <c r="F2" i="3"/>
  <c r="G9" i="3"/>
  <c r="F6" i="3"/>
  <c r="J3" i="3"/>
  <c r="J4" i="3"/>
  <c r="J5" i="3"/>
  <c r="J8" i="3"/>
  <c r="J7" i="3"/>
  <c r="J9" i="3"/>
  <c r="G8" i="3"/>
  <c r="G7" i="3"/>
  <c r="H7" i="3" s="1"/>
  <c r="G4" i="3"/>
  <c r="G5" i="3"/>
  <c r="H5" i="3" s="1"/>
  <c r="F15" i="2"/>
  <c r="E20" i="2"/>
  <c r="E21" i="2"/>
  <c r="E16" i="2"/>
  <c r="E15" i="2"/>
  <c r="E17" i="2"/>
  <c r="E18" i="2"/>
  <c r="D20" i="2" s="1"/>
  <c r="D19" i="2"/>
  <c r="D16" i="2"/>
  <c r="D17" i="2"/>
  <c r="D15" i="2"/>
  <c r="E14" i="2"/>
  <c r="F18" i="2"/>
  <c r="D18" i="2"/>
  <c r="F17" i="2"/>
  <c r="F16" i="2"/>
  <c r="D14" i="2"/>
  <c r="F14" i="2"/>
  <c r="E12" i="2"/>
  <c r="G12" i="2"/>
  <c r="E10" i="2"/>
  <c r="E11" i="2"/>
  <c r="E9" i="2"/>
  <c r="E6" i="2"/>
  <c r="E7" i="2"/>
  <c r="E5" i="2"/>
  <c r="G10" i="2"/>
  <c r="G11" i="2"/>
  <c r="G9" i="2"/>
  <c r="G7" i="2"/>
  <c r="G6" i="2"/>
  <c r="G5" i="2"/>
  <c r="J6" i="2"/>
  <c r="J7" i="2"/>
  <c r="J5" i="2"/>
  <c r="H11" i="2"/>
  <c r="J11" i="2" s="1"/>
  <c r="H10" i="2"/>
  <c r="J10" i="2" s="1"/>
  <c r="H9" i="2"/>
  <c r="J9" i="2" s="1"/>
  <c r="H7" i="2"/>
  <c r="H6" i="2"/>
  <c r="H5" i="2"/>
  <c r="O5" i="2" s="1"/>
  <c r="P5" i="2" s="1"/>
  <c r="H3" i="3" l="1"/>
  <c r="H4" i="3"/>
  <c r="H8" i="3"/>
  <c r="H9" i="3"/>
  <c r="D21" i="2"/>
  <c r="F20" i="2"/>
  <c r="F19" i="2"/>
  <c r="F21" i="2"/>
  <c r="L10" i="2"/>
  <c r="L11" i="2"/>
  <c r="K11" i="2"/>
  <c r="K6" i="2"/>
  <c r="N5" i="2"/>
  <c r="K7" i="2"/>
  <c r="K10" i="2"/>
  <c r="K9" i="2"/>
  <c r="G1" i="1"/>
  <c r="M5" i="1"/>
  <c r="N5" i="1" s="1"/>
  <c r="K5" i="2" l="1"/>
  <c r="F7" i="1"/>
  <c r="F6" i="1"/>
  <c r="D10" i="1"/>
  <c r="G2" i="1"/>
  <c r="E11" i="1" s="1"/>
  <c r="F9" i="1"/>
  <c r="H9" i="1" s="1"/>
  <c r="F11" i="1"/>
  <c r="H11" i="1" s="1"/>
  <c r="F10" i="1"/>
  <c r="H10" i="1" s="1"/>
  <c r="F5" i="1"/>
  <c r="L9" i="2" l="1"/>
  <c r="L6" i="2"/>
  <c r="L5" i="2"/>
  <c r="L7" i="2"/>
  <c r="L5" i="1"/>
  <c r="E6" i="1"/>
  <c r="J6" i="1" s="1"/>
  <c r="D6" i="1"/>
  <c r="I6" i="1" s="1"/>
  <c r="D9" i="1"/>
  <c r="I9" i="1" s="1"/>
  <c r="E7" i="1"/>
  <c r="J7" i="1" s="1"/>
  <c r="E5" i="1"/>
  <c r="J5" i="1" s="1"/>
  <c r="D5" i="1"/>
  <c r="I5" i="1" s="1"/>
  <c r="D7" i="1"/>
  <c r="I7" i="1" s="1"/>
  <c r="E9" i="1"/>
  <c r="J9" i="1" s="1"/>
  <c r="D11" i="1"/>
  <c r="I11" i="1" s="1"/>
  <c r="E10" i="1"/>
  <c r="J10" i="1" s="1"/>
  <c r="I10" i="1"/>
  <c r="J11" i="1"/>
  <c r="J21" i="5"/>
  <c r="J23" i="5"/>
  <c r="J2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<sst xmlns="http://schemas.openxmlformats.org/spreadsheetml/2006/main" count="181" uniqueCount="46">
  <si>
    <t>input angle:</t>
  </si>
  <si>
    <t>pot angle:</t>
  </si>
  <si>
    <t>mes speed (m/s):</t>
  </si>
  <si>
    <t>input speed (m/s):</t>
  </si>
  <si>
    <t>mes radius (m):</t>
  </si>
  <si>
    <t>mes car length (m):</t>
  </si>
  <si>
    <t>servoADCvalPerDegree:</t>
  </si>
  <si>
    <t>servoMicrosPerDegree:</t>
  </si>
  <si>
    <t>calc angle (deg):</t>
  </si>
  <si>
    <r>
      <t>new servo_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/deg:</t>
    </r>
  </si>
  <si>
    <t>new ADC_val/deg:</t>
  </si>
  <si>
    <t>left turns:</t>
  </si>
  <si>
    <t>right turns:</t>
  </si>
  <si>
    <t>circumference:</t>
  </si>
  <si>
    <t>feedbackTimeDelta:</t>
  </si>
  <si>
    <t>angular velocity</t>
  </si>
  <si>
    <t>input angle (deg):</t>
  </si>
  <si>
    <t>input angle (PWM):</t>
  </si>
  <si>
    <t>pot angle (deg):</t>
  </si>
  <si>
    <t>pot angle (ADC):</t>
  </si>
  <si>
    <t>right turn calibration:</t>
  </si>
  <si>
    <t>left turn calibration:</t>
  </si>
  <si>
    <t>ADCval offset</t>
  </si>
  <si>
    <t>new MicrosPerDeg:</t>
  </si>
  <si>
    <t>new ADCvalPerDeg:</t>
  </si>
  <si>
    <t>degToMicros offset</t>
  </si>
  <si>
    <t>motorKpSteer calibration</t>
  </si>
  <si>
    <t>exponential:</t>
  </si>
  <si>
    <t>linear:</t>
  </si>
  <si>
    <t>speed</t>
  </si>
  <si>
    <t>steering</t>
  </si>
  <si>
    <t>KpSteerBase</t>
  </si>
  <si>
    <t>Notes: I think I implemented the last calibration wrong. Instead of doing (ADCval-ADCmid)+offset, I was doing ADCval-(ADCmid+offset), which inverts the offset</t>
  </si>
  <si>
    <t>Notes: I think I'm still doing the calibration math wrong somehow</t>
  </si>
  <si>
    <t>PWM recalib</t>
  </si>
  <si>
    <t>ADC recalib</t>
  </si>
  <si>
    <t>ADCval</t>
  </si>
  <si>
    <t>PWMval</t>
  </si>
  <si>
    <t>c</t>
  </si>
  <si>
    <t>ax^2</t>
  </si>
  <si>
    <t>bx</t>
  </si>
  <si>
    <t>angle</t>
  </si>
  <si>
    <t>2nd order polynomial</t>
  </si>
  <si>
    <t>error</t>
  </si>
  <si>
    <t>avg error:</t>
  </si>
  <si>
    <t>max 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</si>
</sst>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 ADC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351598173515979"/>
                  <c:y val="0.14312826292277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Sheet2!$F$5:$F$8</c:f>
              <c:numCache>
                <c:formatCode>General</c:formatCode>
                <c:ptCount val="4"/>
                <c:pt idx="0">
                  <c:v>-25.7</c:v>
                </c:pt>
                <c:pt idx="1">
                  <c:v>-17.2</c:v>
                </c:pt>
                <c:pt idx="2">
                  <c:v>-12.8</c:v>
                </c:pt>
                <c:pt idx="3">
                  <c:v>0</c:v>
                </c:pt>
              </c:numCache>
            </c:numRef>
          </c:xVal>
          <c:yVal>
            <c:numRef>
              <c:f>Sheet2!$J$5:$J$8</c:f>
              <c:numCache>
                <c:formatCode>General</c:formatCode>
                <c:ptCount val="4"/>
                <c:pt idx="0">
                  <c:v>-20.64699082497037</c:v>
                </c:pt>
                <c:pt idx="1">
                  <c:v>-14.1670555226312</c:v>
                </c:pt>
                <c:pt idx="2">
                  <c:v>-10.520784313874362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51-463C-81F6-B05571C76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263423"/>
        <c:axId val="1559521999"/>
      </c:scatterChart>
      <c:valAx>
        <c:axId val="166426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9521999"/>
        <c:crosses val="autoZero"/>
        <c:crossBetween val="midCat"/>
      </c:valAx>
      <c:valAx>
        <c:axId val="155952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6426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</a:t>
            </a:r>
            <a:r>
              <a:rPr lang="en-US" baseline="0"/>
              <a:t> turn ADC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Sheet2!$F$9:$F$12</c:f>
              <c:numCache>
                <c:formatCode>General</c:formatCode>
                <c:ptCount val="4"/>
                <c:pt idx="0">
                  <c:v>26.1</c:v>
                </c:pt>
                <c:pt idx="1">
                  <c:v>17.3</c:v>
                </c:pt>
                <c:pt idx="2">
                  <c:v>12.9</c:v>
                </c:pt>
                <c:pt idx="3">
                  <c:v>0</c:v>
                </c:pt>
              </c:numCache>
            </c:numRef>
          </c:xVal>
          <c:yVal>
            <c:numRef>
              <c:f>Sheet2!$J$9:$J$12</c:f>
              <c:numCache>
                <c:formatCode>General</c:formatCode>
                <c:ptCount val="4"/>
                <c:pt idx="0">
                  <c:v>25.709953780811265</c:v>
                </c:pt>
                <c:pt idx="1">
                  <c:v>17.393322146912038</c:v>
                </c:pt>
                <c:pt idx="2">
                  <c:v>12.847704858717666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7-4A97-AC6A-F7CB8F2E0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18015"/>
        <c:axId val="1559516591"/>
      </c:scatterChart>
      <c:valAx>
        <c:axId val="156171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9516591"/>
        <c:crosses val="autoZero"/>
        <c:crossBetween val="midCat"/>
      </c:valAx>
      <c:valAx>
        <c:axId val="155951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6171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 PWM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Sheet2!$D$5:$D$8</c:f>
              <c:numCache>
                <c:formatCode>General</c:formatCode>
                <c:ptCount val="4"/>
                <c:pt idx="0">
                  <c:v>-30</c:v>
                </c:pt>
                <c:pt idx="1">
                  <c:v>-20</c:v>
                </c:pt>
                <c:pt idx="2">
                  <c:v>-15</c:v>
                </c:pt>
                <c:pt idx="3">
                  <c:v>0</c:v>
                </c:pt>
              </c:numCache>
            </c:numRef>
          </c:xVal>
          <c:yVal>
            <c:numRef>
              <c:f>Sheet2!$J$5:$J$8</c:f>
              <c:numCache>
                <c:formatCode>General</c:formatCode>
                <c:ptCount val="4"/>
                <c:pt idx="0">
                  <c:v>-20.64699082497037</c:v>
                </c:pt>
                <c:pt idx="1">
                  <c:v>-14.1670555226312</c:v>
                </c:pt>
                <c:pt idx="2">
                  <c:v>-10.520784313874362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A-4EB8-93A1-17C085788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39999"/>
        <c:axId val="1559522415"/>
      </c:scatterChart>
      <c:valAx>
        <c:axId val="155603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9522415"/>
        <c:crosses val="autoZero"/>
        <c:crossBetween val="midCat"/>
      </c:valAx>
      <c:valAx>
        <c:axId val="15595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03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turn</a:t>
            </a:r>
            <a:r>
              <a:rPr lang="en-US" baseline="0"/>
              <a:t> PWM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Sheet2!$D$9:$D$12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15</c:v>
                </c:pt>
                <c:pt idx="3">
                  <c:v>0</c:v>
                </c:pt>
              </c:numCache>
            </c:numRef>
          </c:xVal>
          <c:yVal>
            <c:numRef>
              <c:f>Sheet2!$J$9:$J$12</c:f>
              <c:numCache>
                <c:formatCode>General</c:formatCode>
                <c:ptCount val="4"/>
                <c:pt idx="0">
                  <c:v>25.709953780811265</c:v>
                </c:pt>
                <c:pt idx="1">
                  <c:v>17.393322146912038</c:v>
                </c:pt>
                <c:pt idx="2">
                  <c:v>12.847704858717666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72-47AA-941A-3020851D5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110847"/>
        <c:axId val="1793194143"/>
      </c:scatterChart>
      <c:valAx>
        <c:axId val="155611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3194143"/>
        <c:crosses val="autoZero"/>
        <c:crossBetween val="midCat"/>
      </c:valAx>
      <c:valAx>
        <c:axId val="17931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11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 PWM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57044101881631"/>
                  <c:y val="0.165885297514870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Sheet4!$D$7:$D$10</c:f>
              <c:numCache>
                <c:formatCode>General</c:formatCode>
                <c:ptCount val="4"/>
                <c:pt idx="0">
                  <c:v>-24</c:v>
                </c:pt>
                <c:pt idx="1">
                  <c:v>-16</c:v>
                </c:pt>
                <c:pt idx="2">
                  <c:v>-8</c:v>
                </c:pt>
                <c:pt idx="3">
                  <c:v>0</c:v>
                </c:pt>
              </c:numCache>
            </c:numRef>
          </c:xVal>
          <c:yVal>
            <c:numRef>
              <c:f>Sheet4!$J$7:$J$10</c:f>
              <c:numCache>
                <c:formatCode>General</c:formatCode>
                <c:ptCount val="4"/>
                <c:pt idx="0">
                  <c:v>-24.145541960421657</c:v>
                </c:pt>
                <c:pt idx="1">
                  <c:v>-16.284922471883405</c:v>
                </c:pt>
                <c:pt idx="2">
                  <c:v>-7.4069121284952297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E2-477B-B145-508BF10DE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39999"/>
        <c:axId val="1559522415"/>
      </c:scatterChart>
      <c:valAx>
        <c:axId val="155603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9522415"/>
        <c:crosses val="autoZero"/>
        <c:crossBetween val="midCat"/>
      </c:valAx>
      <c:valAx>
        <c:axId val="15595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03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turn</a:t>
            </a:r>
            <a:r>
              <a:rPr lang="en-US" baseline="0"/>
              <a:t> PWM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Sheet4!$D$11:$D$14</c:f>
              <c:numCache>
                <c:formatCode>General</c:formatCode>
                <c:ptCount val="4"/>
                <c:pt idx="0">
                  <c:v>24</c:v>
                </c:pt>
                <c:pt idx="1">
                  <c:v>16</c:v>
                </c:pt>
                <c:pt idx="2">
                  <c:v>8</c:v>
                </c:pt>
                <c:pt idx="3">
                  <c:v>0</c:v>
                </c:pt>
              </c:numCache>
            </c:numRef>
          </c:xVal>
          <c:yVal>
            <c:numRef>
              <c:f>Sheet4!$J$11:$J$14</c:f>
              <c:numCache>
                <c:formatCode>General</c:formatCode>
                <c:ptCount val="4"/>
                <c:pt idx="0">
                  <c:v>25.301378625419723</c:v>
                </c:pt>
                <c:pt idx="1">
                  <c:v>17.007946955407327</c:v>
                </c:pt>
                <c:pt idx="2">
                  <c:v>7.7118924126588828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5E-463B-87E4-E74BB121A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110847"/>
        <c:axId val="1793194143"/>
      </c:scatterChart>
      <c:valAx>
        <c:axId val="155611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3194143"/>
        <c:crosses val="autoZero"/>
        <c:crossBetween val="midCat"/>
      </c:valAx>
      <c:valAx>
        <c:axId val="17931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11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 ADC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443680455436029"/>
                  <c:y val="0.14492351354550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Sheet4!$F$7:$F$10</c:f>
              <c:numCache>
                <c:formatCode>General</c:formatCode>
                <c:ptCount val="4"/>
                <c:pt idx="0">
                  <c:v>-23.9</c:v>
                </c:pt>
                <c:pt idx="1">
                  <c:v>-15.9</c:v>
                </c:pt>
                <c:pt idx="2">
                  <c:v>-7.9</c:v>
                </c:pt>
                <c:pt idx="3">
                  <c:v>0</c:v>
                </c:pt>
              </c:numCache>
            </c:numRef>
          </c:xVal>
          <c:yVal>
            <c:numRef>
              <c:f>Sheet4!$J$7:$J$10</c:f>
              <c:numCache>
                <c:formatCode>General</c:formatCode>
                <c:ptCount val="4"/>
                <c:pt idx="0">
                  <c:v>-24.145541960421657</c:v>
                </c:pt>
                <c:pt idx="1">
                  <c:v>-16.284922471883405</c:v>
                </c:pt>
                <c:pt idx="2">
                  <c:v>-7.4069121284952297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29-48E3-9726-E63E7BC6B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39999"/>
        <c:axId val="1559522415"/>
      </c:scatterChart>
      <c:valAx>
        <c:axId val="155603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9522415"/>
        <c:crosses val="autoZero"/>
        <c:crossBetween val="midCat"/>
      </c:valAx>
      <c:valAx>
        <c:axId val="15595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03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turn</a:t>
            </a:r>
            <a:r>
              <a:rPr lang="en-US" baseline="0"/>
              <a:t> ADC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Sheet4!$F$11:$F$14</c:f>
              <c:numCache>
                <c:formatCode>General</c:formatCode>
                <c:ptCount val="4"/>
                <c:pt idx="0">
                  <c:v>23.7</c:v>
                </c:pt>
                <c:pt idx="1">
                  <c:v>15.7</c:v>
                </c:pt>
                <c:pt idx="2">
                  <c:v>7.6</c:v>
                </c:pt>
                <c:pt idx="3">
                  <c:v>0</c:v>
                </c:pt>
              </c:numCache>
            </c:numRef>
          </c:xVal>
          <c:yVal>
            <c:numRef>
              <c:f>Sheet4!$J$11:$J$14</c:f>
              <c:numCache>
                <c:formatCode>General</c:formatCode>
                <c:ptCount val="4"/>
                <c:pt idx="0">
                  <c:v>25.301378625419723</c:v>
                </c:pt>
                <c:pt idx="1">
                  <c:v>17.007946955407327</c:v>
                </c:pt>
                <c:pt idx="2">
                  <c:v>7.7118924126588828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A8-4AE9-8281-EF4AA515D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110847"/>
        <c:axId val="1793194143"/>
      </c:scatterChart>
      <c:valAx>
        <c:axId val="155611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3194143"/>
        <c:crosses val="autoZero"/>
        <c:crossBetween val="midCat"/>
      </c:valAx>
      <c:valAx>
        <c:axId val="17931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11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turn ADC recalib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Sheet4!$G$11:$G$14</c:f>
              <c:numCache>
                <c:formatCode>General</c:formatCode>
                <c:ptCount val="4"/>
                <c:pt idx="0">
                  <c:v>962.70780000000002</c:v>
                </c:pt>
                <c:pt idx="1">
                  <c:v>638.75580000000002</c:v>
                </c:pt>
                <c:pt idx="2">
                  <c:v>310.75439999999998</c:v>
                </c:pt>
                <c:pt idx="3">
                  <c:v>0</c:v>
                </c:pt>
              </c:numCache>
            </c:numRef>
          </c:xVal>
          <c:yVal>
            <c:numRef>
              <c:f>Sheet4!$J$11:$J$14</c:f>
              <c:numCache>
                <c:formatCode>General</c:formatCode>
                <c:ptCount val="4"/>
                <c:pt idx="0">
                  <c:v>25.301378625419723</c:v>
                </c:pt>
                <c:pt idx="1">
                  <c:v>17.007946955407327</c:v>
                </c:pt>
                <c:pt idx="2">
                  <c:v>7.7118924126588828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7F-416D-A33E-563696C91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578112"/>
        <c:axId val="1656553568"/>
      </c:scatterChart>
      <c:valAx>
        <c:axId val="177457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56553568"/>
        <c:crosses val="autoZero"/>
        <c:crossBetween val="midCat"/>
      </c:valAx>
      <c:valAx>
        <c:axId val="16565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7457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 PWM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57044101881631"/>
                  <c:y val="0.165885297514870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Sheet5!$D$7:$D$10</c:f>
              <c:numCache>
                <c:formatCode>General</c:formatCode>
                <c:ptCount val="4"/>
                <c:pt idx="0">
                  <c:v>-24</c:v>
                </c:pt>
                <c:pt idx="1">
                  <c:v>-16</c:v>
                </c:pt>
                <c:pt idx="2">
                  <c:v>-8</c:v>
                </c:pt>
                <c:pt idx="3">
                  <c:v>0</c:v>
                </c:pt>
              </c:numCache>
            </c:numRef>
          </c:xVal>
          <c:yVal>
            <c:numRef>
              <c:f>Sheet5!$J$7:$J$10</c:f>
              <c:numCache>
                <c:formatCode>General</c:formatCode>
                <c:ptCount val="4"/>
                <c:pt idx="0">
                  <c:v>-23.782030423221379</c:v>
                </c:pt>
                <c:pt idx="1">
                  <c:v>-16.113418233089295</c:v>
                </c:pt>
                <c:pt idx="2">
                  <c:v>-7.8327955662346449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F3-4A75-A2DD-6B5E7D308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39999"/>
        <c:axId val="1559522415"/>
      </c:scatterChart>
      <c:valAx>
        <c:axId val="155603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9522415"/>
        <c:crosses val="autoZero"/>
        <c:crossBetween val="midCat"/>
      </c:valAx>
      <c:valAx>
        <c:axId val="15595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03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turn</a:t>
            </a:r>
            <a:r>
              <a:rPr lang="en-US" baseline="0"/>
              <a:t> PWM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Sheet5!$D$11:$D$14</c:f>
              <c:numCache>
                <c:formatCode>General</c:formatCode>
                <c:ptCount val="4"/>
                <c:pt idx="0">
                  <c:v>24</c:v>
                </c:pt>
                <c:pt idx="1">
                  <c:v>16</c:v>
                </c:pt>
                <c:pt idx="2">
                  <c:v>8</c:v>
                </c:pt>
                <c:pt idx="3">
                  <c:v>0</c:v>
                </c:pt>
              </c:numCache>
            </c:numRef>
          </c:xVal>
          <c:yVal>
            <c:numRef>
              <c:f>Sheet5!$J$11:$J$14</c:f>
              <c:numCache>
                <c:formatCode>General</c:formatCode>
                <c:ptCount val="4"/>
                <c:pt idx="0">
                  <c:v>24.904768808095184</c:v>
                </c:pt>
                <c:pt idx="1">
                  <c:v>16.113418233089295</c:v>
                </c:pt>
                <c:pt idx="2">
                  <c:v>7.672411599779549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8F-4CC0-92D0-EB0041C85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110847"/>
        <c:axId val="1793194143"/>
      </c:scatterChart>
      <c:valAx>
        <c:axId val="155611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3194143"/>
        <c:crosses val="autoZero"/>
        <c:crossBetween val="midCat"/>
      </c:valAx>
      <c:valAx>
        <c:axId val="17931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11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 ADC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443680455436029"/>
                  <c:y val="0.14492351354550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Sheet5!$F$7:$F$10</c:f>
              <c:numCache>
                <c:formatCode>General</c:formatCode>
                <c:ptCount val="4"/>
                <c:pt idx="0">
                  <c:v>-24.4</c:v>
                </c:pt>
                <c:pt idx="1">
                  <c:v>-16.2</c:v>
                </c:pt>
                <c:pt idx="2">
                  <c:v>-8</c:v>
                </c:pt>
                <c:pt idx="3">
                  <c:v>0</c:v>
                </c:pt>
              </c:numCache>
            </c:numRef>
          </c:xVal>
          <c:yVal>
            <c:numRef>
              <c:f>Sheet5!$J$7:$J$10</c:f>
              <c:numCache>
                <c:formatCode>General</c:formatCode>
                <c:ptCount val="4"/>
                <c:pt idx="0">
                  <c:v>-23.782030423221379</c:v>
                </c:pt>
                <c:pt idx="1">
                  <c:v>-16.113418233089295</c:v>
                </c:pt>
                <c:pt idx="2">
                  <c:v>-7.8327955662346449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16-440C-AFA8-E12E62AEE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39999"/>
        <c:axId val="1559522415"/>
      </c:scatterChart>
      <c:valAx>
        <c:axId val="155603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9522415"/>
        <c:crosses val="autoZero"/>
        <c:crossBetween val="midCat"/>
      </c:valAx>
      <c:valAx>
        <c:axId val="15595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03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turn</a:t>
            </a:r>
            <a:r>
              <a:rPr lang="en-US" baseline="0"/>
              <a:t> ADC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0276155994970082"/>
          <c:y val="0.19615905919411672"/>
          <c:w val="0.83052890092918452"/>
          <c:h val="0.764697202378521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Sheet5!$F$11:$F$14</c:f>
              <c:numCache>
                <c:formatCode>General</c:formatCode>
                <c:ptCount val="4"/>
                <c:pt idx="0">
                  <c:v>24.2</c:v>
                </c:pt>
                <c:pt idx="1">
                  <c:v>16.2</c:v>
                </c:pt>
                <c:pt idx="2">
                  <c:v>8.1</c:v>
                </c:pt>
                <c:pt idx="3">
                  <c:v>0</c:v>
                </c:pt>
              </c:numCache>
            </c:numRef>
          </c:xVal>
          <c:yVal>
            <c:numRef>
              <c:f>Sheet5!$J$11:$J$14</c:f>
              <c:numCache>
                <c:formatCode>General</c:formatCode>
                <c:ptCount val="4"/>
                <c:pt idx="0">
                  <c:v>24.904768808095184</c:v>
                </c:pt>
                <c:pt idx="1">
                  <c:v>16.113418233089295</c:v>
                </c:pt>
                <c:pt idx="2">
                  <c:v>7.672411599779549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F-400D-9DDF-BA30E5E38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110847"/>
        <c:axId val="1793194143"/>
      </c:scatterChart>
      <c:valAx>
        <c:axId val="155611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3194143"/>
        <c:crosses val="autoZero"/>
        <c:crossBetween val="midCat"/>
      </c:valAx>
      <c:valAx>
        <c:axId val="17931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11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turn ADC</a:t>
            </a:r>
            <a:r>
              <a:rPr lang="en-US" baseline="0"/>
              <a:t> recalib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Sheet5!$G$11:$G$14</c:f>
              <c:numCache>
                <c:formatCode>General</c:formatCode>
                <c:ptCount val="4"/>
                <c:pt idx="0">
                  <c:v>916.74279999999999</c:v>
                </c:pt>
                <c:pt idx="1">
                  <c:v>615.67079999999999</c:v>
                </c:pt>
                <c:pt idx="2">
                  <c:v>310.83539999999999</c:v>
                </c:pt>
                <c:pt idx="3">
                  <c:v>0</c:v>
                </c:pt>
              </c:numCache>
            </c:numRef>
          </c:xVal>
          <c:yVal>
            <c:numRef>
              <c:f>Sheet5!$J$11:$J$14</c:f>
              <c:numCache>
                <c:formatCode>General</c:formatCode>
                <c:ptCount val="4"/>
                <c:pt idx="0">
                  <c:v>24.904768808095184</c:v>
                </c:pt>
                <c:pt idx="1">
                  <c:v>16.113418233089295</c:v>
                </c:pt>
                <c:pt idx="2">
                  <c:v>7.672411599779549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43-4DDC-9EAA-560ADDAF9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570320"/>
        <c:axId val="1656560224"/>
      </c:scatterChart>
      <c:valAx>
        <c:axId val="188557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56560224"/>
        <c:crosses val="autoZero"/>
        <c:crossBetween val="midCat"/>
      </c:valAx>
      <c:valAx>
        <c:axId val="165656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8557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 ADC recalib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9062510936132983"/>
                  <c:y val="0.198717556138815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Sheet5!$G$7:$G$10</c:f>
              <c:numCache>
                <c:formatCode>General</c:formatCode>
                <c:ptCount val="4"/>
                <c:pt idx="0">
                  <c:v>-1194.9623999999999</c:v>
                </c:pt>
                <c:pt idx="1">
                  <c:v>-796.0652</c:v>
                </c:pt>
                <c:pt idx="2">
                  <c:v>-397.16800000000001</c:v>
                </c:pt>
                <c:pt idx="3">
                  <c:v>0</c:v>
                </c:pt>
              </c:numCache>
            </c:numRef>
          </c:xVal>
          <c:yVal>
            <c:numRef>
              <c:f>Sheet5!$J$7:$J$10</c:f>
              <c:numCache>
                <c:formatCode>General</c:formatCode>
                <c:ptCount val="4"/>
                <c:pt idx="0">
                  <c:v>-23.782030423221379</c:v>
                </c:pt>
                <c:pt idx="1">
                  <c:v>-16.113418233089295</c:v>
                </c:pt>
                <c:pt idx="2">
                  <c:v>-7.8327955662346449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E2-4728-8CD6-18A022E0E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166160"/>
        <c:axId val="1781300688"/>
      </c:scatterChart>
      <c:valAx>
        <c:axId val="177516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81300688"/>
        <c:crosses val="autoZero"/>
        <c:crossBetween val="midCat"/>
      </c:valAx>
      <c:valAx>
        <c:axId val="178130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7516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 turn PWM recalib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362510936132982"/>
                  <c:y val="0.149569845435987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Sheet5!$J$7:$J$10</c:f>
              <c:numCache>
                <c:formatCode>General</c:formatCode>
                <c:ptCount val="4"/>
                <c:pt idx="0">
                  <c:v>-23.782030423221379</c:v>
                </c:pt>
                <c:pt idx="1">
                  <c:v>-16.113418233089295</c:v>
                </c:pt>
                <c:pt idx="2">
                  <c:v>-7.8327955662346449</c:v>
                </c:pt>
                <c:pt idx="3">
                  <c:v>0</c:v>
                </c:pt>
              </c:numCache>
            </c:numRef>
          </c:xVal>
          <c:yVal>
            <c:numRef>
              <c:f>Sheet5!$E$7:$E$10</c:f>
              <c:numCache>
                <c:formatCode>General</c:formatCode>
                <c:ptCount val="4"/>
                <c:pt idx="0">
                  <c:v>-690.32247800000005</c:v>
                </c:pt>
                <c:pt idx="1">
                  <c:v>-462.47447800000003</c:v>
                </c:pt>
                <c:pt idx="2">
                  <c:v>-234.62647799999999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1-461B-A93A-EA659687C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066592"/>
        <c:axId val="1656569376"/>
      </c:scatterChart>
      <c:valAx>
        <c:axId val="196506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56569376"/>
        <c:crosses val="autoZero"/>
        <c:crossBetween val="midCat"/>
      </c:valAx>
      <c:valAx>
        <c:axId val="16565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6506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</a:t>
            </a:r>
            <a:r>
              <a:rPr lang="en-US" baseline="0"/>
              <a:t> turn PWM recalib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Sheet5!$J$11:$J$14</c:f>
              <c:numCache>
                <c:formatCode>General</c:formatCode>
                <c:ptCount val="4"/>
                <c:pt idx="0">
                  <c:v>24.904768808095184</c:v>
                </c:pt>
                <c:pt idx="1">
                  <c:v>16.113418233089295</c:v>
                </c:pt>
                <c:pt idx="2">
                  <c:v>7.672411599779549</c:v>
                </c:pt>
                <c:pt idx="3">
                  <c:v>0</c:v>
                </c:pt>
              </c:numCache>
            </c:numRef>
          </c:xVal>
          <c:yVal>
            <c:numRef>
              <c:f>Sheet5!$E$11:$E$14</c:f>
              <c:numCache>
                <c:formatCode>General</c:formatCode>
                <c:ptCount val="4"/>
                <c:pt idx="0">
                  <c:v>530.70004999999992</c:v>
                </c:pt>
                <c:pt idx="1">
                  <c:v>355.80404999999996</c:v>
                </c:pt>
                <c:pt idx="2">
                  <c:v>180.90805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4-479B-A4B5-85000E899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158464"/>
        <c:axId val="1657107792"/>
      </c:scatterChart>
      <c:valAx>
        <c:axId val="196815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57107792"/>
        <c:crosses val="autoZero"/>
        <c:crossBetween val="midCat"/>
      </c:valAx>
      <c:valAx>
        <c:axId val="165710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6815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 PWM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57044101881631"/>
                  <c:y val="0.165885297514870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Sheet5!$D$7:$D$10</c:f>
              <c:numCache>
                <c:formatCode>General</c:formatCode>
                <c:ptCount val="4"/>
                <c:pt idx="0">
                  <c:v>-24</c:v>
                </c:pt>
                <c:pt idx="1">
                  <c:v>-16</c:v>
                </c:pt>
                <c:pt idx="2">
                  <c:v>-8</c:v>
                </c:pt>
                <c:pt idx="3">
                  <c:v>0</c:v>
                </c:pt>
              </c:numCache>
            </c:numRef>
          </c:xVal>
          <c:yVal>
            <c:numRef>
              <c:f>Sheet5!$J$7:$J$10</c:f>
              <c:numCache>
                <c:formatCode>General</c:formatCode>
                <c:ptCount val="4"/>
                <c:pt idx="0">
                  <c:v>-23.782030423221379</c:v>
                </c:pt>
                <c:pt idx="1">
                  <c:v>-16.113418233089295</c:v>
                </c:pt>
                <c:pt idx="2">
                  <c:v>-7.8327955662346449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8B-4BDA-940E-174FF8AC2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39999"/>
        <c:axId val="1559522415"/>
      </c:scatterChart>
      <c:valAx>
        <c:axId val="155603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9522415"/>
        <c:crosses val="autoZero"/>
        <c:crossBetween val="midCat"/>
      </c:valAx>
      <c:valAx>
        <c:axId val="15595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03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turn</a:t>
            </a:r>
            <a:r>
              <a:rPr lang="en-US" baseline="0"/>
              <a:t> PWM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Sheet5!$D$11:$D$14</c:f>
              <c:numCache>
                <c:formatCode>General</c:formatCode>
                <c:ptCount val="4"/>
                <c:pt idx="0">
                  <c:v>24</c:v>
                </c:pt>
                <c:pt idx="1">
                  <c:v>16</c:v>
                </c:pt>
                <c:pt idx="2">
                  <c:v>8</c:v>
                </c:pt>
                <c:pt idx="3">
                  <c:v>0</c:v>
                </c:pt>
              </c:numCache>
            </c:numRef>
          </c:xVal>
          <c:yVal>
            <c:numRef>
              <c:f>Sheet5!$J$11:$J$14</c:f>
              <c:numCache>
                <c:formatCode>General</c:formatCode>
                <c:ptCount val="4"/>
                <c:pt idx="0">
                  <c:v>24.904768808095184</c:v>
                </c:pt>
                <c:pt idx="1">
                  <c:v>16.113418233089295</c:v>
                </c:pt>
                <c:pt idx="2">
                  <c:v>7.672411599779549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42-4742-A807-4307F6BBF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110847"/>
        <c:axId val="1793194143"/>
      </c:scatterChart>
      <c:valAx>
        <c:axId val="155611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3194143"/>
        <c:crosses val="autoZero"/>
        <c:crossBetween val="midCat"/>
      </c:valAx>
      <c:valAx>
        <c:axId val="17931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11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 ADC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443680455436029"/>
                  <c:y val="0.14492351354550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Sheet5!$F$7:$F$10</c:f>
              <c:numCache>
                <c:formatCode>General</c:formatCode>
                <c:ptCount val="4"/>
                <c:pt idx="0">
                  <c:v>-24.4</c:v>
                </c:pt>
                <c:pt idx="1">
                  <c:v>-16.2</c:v>
                </c:pt>
                <c:pt idx="2">
                  <c:v>-8</c:v>
                </c:pt>
                <c:pt idx="3">
                  <c:v>0</c:v>
                </c:pt>
              </c:numCache>
            </c:numRef>
          </c:xVal>
          <c:yVal>
            <c:numRef>
              <c:f>Sheet5!$J$7:$J$10</c:f>
              <c:numCache>
                <c:formatCode>General</c:formatCode>
                <c:ptCount val="4"/>
                <c:pt idx="0">
                  <c:v>-23.782030423221379</c:v>
                </c:pt>
                <c:pt idx="1">
                  <c:v>-16.113418233089295</c:v>
                </c:pt>
                <c:pt idx="2">
                  <c:v>-7.8327955662346449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F5-4579-80E3-177F4F037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39999"/>
        <c:axId val="1559522415"/>
      </c:scatterChart>
      <c:valAx>
        <c:axId val="155603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9522415"/>
        <c:crosses val="autoZero"/>
        <c:crossBetween val="midCat"/>
      </c:valAx>
      <c:valAx>
        <c:axId val="15595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03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turn</a:t>
            </a:r>
            <a:r>
              <a:rPr lang="en-US" baseline="0"/>
              <a:t> ADC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0276155994970082"/>
          <c:y val="0.19615905919411672"/>
          <c:w val="0.83052890092918452"/>
          <c:h val="0.764697202378521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Sheet5!$F$11:$F$14</c:f>
              <c:numCache>
                <c:formatCode>General</c:formatCode>
                <c:ptCount val="4"/>
                <c:pt idx="0">
                  <c:v>24.2</c:v>
                </c:pt>
                <c:pt idx="1">
                  <c:v>16.2</c:v>
                </c:pt>
                <c:pt idx="2">
                  <c:v>8.1</c:v>
                </c:pt>
                <c:pt idx="3">
                  <c:v>0</c:v>
                </c:pt>
              </c:numCache>
            </c:numRef>
          </c:xVal>
          <c:yVal>
            <c:numRef>
              <c:f>Sheet5!$J$11:$J$14</c:f>
              <c:numCache>
                <c:formatCode>General</c:formatCode>
                <c:ptCount val="4"/>
                <c:pt idx="0">
                  <c:v>24.904768808095184</c:v>
                </c:pt>
                <c:pt idx="1">
                  <c:v>16.113418233089295</c:v>
                </c:pt>
                <c:pt idx="2">
                  <c:v>7.672411599779549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4D-49DF-B712-9298D602C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110847"/>
        <c:axId val="1793194143"/>
      </c:scatterChart>
      <c:valAx>
        <c:axId val="155611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3194143"/>
        <c:crosses val="autoZero"/>
        <c:crossBetween val="midCat"/>
      </c:valAx>
      <c:valAx>
        <c:axId val="17931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611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turn ADC</a:t>
            </a:r>
            <a:r>
              <a:rPr lang="en-US" baseline="0"/>
              <a:t> recalib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Sheet5!$G$11:$G$14</c:f>
              <c:numCache>
                <c:formatCode>General</c:formatCode>
                <c:ptCount val="4"/>
                <c:pt idx="0">
                  <c:v>916.74279999999999</c:v>
                </c:pt>
                <c:pt idx="1">
                  <c:v>615.67079999999999</c:v>
                </c:pt>
                <c:pt idx="2">
                  <c:v>310.83539999999999</c:v>
                </c:pt>
                <c:pt idx="3">
                  <c:v>0</c:v>
                </c:pt>
              </c:numCache>
            </c:numRef>
          </c:xVal>
          <c:yVal>
            <c:numRef>
              <c:f>Sheet5!$J$11:$J$14</c:f>
              <c:numCache>
                <c:formatCode>General</c:formatCode>
                <c:ptCount val="4"/>
                <c:pt idx="0">
                  <c:v>24.904768808095184</c:v>
                </c:pt>
                <c:pt idx="1">
                  <c:v>16.113418233089295</c:v>
                </c:pt>
                <c:pt idx="2">
                  <c:v>7.672411599779549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16-48EC-A12C-17FD11D5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570320"/>
        <c:axId val="1656560224"/>
      </c:scatterChart>
      <c:valAx>
        <c:axId val="188557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56560224"/>
        <c:crosses val="autoZero"/>
        <c:crossBetween val="midCat"/>
      </c:valAx>
      <c:valAx>
        <c:axId val="165656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8557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 ADC recalib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9062510936132983"/>
                  <c:y val="0.198717556138815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Sheet5!$G$7:$G$10</c:f>
              <c:numCache>
                <c:formatCode>General</c:formatCode>
                <c:ptCount val="4"/>
                <c:pt idx="0">
                  <c:v>-1194.9623999999999</c:v>
                </c:pt>
                <c:pt idx="1">
                  <c:v>-796.0652</c:v>
                </c:pt>
                <c:pt idx="2">
                  <c:v>-397.16800000000001</c:v>
                </c:pt>
                <c:pt idx="3">
                  <c:v>0</c:v>
                </c:pt>
              </c:numCache>
            </c:numRef>
          </c:xVal>
          <c:yVal>
            <c:numRef>
              <c:f>Sheet5!$J$7:$J$10</c:f>
              <c:numCache>
                <c:formatCode>General</c:formatCode>
                <c:ptCount val="4"/>
                <c:pt idx="0">
                  <c:v>-23.782030423221379</c:v>
                </c:pt>
                <c:pt idx="1">
                  <c:v>-16.113418233089295</c:v>
                </c:pt>
                <c:pt idx="2">
                  <c:v>-7.8327955662346449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FA-4998-8E6D-59A409EB8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166160"/>
        <c:axId val="1781300688"/>
      </c:scatterChart>
      <c:valAx>
        <c:axId val="177516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81300688"/>
        <c:crosses val="autoZero"/>
        <c:crossBetween val="midCat"/>
      </c:valAx>
      <c:valAx>
        <c:axId val="178130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7516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 turn PWM recalib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362510936132982"/>
                  <c:y val="0.149569845435987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Sheet5!$J$7:$J$10</c:f>
              <c:numCache>
                <c:formatCode>General</c:formatCode>
                <c:ptCount val="4"/>
                <c:pt idx="0">
                  <c:v>-23.782030423221379</c:v>
                </c:pt>
                <c:pt idx="1">
                  <c:v>-16.113418233089295</c:v>
                </c:pt>
                <c:pt idx="2">
                  <c:v>-7.8327955662346449</c:v>
                </c:pt>
                <c:pt idx="3">
                  <c:v>0</c:v>
                </c:pt>
              </c:numCache>
            </c:numRef>
          </c:xVal>
          <c:yVal>
            <c:numRef>
              <c:f>Sheet5!$E$7:$E$10</c:f>
              <c:numCache>
                <c:formatCode>General</c:formatCode>
                <c:ptCount val="4"/>
                <c:pt idx="0">
                  <c:v>-690.32247800000005</c:v>
                </c:pt>
                <c:pt idx="1">
                  <c:v>-462.47447800000003</c:v>
                </c:pt>
                <c:pt idx="2">
                  <c:v>-234.62647799999999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D5-45E2-96BF-DBF369056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066592"/>
        <c:axId val="1656569376"/>
      </c:scatterChart>
      <c:valAx>
        <c:axId val="196506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56569376"/>
        <c:crosses val="autoZero"/>
        <c:crossBetween val="midCat"/>
      </c:valAx>
      <c:valAx>
        <c:axId val="16565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6506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</a:t>
            </a:r>
            <a:r>
              <a:rPr lang="en-US" baseline="0"/>
              <a:t> turn PWM recalib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Sheet5!$J$11:$J$14</c:f>
              <c:numCache>
                <c:formatCode>General</c:formatCode>
                <c:ptCount val="4"/>
                <c:pt idx="0">
                  <c:v>24.904768808095184</c:v>
                </c:pt>
                <c:pt idx="1">
                  <c:v>16.113418233089295</c:v>
                </c:pt>
                <c:pt idx="2">
                  <c:v>7.672411599779549</c:v>
                </c:pt>
                <c:pt idx="3">
                  <c:v>0</c:v>
                </c:pt>
              </c:numCache>
            </c:numRef>
          </c:xVal>
          <c:yVal>
            <c:numRef>
              <c:f>Sheet5!$E$11:$E$14</c:f>
              <c:numCache>
                <c:formatCode>General</c:formatCode>
                <c:ptCount val="4"/>
                <c:pt idx="0">
                  <c:v>530.70004999999992</c:v>
                </c:pt>
                <c:pt idx="1">
                  <c:v>355.80404999999996</c:v>
                </c:pt>
                <c:pt idx="2">
                  <c:v>180.90805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26-46F6-A2B3-509B0A25C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158464"/>
        <c:axId val="1657107792"/>
      </c:scatterChart>
      <c:valAx>
        <c:axId val="196815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57107792"/>
        <c:crosses val="autoZero"/>
        <c:crossBetween val="midCat"/>
      </c:valAx>
      <c:valAx>
        <c:axId val="165710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6815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ADC value to steering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Sheet7!$F$4:$F$34</c:f>
              <c:numCache>
                <c:formatCode>General</c:formatCode>
                <c:ptCount val="31"/>
                <c:pt idx="0">
                  <c:v>-1040</c:v>
                </c:pt>
                <c:pt idx="1">
                  <c:v>-694</c:v>
                </c:pt>
                <c:pt idx="2">
                  <c:v>-522</c:v>
                </c:pt>
                <c:pt idx="3">
                  <c:v>0</c:v>
                </c:pt>
                <c:pt idx="4">
                  <c:v>862</c:v>
                </c:pt>
                <c:pt idx="5">
                  <c:v>688</c:v>
                </c:pt>
                <c:pt idx="6">
                  <c:v>508</c:v>
                </c:pt>
                <c:pt idx="7">
                  <c:v>-1028</c:v>
                </c:pt>
                <c:pt idx="8">
                  <c:v>-688</c:v>
                </c:pt>
                <c:pt idx="9">
                  <c:v>-512</c:v>
                </c:pt>
                <c:pt idx="10">
                  <c:v>0</c:v>
                </c:pt>
                <c:pt idx="11">
                  <c:v>1044</c:v>
                </c:pt>
                <c:pt idx="12">
                  <c:v>692</c:v>
                </c:pt>
                <c:pt idx="13">
                  <c:v>516</c:v>
                </c:pt>
                <c:pt idx="15">
                  <c:v>-1192.2526</c:v>
                </c:pt>
                <c:pt idx="16">
                  <c:v>-795.18060000000003</c:v>
                </c:pt>
                <c:pt idx="17">
                  <c:v>-398.10860000000002</c:v>
                </c:pt>
                <c:pt idx="18">
                  <c:v>0</c:v>
                </c:pt>
                <c:pt idx="19">
                  <c:v>962.70780000000002</c:v>
                </c:pt>
                <c:pt idx="20">
                  <c:v>638.75580000000002</c:v>
                </c:pt>
                <c:pt idx="21">
                  <c:v>310.75439999999998</c:v>
                </c:pt>
                <c:pt idx="22">
                  <c:v>-1194.9623999999999</c:v>
                </c:pt>
                <c:pt idx="23">
                  <c:v>-796.0652</c:v>
                </c:pt>
                <c:pt idx="24">
                  <c:v>-397.16800000000001</c:v>
                </c:pt>
                <c:pt idx="25">
                  <c:v>0</c:v>
                </c:pt>
                <c:pt idx="26">
                  <c:v>916.74279999999999</c:v>
                </c:pt>
                <c:pt idx="27">
                  <c:v>615.67079999999999</c:v>
                </c:pt>
                <c:pt idx="28">
                  <c:v>310.83539999999999</c:v>
                </c:pt>
                <c:pt idx="29">
                  <c:v>-1200</c:v>
                </c:pt>
                <c:pt idx="30">
                  <c:v>296.09050000000002</c:v>
                </c:pt>
              </c:numCache>
            </c:numRef>
          </c:xVal>
          <c:yVal>
            <c:numRef>
              <c:f>Sheet7!$G$4:$G$34</c:f>
              <c:numCache>
                <c:formatCode>General</c:formatCode>
                <c:ptCount val="31"/>
                <c:pt idx="0">
                  <c:v>-21.501434324047903</c:v>
                </c:pt>
                <c:pt idx="1">
                  <c:v>-15.154068050312599</c:v>
                </c:pt>
                <c:pt idx="2">
                  <c:v>-11.525816077530681</c:v>
                </c:pt>
                <c:pt idx="3">
                  <c:v>0</c:v>
                </c:pt>
                <c:pt idx="4">
                  <c:v>22.109448343751673</c:v>
                </c:pt>
                <c:pt idx="5">
                  <c:v>17.007946955407327</c:v>
                </c:pt>
                <c:pt idx="6">
                  <c:v>11.438494216779382</c:v>
                </c:pt>
                <c:pt idx="7">
                  <c:v>-20.64699082497037</c:v>
                </c:pt>
                <c:pt idx="8">
                  <c:v>-14.1670555226312</c:v>
                </c:pt>
                <c:pt idx="9">
                  <c:v>-10.520784313874362</c:v>
                </c:pt>
                <c:pt idx="10">
                  <c:v>0</c:v>
                </c:pt>
                <c:pt idx="11">
                  <c:v>25.709953780811265</c:v>
                </c:pt>
                <c:pt idx="12">
                  <c:v>17.393322146912038</c:v>
                </c:pt>
                <c:pt idx="13">
                  <c:v>12.847704858717666</c:v>
                </c:pt>
                <c:pt idx="15">
                  <c:v>-24.145541960421657</c:v>
                </c:pt>
                <c:pt idx="16">
                  <c:v>-16.284922471883405</c:v>
                </c:pt>
                <c:pt idx="17">
                  <c:v>-7.4069121284952297</c:v>
                </c:pt>
                <c:pt idx="18">
                  <c:v>0</c:v>
                </c:pt>
                <c:pt idx="19">
                  <c:v>25.301378625419723</c:v>
                </c:pt>
                <c:pt idx="20">
                  <c:v>17.007946955407327</c:v>
                </c:pt>
                <c:pt idx="21">
                  <c:v>7.7118924126588828</c:v>
                </c:pt>
                <c:pt idx="22">
                  <c:v>-23.782030423221379</c:v>
                </c:pt>
                <c:pt idx="23">
                  <c:v>-16.113418233089295</c:v>
                </c:pt>
                <c:pt idx="24">
                  <c:v>-7.8327955662346449</c:v>
                </c:pt>
                <c:pt idx="25">
                  <c:v>0</c:v>
                </c:pt>
                <c:pt idx="26">
                  <c:v>24.904768808095184</c:v>
                </c:pt>
                <c:pt idx="27">
                  <c:v>16.113418233089295</c:v>
                </c:pt>
                <c:pt idx="28">
                  <c:v>7.672411599779549</c:v>
                </c:pt>
                <c:pt idx="29">
                  <c:v>-23.962488974578186</c:v>
                </c:pt>
                <c:pt idx="30">
                  <c:v>7.3343788014167046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2C-4B17-B8F4-40C5DBAA0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417040"/>
        <c:axId val="243261968"/>
      </c:scatterChart>
      <c:valAx>
        <c:axId val="47741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43261968"/>
        <c:crosses val="autoZero"/>
        <c:crossBetween val="midCat"/>
      </c:valAx>
      <c:valAx>
        <c:axId val="2432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7741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steering angle to PWM value</a:t>
            </a:r>
          </a:p>
        </c:rich>
      </c:tx>
      <c:layout>
        <c:manualLayout>
          <c:xMode val="edge"/>
          <c:yMode val="edge"/>
          <c:x val="0.41328039481125578"/>
          <c:y val="8.275148020081243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Sheet7!$A$4:$A$32</c:f>
              <c:numCache>
                <c:formatCode>General</c:formatCode>
                <c:ptCount val="29"/>
                <c:pt idx="0">
                  <c:v>-21.501434324047903</c:v>
                </c:pt>
                <c:pt idx="1">
                  <c:v>-15.154068050312599</c:v>
                </c:pt>
                <c:pt idx="2">
                  <c:v>-11.525816077530681</c:v>
                </c:pt>
                <c:pt idx="3">
                  <c:v>0</c:v>
                </c:pt>
                <c:pt idx="4">
                  <c:v>22.109448343751673</c:v>
                </c:pt>
                <c:pt idx="5">
                  <c:v>17.007946955407327</c:v>
                </c:pt>
                <c:pt idx="6">
                  <c:v>11.438494216779382</c:v>
                </c:pt>
                <c:pt idx="7">
                  <c:v>-20.64699082497037</c:v>
                </c:pt>
                <c:pt idx="8">
                  <c:v>-14.1670555226312</c:v>
                </c:pt>
                <c:pt idx="9">
                  <c:v>-10.520784313874362</c:v>
                </c:pt>
                <c:pt idx="10">
                  <c:v>0</c:v>
                </c:pt>
                <c:pt idx="11">
                  <c:v>25.709953780811265</c:v>
                </c:pt>
                <c:pt idx="12">
                  <c:v>17.393322146912038</c:v>
                </c:pt>
                <c:pt idx="13">
                  <c:v>12.847704858717666</c:v>
                </c:pt>
                <c:pt idx="15">
                  <c:v>-24.145541960421657</c:v>
                </c:pt>
                <c:pt idx="16">
                  <c:v>-16.284922471883405</c:v>
                </c:pt>
                <c:pt idx="17">
                  <c:v>-7.4069121284952297</c:v>
                </c:pt>
                <c:pt idx="18">
                  <c:v>0</c:v>
                </c:pt>
                <c:pt idx="19">
                  <c:v>25.301378625419723</c:v>
                </c:pt>
                <c:pt idx="20">
                  <c:v>17.007946955407327</c:v>
                </c:pt>
                <c:pt idx="21">
                  <c:v>7.7118924126588828</c:v>
                </c:pt>
                <c:pt idx="22">
                  <c:v>-23.782030423221379</c:v>
                </c:pt>
                <c:pt idx="23">
                  <c:v>-16.113418233089295</c:v>
                </c:pt>
                <c:pt idx="24">
                  <c:v>-7.8327955662346449</c:v>
                </c:pt>
                <c:pt idx="25">
                  <c:v>0</c:v>
                </c:pt>
                <c:pt idx="26">
                  <c:v>24.904768808095184</c:v>
                </c:pt>
                <c:pt idx="27">
                  <c:v>16.113418233089295</c:v>
                </c:pt>
                <c:pt idx="28">
                  <c:v>7.672411599779549</c:v>
                </c:pt>
              </c:numCache>
            </c:numRef>
          </c:xVal>
          <c:yVal>
            <c:numRef>
              <c:f>Sheet7!$B$4:$B$32</c:f>
              <c:numCache>
                <c:formatCode>General</c:formatCode>
                <c:ptCount val="29"/>
                <c:pt idx="0">
                  <c:v>-630</c:v>
                </c:pt>
                <c:pt idx="1">
                  <c:v>-430</c:v>
                </c:pt>
                <c:pt idx="2">
                  <c:v>-330</c:v>
                </c:pt>
                <c:pt idx="3">
                  <c:v>0</c:v>
                </c:pt>
                <c:pt idx="4">
                  <c:v>470</c:v>
                </c:pt>
                <c:pt idx="5">
                  <c:v>370</c:v>
                </c:pt>
                <c:pt idx="6">
                  <c:v>270</c:v>
                </c:pt>
                <c:pt idx="7">
                  <c:v>-600</c:v>
                </c:pt>
                <c:pt idx="8">
                  <c:v>-400</c:v>
                </c:pt>
                <c:pt idx="9">
                  <c:v>-300</c:v>
                </c:pt>
                <c:pt idx="10">
                  <c:v>0</c:v>
                </c:pt>
                <c:pt idx="11">
                  <c:v>600</c:v>
                </c:pt>
                <c:pt idx="12">
                  <c:v>400</c:v>
                </c:pt>
                <c:pt idx="13">
                  <c:v>300</c:v>
                </c:pt>
                <c:pt idx="15">
                  <c:v>-691.67774902301346</c:v>
                </c:pt>
                <c:pt idx="16">
                  <c:v>-460.09374902301346</c:v>
                </c:pt>
                <c:pt idx="17">
                  <c:v>-228.50974902301346</c:v>
                </c:pt>
                <c:pt idx="18">
                  <c:v>0</c:v>
                </c:pt>
                <c:pt idx="19">
                  <c:v>558.13309429569267</c:v>
                </c:pt>
                <c:pt idx="20">
                  <c:v>371.86909429569266</c:v>
                </c:pt>
                <c:pt idx="21">
                  <c:v>185.60509429569268</c:v>
                </c:pt>
                <c:pt idx="22">
                  <c:v>-690.32247800000005</c:v>
                </c:pt>
                <c:pt idx="23">
                  <c:v>-462.47447800000003</c:v>
                </c:pt>
                <c:pt idx="24">
                  <c:v>-234.62647799999999</c:v>
                </c:pt>
                <c:pt idx="25">
                  <c:v>0</c:v>
                </c:pt>
                <c:pt idx="26">
                  <c:v>530.70004999999992</c:v>
                </c:pt>
                <c:pt idx="27">
                  <c:v>355.80404999999996</c:v>
                </c:pt>
                <c:pt idx="28">
                  <c:v>180.90805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9D-468C-8F2D-D6DE988D3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53744"/>
        <c:axId val="437444064"/>
      </c:scatterChart>
      <c:valAx>
        <c:axId val="60285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7444064"/>
        <c:crosses val="autoZero"/>
        <c:crossBetween val="midCat"/>
      </c:valAx>
      <c:valAx>
        <c:axId val="4374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0285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Sheet8!$F$4:$F$10</c:f>
              <c:numCache>
                <c:formatCode>General</c:formatCode>
                <c:ptCount val="7"/>
                <c:pt idx="0">
                  <c:v>923.81519374881714</c:v>
                </c:pt>
                <c:pt idx="1">
                  <c:v>622.19665165922424</c:v>
                </c:pt>
                <c:pt idx="2">
                  <c:v>317.95699968414311</c:v>
                </c:pt>
                <c:pt idx="3">
                  <c:v>0</c:v>
                </c:pt>
                <c:pt idx="4">
                  <c:v>-382.95725165313644</c:v>
                </c:pt>
                <c:pt idx="5">
                  <c:v>-782.59326576850344</c:v>
                </c:pt>
                <c:pt idx="6">
                  <c:v>-1206.179036118838</c:v>
                </c:pt>
              </c:numCache>
            </c:numRef>
          </c:xVal>
          <c:yVal>
            <c:numRef>
              <c:f>Sheet8!$I$4:$I$10</c:f>
              <c:numCache>
                <c:formatCode>General</c:formatCode>
                <c:ptCount val="7"/>
                <c:pt idx="0">
                  <c:v>25.301378625419723</c:v>
                </c:pt>
                <c:pt idx="1">
                  <c:v>16.460014812040036</c:v>
                </c:pt>
                <c:pt idx="2">
                  <c:v>7.594643368591445</c:v>
                </c:pt>
                <c:pt idx="3">
                  <c:v>0</c:v>
                </c:pt>
                <c:pt idx="4">
                  <c:v>-7.2281899099778375</c:v>
                </c:pt>
                <c:pt idx="5">
                  <c:v>-15.780753309515388</c:v>
                </c:pt>
                <c:pt idx="6">
                  <c:v>-23.962488974578186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1-4EE8-BFB9-6E57FC520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295327"/>
        <c:axId val="1164514079"/>
      </c:scatterChart>
      <c:valAx>
        <c:axId val="16402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64514079"/>
        <c:crosses val="autoZero"/>
        <c:crossBetween val="midCat"/>
      </c:valAx>
      <c:valAx>
        <c:axId val="116451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4029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Sheet8!$I$4:$I$10</c:f>
              <c:numCache>
                <c:formatCode>General</c:formatCode>
                <c:ptCount val="7"/>
                <c:pt idx="0">
                  <c:v>25.301378625419723</c:v>
                </c:pt>
                <c:pt idx="1">
                  <c:v>16.460014812040036</c:v>
                </c:pt>
                <c:pt idx="2">
                  <c:v>7.594643368591445</c:v>
                </c:pt>
                <c:pt idx="3">
                  <c:v>0</c:v>
                </c:pt>
                <c:pt idx="4">
                  <c:v>-7.2281899099778375</c:v>
                </c:pt>
                <c:pt idx="5">
                  <c:v>-15.780753309515388</c:v>
                </c:pt>
                <c:pt idx="6">
                  <c:v>-23.962488974578186</c:v>
                </c:pt>
              </c:numCache>
            </c:numRef>
          </c:xVal>
          <c:yVal>
            <c:numRef>
              <c:f>Sheet8!$D$4:$D$10</c:f>
              <c:numCache>
                <c:formatCode>General</c:formatCode>
                <c:ptCount val="7"/>
                <c:pt idx="0">
                  <c:v>529.09899999999993</c:v>
                </c:pt>
                <c:pt idx="1">
                  <c:v>364.947</c:v>
                </c:pt>
                <c:pt idx="2">
                  <c:v>184.47499999999999</c:v>
                </c:pt>
                <c:pt idx="3">
                  <c:v>0</c:v>
                </c:pt>
                <c:pt idx="4">
                  <c:v>-225.429</c:v>
                </c:pt>
                <c:pt idx="5">
                  <c:v>-454.86099999999999</c:v>
                </c:pt>
                <c:pt idx="6">
                  <c:v>-700.61300000000006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8-417D-8E66-34F0EDCF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006095"/>
        <c:axId val="1256661151"/>
      </c:scatterChart>
      <c:valAx>
        <c:axId val="164200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56661151"/>
        <c:crosses val="autoZero"/>
        <c:crossBetween val="midCat"/>
      </c:valAx>
      <c:valAx>
        <c:axId val="125666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42006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4107917760279964"/>
                  <c:y val="0.11885207057451147"/>
                </c:manualLayout>
              </c:layout>
              <c:numFmt formatCode="General" sourceLinked="0"/>
              <c:spPr>
                <a:noFill/>
                <a:ln>
                  <a:solidFill>
                    <a:schemeClr val="accent2">
                      <a:lumMod val="7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Sheet9!$F$5:$F$11</c:f>
              <c:numCache>
                <c:formatCode>General</c:formatCode>
                <c:ptCount val="7"/>
                <c:pt idx="0">
                  <c:v>880.36009733343951</c:v>
                </c:pt>
                <c:pt idx="1">
                  <c:v>616.93894179238453</c:v>
                </c:pt>
                <c:pt idx="2">
                  <c:v>309.89394997094195</c:v>
                </c:pt>
                <c:pt idx="3">
                  <c:v>0</c:v>
                </c:pt>
                <c:pt idx="4">
                  <c:v>-382.98436769942236</c:v>
                </c:pt>
                <c:pt idx="5">
                  <c:v>-780.82463213818664</c:v>
                </c:pt>
                <c:pt idx="6">
                  <c:v>-1230.5610939876317</c:v>
                </c:pt>
              </c:numCache>
            </c:numRef>
          </c:xVal>
          <c:yVal>
            <c:numRef>
              <c:f>Sheet9!$I$5:$I$11</c:f>
              <c:numCache>
                <c:formatCode>General</c:formatCode>
                <c:ptCount val="7"/>
                <c:pt idx="0">
                  <c:v>23.428692808745403</c:v>
                </c:pt>
                <c:pt idx="1">
                  <c:v>15.780753309515388</c:v>
                </c:pt>
                <c:pt idx="2">
                  <c:v>7.3523793598923595</c:v>
                </c:pt>
                <c:pt idx="3">
                  <c:v>0</c:v>
                </c:pt>
                <c:pt idx="4">
                  <c:v>-7.2632447405845602</c:v>
                </c:pt>
                <c:pt idx="5">
                  <c:v>-15.862658370688083</c:v>
                </c:pt>
                <c:pt idx="6">
                  <c:v>-24.331241916935063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C3-437B-8968-4EC0DD271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295327"/>
        <c:axId val="1164514079"/>
      </c:scatterChart>
      <c:valAx>
        <c:axId val="16402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64514079"/>
        <c:crosses val="autoZero"/>
        <c:crossBetween val="midCat"/>
      </c:valAx>
      <c:valAx>
        <c:axId val="116451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4029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Sheet9!$I$5:$I$11</c:f>
              <c:numCache>
                <c:formatCode>General</c:formatCode>
                <c:ptCount val="7"/>
                <c:pt idx="0">
                  <c:v>23.428692808745403</c:v>
                </c:pt>
                <c:pt idx="1">
                  <c:v>15.780753309515388</c:v>
                </c:pt>
                <c:pt idx="2">
                  <c:v>7.3523793598923595</c:v>
                </c:pt>
                <c:pt idx="3">
                  <c:v>0</c:v>
                </c:pt>
                <c:pt idx="4">
                  <c:v>-7.2632447405845602</c:v>
                </c:pt>
                <c:pt idx="5">
                  <c:v>-15.862658370688083</c:v>
                </c:pt>
                <c:pt idx="6">
                  <c:v>-24.331241916935063</c:v>
                </c:pt>
              </c:numCache>
            </c:numRef>
          </c:xVal>
          <c:yVal>
            <c:numRef>
              <c:f>Sheet9!$D$5:$D$11</c:f>
              <c:numCache>
                <c:formatCode>General</c:formatCode>
                <c:ptCount val="7"/>
                <c:pt idx="0">
                  <c:v>510.40499999999997</c:v>
                </c:pt>
                <c:pt idx="1">
                  <c:v>356.005</c:v>
                </c:pt>
                <c:pt idx="2">
                  <c:v>182.02100000000002</c:v>
                </c:pt>
                <c:pt idx="3">
                  <c:v>0</c:v>
                </c:pt>
                <c:pt idx="4">
                  <c:v>-224.69900000000001</c:v>
                </c:pt>
                <c:pt idx="5">
                  <c:v>-457.43500000000006</c:v>
                </c:pt>
                <c:pt idx="6">
                  <c:v>-709.75500000000011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B2-45B3-AA41-A7D7E1AAA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006095"/>
        <c:axId val="1256661151"/>
      </c:scatterChart>
      <c:valAx>
        <c:axId val="164200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56661151"/>
        <c:crosses val="autoZero"/>
        <c:crossBetween val="midCat"/>
      </c:valAx>
      <c:valAx>
        <c:axId val="125666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42006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ADC value</a:t>
            </a:r>
            <a:r>
              <a:rPr lang="nl-NL" baseline="0"/>
              <a:t> to steering angle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Sheet10!$F$4:$F$48</c:f>
              <c:numCache>
                <c:formatCode>General</c:formatCode>
                <c:ptCount val="45"/>
                <c:pt idx="0">
                  <c:v>-1040</c:v>
                </c:pt>
                <c:pt idx="1">
                  <c:v>-694</c:v>
                </c:pt>
                <c:pt idx="2">
                  <c:v>-522</c:v>
                </c:pt>
                <c:pt idx="3">
                  <c:v>0</c:v>
                </c:pt>
                <c:pt idx="4">
                  <c:v>862</c:v>
                </c:pt>
                <c:pt idx="5">
                  <c:v>688</c:v>
                </c:pt>
                <c:pt idx="6">
                  <c:v>508</c:v>
                </c:pt>
                <c:pt idx="7">
                  <c:v>-1028</c:v>
                </c:pt>
                <c:pt idx="8">
                  <c:v>-688</c:v>
                </c:pt>
                <c:pt idx="9">
                  <c:v>-512</c:v>
                </c:pt>
                <c:pt idx="10">
                  <c:v>0</c:v>
                </c:pt>
                <c:pt idx="11">
                  <c:v>1044</c:v>
                </c:pt>
                <c:pt idx="12">
                  <c:v>692</c:v>
                </c:pt>
                <c:pt idx="13">
                  <c:v>516</c:v>
                </c:pt>
                <c:pt idx="15">
                  <c:v>-1192.2526</c:v>
                </c:pt>
                <c:pt idx="16">
                  <c:v>-795.18060000000003</c:v>
                </c:pt>
                <c:pt idx="17">
                  <c:v>-398.10860000000002</c:v>
                </c:pt>
                <c:pt idx="18">
                  <c:v>0</c:v>
                </c:pt>
                <c:pt idx="19">
                  <c:v>962.70780000000002</c:v>
                </c:pt>
                <c:pt idx="20">
                  <c:v>638.75580000000002</c:v>
                </c:pt>
                <c:pt idx="21">
                  <c:v>310.75439999999998</c:v>
                </c:pt>
                <c:pt idx="22">
                  <c:v>-1194.9623999999999</c:v>
                </c:pt>
                <c:pt idx="23">
                  <c:v>-796.0652</c:v>
                </c:pt>
                <c:pt idx="24">
                  <c:v>-397.16800000000001</c:v>
                </c:pt>
                <c:pt idx="25">
                  <c:v>0</c:v>
                </c:pt>
                <c:pt idx="26">
                  <c:v>916.74279999999999</c:v>
                </c:pt>
                <c:pt idx="27">
                  <c:v>615.67079999999999</c:v>
                </c:pt>
                <c:pt idx="28">
                  <c:v>310.83539999999999</c:v>
                </c:pt>
                <c:pt idx="29">
                  <c:v>-1200</c:v>
                </c:pt>
                <c:pt idx="30">
                  <c:v>296.09050000000002</c:v>
                </c:pt>
                <c:pt idx="31">
                  <c:v>923.81519374881714</c:v>
                </c:pt>
                <c:pt idx="32">
                  <c:v>622.19665165922424</c:v>
                </c:pt>
                <c:pt idx="33">
                  <c:v>317.95699968414311</c:v>
                </c:pt>
                <c:pt idx="34">
                  <c:v>0</c:v>
                </c:pt>
                <c:pt idx="35">
                  <c:v>-382.95725165313644</c:v>
                </c:pt>
                <c:pt idx="36">
                  <c:v>-782.59326576850344</c:v>
                </c:pt>
                <c:pt idx="37">
                  <c:v>-1206.179036118838</c:v>
                </c:pt>
                <c:pt idx="38">
                  <c:v>880.36009733343951</c:v>
                </c:pt>
                <c:pt idx="39">
                  <c:v>616.93894179238453</c:v>
                </c:pt>
                <c:pt idx="40">
                  <c:v>309.89394997094195</c:v>
                </c:pt>
                <c:pt idx="41">
                  <c:v>0</c:v>
                </c:pt>
                <c:pt idx="42">
                  <c:v>-382.98436769942236</c:v>
                </c:pt>
                <c:pt idx="43">
                  <c:v>-780.82463213818664</c:v>
                </c:pt>
                <c:pt idx="44">
                  <c:v>-1230.5610939876317</c:v>
                </c:pt>
              </c:numCache>
            </c:numRef>
          </c:xVal>
          <c:yVal>
            <c:numRef>
              <c:f>Sheet10!$G$4:$G$48</c:f>
              <c:numCache>
                <c:formatCode>General</c:formatCode>
                <c:ptCount val="45"/>
                <c:pt idx="0">
                  <c:v>-21.501434324047903</c:v>
                </c:pt>
                <c:pt idx="1">
                  <c:v>-15.154068050312599</c:v>
                </c:pt>
                <c:pt idx="2">
                  <c:v>-11.525816077530681</c:v>
                </c:pt>
                <c:pt idx="3">
                  <c:v>0</c:v>
                </c:pt>
                <c:pt idx="4">
                  <c:v>22.109448343751673</c:v>
                </c:pt>
                <c:pt idx="5">
                  <c:v>17.007946955407327</c:v>
                </c:pt>
                <c:pt idx="6">
                  <c:v>11.438494216779382</c:v>
                </c:pt>
                <c:pt idx="7">
                  <c:v>-20.64699082497037</c:v>
                </c:pt>
                <c:pt idx="8">
                  <c:v>-14.1670555226312</c:v>
                </c:pt>
                <c:pt idx="9">
                  <c:v>-10.520784313874362</c:v>
                </c:pt>
                <c:pt idx="10">
                  <c:v>0</c:v>
                </c:pt>
                <c:pt idx="11">
                  <c:v>25.709953780811265</c:v>
                </c:pt>
                <c:pt idx="12">
                  <c:v>17.393322146912038</c:v>
                </c:pt>
                <c:pt idx="13">
                  <c:v>12.847704858717666</c:v>
                </c:pt>
                <c:pt idx="15">
                  <c:v>-24.145541960421657</c:v>
                </c:pt>
                <c:pt idx="16">
                  <c:v>-16.284922471883405</c:v>
                </c:pt>
                <c:pt idx="17">
                  <c:v>-7.4069121284952297</c:v>
                </c:pt>
                <c:pt idx="18">
                  <c:v>0</c:v>
                </c:pt>
                <c:pt idx="19">
                  <c:v>25.301378625419723</c:v>
                </c:pt>
                <c:pt idx="20">
                  <c:v>17.007946955407327</c:v>
                </c:pt>
                <c:pt idx="21">
                  <c:v>7.7118924126588828</c:v>
                </c:pt>
                <c:pt idx="22">
                  <c:v>-23.782030423221379</c:v>
                </c:pt>
                <c:pt idx="23">
                  <c:v>-16.113418233089295</c:v>
                </c:pt>
                <c:pt idx="24">
                  <c:v>-7.8327955662346449</c:v>
                </c:pt>
                <c:pt idx="25">
                  <c:v>0</c:v>
                </c:pt>
                <c:pt idx="26">
                  <c:v>24.904768808095184</c:v>
                </c:pt>
                <c:pt idx="27">
                  <c:v>16.113418233089295</c:v>
                </c:pt>
                <c:pt idx="28">
                  <c:v>7.672411599779549</c:v>
                </c:pt>
                <c:pt idx="29">
                  <c:v>-23.962488974578186</c:v>
                </c:pt>
                <c:pt idx="30">
                  <c:v>7.3343788014167046</c:v>
                </c:pt>
                <c:pt idx="31">
                  <c:v>25.301378625419723</c:v>
                </c:pt>
                <c:pt idx="32">
                  <c:v>16.460014812040036</c:v>
                </c:pt>
                <c:pt idx="33">
                  <c:v>7.594643368591445</c:v>
                </c:pt>
                <c:pt idx="34">
                  <c:v>0</c:v>
                </c:pt>
                <c:pt idx="35">
                  <c:v>-7.2281899099778375</c:v>
                </c:pt>
                <c:pt idx="36">
                  <c:v>-15.780753309515388</c:v>
                </c:pt>
                <c:pt idx="37">
                  <c:v>-23.962488974578186</c:v>
                </c:pt>
                <c:pt idx="38">
                  <c:v>23.428692808745403</c:v>
                </c:pt>
                <c:pt idx="39">
                  <c:v>15.780753309515388</c:v>
                </c:pt>
                <c:pt idx="40">
                  <c:v>7.3523793598923595</c:v>
                </c:pt>
                <c:pt idx="41">
                  <c:v>0</c:v>
                </c:pt>
                <c:pt idx="42">
                  <c:v>-7.2632447405845602</c:v>
                </c:pt>
                <c:pt idx="43">
                  <c:v>-15.862658370688083</c:v>
                </c:pt>
                <c:pt idx="44">
                  <c:v>-24.331241916935063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1-46AD-9F59-3FF419BF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417040"/>
        <c:axId val="243261968"/>
      </c:scatterChart>
      <c:valAx>
        <c:axId val="47741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43261968"/>
        <c:crosses val="autoZero"/>
        <c:crossBetween val="midCat"/>
      </c:valAx>
      <c:valAx>
        <c:axId val="2432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7741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steering angle to PWM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Sheet10!$A$4:$A$46</c:f>
              <c:numCache>
                <c:formatCode>General</c:formatCode>
                <c:ptCount val="43"/>
                <c:pt idx="0">
                  <c:v>-21.501434324047903</c:v>
                </c:pt>
                <c:pt idx="1">
                  <c:v>-15.154068050312599</c:v>
                </c:pt>
                <c:pt idx="2">
                  <c:v>-11.525816077530681</c:v>
                </c:pt>
                <c:pt idx="3">
                  <c:v>0</c:v>
                </c:pt>
                <c:pt idx="4">
                  <c:v>22.109448343751673</c:v>
                </c:pt>
                <c:pt idx="5">
                  <c:v>17.007946955407327</c:v>
                </c:pt>
                <c:pt idx="6">
                  <c:v>11.438494216779382</c:v>
                </c:pt>
                <c:pt idx="7">
                  <c:v>-20.64699082497037</c:v>
                </c:pt>
                <c:pt idx="8">
                  <c:v>-14.1670555226312</c:v>
                </c:pt>
                <c:pt idx="9">
                  <c:v>-10.520784313874362</c:v>
                </c:pt>
                <c:pt idx="10">
                  <c:v>0</c:v>
                </c:pt>
                <c:pt idx="11">
                  <c:v>25.709953780811265</c:v>
                </c:pt>
                <c:pt idx="12">
                  <c:v>17.393322146912038</c:v>
                </c:pt>
                <c:pt idx="13">
                  <c:v>12.847704858717666</c:v>
                </c:pt>
                <c:pt idx="15">
                  <c:v>-24.145541960421657</c:v>
                </c:pt>
                <c:pt idx="16">
                  <c:v>-16.284922471883405</c:v>
                </c:pt>
                <c:pt idx="17">
                  <c:v>-7.4069121284952297</c:v>
                </c:pt>
                <c:pt idx="18">
                  <c:v>0</c:v>
                </c:pt>
                <c:pt idx="19">
                  <c:v>25.301378625419723</c:v>
                </c:pt>
                <c:pt idx="20">
                  <c:v>17.007946955407327</c:v>
                </c:pt>
                <c:pt idx="21">
                  <c:v>7.7118924126588828</c:v>
                </c:pt>
                <c:pt idx="22">
                  <c:v>-23.782030423221379</c:v>
                </c:pt>
                <c:pt idx="23">
                  <c:v>-16.113418233089295</c:v>
                </c:pt>
                <c:pt idx="24">
                  <c:v>-7.8327955662346449</c:v>
                </c:pt>
                <c:pt idx="25">
                  <c:v>0</c:v>
                </c:pt>
                <c:pt idx="26">
                  <c:v>24.904768808095184</c:v>
                </c:pt>
                <c:pt idx="27">
                  <c:v>16.113418233089295</c:v>
                </c:pt>
                <c:pt idx="28">
                  <c:v>7.672411599779549</c:v>
                </c:pt>
                <c:pt idx="29">
                  <c:v>25.301378625419723</c:v>
                </c:pt>
                <c:pt idx="30">
                  <c:v>16.460014812040036</c:v>
                </c:pt>
                <c:pt idx="31">
                  <c:v>7.594643368591445</c:v>
                </c:pt>
                <c:pt idx="32">
                  <c:v>0</c:v>
                </c:pt>
                <c:pt idx="33">
                  <c:v>-7.2281899099778375</c:v>
                </c:pt>
                <c:pt idx="34">
                  <c:v>-15.780753309515388</c:v>
                </c:pt>
                <c:pt idx="35">
                  <c:v>-23.962488974578186</c:v>
                </c:pt>
                <c:pt idx="36">
                  <c:v>23.428692808745403</c:v>
                </c:pt>
                <c:pt idx="37">
                  <c:v>15.780753309515388</c:v>
                </c:pt>
                <c:pt idx="38">
                  <c:v>7.3523793598923595</c:v>
                </c:pt>
                <c:pt idx="39">
                  <c:v>0</c:v>
                </c:pt>
                <c:pt idx="40">
                  <c:v>-7.2632447405845602</c:v>
                </c:pt>
                <c:pt idx="41">
                  <c:v>-15.862658370688083</c:v>
                </c:pt>
                <c:pt idx="42">
                  <c:v>-24.331241916935063</c:v>
                </c:pt>
              </c:numCache>
            </c:numRef>
          </c:xVal>
          <c:yVal>
            <c:numRef>
              <c:f>Sheet10!$B$4:$B$46</c:f>
              <c:numCache>
                <c:formatCode>General</c:formatCode>
                <c:ptCount val="43"/>
                <c:pt idx="0">
                  <c:v>-630</c:v>
                </c:pt>
                <c:pt idx="1">
                  <c:v>-430</c:v>
                </c:pt>
                <c:pt idx="2">
                  <c:v>-330</c:v>
                </c:pt>
                <c:pt idx="3">
                  <c:v>0</c:v>
                </c:pt>
                <c:pt idx="4">
                  <c:v>470</c:v>
                </c:pt>
                <c:pt idx="5">
                  <c:v>370</c:v>
                </c:pt>
                <c:pt idx="6">
                  <c:v>270</c:v>
                </c:pt>
                <c:pt idx="7">
                  <c:v>-600</c:v>
                </c:pt>
                <c:pt idx="8">
                  <c:v>-400</c:v>
                </c:pt>
                <c:pt idx="9">
                  <c:v>-300</c:v>
                </c:pt>
                <c:pt idx="10">
                  <c:v>0</c:v>
                </c:pt>
                <c:pt idx="11">
                  <c:v>600</c:v>
                </c:pt>
                <c:pt idx="12">
                  <c:v>400</c:v>
                </c:pt>
                <c:pt idx="13">
                  <c:v>300</c:v>
                </c:pt>
                <c:pt idx="15">
                  <c:v>-691.67774902301346</c:v>
                </c:pt>
                <c:pt idx="16">
                  <c:v>-460.09374902301346</c:v>
                </c:pt>
                <c:pt idx="17">
                  <c:v>-228.50974902301346</c:v>
                </c:pt>
                <c:pt idx="18">
                  <c:v>0</c:v>
                </c:pt>
                <c:pt idx="19">
                  <c:v>558.13309429569267</c:v>
                </c:pt>
                <c:pt idx="20">
                  <c:v>371.86909429569266</c:v>
                </c:pt>
                <c:pt idx="21">
                  <c:v>185.60509429569268</c:v>
                </c:pt>
                <c:pt idx="22">
                  <c:v>-690.32247800000005</c:v>
                </c:pt>
                <c:pt idx="23">
                  <c:v>-462.47447800000003</c:v>
                </c:pt>
                <c:pt idx="24">
                  <c:v>-234.62647799999999</c:v>
                </c:pt>
                <c:pt idx="25">
                  <c:v>0</c:v>
                </c:pt>
                <c:pt idx="26">
                  <c:v>530.70004999999992</c:v>
                </c:pt>
                <c:pt idx="27">
                  <c:v>355.80404999999996</c:v>
                </c:pt>
                <c:pt idx="28">
                  <c:v>180.90805</c:v>
                </c:pt>
                <c:pt idx="29">
                  <c:v>529.09899999999993</c:v>
                </c:pt>
                <c:pt idx="30">
                  <c:v>364.947</c:v>
                </c:pt>
                <c:pt idx="31">
                  <c:v>184.47499999999999</c:v>
                </c:pt>
                <c:pt idx="32">
                  <c:v>0</c:v>
                </c:pt>
                <c:pt idx="33">
                  <c:v>-225.429</c:v>
                </c:pt>
                <c:pt idx="34">
                  <c:v>-454.86099999999999</c:v>
                </c:pt>
                <c:pt idx="35">
                  <c:v>-700.61300000000006</c:v>
                </c:pt>
                <c:pt idx="36">
                  <c:v>510.40499999999997</c:v>
                </c:pt>
                <c:pt idx="37">
                  <c:v>356.005</c:v>
                </c:pt>
                <c:pt idx="38">
                  <c:v>182.02100000000002</c:v>
                </c:pt>
                <c:pt idx="39">
                  <c:v>0</c:v>
                </c:pt>
                <c:pt idx="40">
                  <c:v>-224.69900000000001</c:v>
                </c:pt>
                <c:pt idx="41">
                  <c:v>-457.43500000000006</c:v>
                </c:pt>
                <c:pt idx="42">
                  <c:v>-709.75500000000011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18-476C-B68A-5FBDB4069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53744"/>
        <c:axId val="437444064"/>
      </c:scatterChart>
      <c:valAx>
        <c:axId val="60285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7444064"/>
        <c:crosses val="autoZero"/>
        <c:crossBetween val="midCat"/>
      </c:valAx>
      <c:valAx>
        <c:axId val="4374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0285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</a:t>
            </a:r>
            <a:r>
              <a:rPr lang="en-US" baseline="0"/>
              <a:t> 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0190566773212754"/>
                  <c:y val="0.225996646252551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195571840648631"/>
                  <c:y val="0.105734908136482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Sheet3!$C$3:$C$5</c:f>
              <c:numCache>
                <c:formatCode>General</c:formatCode>
                <c:ptCount val="3"/>
                <c:pt idx="0">
                  <c:v>15</c:v>
                </c:pt>
                <c:pt idx="1">
                  <c:v>20</c:v>
                </c:pt>
                <c:pt idx="2">
                  <c:v>25</c:v>
                </c:pt>
              </c:numCache>
            </c:numRef>
          </c:xVal>
          <c:yVal>
            <c:numRef>
              <c:f>Sheet3!$D$3:$D$5</c:f>
              <c:numCache>
                <c:formatCode>General</c:formatCode>
                <c:ptCount val="3"/>
                <c:pt idx="0">
                  <c:v>5.490000000000002</c:v>
                </c:pt>
                <c:pt idx="1">
                  <c:v>6.81</c:v>
                </c:pt>
                <c:pt idx="2">
                  <c:v>10.799999999999999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D1-4D08-8631-2C1E62034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488255"/>
        <c:axId val="1604540447"/>
      </c:scatterChart>
      <c:valAx>
        <c:axId val="160548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4540447"/>
        <c:crosses val="autoZero"/>
        <c:crossBetween val="midCat"/>
      </c:valAx>
      <c:valAx>
        <c:axId val="160454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548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6539916885389327"/>
                  <c:y val="-8.39519539224263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489720034995622E-2"/>
                  <c:y val="-0.296604695246427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Sheet3!$C$7:$C$9</c:f>
              <c:numCache>
                <c:formatCode>General</c:formatCode>
                <c:ptCount val="3"/>
                <c:pt idx="0">
                  <c:v>-15</c:v>
                </c:pt>
                <c:pt idx="1">
                  <c:v>-20</c:v>
                </c:pt>
                <c:pt idx="2">
                  <c:v>-25</c:v>
                </c:pt>
              </c:numCache>
            </c:numRef>
          </c:xVal>
          <c:yVal>
            <c:numRef>
              <c:f>Sheet3!$D$7:$D$9</c:f>
              <c:numCache>
                <c:formatCode>General</c:formatCode>
                <c:ptCount val="3"/>
                <c:pt idx="0">
                  <c:v>2.9999999999999991</c:v>
                </c:pt>
                <c:pt idx="1">
                  <c:v>5.490000000000002</c:v>
                </c:pt>
                <c:pt idx="2">
                  <c:v>9.4799999999999986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D9-47BE-BD1C-C0F4EF958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200799"/>
        <c:axId val="1899569183"/>
      </c:scatterChart>
      <c:valAx>
        <c:axId val="189020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99569183"/>
        <c:crosses val="autoZero"/>
        <c:crossBetween val="midCat"/>
      </c:valAx>
      <c:valAx>
        <c:axId val="189956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9020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steering angle to speed compensation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Sheet11!$C$3:$C$9</c:f>
              <c:numCache>
                <c:formatCode>General</c:formatCode>
                <c:ptCount val="7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0</c:v>
                </c:pt>
                <c:pt idx="4">
                  <c:v>-15</c:v>
                </c:pt>
                <c:pt idx="5">
                  <c:v>-20</c:v>
                </c:pt>
                <c:pt idx="6">
                  <c:v>-25</c:v>
                </c:pt>
              </c:numCache>
            </c:numRef>
          </c:xVal>
          <c:yVal>
            <c:numRef>
              <c:f>Sheet11!$D$3:$D$9</c:f>
              <c:numCache>
                <c:formatCode>General</c:formatCode>
                <c:ptCount val="7"/>
                <c:pt idx="0">
                  <c:v>5.490000000000002</c:v>
                </c:pt>
                <c:pt idx="1">
                  <c:v>6.81</c:v>
                </c:pt>
                <c:pt idx="2">
                  <c:v>10.799999999999999</c:v>
                </c:pt>
                <c:pt idx="3">
                  <c:v>0</c:v>
                </c:pt>
                <c:pt idx="4">
                  <c:v>2.9999999999999991</c:v>
                </c:pt>
                <c:pt idx="5">
                  <c:v>5.490000000000002</c:v>
                </c:pt>
                <c:pt idx="6">
                  <c:v>9.4799999999999986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7-4FDB-A9EC-868FA747A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871600"/>
        <c:axId val="1340666048"/>
      </c:scatterChart>
      <c:valAx>
        <c:axId val="148287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40666048"/>
        <c:crosses val="autoZero"/>
        <c:crossBetween val="midCat"/>
      </c:valAx>
      <c:valAx>
        <c:axId val="13406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8287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952500</xdr:colOff>
      <xdr:row>21</xdr:row>
      <xdr:rowOff>76200</xdr:rowOff>
    </xdr:from>
    <xdr:to>
      <xdr:col>8</xdr:col>
      <xdr:colOff>447675</xdr:colOff>
      <xdr:row>34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A12D6C-5550-40ED-A18B-927F2F8AB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466725</xdr:colOff>
      <xdr:row>21</xdr:row>
      <xdr:rowOff>57150</xdr:rowOff>
    </xdr:from>
    <xdr:to>
      <xdr:col>11</xdr:col>
      <xdr:colOff>390525</xdr:colOff>
      <xdr:row>33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C1FE4B-C600-4D45-962C-4EEE6A684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114300</xdr:rowOff>
    </xdr:from>
    <xdr:to>
      <xdr:col>2</xdr:col>
      <xdr:colOff>381000</xdr:colOff>
      <xdr:row>34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143E4E-76C5-44D0-AC24-45F4D1E6D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447675</xdr:colOff>
      <xdr:row>22</xdr:row>
      <xdr:rowOff>0</xdr:rowOff>
    </xdr:from>
    <xdr:to>
      <xdr:col>4</xdr:col>
      <xdr:colOff>1123950</xdr:colOff>
      <xdr:row>35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3F9D41-B914-4A41-885B-108104537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23</xdr:row>
      <xdr:rowOff>95250</xdr:rowOff>
    </xdr:from>
    <xdr:to>
      <xdr:col>2</xdr:col>
      <xdr:colOff>409575</xdr:colOff>
      <xdr:row>36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23F45C-8A49-435C-B76B-CDC4851A1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447675</xdr:colOff>
      <xdr:row>24</xdr:row>
      <xdr:rowOff>0</xdr:rowOff>
    </xdr:from>
    <xdr:to>
      <xdr:col>4</xdr:col>
      <xdr:colOff>1123950</xdr:colOff>
      <xdr:row>37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0AEF53-6A35-4004-8820-CB7E8B96E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85725</xdr:colOff>
      <xdr:row>23</xdr:row>
      <xdr:rowOff>104775</xdr:rowOff>
    </xdr:from>
    <xdr:to>
      <xdr:col>9</xdr:col>
      <xdr:colOff>9525</xdr:colOff>
      <xdr:row>36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BB19B-3A0F-4940-809C-7D20B22BA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24</xdr:row>
      <xdr:rowOff>0</xdr:rowOff>
    </xdr:from>
    <xdr:to>
      <xdr:col>11</xdr:col>
      <xdr:colOff>771525</xdr:colOff>
      <xdr:row>37</xdr:row>
      <xdr:rowOff>119062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0E94B9-6F4F-4BE1-BB5B-135435B9A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1009650</xdr:colOff>
      <xdr:row>39</xdr:row>
      <xdr:rowOff>52387</xdr:rowOff>
    </xdr:from>
    <xdr:to>
      <xdr:col>11</xdr:col>
      <xdr:colOff>609600</xdr:colOff>
      <xdr:row>53</xdr:row>
      <xdr:rowOff>128587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0BE3AC5-3B71-4D8D-9BEE-4D6E6785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40</xdr:row>
      <xdr:rowOff>0</xdr:rowOff>
    </xdr:from>
    <xdr:to>
      <xdr:col>2</xdr:col>
      <xdr:colOff>409575</xdr:colOff>
      <xdr:row>53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F16AB9-8A8F-4F62-B51D-A325C8997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609600</xdr:colOff>
      <xdr:row>39</xdr:row>
      <xdr:rowOff>152400</xdr:rowOff>
    </xdr:from>
    <xdr:to>
      <xdr:col>5</xdr:col>
      <xdr:colOff>95250</xdr:colOff>
      <xdr:row>53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88069-7F36-456B-9A3B-C7A02D6C6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552450</xdr:colOff>
      <xdr:row>39</xdr:row>
      <xdr:rowOff>161925</xdr:rowOff>
    </xdr:from>
    <xdr:to>
      <xdr:col>7</xdr:col>
      <xdr:colOff>876300</xdr:colOff>
      <xdr:row>52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67353D-0158-4AF1-BEEB-ED6FD41E7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57150</xdr:colOff>
      <xdr:row>38</xdr:row>
      <xdr:rowOff>161925</xdr:rowOff>
    </xdr:from>
    <xdr:to>
      <xdr:col>11</xdr:col>
      <xdr:colOff>828675</xdr:colOff>
      <xdr:row>52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C5CCF9-6EC5-4A07-BC35-98E42FBD8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219074</xdr:colOff>
      <xdr:row>24</xdr:row>
      <xdr:rowOff>38100</xdr:rowOff>
    </xdr:from>
    <xdr:to>
      <xdr:col>8</xdr:col>
      <xdr:colOff>9524</xdr:colOff>
      <xdr:row>38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04EA1E-C183-4A24-8D95-5DBB9DD66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28574</xdr:colOff>
      <xdr:row>24</xdr:row>
      <xdr:rowOff>28575</xdr:rowOff>
    </xdr:from>
    <xdr:to>
      <xdr:col>11</xdr:col>
      <xdr:colOff>581025</xdr:colOff>
      <xdr:row>38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A33931-8458-4DDE-8F71-FF1B872AD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676275</xdr:colOff>
      <xdr:row>23</xdr:row>
      <xdr:rowOff>142874</xdr:rowOff>
    </xdr:from>
    <xdr:to>
      <xdr:col>4</xdr:col>
      <xdr:colOff>1114425</xdr:colOff>
      <xdr:row>37</xdr:row>
      <xdr:rowOff>157161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273A3B-047E-4D71-A442-931ACF628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23</xdr:row>
      <xdr:rowOff>133350</xdr:rowOff>
    </xdr:from>
    <xdr:to>
      <xdr:col>2</xdr:col>
      <xdr:colOff>600074</xdr:colOff>
      <xdr:row>38</xdr:row>
      <xdr:rowOff>61911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EF138D-9BDD-41B8-A175-5D4254D51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40</xdr:row>
      <xdr:rowOff>0</xdr:rowOff>
    </xdr:from>
    <xdr:to>
      <xdr:col>2</xdr:col>
      <xdr:colOff>409575</xdr:colOff>
      <xdr:row>53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399D3-0011-4314-9511-537F60FE5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609600</xdr:colOff>
      <xdr:row>39</xdr:row>
      <xdr:rowOff>152400</xdr:rowOff>
    </xdr:from>
    <xdr:to>
      <xdr:col>5</xdr:col>
      <xdr:colOff>95250</xdr:colOff>
      <xdr:row>53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5AB9B-75E6-45CD-9573-4A8370849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552450</xdr:colOff>
      <xdr:row>39</xdr:row>
      <xdr:rowOff>161925</xdr:rowOff>
    </xdr:from>
    <xdr:to>
      <xdr:col>7</xdr:col>
      <xdr:colOff>876300</xdr:colOff>
      <xdr:row>52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2B0570-0D5B-4E15-8D2C-A219C079C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57150</xdr:colOff>
      <xdr:row>38</xdr:row>
      <xdr:rowOff>161925</xdr:rowOff>
    </xdr:from>
    <xdr:to>
      <xdr:col>11</xdr:col>
      <xdr:colOff>828675</xdr:colOff>
      <xdr:row>52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1B4747-9F96-4905-BF6D-BF7379A50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219074</xdr:colOff>
      <xdr:row>24</xdr:row>
      <xdr:rowOff>38100</xdr:rowOff>
    </xdr:from>
    <xdr:to>
      <xdr:col>8</xdr:col>
      <xdr:colOff>9524</xdr:colOff>
      <xdr:row>38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458E06-D015-4275-A9B7-281BFD16A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28574</xdr:colOff>
      <xdr:row>24</xdr:row>
      <xdr:rowOff>28575</xdr:rowOff>
    </xdr:from>
    <xdr:to>
      <xdr:col>11</xdr:col>
      <xdr:colOff>581025</xdr:colOff>
      <xdr:row>38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C9DF83-FF47-4748-81BE-6090C9D21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676275</xdr:colOff>
      <xdr:row>23</xdr:row>
      <xdr:rowOff>142874</xdr:rowOff>
    </xdr:from>
    <xdr:to>
      <xdr:col>4</xdr:col>
      <xdr:colOff>1114425</xdr:colOff>
      <xdr:row>37</xdr:row>
      <xdr:rowOff>157161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A73BB3-8647-40AB-AF56-9A6F50408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23</xdr:row>
      <xdr:rowOff>133350</xdr:rowOff>
    </xdr:from>
    <xdr:to>
      <xdr:col>2</xdr:col>
      <xdr:colOff>600074</xdr:colOff>
      <xdr:row>38</xdr:row>
      <xdr:rowOff>61911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4ED613D-2CE2-4F71-90F4-B4F7DEA32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</xdr:row>
      <xdr:rowOff>47625</xdr:rowOff>
    </xdr:from>
    <xdr:to>
      <xdr:col>27</xdr:col>
      <xdr:colOff>85725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99B48-3275-4A61-8F4C-34CB716B2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37</xdr:row>
      <xdr:rowOff>71436</xdr:rowOff>
    </xdr:from>
    <xdr:to>
      <xdr:col>13</xdr:col>
      <xdr:colOff>609599</xdr:colOff>
      <xdr:row>70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289563-EEEE-488F-83AD-0F3B14BEB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</xdr:row>
      <xdr:rowOff>52387</xdr:rowOff>
    </xdr:from>
    <xdr:to>
      <xdr:col>17</xdr:col>
      <xdr:colOff>333375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8446AB-5FF7-4261-A491-A13865E2E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157162</xdr:rowOff>
    </xdr:from>
    <xdr:to>
      <xdr:col>7</xdr:col>
      <xdr:colOff>304800</xdr:colOff>
      <xdr:row>26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09A1F5-06C2-4F3A-AB83-DC9A69D36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</xdr:row>
      <xdr:rowOff>61912</xdr:rowOff>
    </xdr:from>
    <xdr:to>
      <xdr:col>22</xdr:col>
      <xdr:colOff>161925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B4389-E14C-4563-8BBC-6E07147F4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157162</xdr:rowOff>
    </xdr:from>
    <xdr:to>
      <xdr:col>7</xdr:col>
      <xdr:colOff>304800</xdr:colOff>
      <xdr:row>26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4EEBD4-D8DC-4D0F-984A-DCCFF19F8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</xdr:row>
      <xdr:rowOff>47625</xdr:rowOff>
    </xdr:from>
    <xdr:to>
      <xdr:col>27</xdr:col>
      <xdr:colOff>85725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5D37BB-321D-4CD5-AA4E-E445039DD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52</xdr:row>
      <xdr:rowOff>4761</xdr:rowOff>
    </xdr:from>
    <xdr:to>
      <xdr:col>14</xdr:col>
      <xdr:colOff>57149</xdr:colOff>
      <xdr:row>85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3DB2DD-676F-499F-BA25-EF2EAC313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152400</xdr:rowOff>
    </xdr:from>
    <xdr:to>
      <xdr:col>7</xdr:col>
      <xdr:colOff>19050</xdr:colOff>
      <xdr:row>26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F96859-BD09-46EE-B6BC-FEB09C6B1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152399</xdr:colOff>
      <xdr:row>11</xdr:row>
      <xdr:rowOff>76200</xdr:rowOff>
    </xdr:from>
    <xdr:to>
      <xdr:col>15</xdr:col>
      <xdr:colOff>47624</xdr:colOff>
      <xdr:row>26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534177-E62B-4005-95B2-2D737D2BA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11</xdr:row>
      <xdr:rowOff>166687</xdr:rowOff>
    </xdr:from>
    <xdr:to>
      <xdr:col>17</xdr:col>
      <xdr:colOff>400050</xdr:colOff>
      <xdr:row>26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787D8A-5F55-4668-A513-6FCA57FBF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5AC2-F02E-45B8-B359-EC3AA8D3C881}">
  <dimension ref="A1:N11"/>
  <sheetViews>
    <sheetView workbookViewId="0">
      <selection activeCell="H5" sqref="H5"/>
    </sheetView>
  </sheetViews>
  <sheetFormatPr defaultRowHeight="14.5" x14ac:dyDescent="0.35"/>
  <cols>
    <col min="1" max="1" width="18.1796875" customWidth="1"/>
    <col min="2" max="2" width="16.7265625" customWidth="1"/>
    <col min="3" max="3" width="16" customWidth="1"/>
    <col min="4" max="4" width="16.7265625" customWidth="1"/>
    <col min="5" max="5" width="14.7265625" customWidth="1"/>
    <col min="6" max="6" width="9.1796875" customWidth="1"/>
    <col min="7" max="7" width="15.26953125" customWidth="1"/>
    <col min="8" max="8" width="17.54296875" customWidth="1"/>
    <col min="9" max="9" width="15.26953125" customWidth="1"/>
    <col min="10" max="10" width="17.26953125" customWidth="1"/>
    <col min="12" max="12" width="18.453125" customWidth="1"/>
  </cols>
  <sheetData>
    <row r="1" spans="1:14" x14ac:dyDescent="0.35">
      <c r="A1" t="s">
        <v>5</v>
      </c>
      <c r="B1">
        <v>0.26</v>
      </c>
      <c r="C1" s="4" t="s">
        <v>7</v>
      </c>
      <c r="D1" s="4"/>
      <c r="E1">
        <v>20</v>
      </c>
      <c r="G1">
        <f xml:space="preserve"> 1.5*E1</f>
        <v>30</v>
      </c>
      <c r="L1" t="s">
        <v>14</v>
      </c>
      <c r="M1">
        <v>0.1</v>
      </c>
    </row>
    <row r="2" spans="1:14" x14ac:dyDescent="0.35">
      <c r="C2" s="4" t="s">
        <v>6</v>
      </c>
      <c r="D2" s="4"/>
      <c r="E2">
        <v>20</v>
      </c>
      <c r="G2">
        <f>-3.3 * E2</f>
        <v>-66</v>
      </c>
    </row>
    <row r="3" spans="1:14" x14ac:dyDescent="0.35">
      <c r="B3" t="s">
        <v>3</v>
      </c>
      <c r="C3" t="s">
        <v>2</v>
      </c>
      <c r="D3" t="s">
        <v>0</v>
      </c>
      <c r="E3" t="s">
        <v>1</v>
      </c>
      <c r="F3" t="s">
        <v>4</v>
      </c>
      <c r="H3" t="s">
        <v>8</v>
      </c>
      <c r="I3" t="s">
        <v>9</v>
      </c>
      <c r="J3" t="s">
        <v>10</v>
      </c>
      <c r="L3" t="s">
        <v>13</v>
      </c>
      <c r="M3" t="s">
        <v>15</v>
      </c>
    </row>
    <row r="4" spans="1:14" x14ac:dyDescent="0.35">
      <c r="A4" t="s">
        <v>12</v>
      </c>
    </row>
    <row r="5" spans="1:14" x14ac:dyDescent="0.35">
      <c r="B5">
        <v>1</v>
      </c>
      <c r="C5">
        <v>0.72899999999999998</v>
      </c>
      <c r="D5">
        <f>E$1*-30  - G$1</f>
        <v>-630</v>
      </c>
      <c r="E5">
        <f>E$2*-55.3  - G$2</f>
        <v>-1040</v>
      </c>
      <c r="F5">
        <f>1.32/2</f>
        <v>0.66</v>
      </c>
      <c r="H5">
        <f>-DEGREES(ATAN($B$1/$F5))</f>
        <v>-21.501434324047903</v>
      </c>
      <c r="I5">
        <f>D5/H5</f>
        <v>29.300370873183446</v>
      </c>
      <c r="J5">
        <f>E5/H5</f>
        <v>48.36886620335045</v>
      </c>
      <c r="L5">
        <f>2*PI()*F5</f>
        <v>4.1469023027385274</v>
      </c>
      <c r="M5">
        <f>C5/F5</f>
        <v>1.1045454545454545</v>
      </c>
      <c r="N5">
        <f xml:space="preserve"> DEGREES(ATAN((B1*M5)/C5))</f>
        <v>21.501434324047906</v>
      </c>
    </row>
    <row r="6" spans="1:14" x14ac:dyDescent="0.35">
      <c r="B6">
        <v>1</v>
      </c>
      <c r="C6">
        <v>0.83899999999999997</v>
      </c>
      <c r="D6">
        <f>E$1*-20  - G$1</f>
        <v>-430</v>
      </c>
      <c r="E6">
        <f>E$2*-38  - G$2</f>
        <v>-694</v>
      </c>
      <c r="F6">
        <f>1.92/2</f>
        <v>0.96</v>
      </c>
      <c r="H6">
        <f>-DEGREES(ATAN($B$1/$F6))</f>
        <v>-15.154068050312599</v>
      </c>
      <c r="I6">
        <f>D6/H6</f>
        <v>28.375219021873797</v>
      </c>
      <c r="J6">
        <f>E6/H6</f>
        <v>45.79628372367538</v>
      </c>
    </row>
    <row r="7" spans="1:14" x14ac:dyDescent="0.35">
      <c r="B7">
        <v>1</v>
      </c>
      <c r="C7">
        <v>0.83899999999999997</v>
      </c>
      <c r="D7">
        <f>E$1*-15  - G$1</f>
        <v>-330</v>
      </c>
      <c r="E7">
        <f>E$2*-29.4 - G$2</f>
        <v>-522</v>
      </c>
      <c r="F7">
        <f>2.55/2</f>
        <v>1.2749999999999999</v>
      </c>
      <c r="H7">
        <f>-DEGREES(ATAN($B$1/$F7))</f>
        <v>-11.525816077530681</v>
      </c>
      <c r="I7">
        <f>D7/H7</f>
        <v>28.631378271194833</v>
      </c>
      <c r="J7">
        <f>E7/H7</f>
        <v>45.28963471989001</v>
      </c>
    </row>
    <row r="8" spans="1:14" x14ac:dyDescent="0.35">
      <c r="A8" t="s">
        <v>11</v>
      </c>
    </row>
    <row r="9" spans="1:14" x14ac:dyDescent="0.35">
      <c r="B9">
        <v>1</v>
      </c>
      <c r="C9">
        <v>0.77300000000000002</v>
      </c>
      <c r="D9">
        <f>E$1*25  - G$1</f>
        <v>470</v>
      </c>
      <c r="E9">
        <f>E$2*39.8  - G$2</f>
        <v>862</v>
      </c>
      <c r="F9">
        <f>1.28/2</f>
        <v>0.64</v>
      </c>
      <c r="H9">
        <f>DEGREES(ATAN($B$1/$F9))</f>
        <v>22.109448343751673</v>
      </c>
      <c r="I9">
        <f>D9/H9</f>
        <v>21.257880010960392</v>
      </c>
      <c r="J9">
        <f>E9/H9</f>
        <v>38.987856530740117</v>
      </c>
    </row>
    <row r="10" spans="1:14" x14ac:dyDescent="0.35">
      <c r="B10">
        <v>1</v>
      </c>
      <c r="C10">
        <v>0.81699999999999995</v>
      </c>
      <c r="D10">
        <f>E$1*20  - G$1</f>
        <v>370</v>
      </c>
      <c r="E10">
        <f>E$2*31.1  - G$2</f>
        <v>688</v>
      </c>
      <c r="F10">
        <f>1.7/2</f>
        <v>0.85</v>
      </c>
      <c r="H10">
        <f>DEGREES(ATAN($B$1/$F10))</f>
        <v>17.007946955407327</v>
      </c>
      <c r="I10">
        <f>D10/H10</f>
        <v>21.754536333520615</v>
      </c>
      <c r="J10">
        <f>E10/H10</f>
        <v>40.451678371519414</v>
      </c>
    </row>
    <row r="11" spans="1:14" x14ac:dyDescent="0.35">
      <c r="B11">
        <v>1</v>
      </c>
      <c r="C11">
        <v>0.94899999999999995</v>
      </c>
      <c r="D11">
        <f>E$1*15  - G$1</f>
        <v>270</v>
      </c>
      <c r="E11">
        <f>E$2*22.1  - G$2</f>
        <v>508</v>
      </c>
      <c r="F11">
        <f>2.57/2</f>
        <v>1.2849999999999999</v>
      </c>
      <c r="H11">
        <f>DEGREES(ATAN($B$1/$F11))</f>
        <v>11.438494216779382</v>
      </c>
      <c r="I11">
        <f>D11/H11</f>
        <v>23.604505530450936</v>
      </c>
      <c r="J11">
        <f>E11/H11</f>
        <v>44.411440035070655</v>
      </c>
    </row>
  </sheetData>
  <mergeCells count="2">
    <mergeCell ref="C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74CE-D25D-4251-A9CD-D0D170B82D91}">
  <dimension ref="A1:P43"/>
  <sheetViews>
    <sheetView workbookViewId="0">
      <selection activeCell="J5" sqref="J5"/>
    </sheetView>
  </sheetViews>
  <sheetFormatPr defaultRowHeight="14.5" x14ac:dyDescent="0.35"/>
  <cols>
    <col min="1" max="1" width="18.1796875" customWidth="1"/>
    <col min="2" max="2" width="16.7265625" customWidth="1"/>
    <col min="3" max="3" width="16" customWidth="1"/>
    <col min="4" max="4" width="18.26953125" customWidth="1"/>
    <col min="5" max="5" width="17.81640625" customWidth="1"/>
    <col min="6" max="6" width="16.7265625" customWidth="1"/>
    <col min="7" max="7" width="19" customWidth="1"/>
    <col min="8" max="8" width="13.54296875" customWidth="1"/>
    <col min="9" max="9" width="9.1796875" customWidth="1"/>
    <col min="10" max="10" width="17.54296875" customWidth="1"/>
    <col min="11" max="11" width="15.26953125" customWidth="1"/>
    <col min="12" max="12" width="17.26953125" customWidth="1"/>
    <col min="14" max="14" width="18.453125" customWidth="1"/>
  </cols>
  <sheetData>
    <row r="1" spans="1:16" x14ac:dyDescent="0.35">
      <c r="A1" t="s">
        <v>5</v>
      </c>
      <c r="B1">
        <v>0.26</v>
      </c>
      <c r="E1" s="4" t="s">
        <v>7</v>
      </c>
      <c r="F1" s="4"/>
      <c r="G1">
        <v>20</v>
      </c>
      <c r="N1" t="s">
        <v>14</v>
      </c>
      <c r="O1">
        <v>0.1</v>
      </c>
    </row>
    <row r="2" spans="1:16" x14ac:dyDescent="0.35">
      <c r="E2" s="4" t="s">
        <v>6</v>
      </c>
      <c r="F2" s="4"/>
      <c r="G2">
        <v>40</v>
      </c>
    </row>
    <row r="3" spans="1:16" x14ac:dyDescent="0.35">
      <c r="B3" t="s">
        <v>3</v>
      </c>
      <c r="C3" t="s">
        <v>2</v>
      </c>
      <c r="D3" t="s">
        <v>16</v>
      </c>
      <c r="E3" t="s">
        <v>17</v>
      </c>
      <c r="F3" t="s">
        <v>18</v>
      </c>
      <c r="G3" t="s">
        <v>19</v>
      </c>
      <c r="H3" t="s">
        <v>4</v>
      </c>
      <c r="J3" t="s">
        <v>8</v>
      </c>
      <c r="K3" t="s">
        <v>9</v>
      </c>
      <c r="L3" t="s">
        <v>10</v>
      </c>
      <c r="N3" t="s">
        <v>13</v>
      </c>
      <c r="O3" t="s">
        <v>15</v>
      </c>
    </row>
    <row r="4" spans="1:16" x14ac:dyDescent="0.35">
      <c r="A4" t="s">
        <v>12</v>
      </c>
    </row>
    <row r="5" spans="1:16" x14ac:dyDescent="0.35">
      <c r="B5">
        <v>1</v>
      </c>
      <c r="C5">
        <v>0.83899999999999997</v>
      </c>
      <c r="D5">
        <v>-30</v>
      </c>
      <c r="E5">
        <f>G$1*D5</f>
        <v>-600</v>
      </c>
      <c r="F5">
        <v>-25.7</v>
      </c>
      <c r="G5">
        <f>G$2*F5</f>
        <v>-1028</v>
      </c>
      <c r="H5">
        <f>1.38/2</f>
        <v>0.69</v>
      </c>
      <c r="J5">
        <f>-DEGREES(ATAN($B$1/$H5))</f>
        <v>-20.64699082497037</v>
      </c>
      <c r="K5">
        <f>E5/J5</f>
        <v>29.059924765131534</v>
      </c>
      <c r="L5">
        <f>G5/J5</f>
        <v>49.789337764258697</v>
      </c>
      <c r="N5">
        <f>2*PI()*H5</f>
        <v>4.335397861953914</v>
      </c>
      <c r="O5">
        <f>C5/H5</f>
        <v>1.2159420289855072</v>
      </c>
      <c r="P5">
        <f xml:space="preserve"> DEGREES(ATAN((B1*O5)/C5))</f>
        <v>20.646990824970366</v>
      </c>
    </row>
    <row r="6" spans="1:16" x14ac:dyDescent="0.35">
      <c r="B6">
        <v>1</v>
      </c>
      <c r="C6">
        <v>0.97099999999999997</v>
      </c>
      <c r="D6">
        <v>-20</v>
      </c>
      <c r="E6">
        <f t="shared" ref="E6:E7" si="0">G$1*D6</f>
        <v>-400</v>
      </c>
      <c r="F6">
        <v>-17.2</v>
      </c>
      <c r="G6">
        <f>G$2*F6</f>
        <v>-688</v>
      </c>
      <c r="H6">
        <f>2.06/2</f>
        <v>1.03</v>
      </c>
      <c r="J6">
        <f t="shared" ref="J6:J7" si="1">-DEGREES(ATAN($B$1/$H6))</f>
        <v>-14.1670555226312</v>
      </c>
      <c r="K6">
        <f>E6/J6</f>
        <v>28.234519118035426</v>
      </c>
      <c r="L6">
        <f>G6/J6</f>
        <v>48.563372883020932</v>
      </c>
    </row>
    <row r="7" spans="1:16" x14ac:dyDescent="0.35">
      <c r="B7">
        <v>1</v>
      </c>
      <c r="C7">
        <v>1.0149999999999999</v>
      </c>
      <c r="D7">
        <v>-15</v>
      </c>
      <c r="E7">
        <f t="shared" si="0"/>
        <v>-300</v>
      </c>
      <c r="F7">
        <v>-12.8</v>
      </c>
      <c r="G7">
        <f>G$2*F7</f>
        <v>-512</v>
      </c>
      <c r="H7">
        <f>2.8/2</f>
        <v>1.4</v>
      </c>
      <c r="J7">
        <f t="shared" si="1"/>
        <v>-10.520784313874362</v>
      </c>
      <c r="K7">
        <f>E7/J7</f>
        <v>28.514984344310982</v>
      </c>
      <c r="L7">
        <f>G7/J7</f>
        <v>48.66557328095741</v>
      </c>
    </row>
    <row r="8" spans="1:16" x14ac:dyDescent="0.35">
      <c r="A8" t="s">
        <v>11</v>
      </c>
      <c r="D8">
        <v>0</v>
      </c>
      <c r="F8">
        <v>0</v>
      </c>
      <c r="J8">
        <v>0</v>
      </c>
    </row>
    <row r="9" spans="1:16" x14ac:dyDescent="0.35">
      <c r="B9">
        <v>1</v>
      </c>
      <c r="C9">
        <v>0.751</v>
      </c>
      <c r="D9">
        <v>30</v>
      </c>
      <c r="E9">
        <f>G$1*D9</f>
        <v>600</v>
      </c>
      <c r="F9">
        <v>26.1</v>
      </c>
      <c r="G9">
        <f>G$2*F9</f>
        <v>1044</v>
      </c>
      <c r="H9">
        <f>1.08/2</f>
        <v>0.54</v>
      </c>
      <c r="J9">
        <f>DEGREES(ATAN($B$1/$H9))</f>
        <v>25.709953780811265</v>
      </c>
      <c r="K9">
        <f>E9/J9</f>
        <v>23.337264824171431</v>
      </c>
      <c r="L9">
        <f>G9/J9</f>
        <v>40.606840794058286</v>
      </c>
    </row>
    <row r="10" spans="1:16" x14ac:dyDescent="0.35">
      <c r="B10">
        <v>1</v>
      </c>
      <c r="C10">
        <v>0.90500000000000003</v>
      </c>
      <c r="D10">
        <v>20</v>
      </c>
      <c r="E10">
        <f t="shared" ref="E10:E12" si="2">G$1*D10</f>
        <v>400</v>
      </c>
      <c r="F10">
        <v>17.3</v>
      </c>
      <c r="G10">
        <f t="shared" ref="G10:G12" si="3">G$2*F10</f>
        <v>692</v>
      </c>
      <c r="H10">
        <f>1.66/2</f>
        <v>0.83</v>
      </c>
      <c r="J10">
        <f>DEGREES(ATAN($B$1/$H10))</f>
        <v>17.393322146912038</v>
      </c>
      <c r="K10">
        <f>E10/J10</f>
        <v>22.997331770286042</v>
      </c>
      <c r="L10">
        <f>G10/J10</f>
        <v>39.78538396259485</v>
      </c>
    </row>
    <row r="11" spans="1:16" x14ac:dyDescent="0.35">
      <c r="B11">
        <v>1</v>
      </c>
      <c r="C11">
        <v>0.97099999999999997</v>
      </c>
      <c r="D11">
        <v>15</v>
      </c>
      <c r="E11">
        <f t="shared" si="2"/>
        <v>300</v>
      </c>
      <c r="F11">
        <v>12.9</v>
      </c>
      <c r="G11">
        <f t="shared" si="3"/>
        <v>516</v>
      </c>
      <c r="H11">
        <f>2.28/2</f>
        <v>1.1399999999999999</v>
      </c>
      <c r="J11">
        <f>DEGREES(ATAN($B$1/$H11))</f>
        <v>12.847704858717666</v>
      </c>
      <c r="K11">
        <f>E11/J11</f>
        <v>23.350474135186751</v>
      </c>
      <c r="L11">
        <f>G11/J11</f>
        <v>40.162815512521213</v>
      </c>
    </row>
    <row r="12" spans="1:16" x14ac:dyDescent="0.35">
      <c r="D12">
        <v>0</v>
      </c>
      <c r="E12">
        <f t="shared" si="2"/>
        <v>0</v>
      </c>
      <c r="F12">
        <v>0</v>
      </c>
      <c r="G12">
        <f t="shared" si="3"/>
        <v>0</v>
      </c>
      <c r="J12">
        <v>0</v>
      </c>
    </row>
    <row r="13" spans="1:16" x14ac:dyDescent="0.35">
      <c r="D13" t="s">
        <v>23</v>
      </c>
      <c r="E13" t="s">
        <v>25</v>
      </c>
      <c r="F13" t="s">
        <v>24</v>
      </c>
      <c r="G13" t="s">
        <v>22</v>
      </c>
    </row>
    <row r="14" spans="1:16" x14ac:dyDescent="0.35">
      <c r="A14" s="4" t="s">
        <v>20</v>
      </c>
      <c r="B14" s="4"/>
      <c r="C14" s="1"/>
      <c r="D14">
        <f>ROUND(G1/0.6909, 3)</f>
        <v>28.948</v>
      </c>
      <c r="E14">
        <f>((-0.1062/0.6909)*G1)/D14</f>
        <v>-0.10619908031596446</v>
      </c>
      <c r="F14">
        <f>ROUND(G2/0.8059, 3)</f>
        <v>49.634</v>
      </c>
      <c r="G14">
        <f>INT(-0.1112*(G2/0.8059))</f>
        <v>-6</v>
      </c>
    </row>
    <row r="15" spans="1:16" x14ac:dyDescent="0.35">
      <c r="D15">
        <f>ROUND((E5/D$14)+E$14, 1)</f>
        <v>-20.8</v>
      </c>
      <c r="E15">
        <f>(D15-E$14)*D$14</f>
        <v>-599.04414902301346</v>
      </c>
      <c r="F15">
        <f>ROUND((G5+G$14)/F$14, 2)</f>
        <v>-20.83</v>
      </c>
    </row>
    <row r="16" spans="1:16" x14ac:dyDescent="0.35">
      <c r="D16">
        <f>ROUND((E6/D$14)+E$14, 1)</f>
        <v>-13.9</v>
      </c>
      <c r="E16">
        <f>(D16-E$14)*D$14</f>
        <v>-399.30294902301347</v>
      </c>
      <c r="F16">
        <f>ROUND((G6+G$14)/F$14, 2)</f>
        <v>-13.98</v>
      </c>
    </row>
    <row r="17" spans="1:7" x14ac:dyDescent="0.35">
      <c r="D17">
        <f>ROUND((E7/D$14)+E$14, 1)</f>
        <v>-10.5</v>
      </c>
      <c r="E17">
        <f>(D17-E$14)*D$14</f>
        <v>-300.87974902301346</v>
      </c>
      <c r="F17">
        <f>ROUND((G7+G$14)/F$14, 2)</f>
        <v>-10.44</v>
      </c>
    </row>
    <row r="18" spans="1:7" x14ac:dyDescent="0.35">
      <c r="A18" s="4" t="s">
        <v>21</v>
      </c>
      <c r="B18" s="4"/>
      <c r="D18">
        <f>ROUND(G1/0.859, 3)</f>
        <v>23.283000000000001</v>
      </c>
      <c r="E18">
        <f>((0.0283/0.859)*G1)/D18</f>
        <v>2.8299862745665681E-2</v>
      </c>
      <c r="F18">
        <f>ROUND(G2/0.9878, 3)</f>
        <v>40.494</v>
      </c>
      <c r="G18">
        <f>INT(0.0846*(G2/0.9878))</f>
        <v>3</v>
      </c>
    </row>
    <row r="19" spans="1:7" x14ac:dyDescent="0.35">
      <c r="D19">
        <f>ROUND((E9/D$18)+E$18, 1)</f>
        <v>25.8</v>
      </c>
      <c r="E19">
        <f>(D19-E$18)*D$18</f>
        <v>600.04249429569268</v>
      </c>
      <c r="F19">
        <f>ROUND((G9+G$18)/F$18, 2)</f>
        <v>25.86</v>
      </c>
    </row>
    <row r="20" spans="1:7" x14ac:dyDescent="0.35">
      <c r="D20">
        <f>ROUND((E10/D$18)+E$18, 1)</f>
        <v>17.2</v>
      </c>
      <c r="E20">
        <f>(D20-E$18)*D$18</f>
        <v>399.80869429569265</v>
      </c>
      <c r="F20">
        <f>ROUND((G10+G$18)/F$18, 2)</f>
        <v>17.16</v>
      </c>
    </row>
    <row r="21" spans="1:7" x14ac:dyDescent="0.35">
      <c r="D21">
        <f>ROUND((E11/D$18)+E$18, 1)</f>
        <v>12.9</v>
      </c>
      <c r="E21">
        <f>(D21-E$18)*D$18</f>
        <v>299.69179429569272</v>
      </c>
      <c r="F21">
        <f>ROUND((G11+G$18)/F$18, 2)</f>
        <v>12.82</v>
      </c>
    </row>
    <row r="37" spans="3:4" x14ac:dyDescent="0.35">
      <c r="C37">
        <f>E5/((B5-C5)*19)</f>
        <v>-196.14253023864003</v>
      </c>
    </row>
    <row r="38" spans="3:4" x14ac:dyDescent="0.35">
      <c r="C38">
        <f t="shared" ref="C38:C39" si="4">E6/((B6-C6)*19)</f>
        <v>-725.95281306715003</v>
      </c>
    </row>
    <row r="39" spans="3:4" x14ac:dyDescent="0.35">
      <c r="C39">
        <f t="shared" si="4"/>
        <v>1052.6315789473754</v>
      </c>
    </row>
    <row r="41" spans="3:4" x14ac:dyDescent="0.35">
      <c r="C41">
        <f>E9/((B9-C9)*19)</f>
        <v>126.82308180088776</v>
      </c>
      <c r="D41">
        <f>E9/C41</f>
        <v>4.7309999999999999</v>
      </c>
    </row>
    <row r="42" spans="3:4" x14ac:dyDescent="0.35">
      <c r="C42">
        <f t="shared" ref="C42:C43" si="5">E10/((B10-C10)*19)</f>
        <v>221.60664819944606</v>
      </c>
    </row>
    <row r="43" spans="3:4" x14ac:dyDescent="0.35">
      <c r="C43">
        <f t="shared" si="5"/>
        <v>544.4646098003625</v>
      </c>
    </row>
  </sheetData>
  <mergeCells count="4">
    <mergeCell ref="A14:B14"/>
    <mergeCell ref="A18:B18"/>
    <mergeCell ref="E1:F1"/>
    <mergeCell ref="E2: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A4A-8346-40B7-A4E6-27F88690C6E2}">
  <dimension ref="A1:P39"/>
  <sheetViews>
    <sheetView workbookViewId="0">
      <selection activeCell="E7" sqref="E7"/>
    </sheetView>
  </sheetViews>
  <sheetFormatPr defaultRowHeight="14.5" x14ac:dyDescent="0.35"/>
  <cols>
    <col min="1" max="1" width="18.1796875" customWidth="1"/>
    <col min="2" max="2" width="16.7265625" customWidth="1"/>
    <col min="3" max="3" width="16" customWidth="1"/>
    <col min="4" max="4" width="18.26953125" customWidth="1"/>
    <col min="5" max="5" width="17.81640625" customWidth="1"/>
    <col min="6" max="6" width="16.7265625" customWidth="1"/>
    <col min="7" max="7" width="19" customWidth="1"/>
    <col min="8" max="8" width="13.54296875" customWidth="1"/>
    <col min="10" max="10" width="17.54296875" customWidth="1"/>
    <col min="11" max="11" width="15.26953125" customWidth="1"/>
    <col min="12" max="12" width="17.26953125" customWidth="1"/>
    <col min="14" max="14" width="18.453125" customWidth="1"/>
  </cols>
  <sheetData>
    <row r="1" spans="1:16" x14ac:dyDescent="0.35">
      <c r="A1" t="s">
        <v>5</v>
      </c>
      <c r="B1">
        <v>0.26</v>
      </c>
      <c r="E1" s="4" t="s">
        <v>7</v>
      </c>
      <c r="F1" s="4"/>
      <c r="G1">
        <v>23.283000000000001</v>
      </c>
      <c r="H1">
        <v>28.948</v>
      </c>
      <c r="N1" t="s">
        <v>14</v>
      </c>
      <c r="O1">
        <v>0.1</v>
      </c>
    </row>
    <row r="2" spans="1:16" x14ac:dyDescent="0.35">
      <c r="E2" s="2"/>
      <c r="F2" s="2"/>
      <c r="G2">
        <v>2.8299862745665681E-2</v>
      </c>
      <c r="H2">
        <v>-0.10619908031596446</v>
      </c>
    </row>
    <row r="3" spans="1:16" x14ac:dyDescent="0.35">
      <c r="E3" s="4" t="s">
        <v>6</v>
      </c>
      <c r="F3" s="4"/>
      <c r="G3">
        <v>40.494</v>
      </c>
      <c r="H3">
        <v>49.634</v>
      </c>
    </row>
    <row r="4" spans="1:16" x14ac:dyDescent="0.35">
      <c r="E4" s="2"/>
      <c r="F4" s="2"/>
      <c r="G4">
        <v>3</v>
      </c>
      <c r="H4">
        <v>-6</v>
      </c>
    </row>
    <row r="5" spans="1:16" x14ac:dyDescent="0.35">
      <c r="B5" t="s">
        <v>3</v>
      </c>
      <c r="C5" t="s">
        <v>2</v>
      </c>
      <c r="D5" t="s">
        <v>16</v>
      </c>
      <c r="E5" t="s">
        <v>17</v>
      </c>
      <c r="F5" t="s">
        <v>18</v>
      </c>
      <c r="G5" t="s">
        <v>19</v>
      </c>
      <c r="H5" t="s">
        <v>4</v>
      </c>
      <c r="J5" t="s">
        <v>8</v>
      </c>
      <c r="K5" t="s">
        <v>9</v>
      </c>
      <c r="L5" t="s">
        <v>10</v>
      </c>
      <c r="N5" t="s">
        <v>13</v>
      </c>
      <c r="O5" t="s">
        <v>15</v>
      </c>
    </row>
    <row r="6" spans="1:16" x14ac:dyDescent="0.35">
      <c r="A6" t="s">
        <v>12</v>
      </c>
    </row>
    <row r="7" spans="1:16" x14ac:dyDescent="0.35">
      <c r="B7">
        <v>0.75</v>
      </c>
      <c r="C7">
        <v>0.71</v>
      </c>
      <c r="D7">
        <v>-24</v>
      </c>
      <c r="E7">
        <f>(D7-H$2)*H$1</f>
        <v>-691.67774902301346</v>
      </c>
      <c r="F7">
        <v>-23.9</v>
      </c>
      <c r="G7">
        <f>F7*H$3+H$4</f>
        <v>-1192.2526</v>
      </c>
      <c r="H7">
        <f>1.16/2</f>
        <v>0.57999999999999996</v>
      </c>
      <c r="J7">
        <f>-DEGREES(ATAN($B$1/$H7))</f>
        <v>-24.145541960421657</v>
      </c>
      <c r="K7">
        <f>E7/J7</f>
        <v>28.646188607270947</v>
      </c>
      <c r="L7">
        <f>G7/J7</f>
        <v>49.377752711216409</v>
      </c>
      <c r="N7">
        <f>2*PI()*H7</f>
        <v>3.6442474781641598</v>
      </c>
      <c r="O7">
        <f>C7/H7</f>
        <v>1.2241379310344829</v>
      </c>
      <c r="P7">
        <f xml:space="preserve"> DEGREES(ATAN((B1*O7)/C7))</f>
        <v>24.14554196042166</v>
      </c>
    </row>
    <row r="8" spans="1:16" x14ac:dyDescent="0.35">
      <c r="B8">
        <v>0.75</v>
      </c>
      <c r="C8">
        <v>0.66</v>
      </c>
      <c r="D8">
        <v>-16</v>
      </c>
      <c r="E8">
        <f t="shared" ref="E8:E9" si="0">(D8-H$2)*H$1</f>
        <v>-460.09374902301346</v>
      </c>
      <c r="F8">
        <v>-15.9</v>
      </c>
      <c r="G8">
        <f t="shared" ref="G8:G9" si="1">F8*H$3+H$4</f>
        <v>-795.18060000000003</v>
      </c>
      <c r="H8">
        <f>1.78/2</f>
        <v>0.89</v>
      </c>
      <c r="J8">
        <f t="shared" ref="J8:J9" si="2">-DEGREES(ATAN($B$1/$H8))</f>
        <v>-16.284922471883405</v>
      </c>
      <c r="K8">
        <f>E8/J8</f>
        <v>28.25274420663558</v>
      </c>
      <c r="L8">
        <f>G8/J8</f>
        <v>48.829253032853693</v>
      </c>
    </row>
    <row r="9" spans="1:16" x14ac:dyDescent="0.35">
      <c r="B9">
        <v>0.75</v>
      </c>
      <c r="C9">
        <v>0.66</v>
      </c>
      <c r="D9">
        <v>-8</v>
      </c>
      <c r="E9">
        <f t="shared" si="0"/>
        <v>-228.50974902301346</v>
      </c>
      <c r="F9">
        <v>-7.9</v>
      </c>
      <c r="G9">
        <f t="shared" si="1"/>
        <v>-398.10860000000002</v>
      </c>
      <c r="H9">
        <f>4/2</f>
        <v>2</v>
      </c>
      <c r="J9">
        <f t="shared" si="2"/>
        <v>-7.4069121284952297</v>
      </c>
      <c r="K9">
        <f>E9/J9</f>
        <v>30.850878889721209</v>
      </c>
      <c r="L9">
        <f>G9/J9</f>
        <v>53.748254750914505</v>
      </c>
    </row>
    <row r="10" spans="1:16" x14ac:dyDescent="0.35">
      <c r="A10" t="s">
        <v>11</v>
      </c>
      <c r="D10">
        <v>0</v>
      </c>
      <c r="E10">
        <v>0</v>
      </c>
      <c r="F10">
        <v>0</v>
      </c>
      <c r="G10">
        <v>0</v>
      </c>
      <c r="J10">
        <v>0</v>
      </c>
    </row>
    <row r="11" spans="1:16" x14ac:dyDescent="0.35">
      <c r="B11">
        <v>0.75</v>
      </c>
      <c r="C11">
        <v>0.71</v>
      </c>
      <c r="D11">
        <v>24</v>
      </c>
      <c r="E11">
        <f>(D11-G$2)*G$1</f>
        <v>558.13309429569267</v>
      </c>
      <c r="F11">
        <v>23.7</v>
      </c>
      <c r="G11">
        <f>F11*G$3+G$4</f>
        <v>962.70780000000002</v>
      </c>
      <c r="H11">
        <f>1.1/2</f>
        <v>0.55000000000000004</v>
      </c>
      <c r="J11">
        <f>DEGREES(ATAN($B$1/$H11))</f>
        <v>25.301378625419723</v>
      </c>
      <c r="K11">
        <f>E11/J11</f>
        <v>22.059394571288262</v>
      </c>
      <c r="L11">
        <f>G11/J11</f>
        <v>38.049618333160282</v>
      </c>
    </row>
    <row r="12" spans="1:16" x14ac:dyDescent="0.35">
      <c r="B12">
        <v>0.75</v>
      </c>
      <c r="C12">
        <v>0.71</v>
      </c>
      <c r="D12">
        <v>16</v>
      </c>
      <c r="E12">
        <f t="shared" ref="E12:E13" si="3">(D12-G$2)*G$1</f>
        <v>371.86909429569266</v>
      </c>
      <c r="F12">
        <v>15.7</v>
      </c>
      <c r="G12">
        <f t="shared" ref="G12:G13" si="4">F12*G$3+G$4</f>
        <v>638.75580000000002</v>
      </c>
      <c r="H12">
        <f>1.7/2</f>
        <v>0.85</v>
      </c>
      <c r="J12">
        <f>DEGREES(ATAN($B$1/$H12))</f>
        <v>17.007946955407327</v>
      </c>
      <c r="K12">
        <f>E12/J12</f>
        <v>21.864431684240675</v>
      </c>
      <c r="L12">
        <f>G12/J12</f>
        <v>37.556314214451426</v>
      </c>
    </row>
    <row r="13" spans="1:16" x14ac:dyDescent="0.35">
      <c r="B13">
        <v>0.75</v>
      </c>
      <c r="C13">
        <v>0.71</v>
      </c>
      <c r="D13">
        <v>8</v>
      </c>
      <c r="E13">
        <f t="shared" si="3"/>
        <v>185.60509429569268</v>
      </c>
      <c r="F13">
        <v>7.6</v>
      </c>
      <c r="G13">
        <f t="shared" si="4"/>
        <v>310.75439999999998</v>
      </c>
      <c r="H13">
        <f>3.84/2</f>
        <v>1.92</v>
      </c>
      <c r="J13">
        <f>DEGREES(ATAN($B$1/$H13))</f>
        <v>7.7118924126588828</v>
      </c>
      <c r="K13">
        <f>E13/J13</f>
        <v>24.067386364341189</v>
      </c>
      <c r="L13">
        <f>G13/J13</f>
        <v>40.295479160199932</v>
      </c>
    </row>
    <row r="14" spans="1:16" x14ac:dyDescent="0.35">
      <c r="D14">
        <v>0</v>
      </c>
      <c r="E14">
        <f>H$1*D14</f>
        <v>0</v>
      </c>
      <c r="F14">
        <v>0</v>
      </c>
      <c r="G14">
        <v>0</v>
      </c>
      <c r="J14">
        <v>0</v>
      </c>
    </row>
    <row r="15" spans="1:16" x14ac:dyDescent="0.35">
      <c r="D15" t="s">
        <v>23</v>
      </c>
      <c r="E15" t="s">
        <v>25</v>
      </c>
      <c r="F15" t="s">
        <v>24</v>
      </c>
      <c r="G15" t="s">
        <v>22</v>
      </c>
    </row>
    <row r="16" spans="1:16" x14ac:dyDescent="0.35">
      <c r="A16" s="4" t="s">
        <v>20</v>
      </c>
      <c r="B16" s="4"/>
      <c r="C16" s="1"/>
      <c r="D16">
        <f>ROUND(H1/1.0164, 3)</f>
        <v>28.481000000000002</v>
      </c>
      <c r="E16">
        <f>((0.2379/1.0164)*H1)/D16</f>
        <v>0.2378992735147237</v>
      </c>
      <c r="F16">
        <f>ROUND(H3/1.0203, 3)</f>
        <v>48.646000000000001</v>
      </c>
      <c r="G16">
        <f>INT((0.208/1.0203)*G3)</f>
        <v>8</v>
      </c>
    </row>
    <row r="17" spans="1:11" x14ac:dyDescent="0.35">
      <c r="D17">
        <f>ROUND((E7/D$16)+E$16, 1)</f>
        <v>-24</v>
      </c>
      <c r="E17">
        <f>(D17+E$16)*D$16</f>
        <v>-676.76839079102717</v>
      </c>
      <c r="F17">
        <f>ROUND((G7+G$16)/F$16, 2)</f>
        <v>-24.34</v>
      </c>
      <c r="G17">
        <f>F17*F$16-G$16</f>
        <v>-1192.0436400000001</v>
      </c>
    </row>
    <row r="18" spans="1:11" x14ac:dyDescent="0.35">
      <c r="D18">
        <f>ROUND((E8/D$16)+E$16, 1)</f>
        <v>-15.9</v>
      </c>
      <c r="E18">
        <f>(D18-E$16)*D$16</f>
        <v>-459.62350920897285</v>
      </c>
      <c r="F18">
        <f>ROUND((G8+G$16)/F$16, 2)</f>
        <v>-16.18</v>
      </c>
      <c r="G18">
        <f t="shared" ref="G18:G19" si="5">F18*F$16-G$16</f>
        <v>-795.09227999999996</v>
      </c>
    </row>
    <row r="19" spans="1:11" x14ac:dyDescent="0.35">
      <c r="D19">
        <f>ROUND((E9/D$16)+E$16, 1)</f>
        <v>-7.8</v>
      </c>
      <c r="E19">
        <f>(D19-E$16)*D$16</f>
        <v>-228.92740920897285</v>
      </c>
      <c r="F19">
        <f>ROUND((G9+G$16)/F$16, 2)</f>
        <v>-8.02</v>
      </c>
      <c r="G19">
        <f t="shared" si="5"/>
        <v>-398.14091999999999</v>
      </c>
    </row>
    <row r="20" spans="1:11" x14ac:dyDescent="0.35">
      <c r="A20" s="4" t="s">
        <v>21</v>
      </c>
      <c r="B20" s="4"/>
      <c r="D20">
        <f>ROUND(G1/1.065, 3)</f>
        <v>21.861999999999998</v>
      </c>
      <c r="E20">
        <f>((-0.2747/1.065)*G1)/D20</f>
        <v>-0.27469964605122277</v>
      </c>
      <c r="F20">
        <f>ROUND(G3/1.076, 3)</f>
        <v>37.634</v>
      </c>
      <c r="G20">
        <f>INT((-0.1376/1.076)*G3)</f>
        <v>-6</v>
      </c>
      <c r="J20">
        <f>1/0.0265</f>
        <v>37.735849056603776</v>
      </c>
      <c r="K20">
        <f>-0.1618*J20</f>
        <v>-6.1056603773584905</v>
      </c>
    </row>
    <row r="21" spans="1:11" x14ac:dyDescent="0.35">
      <c r="D21">
        <f>ROUND((E11/D$20)+E$20, 1)</f>
        <v>25.3</v>
      </c>
      <c r="E21">
        <f>(D21-E$20)*D$20</f>
        <v>559.11408366197179</v>
      </c>
      <c r="F21">
        <f>ROUND((G11+G$20)/F$20, 2)</f>
        <v>25.42</v>
      </c>
      <c r="G21">
        <f>F21*F$20-G$20</f>
        <v>962.65628000000004</v>
      </c>
      <c r="J21">
        <f>(K21+K$20)/J$20</f>
        <v>25.3499567</v>
      </c>
      <c r="K21">
        <f>G11</f>
        <v>962.70780000000002</v>
      </c>
    </row>
    <row r="22" spans="1:11" x14ac:dyDescent="0.35">
      <c r="D22">
        <f>ROUND((E12/D$20)+E$20, 1)</f>
        <v>16.7</v>
      </c>
      <c r="E22">
        <f>(D22-E$20)*D$20</f>
        <v>371.10088366197175</v>
      </c>
      <c r="F22">
        <f>ROUND((G12+G$20)/F$20, 2)</f>
        <v>16.809999999999999</v>
      </c>
      <c r="G22">
        <f t="shared" ref="G22:G23" si="6">F22*F$20-G$20</f>
        <v>638.62753999999995</v>
      </c>
      <c r="J22">
        <f t="shared" ref="J22:J24" si="7">(K22+K$20)/J$20</f>
        <v>16.765228699999998</v>
      </c>
      <c r="K22">
        <f t="shared" ref="K22:K24" si="8">G12</f>
        <v>638.75580000000002</v>
      </c>
    </row>
    <row r="23" spans="1:11" x14ac:dyDescent="0.35">
      <c r="D23">
        <f>ROUND((E13/D$20)+E$20, 1)</f>
        <v>8.1999999999999993</v>
      </c>
      <c r="E23">
        <f>(D23-E$20)*D$20</f>
        <v>185.27388366197181</v>
      </c>
      <c r="F23">
        <f>ROUND((G13+G$20)/F$20, 2)</f>
        <v>8.1</v>
      </c>
      <c r="G23">
        <f t="shared" si="6"/>
        <v>310.83539999999999</v>
      </c>
      <c r="J23">
        <f t="shared" si="7"/>
        <v>8.0731915999999977</v>
      </c>
      <c r="K23">
        <f t="shared" si="8"/>
        <v>310.75439999999998</v>
      </c>
    </row>
    <row r="24" spans="1:11" x14ac:dyDescent="0.35">
      <c r="J24">
        <f t="shared" si="7"/>
        <v>-0.1618</v>
      </c>
      <c r="K24">
        <f t="shared" si="8"/>
        <v>0</v>
      </c>
    </row>
    <row r="39" spans="1:1" x14ac:dyDescent="0.35">
      <c r="A39" t="s">
        <v>32</v>
      </c>
    </row>
  </sheetData>
  <mergeCells count="4">
    <mergeCell ref="E1:F1"/>
    <mergeCell ref="E3:F3"/>
    <mergeCell ref="A16:B16"/>
    <mergeCell ref="A20:B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1FF0-D34F-4F39-8F3B-E1E2CF188A7D}">
  <dimension ref="A1:P39"/>
  <sheetViews>
    <sheetView workbookViewId="0">
      <selection activeCell="J7" sqref="J7"/>
    </sheetView>
  </sheetViews>
  <sheetFormatPr defaultRowHeight="14.5" x14ac:dyDescent="0.35"/>
  <cols>
    <col min="1" max="1" width="18.1796875" customWidth="1"/>
    <col min="2" max="2" width="16.7265625" customWidth="1"/>
    <col min="3" max="3" width="16" customWidth="1"/>
    <col min="4" max="4" width="18.26953125" customWidth="1"/>
    <col min="5" max="5" width="17.81640625" customWidth="1"/>
    <col min="6" max="6" width="16.7265625" customWidth="1"/>
    <col min="7" max="7" width="19" customWidth="1"/>
    <col min="8" max="8" width="13.54296875" customWidth="1"/>
    <col min="10" max="10" width="17.54296875" customWidth="1"/>
    <col min="11" max="11" width="15.26953125" customWidth="1"/>
    <col min="12" max="12" width="17.26953125" customWidth="1"/>
    <col min="14" max="14" width="18.453125" customWidth="1"/>
  </cols>
  <sheetData>
    <row r="1" spans="1:16" x14ac:dyDescent="0.35">
      <c r="A1" t="s">
        <v>5</v>
      </c>
      <c r="B1">
        <v>0.26</v>
      </c>
      <c r="E1" s="4" t="s">
        <v>7</v>
      </c>
      <c r="F1" s="4"/>
      <c r="G1">
        <v>21.861999999999998</v>
      </c>
      <c r="H1">
        <v>28.481000000000002</v>
      </c>
      <c r="N1" t="s">
        <v>14</v>
      </c>
      <c r="O1">
        <v>0.1</v>
      </c>
    </row>
    <row r="2" spans="1:16" x14ac:dyDescent="0.35">
      <c r="E2" s="3"/>
      <c r="F2" s="3"/>
      <c r="G2">
        <v>-0.27500000000000002</v>
      </c>
      <c r="H2">
        <v>0.23799999999999999</v>
      </c>
    </row>
    <row r="3" spans="1:16" x14ac:dyDescent="0.35">
      <c r="E3" s="4" t="s">
        <v>6</v>
      </c>
      <c r="F3" s="4"/>
      <c r="G3">
        <v>37.634</v>
      </c>
      <c r="H3">
        <v>48.646000000000001</v>
      </c>
    </row>
    <row r="4" spans="1:16" x14ac:dyDescent="0.35">
      <c r="E4" s="3"/>
      <c r="F4" s="3"/>
      <c r="G4">
        <v>-6</v>
      </c>
      <c r="H4">
        <v>8</v>
      </c>
    </row>
    <row r="5" spans="1:16" x14ac:dyDescent="0.35">
      <c r="B5" t="s">
        <v>3</v>
      </c>
      <c r="C5" t="s">
        <v>2</v>
      </c>
      <c r="D5" t="s">
        <v>16</v>
      </c>
      <c r="E5" t="s">
        <v>17</v>
      </c>
      <c r="F5" t="s">
        <v>18</v>
      </c>
      <c r="G5" t="s">
        <v>19</v>
      </c>
      <c r="H5" t="s">
        <v>4</v>
      </c>
      <c r="J5" t="s">
        <v>8</v>
      </c>
      <c r="K5" t="s">
        <v>9</v>
      </c>
      <c r="L5" t="s">
        <v>10</v>
      </c>
      <c r="N5" t="s">
        <v>13</v>
      </c>
      <c r="O5" t="s">
        <v>15</v>
      </c>
    </row>
    <row r="6" spans="1:16" x14ac:dyDescent="0.35">
      <c r="A6" t="s">
        <v>12</v>
      </c>
    </row>
    <row r="7" spans="1:16" x14ac:dyDescent="0.35">
      <c r="B7">
        <v>0.75</v>
      </c>
      <c r="C7">
        <v>0.75</v>
      </c>
      <c r="D7">
        <v>-24</v>
      </c>
      <c r="E7">
        <f>(D7-H$2)*H$1</f>
        <v>-690.32247800000005</v>
      </c>
      <c r="F7">
        <v>-24.4</v>
      </c>
      <c r="G7">
        <f>F7*H$3-H$4</f>
        <v>-1194.9623999999999</v>
      </c>
      <c r="H7">
        <f>1.18/2</f>
        <v>0.59</v>
      </c>
      <c r="J7">
        <f>-DEGREES(ATAN($B$1/$H7))</f>
        <v>-23.782030423221379</v>
      </c>
      <c r="K7">
        <f>E7/J7</f>
        <v>29.02706226992089</v>
      </c>
      <c r="L7">
        <f>G7/J7</f>
        <v>50.246441482692255</v>
      </c>
      <c r="N7">
        <f>2*PI()*H7</f>
        <v>3.7070793312359558</v>
      </c>
      <c r="O7">
        <f>C7/H7</f>
        <v>1.2711864406779663</v>
      </c>
      <c r="P7">
        <f xml:space="preserve"> DEGREES(ATAN((B1*O7)/C7))</f>
        <v>23.782030423221379</v>
      </c>
    </row>
    <row r="8" spans="1:16" x14ac:dyDescent="0.35">
      <c r="B8">
        <v>0.75</v>
      </c>
      <c r="C8">
        <v>0.71</v>
      </c>
      <c r="D8">
        <v>-16</v>
      </c>
      <c r="E8">
        <f t="shared" ref="E8:E9" si="0">(D8-H$2)*H$1</f>
        <v>-462.47447800000003</v>
      </c>
      <c r="F8">
        <v>-16.2</v>
      </c>
      <c r="G8">
        <f t="shared" ref="G8:G9" si="1">F8*H$3-H$4</f>
        <v>-796.0652</v>
      </c>
      <c r="H8">
        <f>1.8/2</f>
        <v>0.9</v>
      </c>
      <c r="J8">
        <f t="shared" ref="J8:J9" si="2">-DEGREES(ATAN($B$1/$H8))</f>
        <v>-16.113418233089295</v>
      </c>
      <c r="K8">
        <f>E8/J8</f>
        <v>28.701202396043907</v>
      </c>
      <c r="L8">
        <f>G8/J8</f>
        <v>49.403868780943128</v>
      </c>
    </row>
    <row r="9" spans="1:16" x14ac:dyDescent="0.35">
      <c r="B9">
        <v>0.75</v>
      </c>
      <c r="C9">
        <v>0.71</v>
      </c>
      <c r="D9">
        <v>-8</v>
      </c>
      <c r="E9">
        <f t="shared" si="0"/>
        <v>-234.62647799999999</v>
      </c>
      <c r="F9">
        <v>-8</v>
      </c>
      <c r="G9">
        <f t="shared" si="1"/>
        <v>-397.16800000000001</v>
      </c>
      <c r="H9">
        <f>3.78/2</f>
        <v>1.89</v>
      </c>
      <c r="J9">
        <f t="shared" si="2"/>
        <v>-7.8327955662346449</v>
      </c>
      <c r="K9">
        <f>E9/J9</f>
        <v>29.954372741632632</v>
      </c>
      <c r="L9">
        <f>G9/J9</f>
        <v>50.705778880799421</v>
      </c>
    </row>
    <row r="10" spans="1:16" x14ac:dyDescent="0.35">
      <c r="A10" t="s">
        <v>11</v>
      </c>
      <c r="D10">
        <v>0</v>
      </c>
      <c r="E10">
        <v>0</v>
      </c>
      <c r="F10">
        <v>0</v>
      </c>
      <c r="G10">
        <v>0</v>
      </c>
      <c r="J10">
        <v>0</v>
      </c>
    </row>
    <row r="11" spans="1:16" x14ac:dyDescent="0.35">
      <c r="B11">
        <v>0.75</v>
      </c>
      <c r="C11">
        <v>0.71</v>
      </c>
      <c r="D11">
        <v>24</v>
      </c>
      <c r="E11">
        <f>(D11-G$2)*G$1</f>
        <v>530.70004999999992</v>
      </c>
      <c r="F11">
        <v>24.2</v>
      </c>
      <c r="G11">
        <f>F11*G$3-G$4</f>
        <v>916.74279999999999</v>
      </c>
      <c r="H11">
        <f>1.12/2</f>
        <v>0.56000000000000005</v>
      </c>
      <c r="J11">
        <f>DEGREES(ATAN($B$1/$H11))</f>
        <v>24.904768808095184</v>
      </c>
      <c r="K11">
        <f>E11/J11</f>
        <v>21.309173921241069</v>
      </c>
      <c r="L11">
        <f>G11/J11</f>
        <v>36.809930140849843</v>
      </c>
    </row>
    <row r="12" spans="1:16" x14ac:dyDescent="0.35">
      <c r="B12">
        <v>0.75</v>
      </c>
      <c r="C12">
        <v>0.66</v>
      </c>
      <c r="D12">
        <v>16</v>
      </c>
      <c r="E12">
        <f t="shared" ref="E12:E13" si="3">(D12-G$2)*G$1</f>
        <v>355.80404999999996</v>
      </c>
      <c r="F12">
        <v>16.2</v>
      </c>
      <c r="G12">
        <f t="shared" ref="G12:G13" si="4">F12*G$3-G$4</f>
        <v>615.67079999999999</v>
      </c>
      <c r="H12">
        <f>1.8/2</f>
        <v>0.9</v>
      </c>
      <c r="J12">
        <f>DEGREES(ATAN($B$1/$H12))</f>
        <v>16.113418233089295</v>
      </c>
      <c r="K12">
        <f>E12/J12</f>
        <v>22.081227263706698</v>
      </c>
      <c r="L12">
        <f>G12/J12</f>
        <v>38.208578161007765</v>
      </c>
    </row>
    <row r="13" spans="1:16" x14ac:dyDescent="0.35">
      <c r="B13">
        <v>0.75</v>
      </c>
      <c r="C13">
        <v>0.71</v>
      </c>
      <c r="D13">
        <v>8</v>
      </c>
      <c r="E13">
        <f t="shared" si="3"/>
        <v>180.90805</v>
      </c>
      <c r="F13">
        <v>8.1</v>
      </c>
      <c r="G13">
        <f t="shared" si="4"/>
        <v>310.83539999999999</v>
      </c>
      <c r="H13">
        <f>3.86/2</f>
        <v>1.93</v>
      </c>
      <c r="J13">
        <f>DEGREES(ATAN($B$1/$H13))</f>
        <v>7.672411599779549</v>
      </c>
      <c r="K13">
        <f>E13/J13</f>
        <v>23.579033482145043</v>
      </c>
      <c r="L13">
        <f>G13/J13</f>
        <v>40.513389559148678</v>
      </c>
    </row>
    <row r="14" spans="1:16" x14ac:dyDescent="0.35">
      <c r="D14">
        <v>0</v>
      </c>
      <c r="E14">
        <f>H$1*D14</f>
        <v>0</v>
      </c>
      <c r="F14">
        <v>0</v>
      </c>
      <c r="G14">
        <v>0</v>
      </c>
      <c r="J14">
        <v>0</v>
      </c>
    </row>
    <row r="15" spans="1:16" x14ac:dyDescent="0.35">
      <c r="D15" t="s">
        <v>23</v>
      </c>
      <c r="E15" t="s">
        <v>25</v>
      </c>
      <c r="F15" t="s">
        <v>24</v>
      </c>
      <c r="G15" t="s">
        <v>22</v>
      </c>
      <c r="H15" s="4" t="s">
        <v>34</v>
      </c>
      <c r="I15" s="4"/>
      <c r="J15" s="4" t="s">
        <v>35</v>
      </c>
      <c r="K15" s="4"/>
    </row>
    <row r="16" spans="1:16" x14ac:dyDescent="0.35">
      <c r="A16" s="4" t="s">
        <v>20</v>
      </c>
      <c r="B16" s="4"/>
      <c r="C16" s="1"/>
      <c r="D16">
        <f>ROUND(H1/0.9953, 3)</f>
        <v>28.614999999999998</v>
      </c>
      <c r="E16">
        <f>0.0119</f>
        <v>1.1900000000000001E-2</v>
      </c>
      <c r="F16">
        <f>ROUND(H3/0.9782, 3)</f>
        <v>49.73</v>
      </c>
      <c r="G16">
        <f>INT(-0.0471*F16)</f>
        <v>-3</v>
      </c>
      <c r="H16">
        <f>28.864</f>
        <v>28.864000000000001</v>
      </c>
      <c r="I16">
        <f xml:space="preserve"> -1 * -2.4498/H16</f>
        <v>8.4873891352549899E-2</v>
      </c>
      <c r="J16">
        <f>1/0.02</f>
        <v>50</v>
      </c>
      <c r="K16">
        <f>0.0016*J16</f>
        <v>0.08</v>
      </c>
    </row>
    <row r="17" spans="1:11" x14ac:dyDescent="0.35">
      <c r="D17">
        <f>ROUND((E7/D$16)+E$16, 1)</f>
        <v>-24.1</v>
      </c>
      <c r="E17">
        <f>(D17-E$16)*D$16</f>
        <v>-689.9620185</v>
      </c>
      <c r="F17">
        <f>ROUND((G7+G$16)/F$16, 2)</f>
        <v>-24.09</v>
      </c>
      <c r="G17">
        <f>F17*F$16-G$16</f>
        <v>-1194.9956999999999</v>
      </c>
      <c r="H17">
        <f>D7</f>
        <v>-24</v>
      </c>
      <c r="I17">
        <f>(H17-I$16)*H$16</f>
        <v>-695.18580000000009</v>
      </c>
      <c r="J17">
        <f>(K17+K$16)/J$16</f>
        <v>-23.897648</v>
      </c>
      <c r="K17">
        <f>G7</f>
        <v>-1194.9623999999999</v>
      </c>
    </row>
    <row r="18" spans="1:11" x14ac:dyDescent="0.35">
      <c r="D18">
        <f>ROUND((E8/D$16)+E$16, 1)</f>
        <v>-16.2</v>
      </c>
      <c r="E18">
        <f>(D18-E$16)*D$16</f>
        <v>-463.90351849999996</v>
      </c>
      <c r="F18">
        <f>ROUND((G8+G$16)/F$16, 2)</f>
        <v>-16.07</v>
      </c>
      <c r="G18">
        <f t="shared" ref="G18:G19" si="5">F18*F$16-G$16</f>
        <v>-796.16109999999992</v>
      </c>
      <c r="H18">
        <f t="shared" ref="H18:H23" si="6">D8</f>
        <v>-16</v>
      </c>
      <c r="I18">
        <f t="shared" ref="I18:I19" si="7">(H18-I$16)*H$16</f>
        <v>-464.27380000000005</v>
      </c>
      <c r="J18">
        <f t="shared" ref="J18:J19" si="8">(K18+K$16)/J$16</f>
        <v>-15.919703999999999</v>
      </c>
      <c r="K18">
        <f t="shared" ref="K18:K19" si="9">G8</f>
        <v>-796.0652</v>
      </c>
    </row>
    <row r="19" spans="1:11" x14ac:dyDescent="0.35">
      <c r="D19">
        <f>ROUND((E9/D$16)+E$16, 1)</f>
        <v>-8.1999999999999993</v>
      </c>
      <c r="E19">
        <f>(D19-E$16)*D$16</f>
        <v>-234.98351849999997</v>
      </c>
      <c r="F19">
        <f>ROUND((G9+G$16)/F$16, 2)</f>
        <v>-8.0500000000000007</v>
      </c>
      <c r="G19">
        <f t="shared" si="5"/>
        <v>-397.32650000000001</v>
      </c>
      <c r="H19">
        <f t="shared" si="6"/>
        <v>-8</v>
      </c>
      <c r="I19">
        <f t="shared" si="7"/>
        <v>-233.36179999999999</v>
      </c>
      <c r="J19">
        <f t="shared" si="8"/>
        <v>-7.9417600000000004</v>
      </c>
      <c r="K19">
        <f t="shared" si="9"/>
        <v>-397.16800000000001</v>
      </c>
    </row>
    <row r="20" spans="1:11" x14ac:dyDescent="0.35">
      <c r="A20" s="4" t="s">
        <v>21</v>
      </c>
      <c r="B20" s="4"/>
      <c r="D20">
        <f>ROUND(G1/1.0394, 3)</f>
        <v>21.033000000000001</v>
      </c>
      <c r="E20">
        <f>-0.3006</f>
        <v>-0.30059999999999998</v>
      </c>
      <c r="F20">
        <f>ROUND(G3/1.0303, 3)</f>
        <v>36.527000000000001</v>
      </c>
      <c r="G20">
        <f>INT(-0.3202*F20)</f>
        <v>-12</v>
      </c>
      <c r="H20">
        <f>21.224</f>
        <v>21.224</v>
      </c>
      <c r="I20">
        <f xml:space="preserve"> -1 * 8.4962/H20</f>
        <v>-0.40031096871466265</v>
      </c>
      <c r="J20">
        <f>1/0.0272</f>
        <v>36.764705882352942</v>
      </c>
      <c r="K20">
        <f>-0.3667*J20</f>
        <v>-13.481617647058824</v>
      </c>
    </row>
    <row r="21" spans="1:11" x14ac:dyDescent="0.35">
      <c r="D21">
        <f>ROUND((E11/D$20)+E$20, 1)</f>
        <v>24.9</v>
      </c>
      <c r="E21">
        <f>(D21-E$20)*D$20</f>
        <v>530.04421979999995</v>
      </c>
      <c r="F21">
        <f>ROUND((G11+G$20)/F$20, 2)</f>
        <v>24.77</v>
      </c>
      <c r="G21">
        <f>F21*F$20-G$20</f>
        <v>916.77378999999996</v>
      </c>
      <c r="H21">
        <f t="shared" si="6"/>
        <v>24</v>
      </c>
      <c r="I21">
        <f>(H21-I$20)*H$20</f>
        <v>517.87220000000002</v>
      </c>
      <c r="J21">
        <f>(K21+K$20)/J$20</f>
        <v>24.568704159999999</v>
      </c>
      <c r="K21">
        <f>G11</f>
        <v>916.74279999999999</v>
      </c>
    </row>
    <row r="22" spans="1:11" x14ac:dyDescent="0.35">
      <c r="D22">
        <f>ROUND((E12/D$20)+E$20, 1)</f>
        <v>16.600000000000001</v>
      </c>
      <c r="E22">
        <f>(D22-E$20)*D$20</f>
        <v>355.47031980000003</v>
      </c>
      <c r="F22">
        <f>ROUND((G12+G$20)/F$20, 2)</f>
        <v>16.53</v>
      </c>
      <c r="G22">
        <f t="shared" ref="G22:G23" si="10">F22*F$20-G$20</f>
        <v>615.79131000000007</v>
      </c>
      <c r="H22">
        <f t="shared" si="6"/>
        <v>16</v>
      </c>
      <c r="I22">
        <f t="shared" ref="I22:I23" si="11">(H22-I$20)*H$20</f>
        <v>348.08019999999999</v>
      </c>
      <c r="J22">
        <f t="shared" ref="J22:J23" si="12">(K22+K$20)/J$20</f>
        <v>16.379545759999999</v>
      </c>
      <c r="K22">
        <f t="shared" ref="K22:K23" si="13">G12</f>
        <v>615.67079999999999</v>
      </c>
    </row>
    <row r="23" spans="1:11" x14ac:dyDescent="0.35">
      <c r="D23">
        <f>ROUND((E13/D$20)+E$20, 1)</f>
        <v>8.3000000000000007</v>
      </c>
      <c r="E23">
        <f>(D23-E$20)*D$20</f>
        <v>180.89641980000002</v>
      </c>
      <c r="F23">
        <f>ROUND((G13+G$20)/F$20, 2)</f>
        <v>8.18</v>
      </c>
      <c r="G23">
        <f t="shared" si="10"/>
        <v>310.79086000000001</v>
      </c>
      <c r="H23">
        <f t="shared" si="6"/>
        <v>8</v>
      </c>
      <c r="I23">
        <f t="shared" si="11"/>
        <v>178.28820000000002</v>
      </c>
      <c r="J23">
        <f t="shared" si="12"/>
        <v>8.0880228799999987</v>
      </c>
      <c r="K23">
        <f t="shared" si="13"/>
        <v>310.83539999999999</v>
      </c>
    </row>
    <row r="39" spans="1:1" x14ac:dyDescent="0.35">
      <c r="A39" t="s">
        <v>33</v>
      </c>
    </row>
  </sheetData>
  <mergeCells count="6">
    <mergeCell ref="J15:K15"/>
    <mergeCell ref="E1:F1"/>
    <mergeCell ref="E3:F3"/>
    <mergeCell ref="A16:B16"/>
    <mergeCell ref="A20:B20"/>
    <mergeCell ref="H15:I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BD99-88C8-4AF2-8FA0-696F9099B5EE}">
  <dimension ref="A1:P39"/>
  <sheetViews>
    <sheetView topLeftCell="B22" workbookViewId="0">
      <selection activeCell="J7" sqref="J7"/>
    </sheetView>
  </sheetViews>
  <sheetFormatPr defaultRowHeight="14.5" x14ac:dyDescent="0.35"/>
  <cols>
    <col min="1" max="1" width="18.1796875" customWidth="1"/>
    <col min="2" max="2" width="16.7265625" customWidth="1"/>
    <col min="3" max="3" width="16" customWidth="1"/>
    <col min="4" max="4" width="18.26953125" customWidth="1"/>
    <col min="5" max="5" width="17.81640625" customWidth="1"/>
    <col min="6" max="6" width="16.7265625" customWidth="1"/>
    <col min="7" max="7" width="19" customWidth="1"/>
    <col min="8" max="8" width="13.54296875" customWidth="1"/>
    <col min="10" max="10" width="17.54296875" customWidth="1"/>
    <col min="11" max="11" width="15.26953125" customWidth="1"/>
    <col min="12" max="12" width="17.26953125" customWidth="1"/>
    <col min="14" max="14" width="18.453125" customWidth="1"/>
  </cols>
  <sheetData>
    <row r="1" spans="1:16" x14ac:dyDescent="0.35">
      <c r="A1" t="s">
        <v>5</v>
      </c>
      <c r="B1">
        <v>0.26</v>
      </c>
      <c r="E1" s="4" t="s">
        <v>7</v>
      </c>
      <c r="F1" s="4"/>
      <c r="G1">
        <v>21.033000000000001</v>
      </c>
      <c r="H1">
        <v>28.864000000000001</v>
      </c>
      <c r="N1" t="s">
        <v>14</v>
      </c>
      <c r="O1">
        <v>0.1</v>
      </c>
    </row>
    <row r="2" spans="1:16" x14ac:dyDescent="0.35">
      <c r="E2" s="3"/>
      <c r="F2" s="3"/>
      <c r="G2">
        <v>-0.30099999999999999</v>
      </c>
      <c r="H2">
        <v>8.5000000000000006E-2</v>
      </c>
    </row>
    <row r="3" spans="1:16" x14ac:dyDescent="0.35">
      <c r="E3" s="4" t="s">
        <v>6</v>
      </c>
      <c r="F3" s="4"/>
      <c r="G3">
        <v>36.765000000000001</v>
      </c>
      <c r="H3">
        <v>50</v>
      </c>
    </row>
    <row r="4" spans="1:16" x14ac:dyDescent="0.35">
      <c r="E4" s="3"/>
      <c r="F4" s="3"/>
      <c r="G4">
        <v>-13</v>
      </c>
      <c r="H4">
        <v>0</v>
      </c>
    </row>
    <row r="5" spans="1:16" x14ac:dyDescent="0.35">
      <c r="B5" t="s">
        <v>3</v>
      </c>
      <c r="C5" t="s">
        <v>2</v>
      </c>
      <c r="D5" t="s">
        <v>16</v>
      </c>
      <c r="E5" t="s">
        <v>17</v>
      </c>
      <c r="F5" t="s">
        <v>18</v>
      </c>
      <c r="G5" t="s">
        <v>19</v>
      </c>
      <c r="H5" t="s">
        <v>4</v>
      </c>
      <c r="J5" t="s">
        <v>8</v>
      </c>
      <c r="K5" t="s">
        <v>9</v>
      </c>
      <c r="L5" t="s">
        <v>10</v>
      </c>
      <c r="N5" t="s">
        <v>13</v>
      </c>
      <c r="O5" t="s">
        <v>15</v>
      </c>
    </row>
    <row r="6" spans="1:16" x14ac:dyDescent="0.35">
      <c r="A6" t="s">
        <v>12</v>
      </c>
    </row>
    <row r="7" spans="1:16" x14ac:dyDescent="0.35">
      <c r="B7">
        <v>0.75</v>
      </c>
      <c r="C7">
        <v>0.71</v>
      </c>
      <c r="D7">
        <v>-24</v>
      </c>
      <c r="E7">
        <f>(D7-H$2)*H$1</f>
        <v>-695.18943999999999</v>
      </c>
      <c r="F7">
        <v>-24</v>
      </c>
      <c r="G7">
        <f>F7*H$3-H$4</f>
        <v>-1200</v>
      </c>
      <c r="H7">
        <f>1.17/2</f>
        <v>0.58499999999999996</v>
      </c>
      <c r="J7">
        <f>-DEGREES(ATAN($B$1/$H7))</f>
        <v>-23.962488974578186</v>
      </c>
      <c r="K7">
        <f>E7/J7</f>
        <v>29.011570573387711</v>
      </c>
      <c r="L7">
        <f>G7/J7</f>
        <v>50.078270302933909</v>
      </c>
      <c r="N7">
        <f>2*PI()*H7</f>
        <v>3.6756634047000576</v>
      </c>
      <c r="O7">
        <f>C7/H7</f>
        <v>1.2136752136752136</v>
      </c>
      <c r="P7">
        <f xml:space="preserve"> DEGREES(ATAN((B1*O7)/C7))</f>
        <v>23.962488974578182</v>
      </c>
    </row>
    <row r="8" spans="1:16" x14ac:dyDescent="0.35">
      <c r="B8">
        <v>0.75</v>
      </c>
      <c r="D8">
        <v>-16</v>
      </c>
      <c r="E8">
        <f t="shared" ref="E8:E9" si="0">(D8-H$2)*H$1</f>
        <v>-464.27744000000001</v>
      </c>
      <c r="G8">
        <f t="shared" ref="G8:G9" si="1">F8*H$3-H$4</f>
        <v>0</v>
      </c>
      <c r="J8" t="e">
        <f t="shared" ref="J8:J9" si="2">-DEGREES(ATAN($B$1/$H8))</f>
        <v>#DIV/0!</v>
      </c>
      <c r="K8" t="e">
        <f>E8/J8</f>
        <v>#DIV/0!</v>
      </c>
      <c r="L8" t="e">
        <f>G8/J8</f>
        <v>#DIV/0!</v>
      </c>
    </row>
    <row r="9" spans="1:16" x14ac:dyDescent="0.35">
      <c r="B9">
        <v>0.75</v>
      </c>
      <c r="D9">
        <v>-8</v>
      </c>
      <c r="E9">
        <f t="shared" si="0"/>
        <v>-233.36544000000004</v>
      </c>
      <c r="G9">
        <f t="shared" si="1"/>
        <v>0</v>
      </c>
      <c r="J9" t="e">
        <f t="shared" si="2"/>
        <v>#DIV/0!</v>
      </c>
      <c r="K9" t="e">
        <f>E9/J9</f>
        <v>#DIV/0!</v>
      </c>
      <c r="L9" t="e">
        <f>G9/J9</f>
        <v>#DIV/0!</v>
      </c>
    </row>
    <row r="10" spans="1:16" x14ac:dyDescent="0.35">
      <c r="A10" t="s">
        <v>11</v>
      </c>
      <c r="D10">
        <v>0</v>
      </c>
      <c r="E10">
        <v>0</v>
      </c>
      <c r="F10">
        <v>0</v>
      </c>
      <c r="G10">
        <v>0</v>
      </c>
      <c r="J10">
        <v>0</v>
      </c>
    </row>
    <row r="11" spans="1:16" x14ac:dyDescent="0.35">
      <c r="B11">
        <v>0.75</v>
      </c>
      <c r="D11">
        <v>24</v>
      </c>
      <c r="E11">
        <f>(D11-G$2)*G$1</f>
        <v>511.12293299999999</v>
      </c>
      <c r="G11">
        <f>F11*G$3-G$4</f>
        <v>13</v>
      </c>
      <c r="J11" t="e">
        <f>DEGREES(ATAN($B$1/$H11))</f>
        <v>#DIV/0!</v>
      </c>
      <c r="K11" t="e">
        <f>E11/J11</f>
        <v>#DIV/0!</v>
      </c>
      <c r="L11" t="e">
        <f>G11/J11</f>
        <v>#DIV/0!</v>
      </c>
    </row>
    <row r="12" spans="1:16" x14ac:dyDescent="0.35">
      <c r="B12">
        <v>0.75</v>
      </c>
      <c r="D12">
        <v>16</v>
      </c>
      <c r="E12">
        <f t="shared" ref="E12:E13" si="3">(D12-G$2)*G$1</f>
        <v>342.85893299999998</v>
      </c>
      <c r="G12">
        <f t="shared" ref="G12:G13" si="4">F12*G$3-G$4</f>
        <v>13</v>
      </c>
      <c r="J12" t="e">
        <f>DEGREES(ATAN($B$1/$H12))</f>
        <v>#DIV/0!</v>
      </c>
      <c r="K12" t="e">
        <f>E12/J12</f>
        <v>#DIV/0!</v>
      </c>
      <c r="L12" t="e">
        <f>G12/J12</f>
        <v>#DIV/0!</v>
      </c>
    </row>
    <row r="13" spans="1:16" x14ac:dyDescent="0.35">
      <c r="B13">
        <v>0.75</v>
      </c>
      <c r="C13">
        <v>0.71</v>
      </c>
      <c r="D13">
        <v>8</v>
      </c>
      <c r="E13">
        <f t="shared" si="3"/>
        <v>174.59493300000003</v>
      </c>
      <c r="F13">
        <v>7.7</v>
      </c>
      <c r="G13">
        <f t="shared" si="4"/>
        <v>296.09050000000002</v>
      </c>
      <c r="H13">
        <f>4.04/2</f>
        <v>2.02</v>
      </c>
      <c r="J13">
        <f>DEGREES(ATAN($B$1/$H13))</f>
        <v>7.3343788014167046</v>
      </c>
      <c r="K13">
        <f>E13/J13</f>
        <v>23.805006221696015</v>
      </c>
      <c r="L13">
        <f>G13/J13</f>
        <v>40.370221939287802</v>
      </c>
    </row>
    <row r="14" spans="1:16" x14ac:dyDescent="0.35">
      <c r="D14">
        <v>0</v>
      </c>
      <c r="E14">
        <f>H$1*D14</f>
        <v>0</v>
      </c>
      <c r="F14">
        <v>0</v>
      </c>
      <c r="G14">
        <v>0</v>
      </c>
      <c r="J14">
        <v>0</v>
      </c>
    </row>
    <row r="15" spans="1:16" x14ac:dyDescent="0.35">
      <c r="D15" t="s">
        <v>23</v>
      </c>
      <c r="E15" t="s">
        <v>25</v>
      </c>
      <c r="F15" t="s">
        <v>24</v>
      </c>
      <c r="G15" t="s">
        <v>22</v>
      </c>
      <c r="H15" s="4" t="s">
        <v>34</v>
      </c>
      <c r="I15" s="4"/>
      <c r="J15" s="4" t="s">
        <v>35</v>
      </c>
      <c r="K15" s="4"/>
    </row>
    <row r="16" spans="1:16" x14ac:dyDescent="0.35">
      <c r="A16" s="4" t="s">
        <v>20</v>
      </c>
      <c r="B16" s="4"/>
      <c r="C16" s="1"/>
      <c r="D16">
        <f>ROUND(H1/0.9953, 3)</f>
        <v>29</v>
      </c>
      <c r="E16">
        <f>0.0119</f>
        <v>1.1900000000000001E-2</v>
      </c>
      <c r="F16">
        <f>ROUND(H3/0.9782, 3)</f>
        <v>51.113999999999997</v>
      </c>
      <c r="G16">
        <f>INT(-0.0471*F16)</f>
        <v>-3</v>
      </c>
      <c r="H16">
        <f>28.864</f>
        <v>28.864000000000001</v>
      </c>
      <c r="I16">
        <f xml:space="preserve"> -1 * -2.4498/H16</f>
        <v>8.4873891352549899E-2</v>
      </c>
      <c r="J16">
        <f>1/0.02</f>
        <v>50</v>
      </c>
      <c r="K16">
        <f>0.0016*J16</f>
        <v>0.08</v>
      </c>
    </row>
    <row r="17" spans="1:11" x14ac:dyDescent="0.35">
      <c r="D17">
        <f>ROUND((E7/D$16)+E$16, 1)</f>
        <v>-24</v>
      </c>
      <c r="E17">
        <f>(D17-E$16)*D$16</f>
        <v>-696.3451</v>
      </c>
      <c r="F17">
        <f>ROUND((G7+G$16)/F$16, 2)</f>
        <v>-23.54</v>
      </c>
      <c r="G17">
        <f>F17*F$16-G$16</f>
        <v>-1200.2235599999999</v>
      </c>
      <c r="H17">
        <f>D7</f>
        <v>-24</v>
      </c>
      <c r="I17">
        <f>(H17-I$16)*H$16</f>
        <v>-695.18580000000009</v>
      </c>
      <c r="J17">
        <f>(K17+K$16)/J$16</f>
        <v>-23.9984</v>
      </c>
      <c r="K17">
        <f>G7</f>
        <v>-1200</v>
      </c>
    </row>
    <row r="18" spans="1:11" x14ac:dyDescent="0.35">
      <c r="D18">
        <f>ROUND((E8/D$16)+E$16, 1)</f>
        <v>-16</v>
      </c>
      <c r="E18">
        <f>(D18-E$16)*D$16</f>
        <v>-464.3451</v>
      </c>
      <c r="F18">
        <f>ROUND((G8+G$16)/F$16, 2)</f>
        <v>-0.06</v>
      </c>
      <c r="G18">
        <f t="shared" ref="G18:G19" si="5">F18*F$16-G$16</f>
        <v>-6.6839999999999566E-2</v>
      </c>
      <c r="H18">
        <f t="shared" ref="H18:H23" si="6">D8</f>
        <v>-16</v>
      </c>
      <c r="I18">
        <f t="shared" ref="I18:I19" si="7">(H18-I$16)*H$16</f>
        <v>-464.27380000000005</v>
      </c>
      <c r="J18">
        <f t="shared" ref="J18:J19" si="8">(K18+K$16)/J$16</f>
        <v>1.6000000000000001E-3</v>
      </c>
      <c r="K18">
        <f t="shared" ref="K18:K19" si="9">G8</f>
        <v>0</v>
      </c>
    </row>
    <row r="19" spans="1:11" x14ac:dyDescent="0.35">
      <c r="D19">
        <f>ROUND((E9/D$16)+E$16, 1)</f>
        <v>-8</v>
      </c>
      <c r="E19">
        <f>(D19-E$16)*D$16</f>
        <v>-232.34510000000003</v>
      </c>
      <c r="F19">
        <f>ROUND((G9+G$16)/F$16, 2)</f>
        <v>-0.06</v>
      </c>
      <c r="G19">
        <f t="shared" si="5"/>
        <v>-6.6839999999999566E-2</v>
      </c>
      <c r="H19">
        <f t="shared" si="6"/>
        <v>-8</v>
      </c>
      <c r="I19">
        <f t="shared" si="7"/>
        <v>-233.36179999999999</v>
      </c>
      <c r="J19">
        <f t="shared" si="8"/>
        <v>1.6000000000000001E-3</v>
      </c>
      <c r="K19">
        <f t="shared" si="9"/>
        <v>0</v>
      </c>
    </row>
    <row r="20" spans="1:11" x14ac:dyDescent="0.35">
      <c r="A20" s="4" t="s">
        <v>21</v>
      </c>
      <c r="B20" s="4"/>
      <c r="D20">
        <f>ROUND(G1/1.0394, 3)</f>
        <v>20.236000000000001</v>
      </c>
      <c r="E20">
        <f>-0.3006</f>
        <v>-0.30059999999999998</v>
      </c>
      <c r="F20">
        <f>ROUND(G3/1.0303, 3)</f>
        <v>35.683999999999997</v>
      </c>
      <c r="G20">
        <f>INT(-0.3202*F20)</f>
        <v>-12</v>
      </c>
      <c r="H20">
        <f>21.224</f>
        <v>21.224</v>
      </c>
      <c r="I20">
        <f xml:space="preserve"> -1 * 8.4962/H20</f>
        <v>-0.40031096871466265</v>
      </c>
      <c r="J20">
        <f>1/0.0272</f>
        <v>36.764705882352942</v>
      </c>
      <c r="K20">
        <f>-0.3667*J20</f>
        <v>-13.481617647058824</v>
      </c>
    </row>
    <row r="21" spans="1:11" x14ac:dyDescent="0.35">
      <c r="D21">
        <f>ROUND((E11/D$20)+E$20, 1)</f>
        <v>25</v>
      </c>
      <c r="E21">
        <f>(D21-E$20)*D$20</f>
        <v>511.9829416</v>
      </c>
      <c r="F21">
        <f>ROUND((G11+G$20)/F$20, 2)</f>
        <v>0.03</v>
      </c>
      <c r="G21">
        <f>F21*F$20-G$20</f>
        <v>13.07052</v>
      </c>
      <c r="H21">
        <f t="shared" si="6"/>
        <v>24</v>
      </c>
      <c r="I21">
        <f>(H21-I$20)*H$20</f>
        <v>517.87220000000002</v>
      </c>
      <c r="J21">
        <f>(K21+K$20)/J$20</f>
        <v>-1.310000000000002E-2</v>
      </c>
      <c r="K21">
        <f>G11</f>
        <v>13</v>
      </c>
    </row>
    <row r="22" spans="1:11" x14ac:dyDescent="0.35">
      <c r="D22">
        <f>ROUND((E12/D$20)+E$20, 1)</f>
        <v>16.600000000000001</v>
      </c>
      <c r="E22">
        <f>(D22-E$20)*D$20</f>
        <v>342.00054160000002</v>
      </c>
      <c r="F22">
        <f>ROUND((G12+G$20)/F$20, 2)</f>
        <v>0.03</v>
      </c>
      <c r="G22">
        <f t="shared" ref="G22:G23" si="10">F22*F$20-G$20</f>
        <v>13.07052</v>
      </c>
      <c r="H22">
        <f t="shared" si="6"/>
        <v>16</v>
      </c>
      <c r="I22">
        <f t="shared" ref="I22:I23" si="11">(H22-I$20)*H$20</f>
        <v>348.08019999999999</v>
      </c>
      <c r="J22">
        <f t="shared" ref="J22:J23" si="12">(K22+K$20)/J$20</f>
        <v>-1.310000000000002E-2</v>
      </c>
      <c r="K22">
        <f t="shared" ref="K22:K23" si="13">G12</f>
        <v>13</v>
      </c>
    </row>
    <row r="23" spans="1:11" x14ac:dyDescent="0.35">
      <c r="D23">
        <f>ROUND((E13/D$20)+E$20, 1)</f>
        <v>8.3000000000000007</v>
      </c>
      <c r="E23">
        <f>(D23-E$20)*D$20</f>
        <v>174.04174159999999</v>
      </c>
      <c r="F23">
        <f>ROUND((G13+G$20)/F$20, 2)</f>
        <v>7.96</v>
      </c>
      <c r="G23">
        <f t="shared" si="10"/>
        <v>296.04463999999996</v>
      </c>
      <c r="H23">
        <f t="shared" si="6"/>
        <v>8</v>
      </c>
      <c r="I23">
        <f t="shared" si="11"/>
        <v>178.28820000000002</v>
      </c>
      <c r="J23">
        <f t="shared" si="12"/>
        <v>7.6869616000000001</v>
      </c>
      <c r="K23">
        <f t="shared" si="13"/>
        <v>296.09050000000002</v>
      </c>
    </row>
    <row r="39" spans="1:1" x14ac:dyDescent="0.35">
      <c r="A39" t="s">
        <v>33</v>
      </c>
    </row>
  </sheetData>
  <mergeCells count="6">
    <mergeCell ref="A20:B20"/>
    <mergeCell ref="E1:F1"/>
    <mergeCell ref="E3:F3"/>
    <mergeCell ref="H15:I15"/>
    <mergeCell ref="J15:K15"/>
    <mergeCell ref="A16:B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D591-4B41-446F-8D24-BF35E250CCB8}">
  <dimension ref="A1:J37"/>
  <sheetViews>
    <sheetView topLeftCell="F37" workbookViewId="0">
      <selection activeCell="O42" sqref="O42"/>
    </sheetView>
  </sheetViews>
  <sheetFormatPr defaultRowHeight="14.5" x14ac:dyDescent="0.35"/>
  <cols>
    <col min="5" max="5" width="9.1796875" customWidth="1"/>
    <col min="8" max="8" width="12.1796875" customWidth="1"/>
  </cols>
  <sheetData>
    <row r="1" spans="1:10" x14ac:dyDescent="0.35">
      <c r="C1" t="s">
        <v>39</v>
      </c>
      <c r="D1" t="s">
        <v>40</v>
      </c>
      <c r="E1" t="s">
        <v>38</v>
      </c>
      <c r="H1" t="s">
        <v>39</v>
      </c>
      <c r="I1" t="s">
        <v>40</v>
      </c>
      <c r="J1" t="s">
        <v>38</v>
      </c>
    </row>
    <row r="2" spans="1:10" x14ac:dyDescent="0.35">
      <c r="C2">
        <v>-0.1275</v>
      </c>
      <c r="D2">
        <v>25.619</v>
      </c>
      <c r="E2">
        <v>-12.317</v>
      </c>
      <c r="H2">
        <f>2*10^-6</f>
        <v>1.9999999999999999E-6</v>
      </c>
      <c r="I2">
        <v>2.3099999999999999E-2</v>
      </c>
      <c r="J2">
        <v>0.35299999999999998</v>
      </c>
    </row>
    <row r="3" spans="1:10" x14ac:dyDescent="0.35">
      <c r="A3" t="s">
        <v>41</v>
      </c>
      <c r="B3" t="s">
        <v>37</v>
      </c>
      <c r="C3" t="s">
        <v>42</v>
      </c>
      <c r="D3" t="s">
        <v>43</v>
      </c>
      <c r="F3" t="s">
        <v>36</v>
      </c>
      <c r="G3" t="s">
        <v>41</v>
      </c>
      <c r="H3" t="s">
        <v>42</v>
      </c>
      <c r="I3" t="s">
        <v>43</v>
      </c>
    </row>
    <row r="4" spans="1:10" x14ac:dyDescent="0.35">
      <c r="A4">
        <f>G4</f>
        <v>-21.501434324047903</v>
      </c>
      <c r="B4" cm="1">
        <f t="array" ref="B4:B10">Sheet1!D5:D11</f>
        <v>-630</v>
      </c>
      <c r="C4">
        <f>C$2*(A4^2) + D$2*A4 + E$2</f>
        <v>-622.10698489167976</v>
      </c>
      <c r="D4">
        <f>B4-C4</f>
        <v>-7.8930151083202418</v>
      </c>
      <c r="F4" cm="1">
        <f t="array" ref="F4:F10">Sheet1!E5:E11</f>
        <v>-1040</v>
      </c>
      <c r="G4" cm="1">
        <f t="array" ref="G4:G10">Sheet1!H5:H11</f>
        <v>-21.501434324047903</v>
      </c>
      <c r="H4">
        <f t="shared" ref="H4:H17" si="0">H$2*(F4^2) + I$2*F4 + J$2</f>
        <v>-21.507799999999996</v>
      </c>
      <c r="I4">
        <f>G4-H4</f>
        <v>6.3656759520931416E-3</v>
      </c>
    </row>
    <row r="5" spans="1:10" x14ac:dyDescent="0.35">
      <c r="A5">
        <f t="shared" ref="A5:A32" si="1">G5</f>
        <v>-15.154068050312599</v>
      </c>
      <c r="B5">
        <v>-430</v>
      </c>
      <c r="C5">
        <f t="shared" ref="C5:C32" si="2">C$2*(A5^2) + D$2*A5 + E$2</f>
        <v>-429.82890613633037</v>
      </c>
      <c r="D5">
        <f t="shared" ref="D5:D32" si="3">B5-C5</f>
        <v>-0.17109386366962553</v>
      </c>
      <c r="F5">
        <v>-694</v>
      </c>
      <c r="G5">
        <v>-15.154068050312599</v>
      </c>
      <c r="H5">
        <f t="shared" si="0"/>
        <v>-14.715127999999998</v>
      </c>
      <c r="I5">
        <f t="shared" ref="I5:I34" si="4">G5-H5</f>
        <v>-0.43894005031260086</v>
      </c>
    </row>
    <row r="6" spans="1:10" x14ac:dyDescent="0.35">
      <c r="A6">
        <f t="shared" si="1"/>
        <v>-11.525816077530681</v>
      </c>
      <c r="B6">
        <v>-330</v>
      </c>
      <c r="C6">
        <f t="shared" si="2"/>
        <v>-324.53454771252427</v>
      </c>
      <c r="D6">
        <f t="shared" si="3"/>
        <v>-5.4654522874757276</v>
      </c>
      <c r="F6">
        <v>-522</v>
      </c>
      <c r="G6">
        <v>-11.525816077530681</v>
      </c>
      <c r="H6">
        <f t="shared" si="0"/>
        <v>-11.160231999999999</v>
      </c>
      <c r="I6">
        <f t="shared" si="4"/>
        <v>-0.36558407753068245</v>
      </c>
    </row>
    <row r="7" spans="1:10" x14ac:dyDescent="0.35">
      <c r="A7">
        <f t="shared" si="1"/>
        <v>0</v>
      </c>
      <c r="B7">
        <v>0</v>
      </c>
      <c r="C7">
        <f t="shared" si="2"/>
        <v>-12.317</v>
      </c>
      <c r="F7">
        <v>0</v>
      </c>
      <c r="G7">
        <v>0</v>
      </c>
      <c r="H7">
        <f t="shared" si="0"/>
        <v>0.35299999999999998</v>
      </c>
    </row>
    <row r="8" spans="1:10" x14ac:dyDescent="0.35">
      <c r="A8">
        <f t="shared" si="1"/>
        <v>22.109448343751673</v>
      </c>
      <c r="B8">
        <v>470</v>
      </c>
      <c r="C8">
        <f t="shared" si="2"/>
        <v>491.77942459528361</v>
      </c>
      <c r="D8">
        <f t="shared" si="3"/>
        <v>-21.779424595283615</v>
      </c>
      <c r="F8">
        <v>862</v>
      </c>
      <c r="G8">
        <v>22.109448343751673</v>
      </c>
      <c r="H8">
        <f t="shared" si="0"/>
        <v>21.751287999999999</v>
      </c>
      <c r="I8">
        <f t="shared" si="4"/>
        <v>0.35816034375167405</v>
      </c>
    </row>
    <row r="9" spans="1:10" x14ac:dyDescent="0.35">
      <c r="A9">
        <f t="shared" si="1"/>
        <v>17.007946955407327</v>
      </c>
      <c r="B9">
        <v>370</v>
      </c>
      <c r="C9">
        <f t="shared" si="2"/>
        <v>386.52763494674178</v>
      </c>
      <c r="D9">
        <f t="shared" si="3"/>
        <v>-16.527634946741784</v>
      </c>
      <c r="F9">
        <v>688</v>
      </c>
      <c r="G9">
        <v>17.007946955407327</v>
      </c>
      <c r="H9">
        <f t="shared" si="0"/>
        <v>17.192488000000001</v>
      </c>
      <c r="I9">
        <f t="shared" si="4"/>
        <v>-0.18454104459267384</v>
      </c>
    </row>
    <row r="10" spans="1:10" x14ac:dyDescent="0.35">
      <c r="A10">
        <f t="shared" si="1"/>
        <v>11.438494216779382</v>
      </c>
      <c r="B10">
        <v>270</v>
      </c>
      <c r="C10">
        <f t="shared" si="2"/>
        <v>264.04379172139085</v>
      </c>
      <c r="D10">
        <f t="shared" si="3"/>
        <v>5.9562082786091537</v>
      </c>
      <c r="F10">
        <v>508</v>
      </c>
      <c r="G10">
        <v>11.438494216779382</v>
      </c>
      <c r="H10">
        <f t="shared" si="0"/>
        <v>12.603928</v>
      </c>
      <c r="I10">
        <f t="shared" si="4"/>
        <v>-1.1654337832206174</v>
      </c>
    </row>
    <row r="11" spans="1:10" x14ac:dyDescent="0.35">
      <c r="A11">
        <f t="shared" si="1"/>
        <v>-20.64699082497037</v>
      </c>
      <c r="B11" cm="1">
        <f t="array" ref="B11:B17">Sheet2!E5:E11</f>
        <v>-600</v>
      </c>
      <c r="C11">
        <f t="shared" si="2"/>
        <v>-595.62528228603333</v>
      </c>
      <c r="D11">
        <f t="shared" si="3"/>
        <v>-4.3747177139666746</v>
      </c>
      <c r="F11" cm="1">
        <f t="array" ref="F11:F17">Sheet2!G5:G11</f>
        <v>-1028</v>
      </c>
      <c r="G11" cm="1">
        <f t="array" ref="G11:G17">Sheet2!J5:J11</f>
        <v>-20.64699082497037</v>
      </c>
      <c r="H11">
        <f t="shared" si="0"/>
        <v>-21.280231999999998</v>
      </c>
      <c r="I11">
        <f t="shared" si="4"/>
        <v>0.63324117502962807</v>
      </c>
    </row>
    <row r="12" spans="1:10" x14ac:dyDescent="0.35">
      <c r="A12">
        <f t="shared" si="1"/>
        <v>-14.1670555226312</v>
      </c>
      <c r="B12">
        <v>-400</v>
      </c>
      <c r="C12">
        <f t="shared" si="2"/>
        <v>-400.85274186240639</v>
      </c>
      <c r="D12">
        <f t="shared" si="3"/>
        <v>0.85274186240638983</v>
      </c>
      <c r="F12">
        <v>-688</v>
      </c>
      <c r="G12">
        <v>-14.1670555226312</v>
      </c>
      <c r="H12">
        <f t="shared" si="0"/>
        <v>-14.593112</v>
      </c>
      <c r="I12">
        <f t="shared" si="4"/>
        <v>0.42605647736879959</v>
      </c>
    </row>
    <row r="13" spans="1:10" x14ac:dyDescent="0.35">
      <c r="A13">
        <f t="shared" si="1"/>
        <v>-10.520784313874362</v>
      </c>
      <c r="B13">
        <v>-300</v>
      </c>
      <c r="C13">
        <f t="shared" si="2"/>
        <v>-295.96155341597807</v>
      </c>
      <c r="D13">
        <f t="shared" si="3"/>
        <v>-4.0384465840219264</v>
      </c>
      <c r="F13">
        <v>-512</v>
      </c>
      <c r="G13">
        <v>-10.520784313874362</v>
      </c>
      <c r="H13">
        <f t="shared" si="0"/>
        <v>-10.949911999999999</v>
      </c>
      <c r="I13">
        <f t="shared" si="4"/>
        <v>0.42912768612563745</v>
      </c>
    </row>
    <row r="14" spans="1:10" x14ac:dyDescent="0.35">
      <c r="A14">
        <f t="shared" si="1"/>
        <v>0</v>
      </c>
      <c r="B14">
        <v>0</v>
      </c>
      <c r="C14">
        <f t="shared" si="2"/>
        <v>-12.317</v>
      </c>
      <c r="F14">
        <v>0</v>
      </c>
      <c r="G14">
        <v>0</v>
      </c>
      <c r="H14">
        <f t="shared" si="0"/>
        <v>0.35299999999999998</v>
      </c>
    </row>
    <row r="15" spans="1:10" x14ac:dyDescent="0.35">
      <c r="A15">
        <f t="shared" si="1"/>
        <v>25.709953780811265</v>
      </c>
      <c r="B15">
        <v>600</v>
      </c>
      <c r="C15">
        <f t="shared" si="2"/>
        <v>562.06858617564365</v>
      </c>
      <c r="D15">
        <f t="shared" si="3"/>
        <v>37.931413824356355</v>
      </c>
      <c r="F15">
        <v>1044</v>
      </c>
      <c r="G15">
        <v>25.709953780811265</v>
      </c>
      <c r="H15">
        <f t="shared" si="0"/>
        <v>26.649272</v>
      </c>
      <c r="I15">
        <f t="shared" si="4"/>
        <v>-0.93931821918873482</v>
      </c>
    </row>
    <row r="16" spans="1:10" x14ac:dyDescent="0.35">
      <c r="A16">
        <f t="shared" si="1"/>
        <v>17.393322146912038</v>
      </c>
      <c r="B16">
        <v>400</v>
      </c>
      <c r="C16">
        <f t="shared" si="2"/>
        <v>394.71024403019123</v>
      </c>
      <c r="D16">
        <f t="shared" si="3"/>
        <v>5.2897559698087662</v>
      </c>
      <c r="F16">
        <v>692</v>
      </c>
      <c r="G16">
        <v>17.393322146912038</v>
      </c>
      <c r="H16">
        <f t="shared" si="0"/>
        <v>17.295928</v>
      </c>
      <c r="I16">
        <f t="shared" si="4"/>
        <v>9.7394146912037627E-2</v>
      </c>
    </row>
    <row r="17" spans="1:9" x14ac:dyDescent="0.35">
      <c r="A17">
        <f t="shared" si="1"/>
        <v>12.847704858717666</v>
      </c>
      <c r="B17">
        <v>300</v>
      </c>
      <c r="C17">
        <f t="shared" si="2"/>
        <v>295.78275195805639</v>
      </c>
      <c r="D17">
        <f t="shared" si="3"/>
        <v>4.2172480419436056</v>
      </c>
      <c r="F17">
        <v>516</v>
      </c>
      <c r="G17">
        <v>12.847704858717666</v>
      </c>
      <c r="H17">
        <f t="shared" si="0"/>
        <v>12.805111999999999</v>
      </c>
      <c r="I17">
        <f t="shared" si="4"/>
        <v>4.2592858717666715E-2</v>
      </c>
    </row>
    <row r="19" spans="1:9" x14ac:dyDescent="0.35">
      <c r="A19">
        <f t="shared" si="1"/>
        <v>-24.145541960421657</v>
      </c>
      <c r="B19" cm="1">
        <f t="array" ref="B19:B25">Sheet4!E7:E13</f>
        <v>-691.67774902301346</v>
      </c>
      <c r="C19">
        <f t="shared" si="2"/>
        <v>-705.23505704575905</v>
      </c>
      <c r="D19">
        <f t="shared" si="3"/>
        <v>13.557308022745588</v>
      </c>
      <c r="F19" cm="1">
        <f t="array" ref="F19:F25">Sheet4!G7:G13</f>
        <v>-1192.2526</v>
      </c>
      <c r="G19" cm="1">
        <f t="array" ref="G19:G25">Sheet4!J7:J13</f>
        <v>-24.145541960421657</v>
      </c>
      <c r="H19">
        <f t="shared" ref="H19:H34" si="5">H$2*(F19^2) + I$2*F19 + J$2</f>
        <v>-24.345102535586477</v>
      </c>
      <c r="I19">
        <f t="shared" si="4"/>
        <v>0.19956057516482062</v>
      </c>
    </row>
    <row r="20" spans="1:9" x14ac:dyDescent="0.35">
      <c r="A20">
        <f t="shared" si="1"/>
        <v>-16.284922471883405</v>
      </c>
      <c r="B20">
        <v>-460.09374902301346</v>
      </c>
      <c r="C20">
        <f t="shared" si="2"/>
        <v>-463.33326304637575</v>
      </c>
      <c r="D20">
        <f t="shared" si="3"/>
        <v>3.2395140233622897</v>
      </c>
      <c r="F20">
        <v>-795.18060000000003</v>
      </c>
      <c r="G20">
        <v>-16.284922471883405</v>
      </c>
      <c r="H20">
        <f t="shared" si="5"/>
        <v>-16.751047486767277</v>
      </c>
      <c r="I20">
        <f t="shared" si="4"/>
        <v>0.46612501488387181</v>
      </c>
    </row>
    <row r="21" spans="1:9" x14ac:dyDescent="0.35">
      <c r="A21">
        <f t="shared" si="1"/>
        <v>-7.4069121284952297</v>
      </c>
      <c r="B21">
        <v>-228.50974902301346</v>
      </c>
      <c r="C21">
        <f t="shared" si="2"/>
        <v>-209.06963109802365</v>
      </c>
      <c r="D21">
        <f t="shared" si="3"/>
        <v>-19.440117924989806</v>
      </c>
      <c r="F21">
        <v>-398.10860000000002</v>
      </c>
      <c r="G21">
        <v>-7.4069121284952297</v>
      </c>
      <c r="H21">
        <f t="shared" si="5"/>
        <v>-8.5263277452120807</v>
      </c>
      <c r="I21">
        <f t="shared" si="4"/>
        <v>1.119415616716851</v>
      </c>
    </row>
    <row r="22" spans="1:9" x14ac:dyDescent="0.35">
      <c r="A22">
        <f t="shared" si="1"/>
        <v>0</v>
      </c>
      <c r="B22">
        <v>0</v>
      </c>
      <c r="C22">
        <f t="shared" si="2"/>
        <v>-12.317</v>
      </c>
      <c r="F22">
        <v>0</v>
      </c>
      <c r="G22">
        <v>0</v>
      </c>
      <c r="H22">
        <f t="shared" si="5"/>
        <v>0.35299999999999998</v>
      </c>
    </row>
    <row r="23" spans="1:9" x14ac:dyDescent="0.35">
      <c r="A23">
        <f t="shared" si="1"/>
        <v>25.301378625419723</v>
      </c>
      <c r="B23">
        <v>558.13309429569267</v>
      </c>
      <c r="C23">
        <f t="shared" si="2"/>
        <v>554.25864956040493</v>
      </c>
      <c r="D23">
        <f t="shared" si="3"/>
        <v>3.8744447352877387</v>
      </c>
      <c r="F23">
        <v>962.70780000000002</v>
      </c>
      <c r="G23">
        <v>25.301378625419723</v>
      </c>
      <c r="H23">
        <f t="shared" si="5"/>
        <v>24.445162796361682</v>
      </c>
      <c r="I23">
        <f t="shared" si="4"/>
        <v>0.85621582905804061</v>
      </c>
    </row>
    <row r="24" spans="1:9" x14ac:dyDescent="0.35">
      <c r="A24">
        <f t="shared" si="1"/>
        <v>17.007946955407327</v>
      </c>
      <c r="B24">
        <v>371.86909429569266</v>
      </c>
      <c r="C24">
        <f t="shared" si="2"/>
        <v>386.52763494674178</v>
      </c>
      <c r="D24">
        <f t="shared" si="3"/>
        <v>-14.658540651049123</v>
      </c>
      <c r="F24">
        <v>638.75580000000002</v>
      </c>
      <c r="G24">
        <v>17.007946955407327</v>
      </c>
      <c r="H24">
        <f t="shared" si="5"/>
        <v>15.92427692406728</v>
      </c>
      <c r="I24">
        <f t="shared" si="4"/>
        <v>1.0836700313400467</v>
      </c>
    </row>
    <row r="25" spans="1:9" x14ac:dyDescent="0.35">
      <c r="A25">
        <f t="shared" si="1"/>
        <v>7.7118924126588828</v>
      </c>
      <c r="B25">
        <v>185.60509429569268</v>
      </c>
      <c r="C25">
        <f t="shared" si="2"/>
        <v>177.67112793539366</v>
      </c>
      <c r="D25">
        <f t="shared" si="3"/>
        <v>7.9339663602990242</v>
      </c>
      <c r="F25">
        <v>310.75439999999998</v>
      </c>
      <c r="G25">
        <v>7.7118924126588828</v>
      </c>
      <c r="H25">
        <f t="shared" si="5"/>
        <v>7.724563234238718</v>
      </c>
      <c r="I25">
        <f t="shared" si="4"/>
        <v>-1.2670821579835234E-2</v>
      </c>
    </row>
    <row r="26" spans="1:9" x14ac:dyDescent="0.35">
      <c r="A26">
        <f t="shared" si="1"/>
        <v>-23.782030423221379</v>
      </c>
      <c r="B26" cm="1">
        <f t="array" ref="B26:B32">Sheet5!E7:E13</f>
        <v>-690.32247800000005</v>
      </c>
      <c r="C26">
        <f t="shared" si="2"/>
        <v>-693.70092122151448</v>
      </c>
      <c r="D26">
        <f t="shared" si="3"/>
        <v>3.3784432215144307</v>
      </c>
      <c r="F26" cm="1">
        <f t="array" ref="F26:F32">Sheet5!G7:G13</f>
        <v>-1194.9623999999999</v>
      </c>
      <c r="G26" cm="1">
        <f t="array" ref="G26:G32">Sheet5!J7:J13</f>
        <v>-23.782030423221379</v>
      </c>
      <c r="H26">
        <f t="shared" si="5"/>
        <v>-24.394761165172476</v>
      </c>
      <c r="I26">
        <f t="shared" si="4"/>
        <v>0.612730741951097</v>
      </c>
    </row>
    <row r="27" spans="1:9" x14ac:dyDescent="0.35">
      <c r="A27">
        <f t="shared" si="1"/>
        <v>-16.113418233089295</v>
      </c>
      <c r="B27">
        <v>-462.47447800000003</v>
      </c>
      <c r="C27">
        <f t="shared" si="2"/>
        <v>-458.23104822570758</v>
      </c>
      <c r="D27">
        <f t="shared" si="3"/>
        <v>-4.2434297742924514</v>
      </c>
      <c r="F27">
        <v>-796.0652</v>
      </c>
      <c r="G27">
        <v>-16.113418233089295</v>
      </c>
      <c r="H27">
        <f t="shared" si="5"/>
        <v>-16.768666514697919</v>
      </c>
      <c r="I27">
        <f t="shared" si="4"/>
        <v>0.65524828160862469</v>
      </c>
    </row>
    <row r="28" spans="1:9" x14ac:dyDescent="0.35">
      <c r="A28">
        <f t="shared" si="1"/>
        <v>-7.8327955662346449</v>
      </c>
      <c r="B28">
        <v>-234.62647799999999</v>
      </c>
      <c r="C28">
        <f t="shared" si="2"/>
        <v>-220.80785712512457</v>
      </c>
      <c r="D28">
        <f t="shared" si="3"/>
        <v>-13.818620874875421</v>
      </c>
      <c r="F28">
        <v>-397.16800000000001</v>
      </c>
      <c r="G28">
        <v>-7.8327955662346449</v>
      </c>
      <c r="H28">
        <f t="shared" si="5"/>
        <v>-8.5060959595519989</v>
      </c>
      <c r="I28">
        <f t="shared" si="4"/>
        <v>0.67330039331735403</v>
      </c>
    </row>
    <row r="29" spans="1:9" x14ac:dyDescent="0.35">
      <c r="A29">
        <f t="shared" si="1"/>
        <v>0</v>
      </c>
      <c r="B29">
        <v>0</v>
      </c>
      <c r="C29">
        <f t="shared" si="2"/>
        <v>-12.317</v>
      </c>
      <c r="F29">
        <v>0</v>
      </c>
      <c r="G29">
        <v>0</v>
      </c>
      <c r="H29">
        <f t="shared" si="5"/>
        <v>0.35299999999999998</v>
      </c>
    </row>
    <row r="30" spans="1:9" x14ac:dyDescent="0.35">
      <c r="A30">
        <f t="shared" si="1"/>
        <v>24.904768808095184</v>
      </c>
      <c r="B30">
        <v>530.70004999999992</v>
      </c>
      <c r="C30">
        <f t="shared" si="2"/>
        <v>546.63671464804497</v>
      </c>
      <c r="D30">
        <f t="shared" si="3"/>
        <v>-15.936664648045053</v>
      </c>
      <c r="F30">
        <v>916.74279999999999</v>
      </c>
      <c r="G30">
        <v>24.904768808095184</v>
      </c>
      <c r="H30">
        <f t="shared" si="5"/>
        <v>23.21059340270368</v>
      </c>
      <c r="I30">
        <f t="shared" si="4"/>
        <v>1.6941754053915048</v>
      </c>
    </row>
    <row r="31" spans="1:9" x14ac:dyDescent="0.35">
      <c r="A31">
        <f t="shared" si="1"/>
        <v>16.113418233089295</v>
      </c>
      <c r="B31">
        <v>355.80404999999996</v>
      </c>
      <c r="C31">
        <f t="shared" si="2"/>
        <v>367.38827520132168</v>
      </c>
      <c r="D31">
        <f t="shared" si="3"/>
        <v>-11.584225201321715</v>
      </c>
      <c r="F31">
        <v>615.67079999999999</v>
      </c>
      <c r="G31">
        <v>16.113418233089295</v>
      </c>
      <c r="H31">
        <f t="shared" si="5"/>
        <v>15.333096547945278</v>
      </c>
      <c r="I31">
        <f t="shared" si="4"/>
        <v>0.7803216851440169</v>
      </c>
    </row>
    <row r="32" spans="1:9" x14ac:dyDescent="0.35">
      <c r="A32">
        <f t="shared" si="1"/>
        <v>7.672411599779549</v>
      </c>
      <c r="B32">
        <v>180.90805</v>
      </c>
      <c r="C32">
        <f t="shared" si="2"/>
        <v>176.73711055580722</v>
      </c>
      <c r="D32">
        <f t="shared" si="3"/>
        <v>4.1709394441927827</v>
      </c>
      <c r="F32">
        <v>310.83539999999999</v>
      </c>
      <c r="G32">
        <v>7.672411599779549</v>
      </c>
      <c r="H32">
        <f t="shared" si="5"/>
        <v>7.7265350317863195</v>
      </c>
      <c r="I32">
        <f t="shared" si="4"/>
        <v>-5.41234320067705E-2</v>
      </c>
    </row>
    <row r="33" spans="3:9" x14ac:dyDescent="0.35">
      <c r="F33">
        <f>Sheet6!G7</f>
        <v>-1200</v>
      </c>
      <c r="G33">
        <f>Sheet6!J7</f>
        <v>-23.962488974578186</v>
      </c>
      <c r="H33">
        <f t="shared" si="5"/>
        <v>-24.486999999999998</v>
      </c>
      <c r="I33">
        <f t="shared" si="4"/>
        <v>0.5245110254218126</v>
      </c>
    </row>
    <row r="34" spans="3:9" x14ac:dyDescent="0.35">
      <c r="F34">
        <f>Sheet6!G13</f>
        <v>296.09050000000002</v>
      </c>
      <c r="G34">
        <f>Sheet6!J13</f>
        <v>7.3343788014167046</v>
      </c>
      <c r="H34">
        <f t="shared" si="5"/>
        <v>7.3680297183804999</v>
      </c>
      <c r="I34">
        <f t="shared" si="4"/>
        <v>-3.3650916963795297E-2</v>
      </c>
    </row>
    <row r="36" spans="3:9" x14ac:dyDescent="0.35">
      <c r="C36" t="s">
        <v>44</v>
      </c>
      <c r="D36">
        <f>AVERAGE(D4:D32)</f>
        <v>-2.0637250162302934</v>
      </c>
      <c r="H36" t="s">
        <v>44</v>
      </c>
      <c r="I36">
        <f>AVERAGE(I4:I34)</f>
        <v>0.28707502378691796</v>
      </c>
    </row>
    <row r="37" spans="3:9" x14ac:dyDescent="0.35">
      <c r="C37" t="s">
        <v>45</v>
      </c>
      <c r="D37" cm="1">
        <f t="array" ref="D37">MAX(ABS(D4:D32))</f>
        <v>37.931413824356355</v>
      </c>
      <c r="H37" t="s">
        <v>45</v>
      </c>
      <c r="I37" cm="1">
        <f t="array" ref="I37">MAX(ABS(I4:I34))</f>
        <v>1.6941754053915048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A831-E68C-4DCD-B9AD-487A66005F89}">
  <dimension ref="A1:I10"/>
  <sheetViews>
    <sheetView workbookViewId="0">
      <selection activeCell="D4" sqref="D4:D10"/>
    </sheetView>
  </sheetViews>
  <sheetFormatPr defaultRowHeight="14.5" x14ac:dyDescent="0.35"/>
  <sheetData>
    <row r="1" spans="1:9" x14ac:dyDescent="0.35">
      <c r="A1">
        <v>0.26</v>
      </c>
      <c r="C1" t="s">
        <v>39</v>
      </c>
      <c r="D1" t="s">
        <v>40</v>
      </c>
      <c r="E1" t="s">
        <v>38</v>
      </c>
      <c r="G1" t="s">
        <v>39</v>
      </c>
      <c r="H1" t="s">
        <v>40</v>
      </c>
      <c r="I1" t="s">
        <v>38</v>
      </c>
    </row>
    <row r="2" spans="1:9" x14ac:dyDescent="0.35">
      <c r="C2">
        <v>-0.1275</v>
      </c>
      <c r="D2">
        <v>25.619</v>
      </c>
      <c r="E2">
        <v>-12.317</v>
      </c>
      <c r="G2">
        <f>2*10^-6</f>
        <v>1.9999999999999999E-6</v>
      </c>
      <c r="H2">
        <v>2.3099999999999999E-2</v>
      </c>
      <c r="I2">
        <v>0.35299999999999998</v>
      </c>
    </row>
    <row r="3" spans="1:9" x14ac:dyDescent="0.35">
      <c r="C3">
        <v>-0.153</v>
      </c>
      <c r="D3">
        <v>25.42</v>
      </c>
      <c r="E3">
        <v>-11.547000000000001</v>
      </c>
      <c r="G3">
        <v>3.0000000000000001E-6</v>
      </c>
      <c r="H3">
        <v>2.3599999999999999E-2</v>
      </c>
      <c r="I3">
        <v>0.49840000000000001</v>
      </c>
    </row>
    <row r="4" spans="1:9" x14ac:dyDescent="0.35">
      <c r="B4">
        <v>0.75</v>
      </c>
      <c r="C4">
        <v>24</v>
      </c>
      <c r="D4">
        <f>C$2*(C4^2) + D$2*C4 + E$2</f>
        <v>529.09899999999993</v>
      </c>
      <c r="E4">
        <v>23.4</v>
      </c>
      <c r="F4">
        <f>(-H$2 + SQRT((H$2^2) - 4*G$2*(I$2-E4))) / (2*G$2)</f>
        <v>923.81519374881714</v>
      </c>
      <c r="G4">
        <f>1.1/2</f>
        <v>0.55000000000000004</v>
      </c>
      <c r="I4">
        <f>DEGREES(ATAN($A$1/G4))</f>
        <v>25.301378625419723</v>
      </c>
    </row>
    <row r="5" spans="1:9" x14ac:dyDescent="0.35">
      <c r="B5">
        <v>0.75</v>
      </c>
      <c r="C5">
        <v>16</v>
      </c>
      <c r="D5">
        <f>C$2*(C5^2) + D$2*C5 + E$2</f>
        <v>364.947</v>
      </c>
      <c r="E5">
        <v>15.5</v>
      </c>
      <c r="F5">
        <f>(-H$2 + SQRT((H$2^2) - 4*G$2*(I$2-E5))) / (2*G$2)</f>
        <v>622.19665165922424</v>
      </c>
      <c r="G5">
        <f>1.76/2</f>
        <v>0.88</v>
      </c>
      <c r="I5">
        <f>DEGREES(ATAN($A$1/G5))</f>
        <v>16.460014812040036</v>
      </c>
    </row>
    <row r="6" spans="1:9" x14ac:dyDescent="0.35">
      <c r="B6">
        <v>0.75</v>
      </c>
      <c r="C6">
        <v>8</v>
      </c>
      <c r="D6">
        <f t="shared" ref="D6:D10" si="0">C$2*(C6^2) + D$2*C6 + E$2</f>
        <v>184.47499999999999</v>
      </c>
      <c r="E6">
        <v>7.9</v>
      </c>
      <c r="F6">
        <f t="shared" ref="F6:F10" si="1">(-H$2 + SQRT((H$2^2) - 4*G$2*(I$2-E6))) / (2*G$2)</f>
        <v>317.95699968414311</v>
      </c>
      <c r="G6">
        <f>3.9/2</f>
        <v>1.95</v>
      </c>
      <c r="I6">
        <f>DEGREES(ATAN($A$1/G6))</f>
        <v>7.594643368591445</v>
      </c>
    </row>
    <row r="7" spans="1:9" x14ac:dyDescent="0.35">
      <c r="C7">
        <v>0</v>
      </c>
      <c r="D7">
        <v>0</v>
      </c>
      <c r="E7">
        <v>-0.2</v>
      </c>
      <c r="F7">
        <v>0</v>
      </c>
      <c r="I7">
        <v>0</v>
      </c>
    </row>
    <row r="8" spans="1:9" x14ac:dyDescent="0.35">
      <c r="B8">
        <v>0.75</v>
      </c>
      <c r="C8">
        <v>-8</v>
      </c>
      <c r="D8">
        <f t="shared" si="0"/>
        <v>-225.429</v>
      </c>
      <c r="E8">
        <v>-8.1999999999999993</v>
      </c>
      <c r="F8">
        <f t="shared" si="1"/>
        <v>-382.95725165313644</v>
      </c>
      <c r="G8">
        <f>4.1/2</f>
        <v>2.0499999999999998</v>
      </c>
      <c r="I8">
        <f>-DEGREES(ATAN($A$1/G8))</f>
        <v>-7.2281899099778375</v>
      </c>
    </row>
    <row r="9" spans="1:9" x14ac:dyDescent="0.35">
      <c r="B9">
        <v>0.75</v>
      </c>
      <c r="C9">
        <v>-16</v>
      </c>
      <c r="D9">
        <f t="shared" si="0"/>
        <v>-454.86099999999999</v>
      </c>
      <c r="E9">
        <v>-16.5</v>
      </c>
      <c r="F9">
        <f t="shared" si="1"/>
        <v>-782.59326576850344</v>
      </c>
      <c r="G9">
        <f>1.84/2</f>
        <v>0.92</v>
      </c>
      <c r="I9">
        <f>-DEGREES(ATAN($A$1/G9))</f>
        <v>-15.780753309515388</v>
      </c>
    </row>
    <row r="10" spans="1:9" x14ac:dyDescent="0.35">
      <c r="B10">
        <v>0.75</v>
      </c>
      <c r="C10">
        <v>-24</v>
      </c>
      <c r="D10">
        <f t="shared" si="0"/>
        <v>-700.61300000000006</v>
      </c>
      <c r="E10">
        <v>-24.6</v>
      </c>
      <c r="F10">
        <f t="shared" si="1"/>
        <v>-1206.179036118838</v>
      </c>
      <c r="G10">
        <f>1.17/2</f>
        <v>0.58499999999999996</v>
      </c>
      <c r="I10">
        <f>-DEGREES(ATAN($A$1/G10))</f>
        <v>-23.962488974578186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7DB1-49DD-4E92-8DFF-9E3EB2E883AC}">
  <dimension ref="A1:I11"/>
  <sheetViews>
    <sheetView topLeftCell="A10" workbookViewId="0">
      <selection activeCell="A8" sqref="A8"/>
    </sheetView>
  </sheetViews>
  <sheetFormatPr defaultRowHeight="14.5" x14ac:dyDescent="0.35"/>
  <sheetData>
    <row r="1" spans="1:9" x14ac:dyDescent="0.35">
      <c r="A1">
        <v>0.26</v>
      </c>
      <c r="C1" t="s">
        <v>39</v>
      </c>
      <c r="D1" t="s">
        <v>40</v>
      </c>
      <c r="E1" t="s">
        <v>38</v>
      </c>
      <c r="G1" t="s">
        <v>39</v>
      </c>
      <c r="H1" t="s">
        <v>40</v>
      </c>
      <c r="I1" t="s">
        <v>38</v>
      </c>
    </row>
    <row r="2" spans="1:9" x14ac:dyDescent="0.35">
      <c r="C2">
        <v>-0.153</v>
      </c>
      <c r="D2">
        <v>25.42</v>
      </c>
      <c r="E2">
        <v>-11.547000000000001</v>
      </c>
      <c r="G2">
        <v>3.0000000000000001E-6</v>
      </c>
      <c r="H2">
        <v>2.3599999999999999E-2</v>
      </c>
      <c r="I2">
        <v>0.49840000000000001</v>
      </c>
    </row>
    <row r="3" spans="1:9" x14ac:dyDescent="0.35">
      <c r="C3">
        <v>-0.1376</v>
      </c>
      <c r="D3">
        <v>25.648</v>
      </c>
      <c r="E3">
        <v>-11.428000000000001</v>
      </c>
      <c r="G3">
        <v>3.0000000000000001E-6</v>
      </c>
      <c r="H3">
        <v>2.3300000000000001E-2</v>
      </c>
      <c r="I3">
        <v>0.44180000000000003</v>
      </c>
    </row>
    <row r="4" spans="1:9" x14ac:dyDescent="0.35">
      <c r="F4">
        <f>(2*10^-9)^(1/3)</f>
        <v>1.2599210498948732E-3</v>
      </c>
      <c r="G4">
        <f>(4*10^-6)^(1/2)</f>
        <v>2E-3</v>
      </c>
      <c r="H4">
        <v>2.2100000000000002E-2</v>
      </c>
      <c r="I4">
        <v>0.25769999999999998</v>
      </c>
    </row>
    <row r="5" spans="1:9" x14ac:dyDescent="0.35">
      <c r="C5">
        <v>24</v>
      </c>
      <c r="D5">
        <f>C$2*(C5^2) + D$2*C5 + E$2</f>
        <v>510.40499999999997</v>
      </c>
      <c r="E5">
        <v>23.6</v>
      </c>
      <c r="F5">
        <f>(-H$2 + SQRT((H$2^2) - 4*G$2*(I$2-E5))) / (2*G$2)</f>
        <v>880.36009733343951</v>
      </c>
      <c r="G5">
        <f>1.2/2</f>
        <v>0.6</v>
      </c>
      <c r="H5">
        <f>(F$4*F5)^3 + (G$4*F5)^2 + H$4*F5 + I$4</f>
        <v>24.178411595978343</v>
      </c>
      <c r="I5">
        <f>DEGREES(ATAN($A$1/G5))</f>
        <v>23.428692808745403</v>
      </c>
    </row>
    <row r="6" spans="1:9" x14ac:dyDescent="0.35">
      <c r="B6">
        <v>0.75</v>
      </c>
      <c r="C6">
        <v>16</v>
      </c>
      <c r="D6">
        <f>C$2*(C6^2) + D$2*C6 + E$2</f>
        <v>356.005</v>
      </c>
      <c r="E6">
        <v>16.2</v>
      </c>
      <c r="F6">
        <f>(-H$2 + SQRT((H$2^2) - 4*G$2*(I$2-E6))) / (2*G$2)</f>
        <v>616.93894179238453</v>
      </c>
      <c r="G6">
        <f>1.84/2</f>
        <v>0.92</v>
      </c>
      <c r="H6">
        <f t="shared" ref="H6:H11" si="0">(F$4*F6)^3 + (G$4*F6)^2 + H$4*F6 + I$4</f>
        <v>15.884136019884323</v>
      </c>
      <c r="I6">
        <f>DEGREES(ATAN($A$1/G6))</f>
        <v>15.780753309515388</v>
      </c>
    </row>
    <row r="7" spans="1:9" x14ac:dyDescent="0.35">
      <c r="B7">
        <v>0.75</v>
      </c>
      <c r="C7">
        <v>8</v>
      </c>
      <c r="D7">
        <f>C$2*(C7^2) + D$2*C7 + E$2</f>
        <v>182.02100000000002</v>
      </c>
      <c r="E7">
        <v>8.1</v>
      </c>
      <c r="F7">
        <f>(-H$2 + SQRT((H$2^2) - 4*G$2*(I$2-E7))) / (2*G$2)</f>
        <v>309.89394997094195</v>
      </c>
      <c r="G7">
        <f>4.03/2</f>
        <v>2.0150000000000001</v>
      </c>
      <c r="H7">
        <f t="shared" si="0"/>
        <v>7.5500142077417394</v>
      </c>
      <c r="I7">
        <f>DEGREES(ATAN($A$1/G7))</f>
        <v>7.3523793598923595</v>
      </c>
    </row>
    <row r="8" spans="1:9" x14ac:dyDescent="0.35">
      <c r="C8">
        <v>0</v>
      </c>
      <c r="D8">
        <v>0</v>
      </c>
      <c r="F8">
        <v>0</v>
      </c>
      <c r="H8">
        <f t="shared" si="0"/>
        <v>0.25769999999999998</v>
      </c>
      <c r="I8">
        <v>0</v>
      </c>
    </row>
    <row r="9" spans="1:9" x14ac:dyDescent="0.35">
      <c r="B9">
        <v>0.75</v>
      </c>
      <c r="C9">
        <v>-8</v>
      </c>
      <c r="D9">
        <f>C$2*(C9^2) + D$2*C9 + E$2</f>
        <v>-224.69900000000001</v>
      </c>
      <c r="E9">
        <v>-8.1</v>
      </c>
      <c r="F9">
        <f>(-H$2 + SQRT((H$2^2) - 4*G$2*(I$2-E9))) / (2*G$2)</f>
        <v>-382.98436769942236</v>
      </c>
      <c r="G9">
        <f>4.08/2</f>
        <v>2.04</v>
      </c>
      <c r="H9">
        <f t="shared" si="0"/>
        <v>-7.7318964385910443</v>
      </c>
      <c r="I9">
        <f>-DEGREES(ATAN($A$1/G9))</f>
        <v>-7.2632447405845602</v>
      </c>
    </row>
    <row r="10" spans="1:9" x14ac:dyDescent="0.35">
      <c r="B10">
        <v>0.71</v>
      </c>
      <c r="C10">
        <v>-16</v>
      </c>
      <c r="D10">
        <f>C$2*(C10^2) + D$2*C10 + E$2</f>
        <v>-457.43500000000006</v>
      </c>
      <c r="E10">
        <v>-16.100000000000001</v>
      </c>
      <c r="F10">
        <f>(-H$2 + SQRT((H$2^2) - 4*G$2*(I$2-E10))) / (2*G$2)</f>
        <v>-780.82463213818664</v>
      </c>
      <c r="G10">
        <f>1.83/2</f>
        <v>0.91500000000000004</v>
      </c>
      <c r="H10">
        <f t="shared" si="0"/>
        <v>-15.511893366402758</v>
      </c>
      <c r="I10">
        <f>-DEGREES(ATAN($A$1/G10))</f>
        <v>-15.862658370688083</v>
      </c>
    </row>
    <row r="11" spans="1:9" x14ac:dyDescent="0.35">
      <c r="B11">
        <v>0.71</v>
      </c>
      <c r="C11">
        <v>-24</v>
      </c>
      <c r="D11">
        <f>C$2*(C11^2) + D$2*C11 + E$2</f>
        <v>-709.75500000000011</v>
      </c>
      <c r="E11">
        <v>-24</v>
      </c>
      <c r="F11">
        <f>(-H$2 + SQRT((H$2^2) - 4*G$2*(I$2-E11))) / (2*G$2)</f>
        <v>-1230.5610939876317</v>
      </c>
      <c r="G11">
        <f>1.15/2</f>
        <v>0.57499999999999996</v>
      </c>
      <c r="H11">
        <f t="shared" si="0"/>
        <v>-24.607407351318432</v>
      </c>
      <c r="I11">
        <f>-DEGREES(ATAN($A$1/G11))</f>
        <v>-24.331241916935063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A8B1-B064-4253-BFD9-EEEDE49E3A69}">
  <dimension ref="A1:J51"/>
  <sheetViews>
    <sheetView tabSelected="1" topLeftCell="A46" zoomScale="85" zoomScaleNormal="85" workbookViewId="0">
      <selection activeCell="K51" sqref="K51"/>
    </sheetView>
  </sheetViews>
  <sheetFormatPr defaultRowHeight="14.5" x14ac:dyDescent="0.35"/>
  <cols>
    <col min="8" max="8" width="12.1796875" customWidth="1"/>
  </cols>
  <sheetData>
    <row r="1" spans="1:10" x14ac:dyDescent="0.35">
      <c r="C1" t="s">
        <v>39</v>
      </c>
      <c r="D1" t="s">
        <v>40</v>
      </c>
      <c r="E1" t="s">
        <v>38</v>
      </c>
      <c r="H1" t="s">
        <v>39</v>
      </c>
      <c r="I1" t="s">
        <v>40</v>
      </c>
      <c r="J1" t="s">
        <v>38</v>
      </c>
    </row>
    <row r="2" spans="1:10" x14ac:dyDescent="0.35">
      <c r="C2">
        <v>-0.13439999999999999</v>
      </c>
      <c r="D2">
        <v>25.597000000000001</v>
      </c>
      <c r="E2">
        <v>-11.794</v>
      </c>
      <c r="H2">
        <f>3*10^-6</f>
        <v>3.0000000000000001E-6</v>
      </c>
      <c r="I2">
        <v>2.3199999999999998E-2</v>
      </c>
      <c r="J2">
        <v>0.39050000000000001</v>
      </c>
    </row>
    <row r="3" spans="1:10" x14ac:dyDescent="0.35">
      <c r="A3" t="s">
        <v>41</v>
      </c>
      <c r="B3" t="s">
        <v>37</v>
      </c>
      <c r="C3" t="s">
        <v>42</v>
      </c>
      <c r="D3" t="s">
        <v>43</v>
      </c>
      <c r="F3" t="s">
        <v>36</v>
      </c>
      <c r="G3" t="s">
        <v>41</v>
      </c>
      <c r="H3" t="s">
        <v>42</v>
      </c>
      <c r="I3" t="s">
        <v>43</v>
      </c>
    </row>
    <row r="4" spans="1:10" x14ac:dyDescent="0.35">
      <c r="A4">
        <f>G4</f>
        <v>-21.501434324047903</v>
      </c>
      <c r="B4" cm="1">
        <f t="array" ref="B4:B10">Sheet1!D5:D11</f>
        <v>-630</v>
      </c>
      <c r="C4">
        <f>C$2*(A4^2) + D$2*A4 + E$2</f>
        <v>-624.30090391469093</v>
      </c>
      <c r="D4">
        <f>B4-C4</f>
        <v>-5.6990960853090655</v>
      </c>
      <c r="F4" cm="1">
        <f t="array" ref="F4:F10">Sheet1!E5:E11</f>
        <v>-1040</v>
      </c>
      <c r="G4" cm="1">
        <f t="array" ref="G4:G10">Sheet1!H5:H11</f>
        <v>-21.501434324047903</v>
      </c>
      <c r="H4">
        <f t="shared" ref="H4:H17" si="0">H$2*(F4^2) + I$2*F4 + J$2</f>
        <v>-20.492699999999999</v>
      </c>
      <c r="I4">
        <f>G4-H4</f>
        <v>-1.0087343240479036</v>
      </c>
    </row>
    <row r="5" spans="1:10" x14ac:dyDescent="0.35">
      <c r="A5">
        <f t="shared" ref="A5:A32" si="1">G5</f>
        <v>-15.154068050312599</v>
      </c>
      <c r="B5">
        <v>-430</v>
      </c>
      <c r="C5">
        <f t="shared" ref="C5:C17" si="2">C$2*(A5^2) + D$2*A5 + E$2</f>
        <v>-430.55707251069072</v>
      </c>
      <c r="D5">
        <f t="shared" ref="D5:D17" si="3">B5-C5</f>
        <v>0.55707251069071617</v>
      </c>
      <c r="F5">
        <v>-694</v>
      </c>
      <c r="G5">
        <v>-15.154068050312599</v>
      </c>
      <c r="H5">
        <f t="shared" si="0"/>
        <v>-14.265392</v>
      </c>
      <c r="I5">
        <f t="shared" ref="I5:I17" si="4">G5-H5</f>
        <v>-0.88867605031259878</v>
      </c>
    </row>
    <row r="6" spans="1:10" x14ac:dyDescent="0.35">
      <c r="A6">
        <f t="shared" si="1"/>
        <v>-11.525816077530681</v>
      </c>
      <c r="B6">
        <v>-330</v>
      </c>
      <c r="C6">
        <f t="shared" si="2"/>
        <v>-324.67460636896476</v>
      </c>
      <c r="D6">
        <f t="shared" si="3"/>
        <v>-5.3253936310352401</v>
      </c>
      <c r="F6">
        <v>-522</v>
      </c>
      <c r="G6">
        <v>-11.525816077530681</v>
      </c>
      <c r="H6">
        <f t="shared" si="0"/>
        <v>-10.902448</v>
      </c>
      <c r="I6">
        <f t="shared" si="4"/>
        <v>-0.62336807753068157</v>
      </c>
    </row>
    <row r="7" spans="1:10" x14ac:dyDescent="0.35">
      <c r="A7">
        <f t="shared" si="1"/>
        <v>0</v>
      </c>
      <c r="B7">
        <v>0</v>
      </c>
      <c r="C7">
        <f t="shared" si="2"/>
        <v>-11.794</v>
      </c>
      <c r="F7">
        <v>0</v>
      </c>
      <c r="G7">
        <v>0</v>
      </c>
      <c r="H7">
        <f t="shared" si="0"/>
        <v>0.39050000000000001</v>
      </c>
    </row>
    <row r="8" spans="1:10" x14ac:dyDescent="0.35">
      <c r="A8">
        <f t="shared" si="1"/>
        <v>22.109448343751673</v>
      </c>
      <c r="B8">
        <v>470</v>
      </c>
      <c r="C8">
        <f t="shared" si="2"/>
        <v>488.44310555987238</v>
      </c>
      <c r="D8">
        <f t="shared" si="3"/>
        <v>-18.443105559872379</v>
      </c>
      <c r="F8">
        <v>862</v>
      </c>
      <c r="G8">
        <v>22.109448343751673</v>
      </c>
      <c r="H8">
        <f t="shared" si="0"/>
        <v>22.618031999999999</v>
      </c>
      <c r="I8">
        <f t="shared" si="4"/>
        <v>-0.50858365624832658</v>
      </c>
    </row>
    <row r="9" spans="1:10" x14ac:dyDescent="0.35">
      <c r="A9">
        <f t="shared" si="1"/>
        <v>17.007946955407327</v>
      </c>
      <c r="B9">
        <v>370</v>
      </c>
      <c r="C9">
        <f t="shared" si="2"/>
        <v>384.68049532222096</v>
      </c>
      <c r="D9">
        <f t="shared" si="3"/>
        <v>-14.680495322220963</v>
      </c>
      <c r="F9">
        <v>688</v>
      </c>
      <c r="G9">
        <v>17.007946955407327</v>
      </c>
      <c r="H9">
        <f t="shared" si="0"/>
        <v>17.772131999999999</v>
      </c>
      <c r="I9">
        <f t="shared" si="4"/>
        <v>-0.76418504459267211</v>
      </c>
    </row>
    <row r="10" spans="1:10" x14ac:dyDescent="0.35">
      <c r="A10">
        <f t="shared" si="1"/>
        <v>11.438494216779382</v>
      </c>
      <c r="B10">
        <v>270</v>
      </c>
      <c r="C10">
        <f t="shared" si="2"/>
        <v>263.41235471398539</v>
      </c>
      <c r="D10">
        <f t="shared" si="3"/>
        <v>6.587645286014606</v>
      </c>
      <c r="F10">
        <v>508</v>
      </c>
      <c r="G10">
        <v>11.438494216779382</v>
      </c>
      <c r="H10">
        <f t="shared" si="0"/>
        <v>12.950291999999997</v>
      </c>
      <c r="I10">
        <f t="shared" si="4"/>
        <v>-1.5117977832206151</v>
      </c>
    </row>
    <row r="11" spans="1:10" x14ac:dyDescent="0.35">
      <c r="A11">
        <f t="shared" si="1"/>
        <v>-20.64699082497037</v>
      </c>
      <c r="B11" cm="1">
        <f t="array" ref="B11:B17">Sheet2!E5:E11</f>
        <v>-600</v>
      </c>
      <c r="C11">
        <f t="shared" si="2"/>
        <v>-597.58950627575609</v>
      </c>
      <c r="D11">
        <f t="shared" si="3"/>
        <v>-2.4104937242439064</v>
      </c>
      <c r="F11" cm="1">
        <f t="array" ref="F11:F17">Sheet2!G5:G11</f>
        <v>-1028</v>
      </c>
      <c r="G11" cm="1">
        <f t="array" ref="G11:G17">Sheet2!J5:J11</f>
        <v>-20.64699082497037</v>
      </c>
      <c r="H11">
        <f t="shared" si="0"/>
        <v>-20.288747999999998</v>
      </c>
      <c r="I11">
        <f t="shared" si="4"/>
        <v>-0.35824282497037174</v>
      </c>
    </row>
    <row r="12" spans="1:10" x14ac:dyDescent="0.35">
      <c r="A12">
        <f t="shared" si="1"/>
        <v>-14.1670555226312</v>
      </c>
      <c r="B12">
        <v>-400</v>
      </c>
      <c r="C12">
        <f t="shared" si="2"/>
        <v>-401.40293432995958</v>
      </c>
      <c r="D12">
        <f t="shared" si="3"/>
        <v>1.402934329959578</v>
      </c>
      <c r="F12">
        <v>-688</v>
      </c>
      <c r="G12">
        <v>-14.1670555226312</v>
      </c>
      <c r="H12">
        <f t="shared" si="0"/>
        <v>-14.151067999999999</v>
      </c>
      <c r="I12">
        <f t="shared" si="4"/>
        <v>-1.5987522631201401E-2</v>
      </c>
    </row>
    <row r="13" spans="1:10" x14ac:dyDescent="0.35">
      <c r="A13">
        <f t="shared" si="1"/>
        <v>-10.520784313874362</v>
      </c>
      <c r="B13">
        <v>-300</v>
      </c>
      <c r="C13">
        <f t="shared" si="2"/>
        <v>-295.97083578886833</v>
      </c>
      <c r="D13">
        <f t="shared" si="3"/>
        <v>-4.0291642111316719</v>
      </c>
      <c r="F13">
        <v>-512</v>
      </c>
      <c r="G13">
        <v>-10.520784313874362</v>
      </c>
      <c r="H13">
        <f t="shared" si="0"/>
        <v>-10.701468</v>
      </c>
      <c r="I13">
        <f t="shared" si="4"/>
        <v>0.18068368612563823</v>
      </c>
    </row>
    <row r="14" spans="1:10" x14ac:dyDescent="0.35">
      <c r="A14">
        <f t="shared" si="1"/>
        <v>0</v>
      </c>
      <c r="B14">
        <v>0</v>
      </c>
      <c r="C14">
        <f t="shared" si="2"/>
        <v>-11.794</v>
      </c>
      <c r="F14">
        <v>0</v>
      </c>
      <c r="G14">
        <v>0</v>
      </c>
      <c r="H14">
        <f t="shared" si="0"/>
        <v>0.39050000000000001</v>
      </c>
    </row>
    <row r="15" spans="1:10" x14ac:dyDescent="0.35">
      <c r="A15">
        <f t="shared" si="1"/>
        <v>25.709953780811265</v>
      </c>
      <c r="B15">
        <v>600</v>
      </c>
      <c r="C15">
        <f t="shared" si="2"/>
        <v>557.46505530092702</v>
      </c>
      <c r="D15">
        <f t="shared" si="3"/>
        <v>42.53494469907298</v>
      </c>
      <c r="F15">
        <v>1044</v>
      </c>
      <c r="G15">
        <v>25.709953780811265</v>
      </c>
      <c r="H15">
        <f t="shared" si="0"/>
        <v>27.881107999999998</v>
      </c>
      <c r="I15">
        <f t="shared" si="4"/>
        <v>-2.1711542191887325</v>
      </c>
    </row>
    <row r="16" spans="1:10" x14ac:dyDescent="0.35">
      <c r="A16">
        <f t="shared" si="1"/>
        <v>17.393322146912038</v>
      </c>
      <c r="B16">
        <v>400</v>
      </c>
      <c r="C16">
        <f t="shared" si="2"/>
        <v>392.76315012134597</v>
      </c>
      <c r="D16">
        <f t="shared" si="3"/>
        <v>7.2368498786540272</v>
      </c>
      <c r="F16">
        <v>692</v>
      </c>
      <c r="G16">
        <v>17.393322146912038</v>
      </c>
      <c r="H16">
        <f t="shared" si="0"/>
        <v>17.881491999999998</v>
      </c>
      <c r="I16">
        <f t="shared" si="4"/>
        <v>-0.48816985308796035</v>
      </c>
    </row>
    <row r="17" spans="1:9" x14ac:dyDescent="0.35">
      <c r="A17">
        <f t="shared" si="1"/>
        <v>12.847704858717666</v>
      </c>
      <c r="B17">
        <v>300</v>
      </c>
      <c r="C17">
        <f t="shared" si="2"/>
        <v>294.88416416222134</v>
      </c>
      <c r="D17">
        <f t="shared" si="3"/>
        <v>5.1158358377786612</v>
      </c>
      <c r="F17">
        <v>516</v>
      </c>
      <c r="G17">
        <v>12.847704858717666</v>
      </c>
      <c r="H17">
        <f t="shared" si="0"/>
        <v>13.160468</v>
      </c>
      <c r="I17">
        <f t="shared" si="4"/>
        <v>-0.31276314128233373</v>
      </c>
    </row>
    <row r="19" spans="1:9" x14ac:dyDescent="0.35">
      <c r="A19">
        <f t="shared" si="1"/>
        <v>-24.145541960421657</v>
      </c>
      <c r="B19" cm="1">
        <f t="array" ref="B19:B25">Sheet4!E7:E13</f>
        <v>-691.67774902301346</v>
      </c>
      <c r="C19">
        <f t="shared" ref="C19:C46" si="5">C$2*(A19^2) + D$2*A19 + E$2</f>
        <v>-708.20360477891086</v>
      </c>
      <c r="D19">
        <f t="shared" ref="D19:D46" si="6">B19-C19</f>
        <v>16.525855755897396</v>
      </c>
      <c r="F19" cm="1">
        <f t="array" ref="F19:F25">Sheet4!G7:G13</f>
        <v>-1192.2526</v>
      </c>
      <c r="G19" cm="1">
        <f t="array" ref="G19:G25">Sheet4!J7:J13</f>
        <v>-24.145541960421657</v>
      </c>
      <c r="H19">
        <f t="shared" ref="H19:H48" si="7">H$2*(F19^2) + I$2*F19 + J$2</f>
        <v>-23.00536153337972</v>
      </c>
      <c r="I19">
        <f t="shared" ref="I19:I48" si="8">G19-H19</f>
        <v>-1.1401804270419369</v>
      </c>
    </row>
    <row r="20" spans="1:9" x14ac:dyDescent="0.35">
      <c r="A20">
        <f t="shared" si="1"/>
        <v>-16.284922471883405</v>
      </c>
      <c r="B20">
        <v>-460.09374902301346</v>
      </c>
      <c r="C20">
        <f t="shared" si="5"/>
        <v>-464.28186578140958</v>
      </c>
      <c r="D20">
        <f t="shared" si="6"/>
        <v>4.1881167583961201</v>
      </c>
      <c r="F20">
        <v>-795.18060000000003</v>
      </c>
      <c r="G20">
        <v>-16.284922471883405</v>
      </c>
      <c r="H20">
        <f t="shared" si="7"/>
        <v>-16.16075336015092</v>
      </c>
      <c r="I20">
        <f t="shared" si="8"/>
        <v>-0.12416911173248479</v>
      </c>
    </row>
    <row r="21" spans="1:9" x14ac:dyDescent="0.35">
      <c r="A21">
        <f t="shared" si="1"/>
        <v>-7.4069121284952297</v>
      </c>
      <c r="B21">
        <v>-228.50974902301346</v>
      </c>
      <c r="C21">
        <f t="shared" si="5"/>
        <v>-208.76222922742357</v>
      </c>
      <c r="D21">
        <f t="shared" si="6"/>
        <v>-19.747519795589881</v>
      </c>
      <c r="F21">
        <v>-398.10860000000002</v>
      </c>
      <c r="G21">
        <v>-7.4069121284952297</v>
      </c>
      <c r="H21">
        <f t="shared" si="7"/>
        <v>-8.3701481478181208</v>
      </c>
      <c r="I21">
        <f t="shared" si="8"/>
        <v>0.96323601932289105</v>
      </c>
    </row>
    <row r="22" spans="1:9" x14ac:dyDescent="0.35">
      <c r="A22">
        <f t="shared" si="1"/>
        <v>0</v>
      </c>
      <c r="B22">
        <v>0</v>
      </c>
      <c r="C22">
        <f t="shared" si="5"/>
        <v>-11.794</v>
      </c>
      <c r="F22">
        <v>0</v>
      </c>
      <c r="G22">
        <v>0</v>
      </c>
      <c r="H22">
        <f t="shared" si="7"/>
        <v>0.39050000000000001</v>
      </c>
    </row>
    <row r="23" spans="1:9" x14ac:dyDescent="0.35">
      <c r="A23">
        <f t="shared" si="1"/>
        <v>25.301378625419723</v>
      </c>
      <c r="B23">
        <v>558.13309429569267</v>
      </c>
      <c r="C23">
        <f t="shared" si="5"/>
        <v>549.80791688425256</v>
      </c>
      <c r="D23">
        <f t="shared" si="6"/>
        <v>8.3251774114401087</v>
      </c>
      <c r="F23">
        <v>962.70780000000002</v>
      </c>
      <c r="G23">
        <v>25.301378625419723</v>
      </c>
      <c r="H23">
        <f t="shared" si="7"/>
        <v>25.505739884542518</v>
      </c>
      <c r="I23">
        <f t="shared" si="8"/>
        <v>-0.20436125912279479</v>
      </c>
    </row>
    <row r="24" spans="1:9" x14ac:dyDescent="0.35">
      <c r="A24">
        <f t="shared" si="1"/>
        <v>17.007946955407327</v>
      </c>
      <c r="B24">
        <v>371.86909429569266</v>
      </c>
      <c r="C24">
        <f t="shared" si="5"/>
        <v>384.68049532222096</v>
      </c>
      <c r="D24">
        <f t="shared" si="6"/>
        <v>-12.811401026528301</v>
      </c>
      <c r="F24">
        <v>638.75580000000002</v>
      </c>
      <c r="G24">
        <v>17.007946955407327</v>
      </c>
      <c r="H24">
        <f t="shared" si="7"/>
        <v>16.433661476100919</v>
      </c>
      <c r="I24">
        <f t="shared" si="8"/>
        <v>0.57428547930640761</v>
      </c>
    </row>
    <row r="25" spans="1:9" x14ac:dyDescent="0.35">
      <c r="A25">
        <f t="shared" si="1"/>
        <v>7.7118924126588828</v>
      </c>
      <c r="B25">
        <v>185.60509429569268</v>
      </c>
      <c r="C25">
        <f t="shared" si="5"/>
        <v>177.6141006386826</v>
      </c>
      <c r="D25">
        <f t="shared" si="6"/>
        <v>7.9909936570100797</v>
      </c>
      <c r="F25">
        <v>310.75439999999998</v>
      </c>
      <c r="G25">
        <v>7.7118924126588828</v>
      </c>
      <c r="H25">
        <f t="shared" si="7"/>
        <v>7.8897069713580796</v>
      </c>
      <c r="I25">
        <f t="shared" si="8"/>
        <v>-0.17781455869919682</v>
      </c>
    </row>
    <row r="26" spans="1:9" x14ac:dyDescent="0.35">
      <c r="A26">
        <f t="shared" si="1"/>
        <v>-23.782030423221379</v>
      </c>
      <c r="B26" cm="1">
        <f t="array" ref="B26:B32">Sheet5!E7:E13</f>
        <v>-690.32247800000005</v>
      </c>
      <c r="C26">
        <f t="shared" si="5"/>
        <v>-696.55725285245569</v>
      </c>
      <c r="D26">
        <f t="shared" si="6"/>
        <v>6.2347748524556437</v>
      </c>
      <c r="F26" cm="1">
        <f t="array" ref="F26:F32">Sheet5!G7:G13</f>
        <v>-1194.9623999999999</v>
      </c>
      <c r="G26" cm="1">
        <f t="array" ref="G26:G32">Sheet5!J7:J13</f>
        <v>-23.782030423221379</v>
      </c>
      <c r="H26">
        <f t="shared" si="7"/>
        <v>-23.048822267758716</v>
      </c>
      <c r="I26">
        <f t="shared" si="8"/>
        <v>-0.7332081554626626</v>
      </c>
    </row>
    <row r="27" spans="1:9" x14ac:dyDescent="0.35">
      <c r="A27">
        <f t="shared" si="1"/>
        <v>-16.113418233089295</v>
      </c>
      <c r="B27">
        <v>-462.47447800000003</v>
      </c>
      <c r="C27">
        <f t="shared" si="5"/>
        <v>-459.14508452994539</v>
      </c>
      <c r="D27">
        <f t="shared" si="6"/>
        <v>-3.3293934700546401</v>
      </c>
      <c r="F27">
        <v>-796.0652</v>
      </c>
      <c r="G27">
        <v>-16.113418233089295</v>
      </c>
      <c r="H27">
        <f t="shared" si="7"/>
        <v>-16.17705323204688</v>
      </c>
      <c r="I27">
        <f t="shared" si="8"/>
        <v>6.3634998957585509E-2</v>
      </c>
    </row>
    <row r="28" spans="1:9" x14ac:dyDescent="0.35">
      <c r="A28">
        <f t="shared" si="1"/>
        <v>-7.8327955662346449</v>
      </c>
      <c r="B28">
        <v>-234.62647799999999</v>
      </c>
      <c r="C28">
        <f t="shared" si="5"/>
        <v>-220.53586915870616</v>
      </c>
      <c r="D28">
        <f t="shared" si="6"/>
        <v>-14.090608841293829</v>
      </c>
      <c r="F28">
        <v>-397.16800000000001</v>
      </c>
      <c r="G28">
        <v>-7.8327955662346449</v>
      </c>
      <c r="H28">
        <f t="shared" si="7"/>
        <v>-8.3505703393280015</v>
      </c>
      <c r="I28">
        <f t="shared" si="8"/>
        <v>0.51777477309335662</v>
      </c>
    </row>
    <row r="29" spans="1:9" x14ac:dyDescent="0.35">
      <c r="A29">
        <f t="shared" si="1"/>
        <v>0</v>
      </c>
      <c r="B29">
        <v>0</v>
      </c>
      <c r="C29">
        <f t="shared" si="5"/>
        <v>-11.794</v>
      </c>
      <c r="F29">
        <v>0</v>
      </c>
      <c r="G29">
        <v>0</v>
      </c>
      <c r="H29">
        <f t="shared" si="7"/>
        <v>0.39050000000000001</v>
      </c>
    </row>
    <row r="30" spans="1:9" x14ac:dyDescent="0.35">
      <c r="A30">
        <f t="shared" si="1"/>
        <v>24.904768808095184</v>
      </c>
      <c r="B30">
        <v>530.70004999999992</v>
      </c>
      <c r="C30">
        <f t="shared" si="5"/>
        <v>542.33210191951275</v>
      </c>
      <c r="D30">
        <f t="shared" si="6"/>
        <v>-11.632051919512833</v>
      </c>
      <c r="F30">
        <v>916.74279999999999</v>
      </c>
      <c r="G30">
        <v>24.904768808095184</v>
      </c>
      <c r="H30">
        <f t="shared" si="7"/>
        <v>24.180185044055516</v>
      </c>
      <c r="I30">
        <f t="shared" si="8"/>
        <v>0.72458376403966795</v>
      </c>
    </row>
    <row r="31" spans="1:9" x14ac:dyDescent="0.35">
      <c r="A31">
        <f t="shared" si="1"/>
        <v>16.113418233089295</v>
      </c>
      <c r="B31">
        <v>355.80404999999996</v>
      </c>
      <c r="C31">
        <f t="shared" si="5"/>
        <v>365.76524849482803</v>
      </c>
      <c r="D31">
        <f t="shared" si="6"/>
        <v>-9.9611984948280679</v>
      </c>
      <c r="F31">
        <v>615.67079999999999</v>
      </c>
      <c r="G31">
        <v>16.113418233089295</v>
      </c>
      <c r="H31">
        <f t="shared" si="7"/>
        <v>15.811214161917917</v>
      </c>
      <c r="I31">
        <f t="shared" si="8"/>
        <v>0.30220407117137782</v>
      </c>
    </row>
    <row r="32" spans="1:9" x14ac:dyDescent="0.35">
      <c r="A32">
        <f t="shared" si="1"/>
        <v>7.672411599779549</v>
      </c>
      <c r="B32">
        <v>180.90805</v>
      </c>
      <c r="C32">
        <f t="shared" si="5"/>
        <v>176.68514279229268</v>
      </c>
      <c r="D32">
        <f t="shared" si="6"/>
        <v>4.2229072077073226</v>
      </c>
      <c r="F32">
        <v>310.83539999999999</v>
      </c>
      <c r="G32">
        <v>7.672411599779549</v>
      </c>
      <c r="H32">
        <f t="shared" si="7"/>
        <v>7.8917372176794798</v>
      </c>
      <c r="I32">
        <f t="shared" si="8"/>
        <v>-0.21932561789993077</v>
      </c>
    </row>
    <row r="33" spans="1:9" x14ac:dyDescent="0.35">
      <c r="A33" cm="1">
        <f t="array" ref="A33:A39">Sheet8!I4:I10</f>
        <v>25.301378625419723</v>
      </c>
      <c r="B33" cm="1">
        <f t="array" ref="B33:B39">Sheet8!D4:D10</f>
        <v>529.09899999999993</v>
      </c>
      <c r="C33">
        <f t="shared" si="5"/>
        <v>549.80791688425256</v>
      </c>
      <c r="D33">
        <f t="shared" si="6"/>
        <v>-20.708916884252631</v>
      </c>
      <c r="F33">
        <f>Sheet6!G7</f>
        <v>-1200</v>
      </c>
      <c r="G33">
        <f>Sheet6!J7</f>
        <v>-23.962488974578186</v>
      </c>
      <c r="H33">
        <f t="shared" si="7"/>
        <v>-23.129499999999997</v>
      </c>
      <c r="I33">
        <f t="shared" si="8"/>
        <v>-0.8329889745781891</v>
      </c>
    </row>
    <row r="34" spans="1:9" x14ac:dyDescent="0.35">
      <c r="A34">
        <v>16.460014812040036</v>
      </c>
      <c r="B34">
        <v>364.947</v>
      </c>
      <c r="C34">
        <f t="shared" si="5"/>
        <v>373.11972656865845</v>
      </c>
      <c r="D34">
        <f t="shared" si="6"/>
        <v>-8.1727265686584474</v>
      </c>
      <c r="F34">
        <f>Sheet6!G13</f>
        <v>296.09050000000002</v>
      </c>
      <c r="G34">
        <f>Sheet6!J13</f>
        <v>7.3343788014167046</v>
      </c>
      <c r="H34">
        <f t="shared" si="7"/>
        <v>7.5228083525707499</v>
      </c>
      <c r="I34">
        <f t="shared" si="8"/>
        <v>-0.18842955115404525</v>
      </c>
    </row>
    <row r="35" spans="1:9" x14ac:dyDescent="0.35">
      <c r="A35">
        <v>7.594643368591445</v>
      </c>
      <c r="B35">
        <v>184.47499999999999</v>
      </c>
      <c r="C35">
        <f t="shared" si="5"/>
        <v>174.85408140460072</v>
      </c>
      <c r="D35">
        <f t="shared" si="6"/>
        <v>9.6209185953992744</v>
      </c>
      <c r="F35" cm="1">
        <f t="array" ref="F35:F41">Sheet8!F4:F10</f>
        <v>923.81519374881714</v>
      </c>
      <c r="G35" cm="1">
        <f t="array" ref="G35:G41">Sheet8!I4:I10</f>
        <v>25.301378625419723</v>
      </c>
      <c r="H35">
        <f t="shared" si="7"/>
        <v>24.383316031576047</v>
      </c>
      <c r="I35">
        <f t="shared" si="8"/>
        <v>0.9180625938436755</v>
      </c>
    </row>
    <row r="36" spans="1:9" x14ac:dyDescent="0.35">
      <c r="A36">
        <v>0</v>
      </c>
      <c r="B36">
        <v>0</v>
      </c>
      <c r="C36">
        <f t="shared" si="5"/>
        <v>-11.794</v>
      </c>
      <c r="D36">
        <f t="shared" si="6"/>
        <v>11.794</v>
      </c>
      <c r="F36">
        <v>622.19665165922424</v>
      </c>
      <c r="G36">
        <v>16.460014812040036</v>
      </c>
      <c r="H36">
        <f t="shared" si="7"/>
        <v>15.986848338501851</v>
      </c>
      <c r="I36">
        <f t="shared" si="8"/>
        <v>0.47316647353818553</v>
      </c>
    </row>
    <row r="37" spans="1:9" x14ac:dyDescent="0.35">
      <c r="A37">
        <v>-7.2281899099778375</v>
      </c>
      <c r="B37">
        <v>-225.429</v>
      </c>
      <c r="C37">
        <f t="shared" si="5"/>
        <v>-203.83593755366314</v>
      </c>
      <c r="D37">
        <f t="shared" si="6"/>
        <v>-21.593062446336859</v>
      </c>
      <c r="F37">
        <v>317.95699968414311</v>
      </c>
      <c r="G37">
        <v>7.594643368591445</v>
      </c>
      <c r="H37">
        <f t="shared" si="7"/>
        <v>8.0703923536165458</v>
      </c>
      <c r="I37">
        <f t="shared" si="8"/>
        <v>-0.47574898502510088</v>
      </c>
    </row>
    <row r="38" spans="1:9" x14ac:dyDescent="0.35">
      <c r="A38">
        <v>-15.780753309515388</v>
      </c>
      <c r="B38">
        <v>-454.86099999999999</v>
      </c>
      <c r="C38">
        <f t="shared" si="5"/>
        <v>-449.20386678578637</v>
      </c>
      <c r="D38">
        <f t="shared" si="6"/>
        <v>-5.6571332142136157</v>
      </c>
      <c r="F38">
        <v>0</v>
      </c>
      <c r="G38">
        <v>0</v>
      </c>
      <c r="H38">
        <f t="shared" si="7"/>
        <v>0.39050000000000001</v>
      </c>
      <c r="I38">
        <f t="shared" si="8"/>
        <v>-0.39050000000000001</v>
      </c>
    </row>
    <row r="39" spans="1:9" x14ac:dyDescent="0.35">
      <c r="A39">
        <v>-23.962488974578186</v>
      </c>
      <c r="B39">
        <v>-700.61300000000006</v>
      </c>
      <c r="C39">
        <f t="shared" si="5"/>
        <v>-702.33442826622922</v>
      </c>
      <c r="D39">
        <f t="shared" si="6"/>
        <v>1.721428266229168</v>
      </c>
      <c r="F39">
        <v>-382.95725165313644</v>
      </c>
      <c r="G39">
        <v>-7.2281899099778375</v>
      </c>
      <c r="H39">
        <f t="shared" si="7"/>
        <v>-8.054139468571595</v>
      </c>
      <c r="I39">
        <f t="shared" si="8"/>
        <v>0.82594955859375752</v>
      </c>
    </row>
    <row r="40" spans="1:9" x14ac:dyDescent="0.35">
      <c r="A40" cm="1">
        <f t="array" ref="A40:A46">Sheet9!$I$5:$I$11</f>
        <v>23.428692808745403</v>
      </c>
      <c r="B40" cm="1">
        <f t="array" ref="B40:B46">Sheet9!$D$5:$D$11</f>
        <v>510.40499999999997</v>
      </c>
      <c r="C40">
        <f t="shared" si="5"/>
        <v>514.13759970540673</v>
      </c>
      <c r="D40">
        <f t="shared" si="6"/>
        <v>-3.7325997054067557</v>
      </c>
      <c r="F40">
        <v>-782.59326576850344</v>
      </c>
      <c r="G40">
        <v>-15.780753309515388</v>
      </c>
      <c r="H40">
        <f t="shared" si="7"/>
        <v>-15.928307106950648</v>
      </c>
      <c r="I40">
        <f t="shared" si="8"/>
        <v>0.14755379743525943</v>
      </c>
    </row>
    <row r="41" spans="1:9" x14ac:dyDescent="0.35">
      <c r="A41">
        <v>15.780753309515388</v>
      </c>
      <c r="B41">
        <v>356.005</v>
      </c>
      <c r="C41">
        <f t="shared" si="5"/>
        <v>358.67601814154449</v>
      </c>
      <c r="D41">
        <f t="shared" si="6"/>
        <v>-2.6710181415444936</v>
      </c>
      <c r="F41">
        <v>-1206.179036118838</v>
      </c>
      <c r="G41">
        <v>-23.962488974578186</v>
      </c>
      <c r="H41">
        <f t="shared" si="7"/>
        <v>-23.228250036439331</v>
      </c>
      <c r="I41">
        <f t="shared" si="8"/>
        <v>-0.73423893813885499</v>
      </c>
    </row>
    <row r="42" spans="1:9" x14ac:dyDescent="0.35">
      <c r="A42">
        <v>7.3523793598923595</v>
      </c>
      <c r="B42">
        <v>182.02100000000002</v>
      </c>
      <c r="C42">
        <f t="shared" si="5"/>
        <v>169.13952886052667</v>
      </c>
      <c r="D42">
        <f t="shared" si="6"/>
        <v>12.881471139473348</v>
      </c>
      <c r="F42" cm="1">
        <f t="array" ref="F42:F48">Sheet9!$F$5:$F$11</f>
        <v>880.36009733343951</v>
      </c>
      <c r="G42" cm="1">
        <f t="array" ref="G42:G48">Sheet9!$I$5:$I$11</f>
        <v>23.428692808745403</v>
      </c>
      <c r="H42">
        <f t="shared" si="7"/>
        <v>23.139955961066626</v>
      </c>
      <c r="I42">
        <f t="shared" si="8"/>
        <v>0.28873684767877705</v>
      </c>
    </row>
    <row r="43" spans="1:9" x14ac:dyDescent="0.35">
      <c r="A43">
        <v>0</v>
      </c>
      <c r="B43">
        <v>0</v>
      </c>
      <c r="C43">
        <f t="shared" si="5"/>
        <v>-11.794</v>
      </c>
      <c r="D43">
        <f t="shared" si="6"/>
        <v>11.794</v>
      </c>
      <c r="F43">
        <v>616.93894179238453</v>
      </c>
      <c r="G43">
        <v>15.780753309515388</v>
      </c>
      <c r="H43">
        <f t="shared" si="7"/>
        <v>15.845324423283042</v>
      </c>
      <c r="I43">
        <f t="shared" si="8"/>
        <v>-6.4571113767653898E-2</v>
      </c>
    </row>
    <row r="44" spans="1:9" x14ac:dyDescent="0.35">
      <c r="A44">
        <v>-7.2632447405845602</v>
      </c>
      <c r="B44">
        <v>-224.69900000000001</v>
      </c>
      <c r="C44">
        <f t="shared" si="5"/>
        <v>-204.80151055206596</v>
      </c>
      <c r="D44">
        <f t="shared" si="6"/>
        <v>-19.897489447934049</v>
      </c>
      <c r="F44">
        <v>309.89394997094195</v>
      </c>
      <c r="G44">
        <v>7.3523793598923595</v>
      </c>
      <c r="H44">
        <f t="shared" si="7"/>
        <v>7.8681424200116306</v>
      </c>
      <c r="I44">
        <f t="shared" si="8"/>
        <v>-0.51576306011927109</v>
      </c>
    </row>
    <row r="45" spans="1:9" x14ac:dyDescent="0.35">
      <c r="A45">
        <v>-15.862658370688083</v>
      </c>
      <c r="B45">
        <v>-457.43500000000006</v>
      </c>
      <c r="C45">
        <f t="shared" si="5"/>
        <v>-451.64872258514845</v>
      </c>
      <c r="D45">
        <f t="shared" si="6"/>
        <v>-5.786277414851611</v>
      </c>
      <c r="F45">
        <v>0</v>
      </c>
      <c r="G45">
        <v>0</v>
      </c>
      <c r="H45">
        <f t="shared" si="7"/>
        <v>0.39050000000000001</v>
      </c>
      <c r="I45">
        <f t="shared" si="8"/>
        <v>-0.39050000000000001</v>
      </c>
    </row>
    <row r="46" spans="1:9" x14ac:dyDescent="0.35">
      <c r="A46">
        <v>-24.331241916935063</v>
      </c>
      <c r="B46">
        <v>-709.75500000000011</v>
      </c>
      <c r="C46">
        <f t="shared" si="5"/>
        <v>-714.166853732611</v>
      </c>
      <c r="D46">
        <f t="shared" si="6"/>
        <v>4.4118537326108935</v>
      </c>
      <c r="F46">
        <v>-382.98436769942236</v>
      </c>
      <c r="G46">
        <v>-7.2632447405845602</v>
      </c>
      <c r="H46">
        <f t="shared" si="7"/>
        <v>-8.0547062529202194</v>
      </c>
      <c r="I46">
        <f t="shared" si="8"/>
        <v>0.7914615123356592</v>
      </c>
    </row>
    <row r="47" spans="1:9" x14ac:dyDescent="0.35">
      <c r="F47">
        <v>-780.82463213818664</v>
      </c>
      <c r="G47">
        <v>-15.862658370688083</v>
      </c>
      <c r="H47">
        <f t="shared" si="7"/>
        <v>-15.895570147144728</v>
      </c>
      <c r="I47">
        <f t="shared" si="8"/>
        <v>3.2911776456645114E-2</v>
      </c>
    </row>
    <row r="48" spans="1:9" x14ac:dyDescent="0.35">
      <c r="F48">
        <v>-1230.5610939876317</v>
      </c>
      <c r="G48">
        <v>-24.331241916935063</v>
      </c>
      <c r="H48">
        <f t="shared" si="7"/>
        <v>-23.615675562404942</v>
      </c>
      <c r="I48">
        <f t="shared" si="8"/>
        <v>-0.71556635453012163</v>
      </c>
    </row>
    <row r="50" spans="3:9" x14ac:dyDescent="0.35">
      <c r="C50" t="s">
        <v>44</v>
      </c>
      <c r="D50">
        <f>AVERAGE(D4:D46)</f>
        <v>-1.2429569996323506</v>
      </c>
      <c r="H50" t="s">
        <v>44</v>
      </c>
      <c r="I50">
        <f>AVERAGE(I4:I48)</f>
        <v>-0.21886958131216877</v>
      </c>
    </row>
    <row r="51" spans="3:9" x14ac:dyDescent="0.35">
      <c r="C51" t="s">
        <v>45</v>
      </c>
      <c r="D51" cm="1">
        <f t="array" ref="D51">MAX(ABS(D4:D46))</f>
        <v>42.53494469907298</v>
      </c>
      <c r="H51" t="s">
        <v>45</v>
      </c>
      <c r="I51" cm="1">
        <f t="array" ref="I51">MAX(ABS(I4:I48))</f>
        <v>2.1711542191887325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2B26-B810-4491-9C71-1A33BB115B27}">
  <dimension ref="A1:K10"/>
  <sheetViews>
    <sheetView workbookViewId="0">
      <selection activeCell="K37" sqref="K37"/>
    </sheetView>
  </sheetViews>
  <sheetFormatPr defaultRowHeight="14.5" x14ac:dyDescent="0.35"/>
  <cols>
    <col min="1" max="1" width="12.7265625" customWidth="1"/>
    <col min="4" max="4" width="12.1796875" customWidth="1"/>
  </cols>
  <sheetData>
    <row r="1" spans="1:11" x14ac:dyDescent="0.35">
      <c r="A1" t="s">
        <v>26</v>
      </c>
      <c r="D1" t="s">
        <v>31</v>
      </c>
      <c r="E1">
        <v>30</v>
      </c>
      <c r="G1" t="s">
        <v>27</v>
      </c>
      <c r="J1" t="s">
        <v>28</v>
      </c>
    </row>
    <row r="2" spans="1:11" x14ac:dyDescent="0.35">
      <c r="A2" t="s">
        <v>11</v>
      </c>
      <c r="B2" t="s">
        <v>29</v>
      </c>
      <c r="C2" t="s">
        <v>30</v>
      </c>
      <c r="F2">
        <f>G2/25</f>
        <v>7.6395599999999994E-2</v>
      </c>
      <c r="G2">
        <f>(0.063663)*E$1</f>
        <v>1.9098899999999999</v>
      </c>
      <c r="H2">
        <v>6.7699999999999996E-2</v>
      </c>
      <c r="J2">
        <f>(0.0177)*E$1</f>
        <v>0.53100000000000003</v>
      </c>
      <c r="K2">
        <f>(0.097332)*E$1/J2</f>
        <v>5.4989830508474578</v>
      </c>
    </row>
    <row r="3" spans="1:11" x14ac:dyDescent="0.35">
      <c r="B3">
        <v>0.81699999999999995</v>
      </c>
      <c r="C3">
        <v>15</v>
      </c>
      <c r="D3">
        <f>(E$1*(1-B3))</f>
        <v>5.490000000000002</v>
      </c>
      <c r="G3">
        <f>G$2*EXP(H$2*C3)</f>
        <v>5.272716258164369</v>
      </c>
      <c r="H3">
        <f>G3-((C$5-C3)*F$2)</f>
        <v>4.5087602581643687</v>
      </c>
      <c r="J3">
        <f>(C3-K$2)*J$2</f>
        <v>5.0450400000000011</v>
      </c>
    </row>
    <row r="4" spans="1:11" x14ac:dyDescent="0.35">
      <c r="B4">
        <v>0.77300000000000002</v>
      </c>
      <c r="C4">
        <v>20</v>
      </c>
      <c r="D4">
        <f t="shared" ref="D4:D5" si="0">(E$1*(1-B4))</f>
        <v>6.81</v>
      </c>
      <c r="G4">
        <f>G$2*EXP(H$2*C4)</f>
        <v>7.3967864973404458</v>
      </c>
      <c r="H4">
        <f t="shared" ref="H4:H5" si="1">G4-((C$5-C4)*F$2)</f>
        <v>7.0148084973404456</v>
      </c>
      <c r="J4">
        <f t="shared" ref="J4:J5" si="2">(C4-K$2)*J$2</f>
        <v>7.7000400000000004</v>
      </c>
    </row>
    <row r="5" spans="1:11" x14ac:dyDescent="0.35">
      <c r="B5">
        <v>0.64</v>
      </c>
      <c r="C5">
        <v>25</v>
      </c>
      <c r="D5">
        <f t="shared" si="0"/>
        <v>10.799999999999999</v>
      </c>
      <c r="G5">
        <f>G$2*EXP(H$2*C5)</f>
        <v>10.376520906566931</v>
      </c>
      <c r="H5">
        <f t="shared" si="1"/>
        <v>10.376520906566931</v>
      </c>
      <c r="J5">
        <f t="shared" si="2"/>
        <v>10.355040000000001</v>
      </c>
    </row>
    <row r="6" spans="1:11" x14ac:dyDescent="0.35">
      <c r="A6" t="s">
        <v>12</v>
      </c>
      <c r="F6">
        <f>G6/-25</f>
        <v>-2.1568800000000003E-2</v>
      </c>
      <c r="G6">
        <f>(0.017974)*E$1</f>
        <v>0.53922000000000003</v>
      </c>
      <c r="H6">
        <v>-0.115</v>
      </c>
      <c r="J6">
        <f>(-0.0216)*E1</f>
        <v>-0.64800000000000002</v>
      </c>
      <c r="K6">
        <f>(0.232332)*E$1/J6</f>
        <v>-10.756111111111112</v>
      </c>
    </row>
    <row r="7" spans="1:11" x14ac:dyDescent="0.35">
      <c r="B7">
        <v>0.9</v>
      </c>
      <c r="C7">
        <v>-15</v>
      </c>
      <c r="D7">
        <f>(E$1*(1-B7))</f>
        <v>2.9999999999999991</v>
      </c>
      <c r="G7">
        <f>G$6*EXP(H$6*C7)</f>
        <v>3.0263835896311444</v>
      </c>
      <c r="H7">
        <f>G7-((-25-C7)*F$6)</f>
        <v>2.8106955896311443</v>
      </c>
      <c r="J7">
        <f>(C7-K$6)*J$6</f>
        <v>2.7500399999999994</v>
      </c>
    </row>
    <row r="8" spans="1:11" x14ac:dyDescent="0.35">
      <c r="B8">
        <v>0.81699999999999995</v>
      </c>
      <c r="C8">
        <v>-20</v>
      </c>
      <c r="D8">
        <f t="shared" ref="D8:D9" si="3">(E$1*(1-B8))</f>
        <v>5.490000000000002</v>
      </c>
      <c r="G8">
        <f>G$6*EXP(H$6*C8)</f>
        <v>5.3782786632851955</v>
      </c>
      <c r="H8">
        <f t="shared" ref="H8:H10" si="4">G8-((-25-C8)*F$6)</f>
        <v>5.2704346632851955</v>
      </c>
      <c r="J8">
        <f t="shared" ref="J8:J9" si="5">(C8-K$6)*J$6</f>
        <v>5.9900399999999996</v>
      </c>
    </row>
    <row r="9" spans="1:11" x14ac:dyDescent="0.35">
      <c r="B9">
        <v>0.68400000000000005</v>
      </c>
      <c r="C9">
        <v>-25</v>
      </c>
      <c r="D9">
        <f t="shared" si="3"/>
        <v>9.4799999999999986</v>
      </c>
      <c r="G9">
        <f>G$6*EXP(H$6*C9)</f>
        <v>9.5579031947745481</v>
      </c>
      <c r="H9">
        <f t="shared" si="4"/>
        <v>9.5579031947745481</v>
      </c>
      <c r="J9">
        <f t="shared" si="5"/>
        <v>9.2300399999999989</v>
      </c>
    </row>
    <row r="10" spans="1:11" x14ac:dyDescent="0.35">
      <c r="C10">
        <v>0</v>
      </c>
      <c r="G10">
        <f>G$6*EXP(H$6*C10)</f>
        <v>0.53922000000000003</v>
      </c>
      <c r="H10">
        <f t="shared" si="4"/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1AE1-9CB3-4FCB-AD0B-AE9961886539}">
  <dimension ref="A1:H10"/>
  <sheetViews>
    <sheetView workbookViewId="0">
      <selection activeCell="G22" sqref="G22"/>
    </sheetView>
  </sheetViews>
  <sheetFormatPr defaultRowHeight="14.5" x14ac:dyDescent="0.35"/>
  <cols>
    <col min="1" max="1" width="12.7265625" customWidth="1"/>
    <col min="4" max="4" width="12.1796875" customWidth="1"/>
  </cols>
  <sheetData>
    <row r="1" spans="1:8" x14ac:dyDescent="0.35">
      <c r="A1" t="s">
        <v>26</v>
      </c>
      <c r="D1" t="s">
        <v>31</v>
      </c>
      <c r="E1">
        <v>30</v>
      </c>
    </row>
    <row r="2" spans="1:8" x14ac:dyDescent="0.35">
      <c r="A2" t="s">
        <v>11</v>
      </c>
      <c r="B2" t="s">
        <v>29</v>
      </c>
      <c r="C2" t="s">
        <v>30</v>
      </c>
      <c r="F2">
        <v>1.5599999999999999E-2</v>
      </c>
      <c r="G2">
        <v>3.8699999999999998E-2</v>
      </c>
      <c r="H2">
        <v>0.28770000000000001</v>
      </c>
    </row>
    <row r="3" spans="1:8" x14ac:dyDescent="0.35">
      <c r="B3">
        <v>0.81699999999999995</v>
      </c>
      <c r="C3">
        <v>15</v>
      </c>
      <c r="D3">
        <f>(E$1*(1-B3))</f>
        <v>5.490000000000002</v>
      </c>
      <c r="F3">
        <f>F$2*(C3^2) + G$2*C3 + H$2</f>
        <v>4.3781999999999996</v>
      </c>
    </row>
    <row r="4" spans="1:8" x14ac:dyDescent="0.35">
      <c r="B4">
        <v>0.77300000000000002</v>
      </c>
      <c r="C4">
        <v>20</v>
      </c>
      <c r="D4">
        <f t="shared" ref="D4:D5" si="0">(E$1*(1-B4))</f>
        <v>6.81</v>
      </c>
      <c r="F4">
        <f t="shared" ref="F4:F9" si="1">F$2*(C4^2) + G$2*C4 + H$2</f>
        <v>7.3016999999999994</v>
      </c>
    </row>
    <row r="5" spans="1:8" x14ac:dyDescent="0.35">
      <c r="B5">
        <v>0.64</v>
      </c>
      <c r="C5">
        <v>25</v>
      </c>
      <c r="D5">
        <f t="shared" si="0"/>
        <v>10.799999999999999</v>
      </c>
      <c r="F5">
        <f t="shared" si="1"/>
        <v>11.005199999999999</v>
      </c>
    </row>
    <row r="6" spans="1:8" x14ac:dyDescent="0.35">
      <c r="A6" t="s">
        <v>12</v>
      </c>
      <c r="C6">
        <v>0</v>
      </c>
      <c r="D6">
        <v>0</v>
      </c>
      <c r="F6">
        <f t="shared" si="1"/>
        <v>0.28770000000000001</v>
      </c>
    </row>
    <row r="7" spans="1:8" x14ac:dyDescent="0.35">
      <c r="B7">
        <v>0.9</v>
      </c>
      <c r="C7">
        <v>-15</v>
      </c>
      <c r="D7">
        <f>(E$1*(1-B7))</f>
        <v>2.9999999999999991</v>
      </c>
      <c r="F7">
        <f t="shared" si="1"/>
        <v>3.2172000000000001</v>
      </c>
    </row>
    <row r="8" spans="1:8" x14ac:dyDescent="0.35">
      <c r="B8">
        <v>0.81699999999999995</v>
      </c>
      <c r="C8">
        <v>-20</v>
      </c>
      <c r="D8">
        <f t="shared" ref="D8:D9" si="2">(E$1*(1-B8))</f>
        <v>5.490000000000002</v>
      </c>
      <c r="F8">
        <f t="shared" si="1"/>
        <v>5.7536999999999994</v>
      </c>
    </row>
    <row r="9" spans="1:8" x14ac:dyDescent="0.35">
      <c r="B9">
        <v>0.68400000000000005</v>
      </c>
      <c r="C9">
        <v>-25</v>
      </c>
      <c r="D9">
        <f t="shared" si="2"/>
        <v>9.4799999999999986</v>
      </c>
      <c r="F9">
        <f t="shared" si="1"/>
        <v>9.0701999999999998</v>
      </c>
    </row>
    <row r="10" spans="1:8" x14ac:dyDescent="0.35">
      <c r="C10"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Sheet3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van liempd</dc:creator>
  <cp:lastModifiedBy>Liempd ST van, Thijs</cp:lastModifiedBy>
  <dcterms:created xsi:type="dcterms:W3CDTF">2021-03-22T12:37:53Z</dcterms:created>
  <dcterms:modified xsi:type="dcterms:W3CDTF">2021-10-06T12:48:55Z</dcterms:modified>
</cp:coreProperties>
</file>