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lpha" sheetId="1" r:id="rId1"/>
    <sheet name="Weight Analysis" sheetId="5" r:id="rId2"/>
    <sheet name="Sizing Coefficient" sheetId="6" r:id="rId3"/>
    <sheet name="Stability&amp;Sizing" sheetId="2" r:id="rId4"/>
    <sheet name="Lift&amp;Drag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6" l="1"/>
  <c r="B17" i="6"/>
  <c r="C7" i="6"/>
  <c r="B7" i="6"/>
  <c r="F3" i="6"/>
  <c r="C10" i="6" l="1"/>
  <c r="C14" i="6" s="1"/>
  <c r="A17" i="6" s="1"/>
  <c r="C17" i="6" s="1"/>
  <c r="D7" i="6"/>
  <c r="A21" i="6" s="1"/>
  <c r="C21" i="6" s="1"/>
  <c r="D21" i="6" s="1"/>
  <c r="F21" i="6" s="1"/>
  <c r="F29" i="5"/>
  <c r="E7" i="5"/>
  <c r="D7" i="5"/>
  <c r="D17" i="6" l="1"/>
  <c r="F17" i="6"/>
  <c r="F7" i="6"/>
  <c r="G15" i="5"/>
  <c r="E22" i="5" l="1"/>
  <c r="E24" i="5"/>
  <c r="C12" i="5"/>
  <c r="I8" i="5"/>
  <c r="C8" i="5"/>
  <c r="C14" i="5" l="1"/>
  <c r="K15" i="5" s="1"/>
  <c r="L15" i="5" s="1"/>
  <c r="K17" i="5" s="1"/>
  <c r="I15" i="5" s="1"/>
  <c r="H15" i="5" s="1"/>
  <c r="H19" i="5" s="1"/>
  <c r="H21" i="5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H28" i="5" l="1"/>
  <c r="H31" i="5" s="1"/>
  <c r="J28" i="5"/>
  <c r="L28" i="5" s="1"/>
  <c r="S5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H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B3" i="1" l="1"/>
  <c r="B4" i="1"/>
  <c r="B5" i="1"/>
  <c r="B6" i="1"/>
  <c r="B7" i="1"/>
  <c r="B8" i="1"/>
  <c r="B9" i="1"/>
  <c r="B10" i="1"/>
  <c r="B11" i="1"/>
  <c r="B12" i="1"/>
  <c r="C12" i="1" s="1"/>
  <c r="B13" i="1"/>
  <c r="B14" i="1"/>
  <c r="B15" i="1"/>
  <c r="B16" i="1"/>
  <c r="C16" i="1" s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C32" i="1" s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C48" i="1" s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C64" i="1" s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C80" i="1" s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C96" i="1" s="1"/>
  <c r="B97" i="1"/>
  <c r="B98" i="1"/>
  <c r="B99" i="1"/>
  <c r="B100" i="1"/>
  <c r="B101" i="1"/>
  <c r="B102" i="1"/>
  <c r="O21" i="4"/>
  <c r="O18" i="4"/>
  <c r="N21" i="4"/>
  <c r="N18" i="4"/>
  <c r="M21" i="4"/>
  <c r="M18" i="4"/>
  <c r="A21" i="4"/>
  <c r="N15" i="4"/>
  <c r="O15" i="4" s="1"/>
  <c r="L13" i="4"/>
  <c r="L4" i="4"/>
  <c r="N8" i="4"/>
  <c r="N5" i="4"/>
  <c r="M5" i="4"/>
  <c r="B8" i="4"/>
  <c r="D8" i="4"/>
  <c r="C8" i="4"/>
  <c r="P25" i="2"/>
  <c r="O25" i="2"/>
  <c r="P23" i="2"/>
  <c r="O23" i="2"/>
  <c r="L21" i="2"/>
  <c r="M21" i="2"/>
  <c r="B2" i="1"/>
  <c r="L10" i="2"/>
  <c r="D80" i="1" l="1"/>
  <c r="D16" i="1"/>
  <c r="C2" i="1"/>
  <c r="Q5" i="1"/>
  <c r="C101" i="1"/>
  <c r="D101" i="1" s="1"/>
  <c r="C97" i="1"/>
  <c r="D97" i="1" s="1"/>
  <c r="C93" i="1"/>
  <c r="D93" i="1" s="1"/>
  <c r="C89" i="1"/>
  <c r="D89" i="1" s="1"/>
  <c r="C85" i="1"/>
  <c r="D85" i="1" s="1"/>
  <c r="C81" i="1"/>
  <c r="D81" i="1" s="1"/>
  <c r="C77" i="1"/>
  <c r="D77" i="1" s="1"/>
  <c r="C73" i="1"/>
  <c r="D73" i="1" s="1"/>
  <c r="C69" i="1"/>
  <c r="D69" i="1" s="1"/>
  <c r="C65" i="1"/>
  <c r="D65" i="1" s="1"/>
  <c r="C61" i="1"/>
  <c r="D61" i="1" s="1"/>
  <c r="C57" i="1"/>
  <c r="D57" i="1" s="1"/>
  <c r="C53" i="1"/>
  <c r="D53" i="1" s="1"/>
  <c r="C49" i="1"/>
  <c r="D49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17" i="1"/>
  <c r="D17" i="1" s="1"/>
  <c r="C13" i="1"/>
  <c r="D13" i="1" s="1"/>
  <c r="C9" i="1"/>
  <c r="D9" i="1" s="1"/>
  <c r="C5" i="1"/>
  <c r="D5" i="1" s="1"/>
  <c r="C100" i="1"/>
  <c r="D100" i="1" s="1"/>
  <c r="C92" i="1"/>
  <c r="D92" i="1" s="1"/>
  <c r="C88" i="1"/>
  <c r="D88" i="1" s="1"/>
  <c r="C84" i="1"/>
  <c r="D84" i="1" s="1"/>
  <c r="C76" i="1"/>
  <c r="D76" i="1" s="1"/>
  <c r="C72" i="1"/>
  <c r="D72" i="1" s="1"/>
  <c r="C68" i="1"/>
  <c r="D68" i="1" s="1"/>
  <c r="C60" i="1"/>
  <c r="D60" i="1" s="1"/>
  <c r="C56" i="1"/>
  <c r="D56" i="1" s="1"/>
  <c r="C52" i="1"/>
  <c r="D52" i="1" s="1"/>
  <c r="C44" i="1"/>
  <c r="D44" i="1" s="1"/>
  <c r="C40" i="1"/>
  <c r="D40" i="1" s="1"/>
  <c r="C36" i="1"/>
  <c r="D36" i="1" s="1"/>
  <c r="C28" i="1"/>
  <c r="D28" i="1" s="1"/>
  <c r="C24" i="1"/>
  <c r="D24" i="1" s="1"/>
  <c r="C20" i="1"/>
  <c r="D20" i="1" s="1"/>
  <c r="C8" i="1"/>
  <c r="D8" i="1" s="1"/>
  <c r="C4" i="1"/>
  <c r="D4" i="1" s="1"/>
  <c r="D64" i="1"/>
  <c r="D12" i="1"/>
  <c r="C99" i="1"/>
  <c r="D99" i="1" s="1"/>
  <c r="C95" i="1"/>
  <c r="D95" i="1" s="1"/>
  <c r="C91" i="1"/>
  <c r="D91" i="1" s="1"/>
  <c r="C87" i="1"/>
  <c r="D87" i="1" s="1"/>
  <c r="C83" i="1"/>
  <c r="D83" i="1" s="1"/>
  <c r="C79" i="1"/>
  <c r="D79" i="1" s="1"/>
  <c r="C75" i="1"/>
  <c r="D75" i="1" s="1"/>
  <c r="C71" i="1"/>
  <c r="D71" i="1" s="1"/>
  <c r="C67" i="1"/>
  <c r="D67" i="1" s="1"/>
  <c r="C63" i="1"/>
  <c r="D63" i="1" s="1"/>
  <c r="C59" i="1"/>
  <c r="D59" i="1" s="1"/>
  <c r="C55" i="1"/>
  <c r="D55" i="1" s="1"/>
  <c r="C51" i="1"/>
  <c r="D5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9" i="1"/>
  <c r="D19" i="1" s="1"/>
  <c r="C15" i="1"/>
  <c r="D15" i="1" s="1"/>
  <c r="C11" i="1"/>
  <c r="D11" i="1" s="1"/>
  <c r="C7" i="1"/>
  <c r="D7" i="1" s="1"/>
  <c r="C3" i="1"/>
  <c r="D3" i="1" s="1"/>
  <c r="D48" i="1"/>
  <c r="C102" i="1"/>
  <c r="D102" i="1" s="1"/>
  <c r="C98" i="1"/>
  <c r="D98" i="1" s="1"/>
  <c r="C94" i="1"/>
  <c r="D94" i="1" s="1"/>
  <c r="C90" i="1"/>
  <c r="D90" i="1" s="1"/>
  <c r="C86" i="1"/>
  <c r="D86" i="1" s="1"/>
  <c r="C82" i="1"/>
  <c r="D82" i="1" s="1"/>
  <c r="C78" i="1"/>
  <c r="D78" i="1" s="1"/>
  <c r="C74" i="1"/>
  <c r="D74" i="1" s="1"/>
  <c r="C70" i="1"/>
  <c r="D70" i="1" s="1"/>
  <c r="C66" i="1"/>
  <c r="D66" i="1" s="1"/>
  <c r="C62" i="1"/>
  <c r="D62" i="1" s="1"/>
  <c r="C58" i="1"/>
  <c r="D58" i="1" s="1"/>
  <c r="C54" i="1"/>
  <c r="D54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18" i="1"/>
  <c r="D18" i="1" s="1"/>
  <c r="C14" i="1"/>
  <c r="D14" i="1" s="1"/>
  <c r="C10" i="1"/>
  <c r="D10" i="1" s="1"/>
  <c r="C6" i="1"/>
  <c r="D6" i="1" s="1"/>
  <c r="D96" i="1"/>
  <c r="D32" i="1"/>
  <c r="R5" i="1" l="1"/>
  <c r="D2" i="1"/>
  <c r="P5" i="1" s="1"/>
</calcChain>
</file>

<file path=xl/sharedStrings.xml><?xml version="1.0" encoding="utf-8"?>
<sst xmlns="http://schemas.openxmlformats.org/spreadsheetml/2006/main" count="174" uniqueCount="135">
  <si>
    <t>alpha</t>
  </si>
  <si>
    <t>Cl</t>
  </si>
  <si>
    <t>Cd</t>
  </si>
  <si>
    <t>k</t>
  </si>
  <si>
    <t>alpha0</t>
  </si>
  <si>
    <t>Cl_a</t>
  </si>
  <si>
    <t>AR</t>
  </si>
  <si>
    <t>e</t>
  </si>
  <si>
    <t>Balace CG with Stability Margin and Aerodynamic focus</t>
  </si>
  <si>
    <t>WM</t>
  </si>
  <si>
    <t>x</t>
  </si>
  <si>
    <t>S</t>
  </si>
  <si>
    <t>Desired SM</t>
  </si>
  <si>
    <t>c</t>
  </si>
  <si>
    <t>SM = (Xnp - Xcg)/c</t>
  </si>
  <si>
    <t>Xcg = Xnp - c * SM</t>
  </si>
  <si>
    <t>Xcg</t>
  </si>
  <si>
    <t>Size tail with Vv &amp; Vh</t>
  </si>
  <si>
    <t>Desired Vv</t>
  </si>
  <si>
    <t>Desired Vh</t>
  </si>
  <si>
    <t>Sv * lv</t>
  </si>
  <si>
    <t>Sh*lh</t>
  </si>
  <si>
    <t>Span</t>
  </si>
  <si>
    <t>Vv = (Sv*lv)/ (S*Span)</t>
  </si>
  <si>
    <t>Vh = (Sh*lh)/(S*c)</t>
  </si>
  <si>
    <t>Sh -&gt;lh &amp; Sv -&gt; lv</t>
  </si>
  <si>
    <t>lh-&gt;Sh &amp; lv -&gt; Sv</t>
  </si>
  <si>
    <t>Desired Sh</t>
  </si>
  <si>
    <t>Desired Sv</t>
  </si>
  <si>
    <t>Desired lh</t>
  </si>
  <si>
    <t>Desired lv</t>
  </si>
  <si>
    <t>lh</t>
  </si>
  <si>
    <t>lv</t>
  </si>
  <si>
    <t>Sv</t>
  </si>
  <si>
    <t>Sh</t>
  </si>
  <si>
    <t>Absolute focus of lift</t>
  </si>
  <si>
    <t>Mean Aerodynamic Cord</t>
  </si>
  <si>
    <t>Lift calculator</t>
  </si>
  <si>
    <t>rho</t>
  </si>
  <si>
    <t>v</t>
  </si>
  <si>
    <t>k=Cl/Cd</t>
  </si>
  <si>
    <t>Fl</t>
  </si>
  <si>
    <t>Fd</t>
  </si>
  <si>
    <t>q</t>
  </si>
  <si>
    <t>Thrust</t>
  </si>
  <si>
    <t>Thrust-&gt;Fd</t>
  </si>
  <si>
    <t>Power-&gt;Fd</t>
  </si>
  <si>
    <t>Desired Thrust</t>
  </si>
  <si>
    <t>Desired power</t>
  </si>
  <si>
    <t>Cdmax</t>
  </si>
  <si>
    <t>desired Cl/Cd</t>
  </si>
  <si>
    <t>Lift</t>
  </si>
  <si>
    <t>Cl Calculator</t>
  </si>
  <si>
    <t>Power</t>
  </si>
  <si>
    <t>Cl/Cd</t>
  </si>
  <si>
    <t>Cd0</t>
  </si>
  <si>
    <t>kmax</t>
  </si>
  <si>
    <t>Clmax</t>
  </si>
  <si>
    <t>Cdmin</t>
  </si>
  <si>
    <t>q=1/*rho*v^2</t>
  </si>
  <si>
    <t>Retrieved from the table</t>
  </si>
  <si>
    <t>x.np</t>
  </si>
  <si>
    <t>span</t>
  </si>
  <si>
    <t>Get these terms after constraint analysis</t>
  </si>
  <si>
    <t>Desired parameters</t>
  </si>
  <si>
    <t>Load fraction</t>
  </si>
  <si>
    <t>Lift Usage fraction</t>
  </si>
  <si>
    <t>how much lift is used (for main wing)</t>
  </si>
  <si>
    <t>Estimated required lift for main wing</t>
  </si>
  <si>
    <t>Get these terms from Lift (Alpha) analysis</t>
  </si>
  <si>
    <t>at k(Cl/Cd) max</t>
  </si>
  <si>
    <t>at Cl max</t>
  </si>
  <si>
    <t>at Cd min</t>
  </si>
  <si>
    <t>Assume: use max k for cruising</t>
  </si>
  <si>
    <t>Cruise v</t>
  </si>
  <si>
    <t>F</t>
  </si>
  <si>
    <t>Drag Generated</t>
  </si>
  <si>
    <t>Energy(e)</t>
  </si>
  <si>
    <t>Battery Usage</t>
  </si>
  <si>
    <t>Power Plant Efficiency</t>
  </si>
  <si>
    <t>Energy(battery)</t>
  </si>
  <si>
    <t>Environmental configurations</t>
  </si>
  <si>
    <t>Weight Analysis (Coarse)</t>
  </si>
  <si>
    <t>Battery</t>
  </si>
  <si>
    <t>S(Series)</t>
  </si>
  <si>
    <t>P(Parallel)</t>
  </si>
  <si>
    <t>Cell Voltage</t>
  </si>
  <si>
    <t>Mass(battery)</t>
  </si>
  <si>
    <t>Energy Density((W-s)/kg)</t>
  </si>
  <si>
    <t>Capacitance[A*s]</t>
  </si>
  <si>
    <t>Capacitance[Ma*h]</t>
  </si>
  <si>
    <t>NOT IN SI</t>
  </si>
  <si>
    <t>MASS BY FAR</t>
  </si>
  <si>
    <t>Mass of the rest of the system</t>
  </si>
  <si>
    <t>Estimated Time[s]</t>
  </si>
  <si>
    <t>Get these terms from manufacturer's info page/measure existing  power plant</t>
  </si>
  <si>
    <t>XLS Aviation Exploratory</t>
  </si>
  <si>
    <t>Xnp</t>
  </si>
  <si>
    <t>battery Ext</t>
  </si>
  <si>
    <t>Voltage</t>
  </si>
  <si>
    <t>/|\ min</t>
  </si>
  <si>
    <t>/|\hr</t>
  </si>
  <si>
    <t xml:space="preserve"> |</t>
  </si>
  <si>
    <t>Edit Cl and Cd when the layout changes in further analysis, directly from Alpha is coarse</t>
  </si>
  <si>
    <t>if Cl and Cd stand for the Cl and Cd for the whole plane, put this fraction to 1</t>
  </si>
  <si>
    <t>W/S(*Wing Load)[kg/m^2]</t>
  </si>
  <si>
    <t>T/W (thrust to weight ratio)[]</t>
  </si>
  <si>
    <t>max Cl[]</t>
  </si>
  <si>
    <t>rho[kg/m^3]</t>
  </si>
  <si>
    <t>q[kg/m/s^2]</t>
  </si>
  <si>
    <t>Lift required[N]</t>
  </si>
  <si>
    <t>S (main wing) required[m^2]</t>
  </si>
  <si>
    <t>k(Cl/Cd)</t>
  </si>
  <si>
    <t>Alpha(DEGREE)</t>
  </si>
  <si>
    <t>Estimated Gross Weight[N]</t>
  </si>
  <si>
    <t>Desired Load[kg]</t>
  </si>
  <si>
    <t>Desired Cruising Velocity[m/s]</t>
  </si>
  <si>
    <t>Desired Range[m]</t>
  </si>
  <si>
    <t>/|\s</t>
  </si>
  <si>
    <t>Solve from desired sizing coefficient</t>
  </si>
  <si>
    <t>Arh</t>
  </si>
  <si>
    <t>ARh</t>
  </si>
  <si>
    <t>Vh</t>
  </si>
  <si>
    <t>Xnp/c</t>
  </si>
  <si>
    <t>Area</t>
  </si>
  <si>
    <t>solve for wing</t>
  </si>
  <si>
    <t>cord</t>
  </si>
  <si>
    <t>Sh*Lh</t>
  </si>
  <si>
    <t>Lh desired</t>
  </si>
  <si>
    <t>solve for horz</t>
  </si>
  <si>
    <t>solve for vert</t>
  </si>
  <si>
    <t>Lv=</t>
  </si>
  <si>
    <t>Vv=</t>
  </si>
  <si>
    <t>Arv</t>
  </si>
  <si>
    <t>unecessary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</si>
</sst>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2" fillId="13" borderId="4" applyNumberFormat="0" applyFont="0" applyAlignment="0" applyProtection="0"/>
    <xf numFmtId="0" fontId="13" fillId="14" borderId="5" applyNumberFormat="0" applyAlignment="0" applyProtection="0"/>
    <xf numFmtId="0" fontId="14" fillId="0" borderId="6" applyNumberFormat="0" applyFill="0" applyAlignment="0" applyProtection="0"/>
  </cellStyleXfs>
  <cellXfs count="29">
    <xf numFmtId="0" fontId="0" fillId="0" borderId="0" xfId="0"/>
    <xf numFmtId="0" fontId="3" fillId="2" borderId="1" xfId="3"/>
    <xf numFmtId="0" fontId="5" fillId="0" borderId="2" xfId="5"/>
    <xf numFmtId="0" fontId="2" fillId="0" borderId="0" xfId="2"/>
    <xf numFmtId="0" fontId="6" fillId="0" borderId="0" xfId="6"/>
    <xf numFmtId="0" fontId="4" fillId="3" borderId="1" xfId="4"/>
    <xf numFmtId="0" fontId="1" fillId="0" borderId="0" xfId="1" applyAlignment="1"/>
    <xf numFmtId="0" fontId="0" fillId="4" borderId="0" xfId="0" applyFill="1"/>
    <xf numFmtId="0" fontId="0" fillId="4" borderId="0" xfId="0" applyFill="1" applyAlignment="1">
      <alignment horizontal="center"/>
    </xf>
    <xf numFmtId="0" fontId="8" fillId="6" borderId="0" xfId="8"/>
    <xf numFmtId="0" fontId="7" fillId="5" borderId="0" xfId="7"/>
    <xf numFmtId="0" fontId="10" fillId="10" borderId="0" xfId="13"/>
    <xf numFmtId="0" fontId="10" fillId="9" borderId="0" xfId="12"/>
    <xf numFmtId="0" fontId="10" fillId="8" borderId="0" xfId="11"/>
    <xf numFmtId="0" fontId="10" fillId="7" borderId="0" xfId="10"/>
    <xf numFmtId="0" fontId="10" fillId="12" borderId="0" xfId="15"/>
    <xf numFmtId="0" fontId="0" fillId="13" borderId="4" xfId="16" applyFont="1"/>
    <xf numFmtId="0" fontId="6" fillId="0" borderId="0" xfId="6" applyAlignment="1"/>
    <xf numFmtId="0" fontId="0" fillId="0" borderId="0" xfId="0" applyAlignment="1"/>
    <xf numFmtId="0" fontId="13" fillId="14" borderId="5" xfId="17"/>
    <xf numFmtId="0" fontId="9" fillId="0" borderId="3" xfId="9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10" fillId="11" borderId="0" xfId="14" applyAlignment="1">
      <alignment horizontal="center"/>
    </xf>
    <xf numFmtId="0" fontId="11" fillId="11" borderId="0" xfId="14" applyFont="1" applyAlignment="1">
      <alignment horizontal="center"/>
    </xf>
    <xf numFmtId="0" fontId="10" fillId="12" borderId="0" xfId="15" applyAlignment="1">
      <alignment horizontal="center"/>
    </xf>
    <xf numFmtId="0" fontId="6" fillId="0" borderId="0" xfId="6" applyAlignment="1">
      <alignment horizontal="center"/>
    </xf>
    <xf numFmtId="0" fontId="14" fillId="0" borderId="6" xfId="18" applyAlignment="1">
      <alignment horizontal="center"/>
    </xf>
    <xf numFmtId="0" fontId="3" fillId="13" borderId="4" xfId="16" applyFont="1"/>
  </cellXfs>
  <cellStyles count="19">
    <cellStyle name="Accent1" xfId="10" builtinId="29"/>
    <cellStyle name="Accent2" xfId="11" builtinId="33"/>
    <cellStyle name="Accent3" xfId="12" builtinId="37"/>
    <cellStyle name="Accent4" xfId="13" builtinId="41"/>
    <cellStyle name="Accent5" xfId="15" builtinId="45"/>
    <cellStyle name="Accent6" xfId="14" builtinId="49"/>
    <cellStyle name="Bad" xfId="8" builtinId="27"/>
    <cellStyle name="Calculation" xfId="4" builtinId="22"/>
    <cellStyle name="Check Cell" xfId="17" builtinId="23"/>
    <cellStyle name="Explanatory Text" xfId="6" builtinId="53"/>
    <cellStyle name="Good" xfId="7" builtinId="26"/>
    <cellStyle name="Heading 1" xfId="18" builtinId="16"/>
    <cellStyle name="Heading 4" xfId="2" builtinId="19"/>
    <cellStyle name="Input" xfId="3" builtinId="20"/>
    <cellStyle name="Linked Cell" xfId="5" builtinId="24"/>
    <cellStyle name="Normal" xfId="0" builtinId="0"/>
    <cellStyle name="Note" xfId="16" builtinId="10"/>
    <cellStyle name="Title" xfId="1" builtinId="15"/>
    <cellStyle name="Warning Text" xfId="9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Cl~Alpha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Alpha!$B$1</c:f>
              <c:strCache>
                <c:ptCount val="1"/>
                <c:pt idx="0">
                  <c:v>Cl</c:v>
                </c:pt>
              </c:strCache>
            </c:strRef>
          </c:tx>
          <c:spPr>
            <a:ln w="28575">
              <a:solidFill>
                <a:schemeClr val="accent5">
                  <a:lumMod val="50000"/>
                </a:schemeClr>
              </a:solidFill>
            </a:ln>
            <a:effectLst/>
          </c:spPr>
          <c:marker>
            <c:symbol val="none"/>
          </c:marker>
          <c:xVal>
            <c:numRef>
              <c:f>Alpha!$A$2:$A$102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-4.0856207306205799E-14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Alpha!$B$2:$B$102</c:f>
              <c:numCache>
                <c:formatCode>General</c:formatCode>
                <c:ptCount val="101"/>
                <c:pt idx="0">
                  <c:v>-0.4</c:v>
                </c:pt>
                <c:pt idx="1">
                  <c:v>-0.38400000000000006</c:v>
                </c:pt>
                <c:pt idx="2">
                  <c:v>-0.36799999999999999</c:v>
                </c:pt>
                <c:pt idx="3">
                  <c:v>-0.35200000000000004</c:v>
                </c:pt>
                <c:pt idx="4">
                  <c:v>-0.33599999999999997</c:v>
                </c:pt>
                <c:pt idx="5">
                  <c:v>-0.32</c:v>
                </c:pt>
                <c:pt idx="6">
                  <c:v>-0.30400000000000005</c:v>
                </c:pt>
                <c:pt idx="7">
                  <c:v>-0.28799999999999998</c:v>
                </c:pt>
                <c:pt idx="8">
                  <c:v>-0.27200000000000074</c:v>
                </c:pt>
                <c:pt idx="9">
                  <c:v>-0.25600000000000078</c:v>
                </c:pt>
                <c:pt idx="10">
                  <c:v>-0.24000000000000085</c:v>
                </c:pt>
                <c:pt idx="11">
                  <c:v>-0.22400000000000078</c:v>
                </c:pt>
                <c:pt idx="12">
                  <c:v>-0.20800000000000082</c:v>
                </c:pt>
                <c:pt idx="13">
                  <c:v>-0.19200000000000081</c:v>
                </c:pt>
                <c:pt idx="14">
                  <c:v>-0.17600000000000079</c:v>
                </c:pt>
                <c:pt idx="15">
                  <c:v>-0.16000000000000078</c:v>
                </c:pt>
                <c:pt idx="16">
                  <c:v>-0.14400000000000077</c:v>
                </c:pt>
                <c:pt idx="17">
                  <c:v>-0.12800000000000084</c:v>
                </c:pt>
                <c:pt idx="18">
                  <c:v>-0.11200000000000081</c:v>
                </c:pt>
                <c:pt idx="19">
                  <c:v>-9.6000000000000793E-2</c:v>
                </c:pt>
                <c:pt idx="20">
                  <c:v>-8.0000000000000779E-2</c:v>
                </c:pt>
                <c:pt idx="21">
                  <c:v>-6.4000000000000765E-2</c:v>
                </c:pt>
                <c:pt idx="22">
                  <c:v>-4.8000000000001604E-2</c:v>
                </c:pt>
                <c:pt idx="23">
                  <c:v>-3.200000000000159E-2</c:v>
                </c:pt>
                <c:pt idx="24">
                  <c:v>-1.6000000000001579E-2</c:v>
                </c:pt>
                <c:pt idx="25">
                  <c:v>-1.6342482922482305E-15</c:v>
                </c:pt>
                <c:pt idx="26">
                  <c:v>1.599999999999838E-2</c:v>
                </c:pt>
                <c:pt idx="27">
                  <c:v>3.1999999999998398E-2</c:v>
                </c:pt>
                <c:pt idx="28">
                  <c:v>4.7999999999998412E-2</c:v>
                </c:pt>
                <c:pt idx="29">
                  <c:v>6.3999999999998419E-2</c:v>
                </c:pt>
                <c:pt idx="30">
                  <c:v>7.9999999999998364E-2</c:v>
                </c:pt>
                <c:pt idx="31">
                  <c:v>9.599999999999842E-2</c:v>
                </c:pt>
                <c:pt idx="32">
                  <c:v>0.11199999999999839</c:v>
                </c:pt>
                <c:pt idx="33">
                  <c:v>0.12799999999999842</c:v>
                </c:pt>
                <c:pt idx="34">
                  <c:v>0.14399999999999838</c:v>
                </c:pt>
                <c:pt idx="35">
                  <c:v>0.15999999999999839</c:v>
                </c:pt>
                <c:pt idx="36">
                  <c:v>0.1759999999999976</c:v>
                </c:pt>
                <c:pt idx="37">
                  <c:v>0.19199999999999762</c:v>
                </c:pt>
                <c:pt idx="38">
                  <c:v>0.2079999999999976</c:v>
                </c:pt>
                <c:pt idx="39">
                  <c:v>0.22399999999999762</c:v>
                </c:pt>
                <c:pt idx="40">
                  <c:v>0.23999999999999758</c:v>
                </c:pt>
                <c:pt idx="41">
                  <c:v>0.25599999999999762</c:v>
                </c:pt>
                <c:pt idx="42">
                  <c:v>0.27199999999999763</c:v>
                </c:pt>
                <c:pt idx="43">
                  <c:v>0.28799999999999759</c:v>
                </c:pt>
                <c:pt idx="44">
                  <c:v>0.30399999999999761</c:v>
                </c:pt>
                <c:pt idx="45">
                  <c:v>0.31999999999999756</c:v>
                </c:pt>
                <c:pt idx="46">
                  <c:v>0.33599999999999769</c:v>
                </c:pt>
                <c:pt idx="47">
                  <c:v>0.35199999999999759</c:v>
                </c:pt>
                <c:pt idx="48">
                  <c:v>0.36799999999999755</c:v>
                </c:pt>
                <c:pt idx="49">
                  <c:v>0.38399999999999773</c:v>
                </c:pt>
                <c:pt idx="50">
                  <c:v>0.39999999999999675</c:v>
                </c:pt>
                <c:pt idx="51">
                  <c:v>0.41599999999999993</c:v>
                </c:pt>
                <c:pt idx="52">
                  <c:v>0.43200000000000005</c:v>
                </c:pt>
                <c:pt idx="53">
                  <c:v>0.44799999999999995</c:v>
                </c:pt>
                <c:pt idx="54">
                  <c:v>0.46400000000000008</c:v>
                </c:pt>
                <c:pt idx="55">
                  <c:v>0.48</c:v>
                </c:pt>
                <c:pt idx="56">
                  <c:v>0.49600000000000005</c:v>
                </c:pt>
                <c:pt idx="57">
                  <c:v>0.51200000000000001</c:v>
                </c:pt>
                <c:pt idx="58">
                  <c:v>0.52800000000000002</c:v>
                </c:pt>
                <c:pt idx="59">
                  <c:v>0.54400000000000004</c:v>
                </c:pt>
                <c:pt idx="60">
                  <c:v>0.56000000000000005</c:v>
                </c:pt>
                <c:pt idx="61">
                  <c:v>0.57600000000000007</c:v>
                </c:pt>
                <c:pt idx="62">
                  <c:v>0.59200000000000008</c:v>
                </c:pt>
                <c:pt idx="63">
                  <c:v>0.60799999999999998</c:v>
                </c:pt>
                <c:pt idx="64">
                  <c:v>0.624</c:v>
                </c:pt>
                <c:pt idx="65">
                  <c:v>0.64</c:v>
                </c:pt>
                <c:pt idx="66">
                  <c:v>0.65599999999999992</c:v>
                </c:pt>
                <c:pt idx="67">
                  <c:v>0.67200000000000004</c:v>
                </c:pt>
                <c:pt idx="68">
                  <c:v>0.68799999999999994</c:v>
                </c:pt>
                <c:pt idx="69">
                  <c:v>0.70400000000000007</c:v>
                </c:pt>
                <c:pt idx="70">
                  <c:v>0.72</c:v>
                </c:pt>
                <c:pt idx="71">
                  <c:v>0.73599999999999199</c:v>
                </c:pt>
                <c:pt idx="72">
                  <c:v>0.7519999999999919</c:v>
                </c:pt>
                <c:pt idx="73">
                  <c:v>0.76799999999999202</c:v>
                </c:pt>
                <c:pt idx="74">
                  <c:v>0.78399999999999215</c:v>
                </c:pt>
                <c:pt idx="75">
                  <c:v>0.79999999999999205</c:v>
                </c:pt>
                <c:pt idx="76">
                  <c:v>0.81599999999999195</c:v>
                </c:pt>
                <c:pt idx="77">
                  <c:v>0.83199999999999197</c:v>
                </c:pt>
                <c:pt idx="78">
                  <c:v>0.84799999999999198</c:v>
                </c:pt>
                <c:pt idx="79">
                  <c:v>0.86399999999999211</c:v>
                </c:pt>
                <c:pt idx="80">
                  <c:v>0.87999999999999201</c:v>
                </c:pt>
                <c:pt idx="81">
                  <c:v>0.89599999999999203</c:v>
                </c:pt>
                <c:pt idx="82">
                  <c:v>0.91199999999999193</c:v>
                </c:pt>
                <c:pt idx="83">
                  <c:v>0.92799999999999205</c:v>
                </c:pt>
                <c:pt idx="84">
                  <c:v>0.94399999999999207</c:v>
                </c:pt>
                <c:pt idx="85">
                  <c:v>0.95999999999999208</c:v>
                </c:pt>
                <c:pt idx="86">
                  <c:v>0.97599999999999199</c:v>
                </c:pt>
                <c:pt idx="87">
                  <c:v>0.991999999999992</c:v>
                </c:pt>
                <c:pt idx="88">
                  <c:v>1.007999999999992</c:v>
                </c:pt>
                <c:pt idx="89">
                  <c:v>1.023999999999992</c:v>
                </c:pt>
                <c:pt idx="90">
                  <c:v>1.039999999999992</c:v>
                </c:pt>
                <c:pt idx="91">
                  <c:v>1.0559999999999921</c:v>
                </c:pt>
                <c:pt idx="92">
                  <c:v>1.0719999999999921</c:v>
                </c:pt>
                <c:pt idx="93">
                  <c:v>1.0879999999999921</c:v>
                </c:pt>
                <c:pt idx="94">
                  <c:v>1.1039999999999919</c:v>
                </c:pt>
                <c:pt idx="95">
                  <c:v>1.1199999999999921</c:v>
                </c:pt>
                <c:pt idx="96">
                  <c:v>1.1359999999999919</c:v>
                </c:pt>
                <c:pt idx="97">
                  <c:v>1.1519999999999921</c:v>
                </c:pt>
                <c:pt idx="98">
                  <c:v>1.1679999999999919</c:v>
                </c:pt>
                <c:pt idx="99">
                  <c:v>1.1839999999999919</c:v>
                </c:pt>
                <c:pt idx="100">
                  <c:v>1.199999999999992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26-4601-8FE5-A50BD888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64384"/>
        <c:axId val="418664712"/>
      </c:scatterChart>
      <c:valAx>
        <c:axId val="4186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64712"/>
        <c:crosses val="autoZero"/>
        <c:crossBetween val="midCat"/>
      </c:valAx>
      <c:valAx>
        <c:axId val="41866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6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Cd~Alpha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Alpha!$C$1</c:f>
              <c:strCache>
                <c:ptCount val="1"/>
                <c:pt idx="0">
                  <c:v>Cd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Alpha!$A$2:$A$102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-4.0856207306205799E-14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Alpha!$C$2:$C$102</c:f>
              <c:numCache>
                <c:formatCode>General</c:formatCode>
                <c:ptCount val="101"/>
                <c:pt idx="0">
                  <c:v>2.7853759265373281E-2</c:v>
                </c:pt>
                <c:pt idx="1">
                  <c:v>2.7238024538968016E-2</c:v>
                </c:pt>
                <c:pt idx="2">
                  <c:v>2.6647421842211944E-2</c:v>
                </c:pt>
                <c:pt idx="3">
                  <c:v>2.6081951175105068E-2</c:v>
                </c:pt>
                <c:pt idx="4">
                  <c:v>2.5541612537647383E-2</c:v>
                </c:pt>
                <c:pt idx="5">
                  <c:v>2.5026405929838898E-2</c:v>
                </c:pt>
                <c:pt idx="6">
                  <c:v>2.4536331351679607E-2</c:v>
                </c:pt>
                <c:pt idx="7">
                  <c:v>2.4071388803169509E-2</c:v>
                </c:pt>
                <c:pt idx="8">
                  <c:v>2.3631578284308626E-2</c:v>
                </c:pt>
                <c:pt idx="9">
                  <c:v>2.3216899795096915E-2</c:v>
                </c:pt>
                <c:pt idx="10">
                  <c:v>2.28273533355344E-2</c:v>
                </c:pt>
                <c:pt idx="11">
                  <c:v>2.246293890562108E-2</c:v>
                </c:pt>
                <c:pt idx="12">
                  <c:v>2.2123656505356953E-2</c:v>
                </c:pt>
                <c:pt idx="13">
                  <c:v>2.1809506134742019E-2</c:v>
                </c:pt>
                <c:pt idx="14">
                  <c:v>2.1520487793776282E-2</c:v>
                </c:pt>
                <c:pt idx="15">
                  <c:v>2.1256601482459739E-2</c:v>
                </c:pt>
                <c:pt idx="16">
                  <c:v>2.1017847200792389E-2</c:v>
                </c:pt>
                <c:pt idx="17">
                  <c:v>2.0804224948774236E-2</c:v>
                </c:pt>
                <c:pt idx="18">
                  <c:v>2.0615734726405273E-2</c:v>
                </c:pt>
                <c:pt idx="19">
                  <c:v>2.045237653368551E-2</c:v>
                </c:pt>
                <c:pt idx="20">
                  <c:v>2.0314150370614938E-2</c:v>
                </c:pt>
                <c:pt idx="21">
                  <c:v>2.0201056237193562E-2</c:v>
                </c:pt>
                <c:pt idx="22">
                  <c:v>2.0113094133421383E-2</c:v>
                </c:pt>
                <c:pt idx="23">
                  <c:v>2.0050264059298394E-2</c:v>
                </c:pt>
                <c:pt idx="24">
                  <c:v>2.0012566014824599E-2</c:v>
                </c:pt>
                <c:pt idx="25">
                  <c:v>0.02</c:v>
                </c:pt>
                <c:pt idx="26">
                  <c:v>2.0012566014824595E-2</c:v>
                </c:pt>
                <c:pt idx="27">
                  <c:v>2.0050264059298384E-2</c:v>
                </c:pt>
                <c:pt idx="28">
                  <c:v>2.0113094133421369E-2</c:v>
                </c:pt>
                <c:pt idx="29">
                  <c:v>2.0201056237193548E-2</c:v>
                </c:pt>
                <c:pt idx="30">
                  <c:v>2.031415037061492E-2</c:v>
                </c:pt>
                <c:pt idx="31">
                  <c:v>2.0452376533685486E-2</c:v>
                </c:pt>
                <c:pt idx="32">
                  <c:v>2.0615734726405249E-2</c:v>
                </c:pt>
                <c:pt idx="33">
                  <c:v>2.0804224948774205E-2</c:v>
                </c:pt>
                <c:pt idx="34">
                  <c:v>2.1017847200792354E-2</c:v>
                </c:pt>
                <c:pt idx="35">
                  <c:v>2.1256601482459701E-2</c:v>
                </c:pt>
                <c:pt idx="36">
                  <c:v>2.1520487793776227E-2</c:v>
                </c:pt>
                <c:pt idx="37">
                  <c:v>2.180950613474196E-2</c:v>
                </c:pt>
                <c:pt idx="38">
                  <c:v>2.2123656505356887E-2</c:v>
                </c:pt>
                <c:pt idx="39">
                  <c:v>2.2462938905621007E-2</c:v>
                </c:pt>
                <c:pt idx="40">
                  <c:v>2.2827353335534324E-2</c:v>
                </c:pt>
                <c:pt idx="41">
                  <c:v>2.3216899795096835E-2</c:v>
                </c:pt>
                <c:pt idx="42">
                  <c:v>2.3631578284308542E-2</c:v>
                </c:pt>
                <c:pt idx="43">
                  <c:v>2.407138880316944E-2</c:v>
                </c:pt>
                <c:pt idx="44">
                  <c:v>2.4536331351679534E-2</c:v>
                </c:pt>
                <c:pt idx="45">
                  <c:v>2.5026405929838822E-2</c:v>
                </c:pt>
                <c:pt idx="46">
                  <c:v>2.554161253764731E-2</c:v>
                </c:pt>
                <c:pt idx="47">
                  <c:v>2.6081951175104985E-2</c:v>
                </c:pt>
                <c:pt idx="48">
                  <c:v>2.6647421842211853E-2</c:v>
                </c:pt>
                <c:pt idx="49">
                  <c:v>2.7238024538967929E-2</c:v>
                </c:pt>
                <c:pt idx="50">
                  <c:v>2.7853759265373153E-2</c:v>
                </c:pt>
                <c:pt idx="51">
                  <c:v>2.8494626021427737E-2</c:v>
                </c:pt>
                <c:pt idx="52">
                  <c:v>2.9160624807131393E-2</c:v>
                </c:pt>
                <c:pt idx="53">
                  <c:v>2.9851755622484238E-2</c:v>
                </c:pt>
                <c:pt idx="54">
                  <c:v>3.0568018467486288E-2</c:v>
                </c:pt>
                <c:pt idx="55">
                  <c:v>3.1309413342137521E-2</c:v>
                </c:pt>
                <c:pt idx="56">
                  <c:v>3.2075940246437958E-2</c:v>
                </c:pt>
                <c:pt idx="57">
                  <c:v>3.2867599180387577E-2</c:v>
                </c:pt>
                <c:pt idx="58">
                  <c:v>3.3684390143986401E-2</c:v>
                </c:pt>
                <c:pt idx="59">
                  <c:v>3.4526313137234421E-2</c:v>
                </c:pt>
                <c:pt idx="60">
                  <c:v>3.5393368160131632E-2</c:v>
                </c:pt>
                <c:pt idx="61">
                  <c:v>3.6285555212678039E-2</c:v>
                </c:pt>
                <c:pt idx="62">
                  <c:v>3.7202874294873636E-2</c:v>
                </c:pt>
                <c:pt idx="63">
                  <c:v>3.8145325406718424E-2</c:v>
                </c:pt>
                <c:pt idx="64">
                  <c:v>3.9112908548212408E-2</c:v>
                </c:pt>
                <c:pt idx="65">
                  <c:v>4.0105623719355596E-2</c:v>
                </c:pt>
                <c:pt idx="66">
                  <c:v>4.1123470920147967E-2</c:v>
                </c:pt>
                <c:pt idx="67">
                  <c:v>4.2166450150589549E-2</c:v>
                </c:pt>
                <c:pt idx="68">
                  <c:v>4.32345614106803E-2</c:v>
                </c:pt>
                <c:pt idx="69">
                  <c:v>4.4327804700420276E-2</c:v>
                </c:pt>
                <c:pt idx="70">
                  <c:v>4.5446180019809421E-2</c:v>
                </c:pt>
                <c:pt idx="71">
                  <c:v>4.6589687368847194E-2</c:v>
                </c:pt>
                <c:pt idx="72">
                  <c:v>4.7758326747534718E-2</c:v>
                </c:pt>
                <c:pt idx="73">
                  <c:v>4.8952098155871454E-2</c:v>
                </c:pt>
                <c:pt idx="74">
                  <c:v>5.0171001593857387E-2</c:v>
                </c:pt>
                <c:pt idx="75">
                  <c:v>5.1415037061492488E-2</c:v>
                </c:pt>
                <c:pt idx="76">
                  <c:v>5.2684204558776801E-2</c:v>
                </c:pt>
                <c:pt idx="77">
                  <c:v>5.3978504085710297E-2</c:v>
                </c:pt>
                <c:pt idx="78">
                  <c:v>5.5297935642293003E-2</c:v>
                </c:pt>
                <c:pt idx="79">
                  <c:v>5.6642499228524906E-2</c:v>
                </c:pt>
                <c:pt idx="80">
                  <c:v>5.8012194844405979E-2</c:v>
                </c:pt>
                <c:pt idx="81">
                  <c:v>5.9407022489936262E-2</c:v>
                </c:pt>
                <c:pt idx="82">
                  <c:v>6.0826982165115728E-2</c:v>
                </c:pt>
                <c:pt idx="83">
                  <c:v>6.2272073869944419E-2</c:v>
                </c:pt>
                <c:pt idx="84">
                  <c:v>6.3742297604422279E-2</c:v>
                </c:pt>
                <c:pt idx="85">
                  <c:v>6.5237653368549336E-2</c:v>
                </c:pt>
                <c:pt idx="86">
                  <c:v>6.6758141162325577E-2</c:v>
                </c:pt>
                <c:pt idx="87">
                  <c:v>6.8303760985751041E-2</c:v>
                </c:pt>
                <c:pt idx="88">
                  <c:v>6.9874512838825675E-2</c:v>
                </c:pt>
                <c:pt idx="89">
                  <c:v>7.147039672154952E-2</c:v>
                </c:pt>
                <c:pt idx="90">
                  <c:v>7.3091412633922548E-2</c:v>
                </c:pt>
                <c:pt idx="91">
                  <c:v>7.4737560575944786E-2</c:v>
                </c:pt>
                <c:pt idx="92">
                  <c:v>7.6408840547616208E-2</c:v>
                </c:pt>
                <c:pt idx="93">
                  <c:v>7.8105252548936827E-2</c:v>
                </c:pt>
                <c:pt idx="94">
                  <c:v>7.9826796579906614E-2</c:v>
                </c:pt>
                <c:pt idx="95">
                  <c:v>8.1573472640525641E-2</c:v>
                </c:pt>
                <c:pt idx="96">
                  <c:v>8.3345280730793822E-2</c:v>
                </c:pt>
                <c:pt idx="97">
                  <c:v>8.5142220850711242E-2</c:v>
                </c:pt>
                <c:pt idx="98">
                  <c:v>8.6964293000277804E-2</c:v>
                </c:pt>
                <c:pt idx="99">
                  <c:v>8.881149717949359E-2</c:v>
                </c:pt>
                <c:pt idx="100">
                  <c:v>9.0683833388358559E-2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6-4A86-8A4B-14861CB35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86280"/>
        <c:axId val="307087264"/>
      </c:scatterChart>
      <c:valAx>
        <c:axId val="30708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87264"/>
        <c:crosses val="autoZero"/>
        <c:crossBetween val="midCat"/>
      </c:valAx>
      <c:valAx>
        <c:axId val="3070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8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k~Alpha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5554389034703994"/>
          <c:w val="0.9097292213473315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Alpha!$D$1</c:f>
              <c:strCache>
                <c:ptCount val="1"/>
                <c:pt idx="0">
                  <c:v>k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Alpha!$A$2:$A$102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-4.0856207306205799E-14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Alpha!$D$2:$D$102</c:f>
              <c:numCache>
                <c:formatCode>General</c:formatCode>
                <c:ptCount val="101"/>
                <c:pt idx="0">
                  <c:v>-14.360718644440379</c:v>
                </c:pt>
                <c:pt idx="1">
                  <c:v>-14.097938690474097</c:v>
                </c:pt>
                <c:pt idx="2">
                  <c:v>-13.809966389208222</c:v>
                </c:pt>
                <c:pt idx="3">
                  <c:v>-13.495922817920928</c:v>
                </c:pt>
                <c:pt idx="4">
                  <c:v>-13.155003408839145</c:v>
                </c:pt>
                <c:pt idx="5">
                  <c:v>-12.786494429008885</c:v>
                </c:pt>
                <c:pt idx="6">
                  <c:v>-12.389790292719946</c:v>
                </c:pt>
                <c:pt idx="7">
                  <c:v>-11.964411457725225</c:v>
                </c:pt>
                <c:pt idx="8">
                  <c:v>-11.51002259466558</c:v>
                </c:pt>
                <c:pt idx="9">
                  <c:v>-11.026450657036666</c:v>
                </c:pt>
                <c:pt idx="10">
                  <c:v>-10.51370241973706</c:v>
                </c:pt>
                <c:pt idx="11">
                  <c:v>-9.971981001290418</c:v>
                </c:pt>
                <c:pt idx="12">
                  <c:v>-9.4017008422471378</c:v>
                </c:pt>
                <c:pt idx="13">
                  <c:v>-8.8035005842773035</c:v>
                </c:pt>
                <c:pt idx="14">
                  <c:v>-8.178253285267072</c:v>
                </c:pt>
                <c:pt idx="15">
                  <c:v>-7.5270734191459354</c:v>
                </c:pt>
                <c:pt idx="16">
                  <c:v>-6.8513201482676998</c:v>
                </c:pt>
                <c:pt idx="17">
                  <c:v>-6.1525964228502765</c:v>
                </c:pt>
                <c:pt idx="18">
                  <c:v>-5.4327435566265674</c:v>
                </c:pt>
                <c:pt idx="19">
                  <c:v>-4.6938310490170521</c:v>
                </c:pt>
                <c:pt idx="20">
                  <c:v>-3.9381415683386551</c:v>
                </c:pt>
                <c:pt idx="21">
                  <c:v>-3.1681511723216698</c:v>
                </c:pt>
                <c:pt idx="22">
                  <c:v>-2.3865050141758797</c:v>
                </c:pt>
                <c:pt idx="23">
                  <c:v>-1.5959889558243228</c:v>
                </c:pt>
                <c:pt idx="24">
                  <c:v>-0.79949767501825331</c:v>
                </c:pt>
                <c:pt idx="25">
                  <c:v>-8.1712414612411521E-14</c:v>
                </c:pt>
                <c:pt idx="26">
                  <c:v>0.79949767501809366</c:v>
                </c:pt>
                <c:pt idx="27">
                  <c:v>1.5959889558241642</c:v>
                </c:pt>
                <c:pt idx="28">
                  <c:v>2.3865050141757229</c:v>
                </c:pt>
                <c:pt idx="29">
                  <c:v>3.1681511723215561</c:v>
                </c:pt>
                <c:pt idx="30">
                  <c:v>3.9381415683385392</c:v>
                </c:pt>
                <c:pt idx="31">
                  <c:v>4.693831049016941</c:v>
                </c:pt>
                <c:pt idx="32">
                  <c:v>5.4327435566264564</c:v>
                </c:pt>
                <c:pt idx="33">
                  <c:v>6.1525964228501691</c:v>
                </c:pt>
                <c:pt idx="34">
                  <c:v>6.8513201482675976</c:v>
                </c:pt>
                <c:pt idx="35">
                  <c:v>7.5270734191458368</c:v>
                </c:pt>
                <c:pt idx="36">
                  <c:v>8.1782532852669441</c:v>
                </c:pt>
                <c:pt idx="37">
                  <c:v>8.803500584277181</c:v>
                </c:pt>
                <c:pt idx="38">
                  <c:v>9.4017008422470205</c:v>
                </c:pt>
                <c:pt idx="39">
                  <c:v>9.9719810012903096</c:v>
                </c:pt>
                <c:pt idx="40">
                  <c:v>10.513702419736951</c:v>
                </c:pt>
                <c:pt idx="41">
                  <c:v>11.026450657036566</c:v>
                </c:pt>
                <c:pt idx="42">
                  <c:v>11.510022594665489</c:v>
                </c:pt>
                <c:pt idx="43">
                  <c:v>11.964411457725161</c:v>
                </c:pt>
                <c:pt idx="44">
                  <c:v>12.389790292719882</c:v>
                </c:pt>
                <c:pt idx="45">
                  <c:v>12.786494429008826</c:v>
                </c:pt>
                <c:pt idx="46">
                  <c:v>13.155003408839093</c:v>
                </c:pt>
                <c:pt idx="47">
                  <c:v>13.495922817920876</c:v>
                </c:pt>
                <c:pt idx="48">
                  <c:v>13.809966389208178</c:v>
                </c:pt>
                <c:pt idx="49">
                  <c:v>14.097938690474056</c:v>
                </c:pt>
                <c:pt idx="50">
                  <c:v>14.360718644440327</c:v>
                </c:pt>
                <c:pt idx="51">
                  <c:v>14.599244071045929</c:v>
                </c:pt>
                <c:pt idx="52">
                  <c:v>14.814497386707298</c:v>
                </c:pt>
                <c:pt idx="53">
                  <c:v>15.007492546353552</c:v>
                </c:pt>
                <c:pt idx="54">
                  <c:v>15.179263271302139</c:v>
                </c:pt>
                <c:pt idx="55">
                  <c:v>15.330852569952048</c:v>
                </c:pt>
                <c:pt idx="56">
                  <c:v>15.463303528727611</c:v>
                </c:pt>
                <c:pt idx="57">
                  <c:v>15.577651327375182</c:v>
                </c:pt>
                <c:pt idx="58">
                  <c:v>15.674916415082038</c:v>
                </c:pt>
                <c:pt idx="59">
                  <c:v>15.756098771326117</c:v>
                </c:pt>
                <c:pt idx="60">
                  <c:v>15.82217316719815</c:v>
                </c:pt>
                <c:pt idx="61">
                  <c:v>15.874085338475069</c:v>
                </c:pt>
                <c:pt idx="62">
                  <c:v>15.912748980300552</c:v>
                </c:pt>
                <c:pt idx="63">
                  <c:v>15.939043474326077</c:v>
                </c:pt>
                <c:pt idx="64">
                  <c:v>15.953812262026698</c:v>
                </c:pt>
                <c:pt idx="65">
                  <c:v>15.957861782140196</c:v>
                </c:pt>
                <c:pt idx="66">
                  <c:v>15.951960895367913</c:v>
                </c:pt>
                <c:pt idx="67">
                  <c:v>15.936840725270407</c:v>
                </c:pt>
                <c:pt idx="68">
                  <c:v>15.913194850406006</c:v>
                </c:pt>
                <c:pt idx="69">
                  <c:v>15.881679788968331</c:v>
                </c:pt>
                <c:pt idx="70">
                  <c:v>15.842915723305259</c:v>
                </c:pt>
                <c:pt idx="71">
                  <c:v>15.797487417615256</c:v>
                </c:pt>
                <c:pt idx="72">
                  <c:v>15.745945287725352</c:v>
                </c:pt>
                <c:pt idx="73">
                  <c:v>15.688806587095714</c:v>
                </c:pt>
                <c:pt idx="74">
                  <c:v>15.626556678030921</c:v>
                </c:pt>
                <c:pt idx="75">
                  <c:v>15.559650361492309</c:v>
                </c:pt>
                <c:pt idx="76">
                  <c:v>15.488513242894779</c:v>
                </c:pt>
                <c:pt idx="77">
                  <c:v>15.4135431148461</c:v>
                </c:pt>
                <c:pt idx="78">
                  <c:v>15.335111340963406</c:v>
                </c:pt>
                <c:pt idx="79">
                  <c:v>15.253564227704233</c:v>
                </c:pt>
                <c:pt idx="80">
                  <c:v>15.169224373603388</c:v>
                </c:pt>
                <c:pt idx="81">
                  <c:v>15.082391987441843</c:v>
                </c:pt>
                <c:pt idx="82">
                  <c:v>14.993346168717604</c:v>
                </c:pt>
                <c:pt idx="83">
                  <c:v>14.902346145370482</c:v>
                </c:pt>
                <c:pt idx="84">
                  <c:v>14.809632465060371</c:v>
                </c:pt>
                <c:pt idx="85">
                  <c:v>14.715428137438218</c:v>
                </c:pt>
                <c:pt idx="86">
                  <c:v>14.619939725805155</c:v>
                </c:pt>
                <c:pt idx="87">
                  <c:v>14.523358387350511</c:v>
                </c:pt>
                <c:pt idx="88">
                  <c:v>14.425860861814813</c:v>
                </c:pt>
                <c:pt idx="89">
                  <c:v>14.32761040895746</c:v>
                </c:pt>
                <c:pt idx="90">
                  <c:v>14.228757695638192</c:v>
                </c:pt>
                <c:pt idx="91">
                  <c:v>14.12944163366069</c:v>
                </c:pt>
                <c:pt idx="92">
                  <c:v>14.02979016978993</c:v>
                </c:pt>
                <c:pt idx="93">
                  <c:v>13.929921029553114</c:v>
                </c:pt>
                <c:pt idx="94">
                  <c:v>13.829942416577971</c:v>
                </c:pt>
                <c:pt idx="95">
                  <c:v>13.729953669320398</c:v>
                </c:pt>
                <c:pt idx="96">
                  <c:v>13.630045877093924</c:v>
                </c:pt>
                <c:pt idx="97">
                  <c:v>13.530302457342687</c:v>
                </c:pt>
                <c:pt idx="98">
                  <c:v>13.430799696103559</c:v>
                </c:pt>
                <c:pt idx="99">
                  <c:v>13.331607253586254</c:v>
                </c:pt>
                <c:pt idx="100">
                  <c:v>13.232788636767539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1-49A3-8C2E-2A6017F22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65408"/>
        <c:axId val="525560488"/>
      </c:scatterChart>
      <c:valAx>
        <c:axId val="52556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0488"/>
        <c:crosses val="autoZero"/>
        <c:crossBetween val="midCat"/>
      </c:valAx>
      <c:valAx>
        <c:axId val="52556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Cd~Cl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Alpha!$C$1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Alpha!$B$2:$B$102</c:f>
              <c:numCache>
                <c:formatCode>General</c:formatCode>
                <c:ptCount val="101"/>
                <c:pt idx="0">
                  <c:v>-0.4</c:v>
                </c:pt>
                <c:pt idx="1">
                  <c:v>-0.38400000000000006</c:v>
                </c:pt>
                <c:pt idx="2">
                  <c:v>-0.36799999999999999</c:v>
                </c:pt>
                <c:pt idx="3">
                  <c:v>-0.35200000000000004</c:v>
                </c:pt>
                <c:pt idx="4">
                  <c:v>-0.33599999999999997</c:v>
                </c:pt>
                <c:pt idx="5">
                  <c:v>-0.32</c:v>
                </c:pt>
                <c:pt idx="6">
                  <c:v>-0.30400000000000005</c:v>
                </c:pt>
                <c:pt idx="7">
                  <c:v>-0.28799999999999998</c:v>
                </c:pt>
                <c:pt idx="8">
                  <c:v>-0.27200000000000074</c:v>
                </c:pt>
                <c:pt idx="9">
                  <c:v>-0.25600000000000078</c:v>
                </c:pt>
                <c:pt idx="10">
                  <c:v>-0.24000000000000085</c:v>
                </c:pt>
                <c:pt idx="11">
                  <c:v>-0.22400000000000078</c:v>
                </c:pt>
                <c:pt idx="12">
                  <c:v>-0.20800000000000082</c:v>
                </c:pt>
                <c:pt idx="13">
                  <c:v>-0.19200000000000081</c:v>
                </c:pt>
                <c:pt idx="14">
                  <c:v>-0.17600000000000079</c:v>
                </c:pt>
                <c:pt idx="15">
                  <c:v>-0.16000000000000078</c:v>
                </c:pt>
                <c:pt idx="16">
                  <c:v>-0.14400000000000077</c:v>
                </c:pt>
                <c:pt idx="17">
                  <c:v>-0.12800000000000084</c:v>
                </c:pt>
                <c:pt idx="18">
                  <c:v>-0.11200000000000081</c:v>
                </c:pt>
                <c:pt idx="19">
                  <c:v>-9.6000000000000793E-2</c:v>
                </c:pt>
                <c:pt idx="20">
                  <c:v>-8.0000000000000779E-2</c:v>
                </c:pt>
                <c:pt idx="21">
                  <c:v>-6.4000000000000765E-2</c:v>
                </c:pt>
                <c:pt idx="22">
                  <c:v>-4.8000000000001604E-2</c:v>
                </c:pt>
                <c:pt idx="23">
                  <c:v>-3.200000000000159E-2</c:v>
                </c:pt>
                <c:pt idx="24">
                  <c:v>-1.6000000000001579E-2</c:v>
                </c:pt>
                <c:pt idx="25">
                  <c:v>-1.6342482922482305E-15</c:v>
                </c:pt>
                <c:pt idx="26">
                  <c:v>1.599999999999838E-2</c:v>
                </c:pt>
                <c:pt idx="27">
                  <c:v>3.1999999999998398E-2</c:v>
                </c:pt>
                <c:pt idx="28">
                  <c:v>4.7999999999998412E-2</c:v>
                </c:pt>
                <c:pt idx="29">
                  <c:v>6.3999999999998419E-2</c:v>
                </c:pt>
                <c:pt idx="30">
                  <c:v>7.9999999999998364E-2</c:v>
                </c:pt>
                <c:pt idx="31">
                  <c:v>9.599999999999842E-2</c:v>
                </c:pt>
                <c:pt idx="32">
                  <c:v>0.11199999999999839</c:v>
                </c:pt>
                <c:pt idx="33">
                  <c:v>0.12799999999999842</c:v>
                </c:pt>
                <c:pt idx="34">
                  <c:v>0.14399999999999838</c:v>
                </c:pt>
                <c:pt idx="35">
                  <c:v>0.15999999999999839</c:v>
                </c:pt>
                <c:pt idx="36">
                  <c:v>0.1759999999999976</c:v>
                </c:pt>
                <c:pt idx="37">
                  <c:v>0.19199999999999762</c:v>
                </c:pt>
                <c:pt idx="38">
                  <c:v>0.2079999999999976</c:v>
                </c:pt>
                <c:pt idx="39">
                  <c:v>0.22399999999999762</c:v>
                </c:pt>
                <c:pt idx="40">
                  <c:v>0.23999999999999758</c:v>
                </c:pt>
                <c:pt idx="41">
                  <c:v>0.25599999999999762</c:v>
                </c:pt>
                <c:pt idx="42">
                  <c:v>0.27199999999999763</c:v>
                </c:pt>
                <c:pt idx="43">
                  <c:v>0.28799999999999759</c:v>
                </c:pt>
                <c:pt idx="44">
                  <c:v>0.30399999999999761</c:v>
                </c:pt>
                <c:pt idx="45">
                  <c:v>0.31999999999999756</c:v>
                </c:pt>
                <c:pt idx="46">
                  <c:v>0.33599999999999769</c:v>
                </c:pt>
                <c:pt idx="47">
                  <c:v>0.35199999999999759</c:v>
                </c:pt>
                <c:pt idx="48">
                  <c:v>0.36799999999999755</c:v>
                </c:pt>
                <c:pt idx="49">
                  <c:v>0.38399999999999773</c:v>
                </c:pt>
                <c:pt idx="50">
                  <c:v>0.39999999999999675</c:v>
                </c:pt>
                <c:pt idx="51">
                  <c:v>0.41599999999999993</c:v>
                </c:pt>
                <c:pt idx="52">
                  <c:v>0.43200000000000005</c:v>
                </c:pt>
                <c:pt idx="53">
                  <c:v>0.44799999999999995</c:v>
                </c:pt>
                <c:pt idx="54">
                  <c:v>0.46400000000000008</c:v>
                </c:pt>
                <c:pt idx="55">
                  <c:v>0.48</c:v>
                </c:pt>
                <c:pt idx="56">
                  <c:v>0.49600000000000005</c:v>
                </c:pt>
                <c:pt idx="57">
                  <c:v>0.51200000000000001</c:v>
                </c:pt>
                <c:pt idx="58">
                  <c:v>0.52800000000000002</c:v>
                </c:pt>
                <c:pt idx="59">
                  <c:v>0.54400000000000004</c:v>
                </c:pt>
                <c:pt idx="60">
                  <c:v>0.56000000000000005</c:v>
                </c:pt>
                <c:pt idx="61">
                  <c:v>0.57600000000000007</c:v>
                </c:pt>
                <c:pt idx="62">
                  <c:v>0.59200000000000008</c:v>
                </c:pt>
                <c:pt idx="63">
                  <c:v>0.60799999999999998</c:v>
                </c:pt>
                <c:pt idx="64">
                  <c:v>0.624</c:v>
                </c:pt>
                <c:pt idx="65">
                  <c:v>0.64</c:v>
                </c:pt>
                <c:pt idx="66">
                  <c:v>0.65599999999999992</c:v>
                </c:pt>
                <c:pt idx="67">
                  <c:v>0.67200000000000004</c:v>
                </c:pt>
                <c:pt idx="68">
                  <c:v>0.68799999999999994</c:v>
                </c:pt>
                <c:pt idx="69">
                  <c:v>0.70400000000000007</c:v>
                </c:pt>
                <c:pt idx="70">
                  <c:v>0.72</c:v>
                </c:pt>
                <c:pt idx="71">
                  <c:v>0.73599999999999199</c:v>
                </c:pt>
                <c:pt idx="72">
                  <c:v>0.7519999999999919</c:v>
                </c:pt>
                <c:pt idx="73">
                  <c:v>0.76799999999999202</c:v>
                </c:pt>
                <c:pt idx="74">
                  <c:v>0.78399999999999215</c:v>
                </c:pt>
                <c:pt idx="75">
                  <c:v>0.79999999999999205</c:v>
                </c:pt>
                <c:pt idx="76">
                  <c:v>0.81599999999999195</c:v>
                </c:pt>
                <c:pt idx="77">
                  <c:v>0.83199999999999197</c:v>
                </c:pt>
                <c:pt idx="78">
                  <c:v>0.84799999999999198</c:v>
                </c:pt>
                <c:pt idx="79">
                  <c:v>0.86399999999999211</c:v>
                </c:pt>
                <c:pt idx="80">
                  <c:v>0.87999999999999201</c:v>
                </c:pt>
                <c:pt idx="81">
                  <c:v>0.89599999999999203</c:v>
                </c:pt>
                <c:pt idx="82">
                  <c:v>0.91199999999999193</c:v>
                </c:pt>
                <c:pt idx="83">
                  <c:v>0.92799999999999205</c:v>
                </c:pt>
                <c:pt idx="84">
                  <c:v>0.94399999999999207</c:v>
                </c:pt>
                <c:pt idx="85">
                  <c:v>0.95999999999999208</c:v>
                </c:pt>
                <c:pt idx="86">
                  <c:v>0.97599999999999199</c:v>
                </c:pt>
                <c:pt idx="87">
                  <c:v>0.991999999999992</c:v>
                </c:pt>
                <c:pt idx="88">
                  <c:v>1.007999999999992</c:v>
                </c:pt>
                <c:pt idx="89">
                  <c:v>1.023999999999992</c:v>
                </c:pt>
                <c:pt idx="90">
                  <c:v>1.039999999999992</c:v>
                </c:pt>
                <c:pt idx="91">
                  <c:v>1.0559999999999921</c:v>
                </c:pt>
                <c:pt idx="92">
                  <c:v>1.0719999999999921</c:v>
                </c:pt>
                <c:pt idx="93">
                  <c:v>1.0879999999999921</c:v>
                </c:pt>
                <c:pt idx="94">
                  <c:v>1.1039999999999919</c:v>
                </c:pt>
                <c:pt idx="95">
                  <c:v>1.1199999999999921</c:v>
                </c:pt>
                <c:pt idx="96">
                  <c:v>1.1359999999999919</c:v>
                </c:pt>
                <c:pt idx="97">
                  <c:v>1.1519999999999921</c:v>
                </c:pt>
                <c:pt idx="98">
                  <c:v>1.1679999999999919</c:v>
                </c:pt>
                <c:pt idx="99">
                  <c:v>1.1839999999999919</c:v>
                </c:pt>
                <c:pt idx="100">
                  <c:v>1.199999999999992</c:v>
                </c:pt>
              </c:numCache>
            </c:numRef>
          </c:xVal>
          <c:yVal>
            <c:numRef>
              <c:f>Alpha!$C$2:$C$102</c:f>
              <c:numCache>
                <c:formatCode>General</c:formatCode>
                <c:ptCount val="101"/>
                <c:pt idx="0">
                  <c:v>2.7853759265373281E-2</c:v>
                </c:pt>
                <c:pt idx="1">
                  <c:v>2.7238024538968016E-2</c:v>
                </c:pt>
                <c:pt idx="2">
                  <c:v>2.6647421842211944E-2</c:v>
                </c:pt>
                <c:pt idx="3">
                  <c:v>2.6081951175105068E-2</c:v>
                </c:pt>
                <c:pt idx="4">
                  <c:v>2.5541612537647383E-2</c:v>
                </c:pt>
                <c:pt idx="5">
                  <c:v>2.5026405929838898E-2</c:v>
                </c:pt>
                <c:pt idx="6">
                  <c:v>2.4536331351679607E-2</c:v>
                </c:pt>
                <c:pt idx="7">
                  <c:v>2.4071388803169509E-2</c:v>
                </c:pt>
                <c:pt idx="8">
                  <c:v>2.3631578284308626E-2</c:v>
                </c:pt>
                <c:pt idx="9">
                  <c:v>2.3216899795096915E-2</c:v>
                </c:pt>
                <c:pt idx="10">
                  <c:v>2.28273533355344E-2</c:v>
                </c:pt>
                <c:pt idx="11">
                  <c:v>2.246293890562108E-2</c:v>
                </c:pt>
                <c:pt idx="12">
                  <c:v>2.2123656505356953E-2</c:v>
                </c:pt>
                <c:pt idx="13">
                  <c:v>2.1809506134742019E-2</c:v>
                </c:pt>
                <c:pt idx="14">
                  <c:v>2.1520487793776282E-2</c:v>
                </c:pt>
                <c:pt idx="15">
                  <c:v>2.1256601482459739E-2</c:v>
                </c:pt>
                <c:pt idx="16">
                  <c:v>2.1017847200792389E-2</c:v>
                </c:pt>
                <c:pt idx="17">
                  <c:v>2.0804224948774236E-2</c:v>
                </c:pt>
                <c:pt idx="18">
                  <c:v>2.0615734726405273E-2</c:v>
                </c:pt>
                <c:pt idx="19">
                  <c:v>2.045237653368551E-2</c:v>
                </c:pt>
                <c:pt idx="20">
                  <c:v>2.0314150370614938E-2</c:v>
                </c:pt>
                <c:pt idx="21">
                  <c:v>2.0201056237193562E-2</c:v>
                </c:pt>
                <c:pt idx="22">
                  <c:v>2.0113094133421383E-2</c:v>
                </c:pt>
                <c:pt idx="23">
                  <c:v>2.0050264059298394E-2</c:v>
                </c:pt>
                <c:pt idx="24">
                  <c:v>2.0012566014824599E-2</c:v>
                </c:pt>
                <c:pt idx="25">
                  <c:v>0.02</c:v>
                </c:pt>
                <c:pt idx="26">
                  <c:v>2.0012566014824595E-2</c:v>
                </c:pt>
                <c:pt idx="27">
                  <c:v>2.0050264059298384E-2</c:v>
                </c:pt>
                <c:pt idx="28">
                  <c:v>2.0113094133421369E-2</c:v>
                </c:pt>
                <c:pt idx="29">
                  <c:v>2.0201056237193548E-2</c:v>
                </c:pt>
                <c:pt idx="30">
                  <c:v>2.031415037061492E-2</c:v>
                </c:pt>
                <c:pt idx="31">
                  <c:v>2.0452376533685486E-2</c:v>
                </c:pt>
                <c:pt idx="32">
                  <c:v>2.0615734726405249E-2</c:v>
                </c:pt>
                <c:pt idx="33">
                  <c:v>2.0804224948774205E-2</c:v>
                </c:pt>
                <c:pt idx="34">
                  <c:v>2.1017847200792354E-2</c:v>
                </c:pt>
                <c:pt idx="35">
                  <c:v>2.1256601482459701E-2</c:v>
                </c:pt>
                <c:pt idx="36">
                  <c:v>2.1520487793776227E-2</c:v>
                </c:pt>
                <c:pt idx="37">
                  <c:v>2.180950613474196E-2</c:v>
                </c:pt>
                <c:pt idx="38">
                  <c:v>2.2123656505356887E-2</c:v>
                </c:pt>
                <c:pt idx="39">
                  <c:v>2.2462938905621007E-2</c:v>
                </c:pt>
                <c:pt idx="40">
                  <c:v>2.2827353335534324E-2</c:v>
                </c:pt>
                <c:pt idx="41">
                  <c:v>2.3216899795096835E-2</c:v>
                </c:pt>
                <c:pt idx="42">
                  <c:v>2.3631578284308542E-2</c:v>
                </c:pt>
                <c:pt idx="43">
                  <c:v>2.407138880316944E-2</c:v>
                </c:pt>
                <c:pt idx="44">
                  <c:v>2.4536331351679534E-2</c:v>
                </c:pt>
                <c:pt idx="45">
                  <c:v>2.5026405929838822E-2</c:v>
                </c:pt>
                <c:pt idx="46">
                  <c:v>2.554161253764731E-2</c:v>
                </c:pt>
                <c:pt idx="47">
                  <c:v>2.6081951175104985E-2</c:v>
                </c:pt>
                <c:pt idx="48">
                  <c:v>2.6647421842211853E-2</c:v>
                </c:pt>
                <c:pt idx="49">
                  <c:v>2.7238024538967929E-2</c:v>
                </c:pt>
                <c:pt idx="50">
                  <c:v>2.7853759265373153E-2</c:v>
                </c:pt>
                <c:pt idx="51">
                  <c:v>2.8494626021427737E-2</c:v>
                </c:pt>
                <c:pt idx="52">
                  <c:v>2.9160624807131393E-2</c:v>
                </c:pt>
                <c:pt idx="53">
                  <c:v>2.9851755622484238E-2</c:v>
                </c:pt>
                <c:pt idx="54">
                  <c:v>3.0568018467486288E-2</c:v>
                </c:pt>
                <c:pt idx="55">
                  <c:v>3.1309413342137521E-2</c:v>
                </c:pt>
                <c:pt idx="56">
                  <c:v>3.2075940246437958E-2</c:v>
                </c:pt>
                <c:pt idx="57">
                  <c:v>3.2867599180387577E-2</c:v>
                </c:pt>
                <c:pt idx="58">
                  <c:v>3.3684390143986401E-2</c:v>
                </c:pt>
                <c:pt idx="59">
                  <c:v>3.4526313137234421E-2</c:v>
                </c:pt>
                <c:pt idx="60">
                  <c:v>3.5393368160131632E-2</c:v>
                </c:pt>
                <c:pt idx="61">
                  <c:v>3.6285555212678039E-2</c:v>
                </c:pt>
                <c:pt idx="62">
                  <c:v>3.7202874294873636E-2</c:v>
                </c:pt>
                <c:pt idx="63">
                  <c:v>3.8145325406718424E-2</c:v>
                </c:pt>
                <c:pt idx="64">
                  <c:v>3.9112908548212408E-2</c:v>
                </c:pt>
                <c:pt idx="65">
                  <c:v>4.0105623719355596E-2</c:v>
                </c:pt>
                <c:pt idx="66">
                  <c:v>4.1123470920147967E-2</c:v>
                </c:pt>
                <c:pt idx="67">
                  <c:v>4.2166450150589549E-2</c:v>
                </c:pt>
                <c:pt idx="68">
                  <c:v>4.32345614106803E-2</c:v>
                </c:pt>
                <c:pt idx="69">
                  <c:v>4.4327804700420276E-2</c:v>
                </c:pt>
                <c:pt idx="70">
                  <c:v>4.5446180019809421E-2</c:v>
                </c:pt>
                <c:pt idx="71">
                  <c:v>4.6589687368847194E-2</c:v>
                </c:pt>
                <c:pt idx="72">
                  <c:v>4.7758326747534718E-2</c:v>
                </c:pt>
                <c:pt idx="73">
                  <c:v>4.8952098155871454E-2</c:v>
                </c:pt>
                <c:pt idx="74">
                  <c:v>5.0171001593857387E-2</c:v>
                </c:pt>
                <c:pt idx="75">
                  <c:v>5.1415037061492488E-2</c:v>
                </c:pt>
                <c:pt idx="76">
                  <c:v>5.2684204558776801E-2</c:v>
                </c:pt>
                <c:pt idx="77">
                  <c:v>5.3978504085710297E-2</c:v>
                </c:pt>
                <c:pt idx="78">
                  <c:v>5.5297935642293003E-2</c:v>
                </c:pt>
                <c:pt idx="79">
                  <c:v>5.6642499228524906E-2</c:v>
                </c:pt>
                <c:pt idx="80">
                  <c:v>5.8012194844405979E-2</c:v>
                </c:pt>
                <c:pt idx="81">
                  <c:v>5.9407022489936262E-2</c:v>
                </c:pt>
                <c:pt idx="82">
                  <c:v>6.0826982165115728E-2</c:v>
                </c:pt>
                <c:pt idx="83">
                  <c:v>6.2272073869944419E-2</c:v>
                </c:pt>
                <c:pt idx="84">
                  <c:v>6.3742297604422279E-2</c:v>
                </c:pt>
                <c:pt idx="85">
                  <c:v>6.5237653368549336E-2</c:v>
                </c:pt>
                <c:pt idx="86">
                  <c:v>6.6758141162325577E-2</c:v>
                </c:pt>
                <c:pt idx="87">
                  <c:v>6.8303760985751041E-2</c:v>
                </c:pt>
                <c:pt idx="88">
                  <c:v>6.9874512838825675E-2</c:v>
                </c:pt>
                <c:pt idx="89">
                  <c:v>7.147039672154952E-2</c:v>
                </c:pt>
                <c:pt idx="90">
                  <c:v>7.3091412633922548E-2</c:v>
                </c:pt>
                <c:pt idx="91">
                  <c:v>7.4737560575944786E-2</c:v>
                </c:pt>
                <c:pt idx="92">
                  <c:v>7.6408840547616208E-2</c:v>
                </c:pt>
                <c:pt idx="93">
                  <c:v>7.8105252548936827E-2</c:v>
                </c:pt>
                <c:pt idx="94">
                  <c:v>7.9826796579906614E-2</c:v>
                </c:pt>
                <c:pt idx="95">
                  <c:v>8.1573472640525641E-2</c:v>
                </c:pt>
                <c:pt idx="96">
                  <c:v>8.3345280730793822E-2</c:v>
                </c:pt>
                <c:pt idx="97">
                  <c:v>8.5142220850711242E-2</c:v>
                </c:pt>
                <c:pt idx="98">
                  <c:v>8.6964293000277804E-2</c:v>
                </c:pt>
                <c:pt idx="99">
                  <c:v>8.881149717949359E-2</c:v>
                </c:pt>
                <c:pt idx="100">
                  <c:v>9.0683833388358559E-2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FD-44C7-B29A-3340118F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37368"/>
        <c:axId val="528142616"/>
      </c:scatterChart>
      <c:valAx>
        <c:axId val="52813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42616"/>
        <c:crosses val="autoZero"/>
        <c:crossBetween val="midCat"/>
      </c:valAx>
      <c:valAx>
        <c:axId val="52814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5</xdr:row>
      <xdr:rowOff>209549</xdr:rowOff>
    </xdr:from>
    <xdr:to>
      <xdr:col>17</xdr:col>
      <xdr:colOff>30456</xdr:colOff>
      <xdr:row>17</xdr:row>
      <xdr:rowOff>67683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495300</xdr:colOff>
      <xdr:row>6</xdr:row>
      <xdr:rowOff>9524</xdr:rowOff>
    </xdr:from>
    <xdr:to>
      <xdr:col>22</xdr:col>
      <xdr:colOff>468606</xdr:colOff>
      <xdr:row>17</xdr:row>
      <xdr:rowOff>77208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5763</xdr:colOff>
      <xdr:row>17</xdr:row>
      <xdr:rowOff>60174</xdr:rowOff>
    </xdr:from>
    <xdr:to>
      <xdr:col>17</xdr:col>
      <xdr:colOff>17169</xdr:colOff>
      <xdr:row>28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521994</xdr:colOff>
      <xdr:row>17</xdr:row>
      <xdr:rowOff>60174</xdr:rowOff>
    </xdr:from>
    <xdr:to>
      <xdr:col>22</xdr:col>
      <xdr:colOff>533400</xdr:colOff>
      <xdr:row>28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200025</xdr:colOff>
      <xdr:row>0</xdr:row>
      <xdr:rowOff>104775</xdr:rowOff>
    </xdr:from>
    <xdr:to>
      <xdr:col>9</xdr:col>
      <xdr:colOff>19050</xdr:colOff>
      <xdr:row>0</xdr:row>
      <xdr:rowOff>104776</xdr:rowOff>
    </xdr:to>
    <xdr:cxnSp macro="">
      <xdr:nvCxnSpPr>
        <xdr:cNvPr id="5" name="Straight Arrow Connector 4"/>
        <xdr:cNvCxnSpPr/>
      </xdr:nvCxnSpPr>
      <xdr:spPr>
        <a:xfrm flipV="1">
          <a:off x="5076825" y="104775"/>
          <a:ext cx="4286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76200</xdr:rowOff>
    </xdr:from>
    <xdr:to>
      <xdr:col>2</xdr:col>
      <xdr:colOff>0</xdr:colOff>
      <xdr:row>11</xdr:row>
      <xdr:rowOff>114300</xdr:rowOff>
    </xdr:to>
    <xdr:cxnSp macro="">
      <xdr:nvCxnSpPr>
        <xdr:cNvPr id="3" name="Straight Arrow Connector 2"/>
        <xdr:cNvCxnSpPr/>
      </xdr:nvCxnSpPr>
      <xdr:spPr>
        <a:xfrm>
          <a:off x="1647825" y="1809750"/>
          <a:ext cx="224790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11206</xdr:colOff>
      <xdr:row>11</xdr:row>
      <xdr:rowOff>104775</xdr:rowOff>
    </xdr:from>
    <xdr:to>
      <xdr:col>2</xdr:col>
      <xdr:colOff>0</xdr:colOff>
      <xdr:row>11</xdr:row>
      <xdr:rowOff>112059</xdr:rowOff>
    </xdr:to>
    <xdr:cxnSp macro="">
      <xdr:nvCxnSpPr>
        <xdr:cNvPr id="7" name="Straight Arrow Connector 6"/>
        <xdr:cNvCxnSpPr/>
      </xdr:nvCxnSpPr>
      <xdr:spPr>
        <a:xfrm flipV="1">
          <a:off x="1639981" y="2219325"/>
          <a:ext cx="2255744" cy="72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145680</xdr:colOff>
      <xdr:row>3</xdr:row>
      <xdr:rowOff>180978</xdr:rowOff>
    </xdr:from>
    <xdr:to>
      <xdr:col>8</xdr:col>
      <xdr:colOff>533401</xdr:colOff>
      <xdr:row>7</xdr:row>
      <xdr:rowOff>11206</xdr:rowOff>
    </xdr:to>
    <xdr:cxnSp macro="">
      <xdr:nvCxnSpPr>
        <xdr:cNvPr id="10" name="Curved Connector 9"/>
        <xdr:cNvCxnSpPr/>
      </xdr:nvCxnSpPr>
      <xdr:spPr>
        <a:xfrm rot="5400000">
          <a:off x="9096939" y="1116669"/>
          <a:ext cx="697003" cy="38772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1533525</xdr:colOff>
      <xdr:row>7</xdr:row>
      <xdr:rowOff>150720</xdr:rowOff>
    </xdr:from>
    <xdr:to>
      <xdr:col>8</xdr:col>
      <xdr:colOff>9525</xdr:colOff>
      <xdr:row>7</xdr:row>
      <xdr:rowOff>180975</xdr:rowOff>
    </xdr:to>
    <xdr:cxnSp macro="">
      <xdr:nvCxnSpPr>
        <xdr:cNvPr id="16" name="Straight Arrow Connector 15"/>
        <xdr:cNvCxnSpPr/>
      </xdr:nvCxnSpPr>
      <xdr:spPr>
        <a:xfrm flipV="1">
          <a:off x="3162300" y="1798545"/>
          <a:ext cx="5953125" cy="30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95250</xdr:rowOff>
    </xdr:from>
    <xdr:to>
      <xdr:col>2</xdr:col>
      <xdr:colOff>9525</xdr:colOff>
      <xdr:row>13</xdr:row>
      <xdr:rowOff>104775</xdr:rowOff>
    </xdr:to>
    <xdr:cxnSp macro="">
      <xdr:nvCxnSpPr>
        <xdr:cNvPr id="22" name="Straight Arrow Connector 21"/>
        <xdr:cNvCxnSpPr/>
      </xdr:nvCxnSpPr>
      <xdr:spPr>
        <a:xfrm>
          <a:off x="1647825" y="2886075"/>
          <a:ext cx="2257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12</xdr:row>
      <xdr:rowOff>28575</xdr:rowOff>
    </xdr:from>
    <xdr:to>
      <xdr:col>2</xdr:col>
      <xdr:colOff>9525</xdr:colOff>
      <xdr:row>12</xdr:row>
      <xdr:rowOff>180975</xdr:rowOff>
    </xdr:to>
    <xdr:cxnSp macro="">
      <xdr:nvCxnSpPr>
        <xdr:cNvPr id="24" name="Straight Arrow Connector 23"/>
        <xdr:cNvCxnSpPr/>
      </xdr:nvCxnSpPr>
      <xdr:spPr>
        <a:xfrm>
          <a:off x="3905250" y="2333625"/>
          <a:ext cx="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7</xdr:row>
      <xdr:rowOff>85725</xdr:rowOff>
    </xdr:from>
    <xdr:to>
      <xdr:col>11</xdr:col>
      <xdr:colOff>28575</xdr:colOff>
      <xdr:row>14</xdr:row>
      <xdr:rowOff>66675</xdr:rowOff>
    </xdr:to>
    <xdr:cxnSp macro="">
      <xdr:nvCxnSpPr>
        <xdr:cNvPr id="5" name="Curved Connector 4"/>
        <xdr:cNvCxnSpPr/>
      </xdr:nvCxnSpPr>
      <xdr:spPr>
        <a:xfrm>
          <a:off x="9725025" y="1733550"/>
          <a:ext cx="1390650" cy="131445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676275</xdr:colOff>
      <xdr:row>14</xdr:row>
      <xdr:rowOff>180975</xdr:rowOff>
    </xdr:from>
    <xdr:to>
      <xdr:col>11</xdr:col>
      <xdr:colOff>9525</xdr:colOff>
      <xdr:row>20</xdr:row>
      <xdr:rowOff>2</xdr:rowOff>
    </xdr:to>
    <xdr:cxnSp macro="">
      <xdr:nvCxnSpPr>
        <xdr:cNvPr id="4" name="Curved Connector 3"/>
        <xdr:cNvCxnSpPr/>
      </xdr:nvCxnSpPr>
      <xdr:spPr>
        <a:xfrm flipV="1">
          <a:off x="4572000" y="3162300"/>
          <a:ext cx="6524625" cy="108585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14</xdr:row>
      <xdr:rowOff>95250</xdr:rowOff>
    </xdr:from>
    <xdr:to>
      <xdr:col>10</xdr:col>
      <xdr:colOff>0</xdr:colOff>
      <xdr:row>16</xdr:row>
      <xdr:rowOff>190501</xdr:rowOff>
    </xdr:to>
    <xdr:cxnSp macro="">
      <xdr:nvCxnSpPr>
        <xdr:cNvPr id="15" name="Straight Arrow Connector 14"/>
        <xdr:cNvCxnSpPr/>
      </xdr:nvCxnSpPr>
      <xdr:spPr>
        <a:xfrm flipH="1" flipV="1">
          <a:off x="9725025" y="3076575"/>
          <a:ext cx="600075" cy="4953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15</xdr:row>
      <xdr:rowOff>0</xdr:rowOff>
    </xdr:from>
    <xdr:to>
      <xdr:col>7</xdr:col>
      <xdr:colOff>342900</xdr:colOff>
      <xdr:row>17</xdr:row>
      <xdr:rowOff>19050</xdr:rowOff>
    </xdr:to>
    <xdr:cxnSp macro="">
      <xdr:nvCxnSpPr>
        <xdr:cNvPr id="20" name="Straight Arrow Connector 19"/>
        <xdr:cNvCxnSpPr/>
      </xdr:nvCxnSpPr>
      <xdr:spPr>
        <a:xfrm>
          <a:off x="8782050" y="31813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38100</xdr:rowOff>
    </xdr:from>
    <xdr:to>
      <xdr:col>7</xdr:col>
      <xdr:colOff>19050</xdr:colOff>
      <xdr:row>18</xdr:row>
      <xdr:rowOff>19050</xdr:rowOff>
    </xdr:to>
    <xdr:cxnSp macro="">
      <xdr:nvCxnSpPr>
        <xdr:cNvPr id="23" name="Straight Arrow Connector 22"/>
        <xdr:cNvCxnSpPr/>
      </xdr:nvCxnSpPr>
      <xdr:spPr>
        <a:xfrm>
          <a:off x="4981575" y="1685925"/>
          <a:ext cx="3476625" cy="2200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104775</xdr:rowOff>
    </xdr:from>
    <xdr:to>
      <xdr:col>7</xdr:col>
      <xdr:colOff>38100</xdr:colOff>
      <xdr:row>20</xdr:row>
      <xdr:rowOff>114300</xdr:rowOff>
    </xdr:to>
    <xdr:cxnSp macro="">
      <xdr:nvCxnSpPr>
        <xdr:cNvPr id="26" name="Curved Connector 25"/>
        <xdr:cNvCxnSpPr/>
      </xdr:nvCxnSpPr>
      <xdr:spPr>
        <a:xfrm>
          <a:off x="3914775" y="3286125"/>
          <a:ext cx="4562475" cy="107632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19</xdr:row>
      <xdr:rowOff>0</xdr:rowOff>
    </xdr:from>
    <xdr:to>
      <xdr:col>7</xdr:col>
      <xdr:colOff>9525</xdr:colOff>
      <xdr:row>20</xdr:row>
      <xdr:rowOff>28575</xdr:rowOff>
    </xdr:to>
    <xdr:cxnSp macro="">
      <xdr:nvCxnSpPr>
        <xdr:cNvPr id="28" name="Straight Arrow Connector 27"/>
        <xdr:cNvCxnSpPr/>
      </xdr:nvCxnSpPr>
      <xdr:spPr>
        <a:xfrm>
          <a:off x="8429625" y="4057650"/>
          <a:ext cx="19050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371477</xdr:colOff>
      <xdr:row>10</xdr:row>
      <xdr:rowOff>190499</xdr:rowOff>
    </xdr:from>
    <xdr:to>
      <xdr:col>11</xdr:col>
      <xdr:colOff>1076327</xdr:colOff>
      <xdr:row>14</xdr:row>
      <xdr:rowOff>152399</xdr:rowOff>
    </xdr:to>
    <xdr:sp macro="" textlink="">
      <xdr:nvSpPr>
        <xdr:cNvPr id="8" name="Arc 7"/>
        <xdr:cNvSpPr/>
      </xdr:nvSpPr>
      <xdr:spPr>
        <a:xfrm rot="13861629">
          <a:off x="10763252" y="1733549"/>
          <a:ext cx="723900" cy="2076450"/>
        </a:xfrm>
        <a:prstGeom prst="arc">
          <a:avLst>
            <a:gd name="adj1" fmla="val 16200000"/>
            <a:gd name="adj2" fmla="val 1701139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5</xdr:col>
      <xdr:colOff>0</xdr:colOff>
      <xdr:row>16</xdr:row>
      <xdr:rowOff>43393</xdr:rowOff>
    </xdr:from>
    <xdr:to>
      <xdr:col>9</xdr:col>
      <xdr:colOff>602540</xdr:colOff>
      <xdr:row>21</xdr:row>
      <xdr:rowOff>66675</xdr:rowOff>
    </xdr:to>
    <xdr:cxnSp macro="">
      <xdr:nvCxnSpPr>
        <xdr:cNvPr id="11" name="Curved Connector 10"/>
        <xdr:cNvCxnSpPr>
          <a:endCxn id="8" idx="0"/>
        </xdr:cNvCxnSpPr>
      </xdr:nvCxnSpPr>
      <xdr:spPr>
        <a:xfrm flipV="1">
          <a:off x="7219950" y="3424768"/>
          <a:ext cx="3098090" cy="1080557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1762125</xdr:colOff>
      <xdr:row>21</xdr:row>
      <xdr:rowOff>9525</xdr:rowOff>
    </xdr:from>
    <xdr:to>
      <xdr:col>7</xdr:col>
      <xdr:colOff>361950</xdr:colOff>
      <xdr:row>26</xdr:row>
      <xdr:rowOff>9525</xdr:rowOff>
    </xdr:to>
    <xdr:sp macro="" textlink="">
      <xdr:nvSpPr>
        <xdr:cNvPr id="12" name="Freeform 11"/>
        <xdr:cNvSpPr/>
      </xdr:nvSpPr>
      <xdr:spPr>
        <a:xfrm>
          <a:off x="3390900" y="4448175"/>
          <a:ext cx="5410200" cy="1057275"/>
        </a:xfrm>
        <a:custGeom>
          <a:avLst/>
          <a:gdLst>
            <a:gd name="connsiteX0" fmla="*/ 5410200 w 5410200"/>
            <a:gd name="connsiteY0" fmla="*/ 0 h 1057275"/>
            <a:gd name="connsiteX1" fmla="*/ 4276725 w 5410200"/>
            <a:gd name="connsiteY1" fmla="*/ 676275 h 1057275"/>
            <a:gd name="connsiteX2" fmla="*/ 952500 w 5410200"/>
            <a:gd name="connsiteY2" fmla="*/ 742950 h 1057275"/>
            <a:gd name="connsiteX3" fmla="*/ 0 w 5410200"/>
            <a:gd name="connsiteY3" fmla="*/ 1057275 h 10572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410200" h="1057275">
              <a:moveTo>
                <a:pt x="5410200" y="0"/>
              </a:moveTo>
              <a:cubicBezTo>
                <a:pt x="5214937" y="276225"/>
                <a:pt x="5019675" y="552450"/>
                <a:pt x="4276725" y="676275"/>
              </a:cubicBezTo>
              <a:cubicBezTo>
                <a:pt x="3533775" y="800100"/>
                <a:pt x="1665287" y="679450"/>
                <a:pt x="952500" y="742950"/>
              </a:cubicBezTo>
              <a:cubicBezTo>
                <a:pt x="239713" y="806450"/>
                <a:pt x="119856" y="931862"/>
                <a:pt x="0" y="105727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6</xdr:col>
      <xdr:colOff>485775</xdr:colOff>
      <xdr:row>23</xdr:row>
      <xdr:rowOff>104775</xdr:rowOff>
    </xdr:from>
    <xdr:to>
      <xdr:col>7</xdr:col>
      <xdr:colOff>266700</xdr:colOff>
      <xdr:row>26</xdr:row>
      <xdr:rowOff>19050</xdr:rowOff>
    </xdr:to>
    <xdr:cxnSp macro="">
      <xdr:nvCxnSpPr>
        <xdr:cNvPr id="14" name="Straight Arrow Connector 13"/>
        <xdr:cNvCxnSpPr/>
      </xdr:nvCxnSpPr>
      <xdr:spPr>
        <a:xfrm>
          <a:off x="8315325" y="4924425"/>
          <a:ext cx="39052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selection activeCell="M4" sqref="M4"/>
    </sheetView>
  </sheetViews>
  <sheetFormatPr defaultRowHeight="15" x14ac:dyDescent="0.25"/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3" t="s">
        <v>5</v>
      </c>
      <c r="H1" s="3"/>
      <c r="I1" s="3" t="s">
        <v>6</v>
      </c>
      <c r="J1" s="3" t="s">
        <v>7</v>
      </c>
      <c r="K1" s="3" t="s">
        <v>55</v>
      </c>
      <c r="M1" s="21" t="s">
        <v>96</v>
      </c>
      <c r="N1" s="21"/>
      <c r="O1" s="21"/>
      <c r="P1" s="21"/>
      <c r="Q1" s="21"/>
    </row>
    <row r="2" spans="1:19" ht="15.75" thickBot="1" x14ac:dyDescent="0.3">
      <c r="A2">
        <v>-10</v>
      </c>
      <c r="B2" s="5">
        <f>G2*(A2-F2)</f>
        <v>-0.4</v>
      </c>
      <c r="C2" s="5">
        <f>K2+(B2^2) / (3.141593 *I2 * J2)</f>
        <v>2.7853759265373281E-2</v>
      </c>
      <c r="D2" s="5">
        <f>B2/C2</f>
        <v>-14.360718644440379</v>
      </c>
      <c r="F2" s="1">
        <v>-5</v>
      </c>
      <c r="G2" s="1">
        <v>0.08</v>
      </c>
      <c r="H2" s="2">
        <f>3.14159265*3.14159265/90</f>
        <v>0.10966227087260028</v>
      </c>
      <c r="I2" s="1">
        <v>8</v>
      </c>
      <c r="J2" s="5">
        <f>1.78*(1-0.045*I2^0.68)-0.64</f>
        <v>0.81059232993939634</v>
      </c>
      <c r="K2" s="1">
        <v>0.02</v>
      </c>
    </row>
    <row r="3" spans="1:19" ht="16.5" thickTop="1" thickBot="1" x14ac:dyDescent="0.3">
      <c r="A3">
        <v>-9.8000000000000007</v>
      </c>
      <c r="B3" s="5">
        <f>G3*(A3-F3)</f>
        <v>-0.38400000000000006</v>
      </c>
      <c r="C3" s="5">
        <f t="shared" ref="C3:C66" si="0">K3+(B3^2) / (3.141593 *I3 * J3)</f>
        <v>2.7238024538968016E-2</v>
      </c>
      <c r="D3" s="5">
        <f t="shared" ref="D3:D66" si="1">B3/C3</f>
        <v>-14.097938690474097</v>
      </c>
      <c r="F3" s="2">
        <f>F2</f>
        <v>-5</v>
      </c>
      <c r="G3" s="2">
        <f>G2</f>
        <v>0.08</v>
      </c>
      <c r="H3" s="2"/>
      <c r="I3" s="2">
        <f>I2</f>
        <v>8</v>
      </c>
      <c r="J3" s="2">
        <f>J2</f>
        <v>0.81059232993939634</v>
      </c>
      <c r="K3" s="2">
        <f>K2</f>
        <v>0.02</v>
      </c>
    </row>
    <row r="4" spans="1:19" ht="16.5" thickTop="1" thickBot="1" x14ac:dyDescent="0.3">
      <c r="A4">
        <v>-9.6</v>
      </c>
      <c r="B4" s="5">
        <f t="shared" ref="B4:B66" si="2">G4*(A4-F4)</f>
        <v>-0.36799999999999999</v>
      </c>
      <c r="C4" s="5">
        <f t="shared" si="0"/>
        <v>2.6647421842211944E-2</v>
      </c>
      <c r="D4" s="5">
        <f t="shared" si="1"/>
        <v>-13.809966389208222</v>
      </c>
      <c r="F4" s="2">
        <f t="shared" ref="F4:F67" si="3">F3</f>
        <v>-5</v>
      </c>
      <c r="G4" s="2">
        <f t="shared" ref="G4:G67" si="4">G3</f>
        <v>0.08</v>
      </c>
      <c r="H4" s="2"/>
      <c r="I4" s="2">
        <f t="shared" ref="I4:I67" si="5">I3</f>
        <v>8</v>
      </c>
      <c r="J4" s="2">
        <f t="shared" ref="J4:K67" si="6">J3</f>
        <v>0.81059232993939634</v>
      </c>
      <c r="K4" s="2">
        <f t="shared" si="6"/>
        <v>0.02</v>
      </c>
      <c r="P4" s="9" t="s">
        <v>56</v>
      </c>
      <c r="Q4" s="9" t="s">
        <v>57</v>
      </c>
      <c r="R4" s="9" t="s">
        <v>49</v>
      </c>
      <c r="S4" s="10" t="s">
        <v>58</v>
      </c>
    </row>
    <row r="5" spans="1:19" ht="16.5" thickTop="1" thickBot="1" x14ac:dyDescent="0.3">
      <c r="A5">
        <v>-9.4</v>
      </c>
      <c r="B5" s="5">
        <f t="shared" si="2"/>
        <v>-0.35200000000000004</v>
      </c>
      <c r="C5" s="5">
        <f t="shared" si="0"/>
        <v>2.6081951175105068E-2</v>
      </c>
      <c r="D5" s="5">
        <f t="shared" si="1"/>
        <v>-13.495922817920928</v>
      </c>
      <c r="F5" s="2">
        <f t="shared" si="3"/>
        <v>-5</v>
      </c>
      <c r="G5" s="2">
        <f t="shared" si="4"/>
        <v>0.08</v>
      </c>
      <c r="H5" s="2"/>
      <c r="I5" s="2">
        <f t="shared" si="5"/>
        <v>8</v>
      </c>
      <c r="J5" s="2">
        <f t="shared" si="6"/>
        <v>0.81059232993939634</v>
      </c>
      <c r="K5" s="2">
        <f t="shared" si="6"/>
        <v>0.02</v>
      </c>
      <c r="P5" s="5">
        <f>MAX(D2:D102)</f>
        <v>15.957861782140196</v>
      </c>
      <c r="Q5" s="5">
        <f>MAX(B2:B102)</f>
        <v>1.199999999999992</v>
      </c>
      <c r="R5" s="5">
        <f>MAX(C2:C102)</f>
        <v>9.0683833388358559E-2</v>
      </c>
      <c r="S5" s="5">
        <f>K2</f>
        <v>0.02</v>
      </c>
    </row>
    <row r="6" spans="1:19" ht="16.5" thickTop="1" thickBot="1" x14ac:dyDescent="0.3">
      <c r="A6">
        <v>-9.1999999999999993</v>
      </c>
      <c r="B6" s="5">
        <f t="shared" si="2"/>
        <v>-0.33599999999999997</v>
      </c>
      <c r="C6" s="5">
        <f t="shared" si="0"/>
        <v>2.5541612537647383E-2</v>
      </c>
      <c r="D6" s="5">
        <f t="shared" si="1"/>
        <v>-13.155003408839145</v>
      </c>
      <c r="F6" s="2">
        <f t="shared" si="3"/>
        <v>-5</v>
      </c>
      <c r="G6" s="2">
        <f t="shared" si="4"/>
        <v>0.08</v>
      </c>
      <c r="H6" s="2"/>
      <c r="I6" s="2">
        <f t="shared" si="5"/>
        <v>8</v>
      </c>
      <c r="J6" s="2">
        <f t="shared" si="6"/>
        <v>0.81059232993939634</v>
      </c>
      <c r="K6" s="2">
        <f t="shared" si="6"/>
        <v>0.02</v>
      </c>
      <c r="P6" s="20" t="s">
        <v>60</v>
      </c>
      <c r="Q6" s="20"/>
      <c r="R6" s="20"/>
    </row>
    <row r="7" spans="1:19" ht="16.5" thickTop="1" thickBot="1" x14ac:dyDescent="0.3">
      <c r="A7">
        <v>-9</v>
      </c>
      <c r="B7" s="5">
        <f t="shared" si="2"/>
        <v>-0.32</v>
      </c>
      <c r="C7" s="5">
        <f t="shared" si="0"/>
        <v>2.5026405929838898E-2</v>
      </c>
      <c r="D7" s="5">
        <f t="shared" si="1"/>
        <v>-12.786494429008885</v>
      </c>
      <c r="F7" s="2">
        <f t="shared" si="3"/>
        <v>-5</v>
      </c>
      <c r="G7" s="2">
        <f t="shared" si="4"/>
        <v>0.08</v>
      </c>
      <c r="H7" s="2"/>
      <c r="I7" s="2">
        <f t="shared" si="5"/>
        <v>8</v>
      </c>
      <c r="J7" s="2">
        <f t="shared" si="6"/>
        <v>0.81059232993939634</v>
      </c>
      <c r="K7" s="2">
        <f t="shared" si="6"/>
        <v>0.02</v>
      </c>
    </row>
    <row r="8" spans="1:19" ht="16.5" thickTop="1" thickBot="1" x14ac:dyDescent="0.3">
      <c r="A8">
        <v>-8.8000000000000007</v>
      </c>
      <c r="B8" s="5">
        <f t="shared" si="2"/>
        <v>-0.30400000000000005</v>
      </c>
      <c r="C8" s="5">
        <f t="shared" si="0"/>
        <v>2.4536331351679607E-2</v>
      </c>
      <c r="D8" s="5">
        <f t="shared" si="1"/>
        <v>-12.389790292719946</v>
      </c>
      <c r="F8" s="2">
        <f t="shared" si="3"/>
        <v>-5</v>
      </c>
      <c r="G8" s="2">
        <f t="shared" si="4"/>
        <v>0.08</v>
      </c>
      <c r="H8" s="2"/>
      <c r="I8" s="2">
        <f t="shared" si="5"/>
        <v>8</v>
      </c>
      <c r="J8" s="2">
        <f t="shared" si="6"/>
        <v>0.81059232993939634</v>
      </c>
      <c r="K8" s="2">
        <f t="shared" si="6"/>
        <v>0.02</v>
      </c>
    </row>
    <row r="9" spans="1:19" ht="16.5" thickTop="1" thickBot="1" x14ac:dyDescent="0.3">
      <c r="A9">
        <v>-8.6</v>
      </c>
      <c r="B9" s="5">
        <f t="shared" si="2"/>
        <v>-0.28799999999999998</v>
      </c>
      <c r="C9" s="5">
        <f t="shared" si="0"/>
        <v>2.4071388803169509E-2</v>
      </c>
      <c r="D9" s="5">
        <f t="shared" si="1"/>
        <v>-11.964411457725225</v>
      </c>
      <c r="F9" s="2">
        <f t="shared" si="3"/>
        <v>-5</v>
      </c>
      <c r="G9" s="2">
        <f t="shared" si="4"/>
        <v>0.08</v>
      </c>
      <c r="H9" s="2"/>
      <c r="I9" s="2">
        <f t="shared" si="5"/>
        <v>8</v>
      </c>
      <c r="J9" s="2">
        <f t="shared" si="6"/>
        <v>0.81059232993939634</v>
      </c>
      <c r="K9" s="2">
        <f t="shared" si="6"/>
        <v>0.02</v>
      </c>
    </row>
    <row r="10" spans="1:19" ht="16.5" thickTop="1" thickBot="1" x14ac:dyDescent="0.3">
      <c r="A10">
        <v>-8.4000000000000092</v>
      </c>
      <c r="B10" s="5">
        <f t="shared" si="2"/>
        <v>-0.27200000000000074</v>
      </c>
      <c r="C10" s="5">
        <f t="shared" si="0"/>
        <v>2.3631578284308626E-2</v>
      </c>
      <c r="D10" s="5">
        <f t="shared" si="1"/>
        <v>-11.51002259466558</v>
      </c>
      <c r="F10" s="2">
        <f t="shared" si="3"/>
        <v>-5</v>
      </c>
      <c r="G10" s="2">
        <f t="shared" si="4"/>
        <v>0.08</v>
      </c>
      <c r="H10" s="2"/>
      <c r="I10" s="2">
        <f t="shared" si="5"/>
        <v>8</v>
      </c>
      <c r="J10" s="2">
        <f t="shared" si="6"/>
        <v>0.81059232993939634</v>
      </c>
      <c r="K10" s="2">
        <f t="shared" si="6"/>
        <v>0.02</v>
      </c>
    </row>
    <row r="11" spans="1:19" ht="16.5" thickTop="1" thickBot="1" x14ac:dyDescent="0.3">
      <c r="A11">
        <v>-8.2000000000000099</v>
      </c>
      <c r="B11" s="5">
        <f t="shared" si="2"/>
        <v>-0.25600000000000078</v>
      </c>
      <c r="C11" s="5">
        <f t="shared" si="0"/>
        <v>2.3216899795096915E-2</v>
      </c>
      <c r="D11" s="5">
        <f t="shared" si="1"/>
        <v>-11.026450657036666</v>
      </c>
      <c r="F11" s="2">
        <f t="shared" si="3"/>
        <v>-5</v>
      </c>
      <c r="G11" s="2">
        <f t="shared" si="4"/>
        <v>0.08</v>
      </c>
      <c r="H11" s="2"/>
      <c r="I11" s="2">
        <f t="shared" si="5"/>
        <v>8</v>
      </c>
      <c r="J11" s="2">
        <f t="shared" si="6"/>
        <v>0.81059232993939634</v>
      </c>
      <c r="K11" s="2">
        <f t="shared" si="6"/>
        <v>0.02</v>
      </c>
    </row>
    <row r="12" spans="1:19" ht="16.5" thickTop="1" thickBot="1" x14ac:dyDescent="0.3">
      <c r="A12">
        <v>-8.0000000000000107</v>
      </c>
      <c r="B12" s="5">
        <f t="shared" si="2"/>
        <v>-0.24000000000000085</v>
      </c>
      <c r="C12" s="5">
        <f t="shared" si="0"/>
        <v>2.28273533355344E-2</v>
      </c>
      <c r="D12" s="5">
        <f t="shared" si="1"/>
        <v>-10.51370241973706</v>
      </c>
      <c r="F12" s="2">
        <f t="shared" si="3"/>
        <v>-5</v>
      </c>
      <c r="G12" s="2">
        <f t="shared" si="4"/>
        <v>0.08</v>
      </c>
      <c r="H12" s="2"/>
      <c r="I12" s="2">
        <f t="shared" si="5"/>
        <v>8</v>
      </c>
      <c r="J12" s="2">
        <f t="shared" si="6"/>
        <v>0.81059232993939634</v>
      </c>
      <c r="K12" s="2">
        <f t="shared" si="6"/>
        <v>0.02</v>
      </c>
    </row>
    <row r="13" spans="1:19" ht="16.5" thickTop="1" thickBot="1" x14ac:dyDescent="0.3">
      <c r="A13">
        <v>-7.8000000000000096</v>
      </c>
      <c r="B13" s="5">
        <f t="shared" si="2"/>
        <v>-0.22400000000000078</v>
      </c>
      <c r="C13" s="5">
        <f t="shared" si="0"/>
        <v>2.246293890562108E-2</v>
      </c>
      <c r="D13" s="5">
        <f t="shared" si="1"/>
        <v>-9.971981001290418</v>
      </c>
      <c r="F13" s="2">
        <f t="shared" si="3"/>
        <v>-5</v>
      </c>
      <c r="G13" s="2">
        <f t="shared" si="4"/>
        <v>0.08</v>
      </c>
      <c r="H13" s="2"/>
      <c r="I13" s="2">
        <f t="shared" si="5"/>
        <v>8</v>
      </c>
      <c r="J13" s="2">
        <f t="shared" si="6"/>
        <v>0.81059232993939634</v>
      </c>
      <c r="K13" s="2">
        <f t="shared" si="6"/>
        <v>0.02</v>
      </c>
    </row>
    <row r="14" spans="1:19" ht="16.5" thickTop="1" thickBot="1" x14ac:dyDescent="0.3">
      <c r="A14">
        <v>-7.6000000000000103</v>
      </c>
      <c r="B14" s="5">
        <f t="shared" si="2"/>
        <v>-0.20800000000000082</v>
      </c>
      <c r="C14" s="5">
        <f t="shared" si="0"/>
        <v>2.2123656505356953E-2</v>
      </c>
      <c r="D14" s="5">
        <f t="shared" si="1"/>
        <v>-9.4017008422471378</v>
      </c>
      <c r="F14" s="2">
        <f t="shared" si="3"/>
        <v>-5</v>
      </c>
      <c r="G14" s="2">
        <f t="shared" si="4"/>
        <v>0.08</v>
      </c>
      <c r="H14" s="2"/>
      <c r="I14" s="2">
        <f t="shared" si="5"/>
        <v>8</v>
      </c>
      <c r="J14" s="2">
        <f t="shared" si="6"/>
        <v>0.81059232993939634</v>
      </c>
      <c r="K14" s="2">
        <f t="shared" si="6"/>
        <v>0.02</v>
      </c>
    </row>
    <row r="15" spans="1:19" ht="16.5" thickTop="1" thickBot="1" x14ac:dyDescent="0.3">
      <c r="A15">
        <v>-7.4000000000000101</v>
      </c>
      <c r="B15" s="5">
        <f t="shared" si="2"/>
        <v>-0.19200000000000081</v>
      </c>
      <c r="C15" s="5">
        <f t="shared" si="0"/>
        <v>2.1809506134742019E-2</v>
      </c>
      <c r="D15" s="5">
        <f t="shared" si="1"/>
        <v>-8.8035005842773035</v>
      </c>
      <c r="F15" s="2">
        <f t="shared" si="3"/>
        <v>-5</v>
      </c>
      <c r="G15" s="2">
        <f t="shared" si="4"/>
        <v>0.08</v>
      </c>
      <c r="H15" s="2"/>
      <c r="I15" s="2">
        <f t="shared" si="5"/>
        <v>8</v>
      </c>
      <c r="J15" s="2">
        <f t="shared" si="6"/>
        <v>0.81059232993939634</v>
      </c>
      <c r="K15" s="2">
        <f t="shared" si="6"/>
        <v>0.02</v>
      </c>
    </row>
    <row r="16" spans="1:19" ht="16.5" thickTop="1" thickBot="1" x14ac:dyDescent="0.3">
      <c r="A16">
        <v>-7.2000000000000099</v>
      </c>
      <c r="B16" s="5">
        <f t="shared" si="2"/>
        <v>-0.17600000000000079</v>
      </c>
      <c r="C16" s="5">
        <f t="shared" si="0"/>
        <v>2.1520487793776282E-2</v>
      </c>
      <c r="D16" s="5">
        <f t="shared" si="1"/>
        <v>-8.178253285267072</v>
      </c>
      <c r="F16" s="2">
        <f t="shared" si="3"/>
        <v>-5</v>
      </c>
      <c r="G16" s="2">
        <f t="shared" si="4"/>
        <v>0.08</v>
      </c>
      <c r="H16" s="2"/>
      <c r="I16" s="2">
        <f t="shared" si="5"/>
        <v>8</v>
      </c>
      <c r="J16" s="2">
        <f t="shared" si="6"/>
        <v>0.81059232993939634</v>
      </c>
      <c r="K16" s="2">
        <f t="shared" si="6"/>
        <v>0.02</v>
      </c>
    </row>
    <row r="17" spans="1:23" ht="16.5" thickTop="1" thickBot="1" x14ac:dyDescent="0.3">
      <c r="A17">
        <v>-7.0000000000000098</v>
      </c>
      <c r="B17" s="5">
        <f t="shared" si="2"/>
        <v>-0.16000000000000078</v>
      </c>
      <c r="C17" s="5">
        <f t="shared" si="0"/>
        <v>2.1256601482459739E-2</v>
      </c>
      <c r="D17" s="5">
        <f t="shared" si="1"/>
        <v>-7.5270734191459354</v>
      </c>
      <c r="F17" s="2">
        <f t="shared" si="3"/>
        <v>-5</v>
      </c>
      <c r="G17" s="2">
        <f t="shared" si="4"/>
        <v>0.08</v>
      </c>
      <c r="H17" s="2"/>
      <c r="I17" s="2">
        <f t="shared" si="5"/>
        <v>8</v>
      </c>
      <c r="J17" s="2">
        <f t="shared" si="6"/>
        <v>0.81059232993939634</v>
      </c>
      <c r="K17" s="2">
        <f t="shared" si="6"/>
        <v>0.02</v>
      </c>
    </row>
    <row r="18" spans="1:23" ht="16.5" thickTop="1" thickBot="1" x14ac:dyDescent="0.3">
      <c r="A18">
        <v>-6.8000000000000096</v>
      </c>
      <c r="B18" s="5">
        <f t="shared" si="2"/>
        <v>-0.14400000000000077</v>
      </c>
      <c r="C18" s="5">
        <f t="shared" si="0"/>
        <v>2.1017847200792389E-2</v>
      </c>
      <c r="D18" s="5">
        <f t="shared" si="1"/>
        <v>-6.8513201482676998</v>
      </c>
      <c r="F18" s="2">
        <f t="shared" si="3"/>
        <v>-5</v>
      </c>
      <c r="G18" s="2">
        <f t="shared" si="4"/>
        <v>0.08</v>
      </c>
      <c r="H18" s="2"/>
      <c r="I18" s="2">
        <f t="shared" si="5"/>
        <v>8</v>
      </c>
      <c r="J18" s="2">
        <f t="shared" si="6"/>
        <v>0.81059232993939634</v>
      </c>
      <c r="K18" s="2">
        <f t="shared" si="6"/>
        <v>0.02</v>
      </c>
    </row>
    <row r="19" spans="1:23" ht="16.5" thickTop="1" thickBot="1" x14ac:dyDescent="0.3">
      <c r="A19">
        <v>-6.6000000000000103</v>
      </c>
      <c r="B19" s="5">
        <f t="shared" si="2"/>
        <v>-0.12800000000000084</v>
      </c>
      <c r="C19" s="5">
        <f t="shared" si="0"/>
        <v>2.0804224948774236E-2</v>
      </c>
      <c r="D19" s="5">
        <f t="shared" si="1"/>
        <v>-6.1525964228502765</v>
      </c>
      <c r="F19" s="2">
        <f t="shared" si="3"/>
        <v>-5</v>
      </c>
      <c r="G19" s="2">
        <f t="shared" si="4"/>
        <v>0.08</v>
      </c>
      <c r="H19" s="2"/>
      <c r="I19" s="2">
        <f t="shared" si="5"/>
        <v>8</v>
      </c>
      <c r="J19" s="2">
        <f t="shared" si="6"/>
        <v>0.81059232993939634</v>
      </c>
      <c r="K19" s="2">
        <f t="shared" si="6"/>
        <v>0.02</v>
      </c>
    </row>
    <row r="20" spans="1:23" ht="16.5" thickTop="1" thickBot="1" x14ac:dyDescent="0.3">
      <c r="A20">
        <v>-6.4000000000000101</v>
      </c>
      <c r="B20" s="5">
        <f t="shared" si="2"/>
        <v>-0.11200000000000081</v>
      </c>
      <c r="C20" s="5">
        <f t="shared" si="0"/>
        <v>2.0615734726405273E-2</v>
      </c>
      <c r="D20" s="5">
        <f t="shared" si="1"/>
        <v>-5.4327435566265674</v>
      </c>
      <c r="F20" s="2">
        <f t="shared" si="3"/>
        <v>-5</v>
      </c>
      <c r="G20" s="2">
        <f t="shared" si="4"/>
        <v>0.08</v>
      </c>
      <c r="H20" s="2"/>
      <c r="I20" s="2">
        <f t="shared" si="5"/>
        <v>8</v>
      </c>
      <c r="J20" s="2">
        <f t="shared" si="6"/>
        <v>0.81059232993939634</v>
      </c>
      <c r="K20" s="2">
        <f t="shared" si="6"/>
        <v>0.02</v>
      </c>
    </row>
    <row r="21" spans="1:23" ht="16.5" thickTop="1" thickBot="1" x14ac:dyDescent="0.3">
      <c r="A21">
        <v>-6.2000000000000099</v>
      </c>
      <c r="B21" s="5">
        <f t="shared" si="2"/>
        <v>-9.6000000000000793E-2</v>
      </c>
      <c r="C21" s="5">
        <f t="shared" si="0"/>
        <v>2.045237653368551E-2</v>
      </c>
      <c r="D21" s="5">
        <f t="shared" si="1"/>
        <v>-4.6938310490170521</v>
      </c>
      <c r="F21" s="2">
        <f t="shared" si="3"/>
        <v>-5</v>
      </c>
      <c r="G21" s="2">
        <f t="shared" si="4"/>
        <v>0.08</v>
      </c>
      <c r="H21" s="2"/>
      <c r="I21" s="2">
        <f t="shared" si="5"/>
        <v>8</v>
      </c>
      <c r="J21" s="2">
        <f t="shared" si="6"/>
        <v>0.81059232993939634</v>
      </c>
      <c r="K21" s="2">
        <f t="shared" si="6"/>
        <v>0.02</v>
      </c>
    </row>
    <row r="22" spans="1:23" ht="16.5" thickTop="1" thickBot="1" x14ac:dyDescent="0.3">
      <c r="A22">
        <v>-6.0000000000000098</v>
      </c>
      <c r="B22" s="5">
        <f t="shared" si="2"/>
        <v>-8.0000000000000779E-2</v>
      </c>
      <c r="C22" s="5">
        <f t="shared" si="0"/>
        <v>2.0314150370614938E-2</v>
      </c>
      <c r="D22" s="5">
        <f t="shared" si="1"/>
        <v>-3.9381415683386551</v>
      </c>
      <c r="F22" s="2">
        <f t="shared" si="3"/>
        <v>-5</v>
      </c>
      <c r="G22" s="2">
        <f t="shared" si="4"/>
        <v>0.08</v>
      </c>
      <c r="H22" s="2"/>
      <c r="I22" s="2">
        <f t="shared" si="5"/>
        <v>8</v>
      </c>
      <c r="J22" s="2">
        <f t="shared" si="6"/>
        <v>0.81059232993939634</v>
      </c>
      <c r="K22" s="2">
        <f t="shared" si="6"/>
        <v>0.02</v>
      </c>
    </row>
    <row r="23" spans="1:23" ht="16.5" thickTop="1" thickBot="1" x14ac:dyDescent="0.3">
      <c r="A23">
        <v>-5.8000000000000096</v>
      </c>
      <c r="B23" s="5">
        <f t="shared" si="2"/>
        <v>-6.4000000000000765E-2</v>
      </c>
      <c r="C23" s="5">
        <f t="shared" si="0"/>
        <v>2.0201056237193562E-2</v>
      </c>
      <c r="D23" s="5">
        <f t="shared" si="1"/>
        <v>-3.1681511723216698</v>
      </c>
      <c r="F23" s="2">
        <f t="shared" si="3"/>
        <v>-5</v>
      </c>
      <c r="G23" s="2">
        <f t="shared" si="4"/>
        <v>0.08</v>
      </c>
      <c r="H23" s="2"/>
      <c r="I23" s="2">
        <f t="shared" si="5"/>
        <v>8</v>
      </c>
      <c r="J23" s="2">
        <f t="shared" si="6"/>
        <v>0.81059232993939634</v>
      </c>
      <c r="K23" s="2">
        <f t="shared" si="6"/>
        <v>0.02</v>
      </c>
    </row>
    <row r="24" spans="1:23" ht="16.5" thickTop="1" thickBot="1" x14ac:dyDescent="0.3">
      <c r="A24">
        <v>-5.6000000000000201</v>
      </c>
      <c r="B24" s="5">
        <f t="shared" si="2"/>
        <v>-4.8000000000001604E-2</v>
      </c>
      <c r="C24" s="5">
        <f t="shared" si="0"/>
        <v>2.0113094133421383E-2</v>
      </c>
      <c r="D24" s="5">
        <f t="shared" si="1"/>
        <v>-2.3865050141758797</v>
      </c>
      <c r="F24" s="2">
        <f t="shared" si="3"/>
        <v>-5</v>
      </c>
      <c r="G24" s="2">
        <f t="shared" si="4"/>
        <v>0.08</v>
      </c>
      <c r="H24" s="2"/>
      <c r="I24" s="2">
        <f t="shared" si="5"/>
        <v>8</v>
      </c>
      <c r="J24" s="2">
        <f t="shared" si="6"/>
        <v>0.81059232993939634</v>
      </c>
      <c r="K24" s="2">
        <f t="shared" si="6"/>
        <v>0.02</v>
      </c>
    </row>
    <row r="25" spans="1:23" ht="16.5" thickTop="1" thickBot="1" x14ac:dyDescent="0.3">
      <c r="A25">
        <v>-5.4000000000000199</v>
      </c>
      <c r="B25" s="5">
        <f t="shared" si="2"/>
        <v>-3.200000000000159E-2</v>
      </c>
      <c r="C25" s="5">
        <f t="shared" si="0"/>
        <v>2.0050264059298394E-2</v>
      </c>
      <c r="D25" s="5">
        <f t="shared" si="1"/>
        <v>-1.5959889558243228</v>
      </c>
      <c r="F25" s="2">
        <f t="shared" si="3"/>
        <v>-5</v>
      </c>
      <c r="G25" s="2">
        <f t="shared" si="4"/>
        <v>0.08</v>
      </c>
      <c r="H25" s="2"/>
      <c r="I25" s="2">
        <f t="shared" si="5"/>
        <v>8</v>
      </c>
      <c r="J25" s="2">
        <f t="shared" si="6"/>
        <v>0.81059232993939634</v>
      </c>
      <c r="K25" s="2">
        <f t="shared" si="6"/>
        <v>0.02</v>
      </c>
    </row>
    <row r="26" spans="1:23" ht="16.5" thickTop="1" thickBot="1" x14ac:dyDescent="0.3">
      <c r="A26">
        <v>-5.2000000000000197</v>
      </c>
      <c r="B26" s="5">
        <f t="shared" si="2"/>
        <v>-1.6000000000001579E-2</v>
      </c>
      <c r="C26" s="5">
        <f t="shared" si="0"/>
        <v>2.0012566014824599E-2</v>
      </c>
      <c r="D26" s="5">
        <f t="shared" si="1"/>
        <v>-0.79949767501825331</v>
      </c>
      <c r="F26" s="2">
        <f t="shared" si="3"/>
        <v>-5</v>
      </c>
      <c r="G26" s="2">
        <f t="shared" si="4"/>
        <v>0.08</v>
      </c>
      <c r="H26" s="2"/>
      <c r="I26" s="2">
        <f t="shared" si="5"/>
        <v>8</v>
      </c>
      <c r="J26" s="2">
        <f t="shared" si="6"/>
        <v>0.81059232993939634</v>
      </c>
      <c r="K26" s="2">
        <f t="shared" si="6"/>
        <v>0.02</v>
      </c>
    </row>
    <row r="27" spans="1:23" ht="16.5" thickTop="1" thickBot="1" x14ac:dyDescent="0.3">
      <c r="A27">
        <v>-5.0000000000000204</v>
      </c>
      <c r="B27" s="5">
        <f t="shared" si="2"/>
        <v>-1.6342482922482305E-15</v>
      </c>
      <c r="C27" s="5">
        <f t="shared" si="0"/>
        <v>0.02</v>
      </c>
      <c r="D27" s="5">
        <f t="shared" si="1"/>
        <v>-8.1712414612411521E-14</v>
      </c>
      <c r="F27" s="2">
        <f t="shared" si="3"/>
        <v>-5</v>
      </c>
      <c r="G27" s="2">
        <f t="shared" si="4"/>
        <v>0.08</v>
      </c>
      <c r="H27" s="2"/>
      <c r="I27" s="2">
        <f t="shared" si="5"/>
        <v>8</v>
      </c>
      <c r="J27" s="2">
        <f t="shared" si="6"/>
        <v>0.81059232993939634</v>
      </c>
      <c r="K27" s="2">
        <f t="shared" si="6"/>
        <v>0.02</v>
      </c>
    </row>
    <row r="28" spans="1:23" ht="16.5" thickTop="1" thickBot="1" x14ac:dyDescent="0.3">
      <c r="A28">
        <v>-4.8000000000000203</v>
      </c>
      <c r="B28" s="5">
        <f t="shared" si="2"/>
        <v>1.599999999999838E-2</v>
      </c>
      <c r="C28" s="5">
        <f t="shared" si="0"/>
        <v>2.0012566014824595E-2</v>
      </c>
      <c r="D28" s="5">
        <f t="shared" si="1"/>
        <v>0.79949767501809366</v>
      </c>
      <c r="F28" s="2">
        <f t="shared" si="3"/>
        <v>-5</v>
      </c>
      <c r="G28" s="2">
        <f t="shared" si="4"/>
        <v>0.08</v>
      </c>
      <c r="H28" s="2"/>
      <c r="I28" s="2">
        <f t="shared" si="5"/>
        <v>8</v>
      </c>
      <c r="J28" s="2">
        <f t="shared" si="6"/>
        <v>0.81059232993939634</v>
      </c>
      <c r="K28" s="2">
        <f t="shared" si="6"/>
        <v>0.02</v>
      </c>
    </row>
    <row r="29" spans="1:23" ht="16.5" thickTop="1" thickBot="1" x14ac:dyDescent="0.3">
      <c r="A29">
        <v>-4.6000000000000201</v>
      </c>
      <c r="B29" s="5">
        <f t="shared" si="2"/>
        <v>3.1999999999998398E-2</v>
      </c>
      <c r="C29" s="5">
        <f t="shared" si="0"/>
        <v>2.0050264059298384E-2</v>
      </c>
      <c r="D29" s="5">
        <f t="shared" si="1"/>
        <v>1.5959889558241642</v>
      </c>
      <c r="F29" s="2">
        <f t="shared" si="3"/>
        <v>-5</v>
      </c>
      <c r="G29" s="2">
        <f t="shared" si="4"/>
        <v>0.08</v>
      </c>
      <c r="H29" s="2"/>
      <c r="I29" s="2">
        <f t="shared" si="5"/>
        <v>8</v>
      </c>
      <c r="J29" s="2">
        <f t="shared" si="6"/>
        <v>0.81059232993939634</v>
      </c>
      <c r="K29" s="2">
        <f t="shared" si="6"/>
        <v>0.02</v>
      </c>
    </row>
    <row r="30" spans="1:23" ht="16.5" thickTop="1" thickBot="1" x14ac:dyDescent="0.3">
      <c r="A30">
        <v>-4.4000000000000199</v>
      </c>
      <c r="B30" s="5">
        <f t="shared" si="2"/>
        <v>4.7999999999998412E-2</v>
      </c>
      <c r="C30" s="5">
        <f t="shared" si="0"/>
        <v>2.0113094133421369E-2</v>
      </c>
      <c r="D30" s="5">
        <f t="shared" si="1"/>
        <v>2.3865050141757229</v>
      </c>
      <c r="F30" s="2">
        <f t="shared" si="3"/>
        <v>-5</v>
      </c>
      <c r="G30" s="2">
        <f t="shared" si="4"/>
        <v>0.08</v>
      </c>
      <c r="H30" s="2"/>
      <c r="I30" s="2">
        <f t="shared" si="5"/>
        <v>8</v>
      </c>
      <c r="J30" s="2">
        <f t="shared" si="6"/>
        <v>0.81059232993939634</v>
      </c>
      <c r="K30" s="2">
        <f t="shared" si="6"/>
        <v>0.02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ht="16.5" thickTop="1" thickBot="1" x14ac:dyDescent="0.3">
      <c r="A31">
        <v>-4.2000000000000197</v>
      </c>
      <c r="B31" s="5">
        <f t="shared" si="2"/>
        <v>6.3999999999998419E-2</v>
      </c>
      <c r="C31" s="5">
        <f t="shared" si="0"/>
        <v>2.0201056237193548E-2</v>
      </c>
      <c r="D31" s="5">
        <f t="shared" si="1"/>
        <v>3.1681511723215561</v>
      </c>
      <c r="F31" s="2">
        <f t="shared" si="3"/>
        <v>-5</v>
      </c>
      <c r="G31" s="2">
        <f t="shared" si="4"/>
        <v>0.08</v>
      </c>
      <c r="H31" s="2"/>
      <c r="I31" s="2">
        <f t="shared" si="5"/>
        <v>8</v>
      </c>
      <c r="J31" s="2">
        <f t="shared" si="6"/>
        <v>0.81059232993939634</v>
      </c>
      <c r="K31" s="2">
        <f t="shared" si="6"/>
        <v>0.02</v>
      </c>
    </row>
    <row r="32" spans="1:23" ht="16.5" thickTop="1" thickBot="1" x14ac:dyDescent="0.3">
      <c r="A32">
        <v>-4.0000000000000204</v>
      </c>
      <c r="B32" s="5">
        <f t="shared" si="2"/>
        <v>7.9999999999998364E-2</v>
      </c>
      <c r="C32" s="5">
        <f t="shared" si="0"/>
        <v>2.031415037061492E-2</v>
      </c>
      <c r="D32" s="5">
        <f t="shared" si="1"/>
        <v>3.9381415683385392</v>
      </c>
      <c r="F32" s="2">
        <f t="shared" si="3"/>
        <v>-5</v>
      </c>
      <c r="G32" s="2">
        <f t="shared" si="4"/>
        <v>0.08</v>
      </c>
      <c r="H32" s="2"/>
      <c r="I32" s="2">
        <f t="shared" si="5"/>
        <v>8</v>
      </c>
      <c r="J32" s="2">
        <f t="shared" si="6"/>
        <v>0.81059232993939634</v>
      </c>
      <c r="K32" s="2">
        <f t="shared" si="6"/>
        <v>0.02</v>
      </c>
    </row>
    <row r="33" spans="1:11" ht="16.5" thickTop="1" thickBot="1" x14ac:dyDescent="0.3">
      <c r="A33">
        <v>-3.8000000000000198</v>
      </c>
      <c r="B33" s="5">
        <f t="shared" si="2"/>
        <v>9.599999999999842E-2</v>
      </c>
      <c r="C33" s="5">
        <f t="shared" si="0"/>
        <v>2.0452376533685486E-2</v>
      </c>
      <c r="D33" s="5">
        <f t="shared" si="1"/>
        <v>4.693831049016941</v>
      </c>
      <c r="F33" s="2">
        <f t="shared" si="3"/>
        <v>-5</v>
      </c>
      <c r="G33" s="2">
        <f t="shared" si="4"/>
        <v>0.08</v>
      </c>
      <c r="H33" s="2"/>
      <c r="I33" s="2">
        <f t="shared" si="5"/>
        <v>8</v>
      </c>
      <c r="J33" s="2">
        <f t="shared" si="6"/>
        <v>0.81059232993939634</v>
      </c>
      <c r="K33" s="2">
        <f t="shared" si="6"/>
        <v>0.02</v>
      </c>
    </row>
    <row r="34" spans="1:11" ht="16.5" thickTop="1" thickBot="1" x14ac:dyDescent="0.3">
      <c r="A34">
        <v>-3.6000000000000201</v>
      </c>
      <c r="B34" s="5">
        <f t="shared" si="2"/>
        <v>0.11199999999999839</v>
      </c>
      <c r="C34" s="5">
        <f t="shared" si="0"/>
        <v>2.0615734726405249E-2</v>
      </c>
      <c r="D34" s="5">
        <f t="shared" si="1"/>
        <v>5.4327435566264564</v>
      </c>
      <c r="F34" s="2">
        <f t="shared" si="3"/>
        <v>-5</v>
      </c>
      <c r="G34" s="2">
        <f t="shared" si="4"/>
        <v>0.08</v>
      </c>
      <c r="H34" s="2"/>
      <c r="I34" s="2">
        <f t="shared" si="5"/>
        <v>8</v>
      </c>
      <c r="J34" s="2">
        <f t="shared" si="6"/>
        <v>0.81059232993939634</v>
      </c>
      <c r="K34" s="2">
        <f t="shared" si="6"/>
        <v>0.02</v>
      </c>
    </row>
    <row r="35" spans="1:11" ht="16.5" thickTop="1" thickBot="1" x14ac:dyDescent="0.3">
      <c r="A35">
        <v>-3.4000000000000199</v>
      </c>
      <c r="B35" s="5">
        <f t="shared" si="2"/>
        <v>0.12799999999999842</v>
      </c>
      <c r="C35" s="5">
        <f t="shared" si="0"/>
        <v>2.0804224948774205E-2</v>
      </c>
      <c r="D35" s="5">
        <f t="shared" si="1"/>
        <v>6.1525964228501691</v>
      </c>
      <c r="F35" s="2">
        <f t="shared" si="3"/>
        <v>-5</v>
      </c>
      <c r="G35" s="2">
        <f t="shared" si="4"/>
        <v>0.08</v>
      </c>
      <c r="H35" s="2"/>
      <c r="I35" s="2">
        <f t="shared" si="5"/>
        <v>8</v>
      </c>
      <c r="J35" s="2">
        <f t="shared" si="6"/>
        <v>0.81059232993939634</v>
      </c>
      <c r="K35" s="2">
        <f t="shared" si="6"/>
        <v>0.02</v>
      </c>
    </row>
    <row r="36" spans="1:11" ht="16.5" thickTop="1" thickBot="1" x14ac:dyDescent="0.3">
      <c r="A36">
        <v>-3.2000000000000202</v>
      </c>
      <c r="B36" s="5">
        <f t="shared" si="2"/>
        <v>0.14399999999999838</v>
      </c>
      <c r="C36" s="5">
        <f t="shared" si="0"/>
        <v>2.1017847200792354E-2</v>
      </c>
      <c r="D36" s="5">
        <f t="shared" si="1"/>
        <v>6.8513201482675976</v>
      </c>
      <c r="F36" s="2">
        <f t="shared" si="3"/>
        <v>-5</v>
      </c>
      <c r="G36" s="2">
        <f t="shared" si="4"/>
        <v>0.08</v>
      </c>
      <c r="H36" s="2"/>
      <c r="I36" s="2">
        <f t="shared" si="5"/>
        <v>8</v>
      </c>
      <c r="J36" s="2">
        <f t="shared" si="6"/>
        <v>0.81059232993939634</v>
      </c>
      <c r="K36" s="2">
        <f t="shared" si="6"/>
        <v>0.02</v>
      </c>
    </row>
    <row r="37" spans="1:11" ht="16.5" thickTop="1" thickBot="1" x14ac:dyDescent="0.3">
      <c r="A37">
        <v>-3.00000000000002</v>
      </c>
      <c r="B37" s="5">
        <f t="shared" si="2"/>
        <v>0.15999999999999839</v>
      </c>
      <c r="C37" s="5">
        <f t="shared" si="0"/>
        <v>2.1256601482459701E-2</v>
      </c>
      <c r="D37" s="5">
        <f t="shared" si="1"/>
        <v>7.5270734191458368</v>
      </c>
      <c r="F37" s="2">
        <f t="shared" si="3"/>
        <v>-5</v>
      </c>
      <c r="G37" s="2">
        <f t="shared" si="4"/>
        <v>0.08</v>
      </c>
      <c r="H37" s="2"/>
      <c r="I37" s="2">
        <f t="shared" si="5"/>
        <v>8</v>
      </c>
      <c r="J37" s="2">
        <f t="shared" si="6"/>
        <v>0.81059232993939634</v>
      </c>
      <c r="K37" s="2">
        <f t="shared" si="6"/>
        <v>0.02</v>
      </c>
    </row>
    <row r="38" spans="1:11" ht="16.5" thickTop="1" thickBot="1" x14ac:dyDescent="0.3">
      <c r="A38">
        <v>-2.80000000000003</v>
      </c>
      <c r="B38" s="5">
        <f t="shared" si="2"/>
        <v>0.1759999999999976</v>
      </c>
      <c r="C38" s="5">
        <f t="shared" si="0"/>
        <v>2.1520487793776227E-2</v>
      </c>
      <c r="D38" s="5">
        <f t="shared" si="1"/>
        <v>8.1782532852669441</v>
      </c>
      <c r="F38" s="2">
        <f t="shared" si="3"/>
        <v>-5</v>
      </c>
      <c r="G38" s="2">
        <f t="shared" si="4"/>
        <v>0.08</v>
      </c>
      <c r="H38" s="2"/>
      <c r="I38" s="2">
        <f t="shared" si="5"/>
        <v>8</v>
      </c>
      <c r="J38" s="2">
        <f t="shared" si="6"/>
        <v>0.81059232993939634</v>
      </c>
      <c r="K38" s="2">
        <f t="shared" si="6"/>
        <v>0.02</v>
      </c>
    </row>
    <row r="39" spans="1:11" ht="16.5" thickTop="1" thickBot="1" x14ac:dyDescent="0.3">
      <c r="A39">
        <v>-2.6000000000000298</v>
      </c>
      <c r="B39" s="5">
        <f t="shared" si="2"/>
        <v>0.19199999999999762</v>
      </c>
      <c r="C39" s="5">
        <f t="shared" si="0"/>
        <v>2.180950613474196E-2</v>
      </c>
      <c r="D39" s="5">
        <f t="shared" si="1"/>
        <v>8.803500584277181</v>
      </c>
      <c r="F39" s="2">
        <f t="shared" si="3"/>
        <v>-5</v>
      </c>
      <c r="G39" s="2">
        <f t="shared" si="4"/>
        <v>0.08</v>
      </c>
      <c r="H39" s="2"/>
      <c r="I39" s="2">
        <f t="shared" si="5"/>
        <v>8</v>
      </c>
      <c r="J39" s="2">
        <f t="shared" si="6"/>
        <v>0.81059232993939634</v>
      </c>
      <c r="K39" s="2">
        <f t="shared" si="6"/>
        <v>0.02</v>
      </c>
    </row>
    <row r="40" spans="1:11" ht="16.5" thickTop="1" thickBot="1" x14ac:dyDescent="0.3">
      <c r="A40">
        <v>-2.4000000000000301</v>
      </c>
      <c r="B40" s="5">
        <f t="shared" si="2"/>
        <v>0.2079999999999976</v>
      </c>
      <c r="C40" s="5">
        <f t="shared" si="0"/>
        <v>2.2123656505356887E-2</v>
      </c>
      <c r="D40" s="5">
        <f t="shared" si="1"/>
        <v>9.4017008422470205</v>
      </c>
      <c r="F40" s="2">
        <f t="shared" si="3"/>
        <v>-5</v>
      </c>
      <c r="G40" s="2">
        <f t="shared" si="4"/>
        <v>0.08</v>
      </c>
      <c r="H40" s="2"/>
      <c r="I40" s="2">
        <f t="shared" si="5"/>
        <v>8</v>
      </c>
      <c r="J40" s="2">
        <f t="shared" si="6"/>
        <v>0.81059232993939634</v>
      </c>
      <c r="K40" s="2">
        <f t="shared" si="6"/>
        <v>0.02</v>
      </c>
    </row>
    <row r="41" spans="1:11" ht="16.5" thickTop="1" thickBot="1" x14ac:dyDescent="0.3">
      <c r="A41">
        <v>-2.2000000000000299</v>
      </c>
      <c r="B41" s="5">
        <f t="shared" si="2"/>
        <v>0.22399999999999762</v>
      </c>
      <c r="C41" s="5">
        <f t="shared" si="0"/>
        <v>2.2462938905621007E-2</v>
      </c>
      <c r="D41" s="5">
        <f t="shared" si="1"/>
        <v>9.9719810012903096</v>
      </c>
      <c r="F41" s="2">
        <f t="shared" si="3"/>
        <v>-5</v>
      </c>
      <c r="G41" s="2">
        <f t="shared" si="4"/>
        <v>0.08</v>
      </c>
      <c r="H41" s="2"/>
      <c r="I41" s="2">
        <f t="shared" si="5"/>
        <v>8</v>
      </c>
      <c r="J41" s="2">
        <f t="shared" si="6"/>
        <v>0.81059232993939634</v>
      </c>
      <c r="K41" s="2">
        <f t="shared" si="6"/>
        <v>0.02</v>
      </c>
    </row>
    <row r="42" spans="1:11" ht="16.5" thickTop="1" thickBot="1" x14ac:dyDescent="0.3">
      <c r="A42">
        <v>-2.0000000000000302</v>
      </c>
      <c r="B42" s="5">
        <f t="shared" si="2"/>
        <v>0.23999999999999758</v>
      </c>
      <c r="C42" s="5">
        <f t="shared" si="0"/>
        <v>2.2827353335534324E-2</v>
      </c>
      <c r="D42" s="5">
        <f t="shared" si="1"/>
        <v>10.513702419736951</v>
      </c>
      <c r="F42" s="2">
        <f t="shared" si="3"/>
        <v>-5</v>
      </c>
      <c r="G42" s="2">
        <f t="shared" si="4"/>
        <v>0.08</v>
      </c>
      <c r="H42" s="2"/>
      <c r="I42" s="2">
        <f t="shared" si="5"/>
        <v>8</v>
      </c>
      <c r="J42" s="2">
        <f t="shared" si="6"/>
        <v>0.81059232993939634</v>
      </c>
      <c r="K42" s="2">
        <f t="shared" si="6"/>
        <v>0.02</v>
      </c>
    </row>
    <row r="43" spans="1:11" ht="16.5" thickTop="1" thickBot="1" x14ac:dyDescent="0.3">
      <c r="A43">
        <v>-1.80000000000003</v>
      </c>
      <c r="B43" s="5">
        <f t="shared" si="2"/>
        <v>0.25599999999999762</v>
      </c>
      <c r="C43" s="5">
        <f t="shared" si="0"/>
        <v>2.3216899795096835E-2</v>
      </c>
      <c r="D43" s="5">
        <f t="shared" si="1"/>
        <v>11.026450657036566</v>
      </c>
      <c r="F43" s="2">
        <f t="shared" si="3"/>
        <v>-5</v>
      </c>
      <c r="G43" s="2">
        <f t="shared" si="4"/>
        <v>0.08</v>
      </c>
      <c r="H43" s="2"/>
      <c r="I43" s="2">
        <f t="shared" si="5"/>
        <v>8</v>
      </c>
      <c r="J43" s="2">
        <f t="shared" si="6"/>
        <v>0.81059232993939634</v>
      </c>
      <c r="K43" s="2">
        <f t="shared" si="6"/>
        <v>0.02</v>
      </c>
    </row>
    <row r="44" spans="1:11" ht="16.5" thickTop="1" thickBot="1" x14ac:dyDescent="0.3">
      <c r="A44">
        <v>-1.6000000000000301</v>
      </c>
      <c r="B44" s="5">
        <f t="shared" si="2"/>
        <v>0.27199999999999763</v>
      </c>
      <c r="C44" s="5">
        <f t="shared" si="0"/>
        <v>2.3631578284308542E-2</v>
      </c>
      <c r="D44" s="5">
        <f t="shared" si="1"/>
        <v>11.510022594665489</v>
      </c>
      <c r="F44" s="2">
        <f t="shared" si="3"/>
        <v>-5</v>
      </c>
      <c r="G44" s="2">
        <f t="shared" si="4"/>
        <v>0.08</v>
      </c>
      <c r="H44" s="2"/>
      <c r="I44" s="2">
        <f t="shared" si="5"/>
        <v>8</v>
      </c>
      <c r="J44" s="2">
        <f t="shared" si="6"/>
        <v>0.81059232993939634</v>
      </c>
      <c r="K44" s="2">
        <f t="shared" si="6"/>
        <v>0.02</v>
      </c>
    </row>
    <row r="45" spans="1:11" ht="16.5" thickTop="1" thickBot="1" x14ac:dyDescent="0.3">
      <c r="A45">
        <v>-1.4000000000000301</v>
      </c>
      <c r="B45" s="5">
        <f t="shared" si="2"/>
        <v>0.28799999999999759</v>
      </c>
      <c r="C45" s="5">
        <f t="shared" si="0"/>
        <v>2.407138880316944E-2</v>
      </c>
      <c r="D45" s="5">
        <f t="shared" si="1"/>
        <v>11.964411457725161</v>
      </c>
      <c r="F45" s="2">
        <f t="shared" si="3"/>
        <v>-5</v>
      </c>
      <c r="G45" s="2">
        <f t="shared" si="4"/>
        <v>0.08</v>
      </c>
      <c r="H45" s="2"/>
      <c r="I45" s="2">
        <f t="shared" si="5"/>
        <v>8</v>
      </c>
      <c r="J45" s="2">
        <f t="shared" si="6"/>
        <v>0.81059232993939634</v>
      </c>
      <c r="K45" s="2">
        <f t="shared" si="6"/>
        <v>0.02</v>
      </c>
    </row>
    <row r="46" spans="1:11" ht="16.5" thickTop="1" thickBot="1" x14ac:dyDescent="0.3">
      <c r="A46">
        <v>-1.2000000000000299</v>
      </c>
      <c r="B46" s="5">
        <f t="shared" si="2"/>
        <v>0.30399999999999761</v>
      </c>
      <c r="C46" s="5">
        <f t="shared" si="0"/>
        <v>2.4536331351679534E-2</v>
      </c>
      <c r="D46" s="5">
        <f t="shared" si="1"/>
        <v>12.389790292719882</v>
      </c>
      <c r="F46" s="2">
        <f t="shared" si="3"/>
        <v>-5</v>
      </c>
      <c r="G46" s="2">
        <f t="shared" si="4"/>
        <v>0.08</v>
      </c>
      <c r="H46" s="2"/>
      <c r="I46" s="2">
        <f t="shared" si="5"/>
        <v>8</v>
      </c>
      <c r="J46" s="2">
        <f t="shared" si="6"/>
        <v>0.81059232993939634</v>
      </c>
      <c r="K46" s="2">
        <f t="shared" si="6"/>
        <v>0.02</v>
      </c>
    </row>
    <row r="47" spans="1:11" ht="16.5" thickTop="1" thickBot="1" x14ac:dyDescent="0.3">
      <c r="A47">
        <v>-1.00000000000003</v>
      </c>
      <c r="B47" s="5">
        <f t="shared" si="2"/>
        <v>0.31999999999999756</v>
      </c>
      <c r="C47" s="5">
        <f t="shared" si="0"/>
        <v>2.5026405929838822E-2</v>
      </c>
      <c r="D47" s="5">
        <f t="shared" si="1"/>
        <v>12.786494429008826</v>
      </c>
      <c r="F47" s="2">
        <f t="shared" si="3"/>
        <v>-5</v>
      </c>
      <c r="G47" s="2">
        <f t="shared" si="4"/>
        <v>0.08</v>
      </c>
      <c r="H47" s="2"/>
      <c r="I47" s="2">
        <f t="shared" si="5"/>
        <v>8</v>
      </c>
      <c r="J47" s="2">
        <f t="shared" si="6"/>
        <v>0.81059232993939634</v>
      </c>
      <c r="K47" s="2">
        <f t="shared" si="6"/>
        <v>0.02</v>
      </c>
    </row>
    <row r="48" spans="1:11" ht="16.5" thickTop="1" thickBot="1" x14ac:dyDescent="0.3">
      <c r="A48">
        <v>-0.80000000000002902</v>
      </c>
      <c r="B48" s="5">
        <f t="shared" si="2"/>
        <v>0.33599999999999769</v>
      </c>
      <c r="C48" s="5">
        <f t="shared" si="0"/>
        <v>2.554161253764731E-2</v>
      </c>
      <c r="D48" s="5">
        <f t="shared" si="1"/>
        <v>13.155003408839093</v>
      </c>
      <c r="F48" s="2">
        <f t="shared" si="3"/>
        <v>-5</v>
      </c>
      <c r="G48" s="2">
        <f t="shared" si="4"/>
        <v>0.08</v>
      </c>
      <c r="H48" s="2"/>
      <c r="I48" s="2">
        <f t="shared" si="5"/>
        <v>8</v>
      </c>
      <c r="J48" s="2">
        <f t="shared" si="6"/>
        <v>0.81059232993939634</v>
      </c>
      <c r="K48" s="2">
        <f t="shared" si="6"/>
        <v>0.02</v>
      </c>
    </row>
    <row r="49" spans="1:11" ht="16.5" thickTop="1" thickBot="1" x14ac:dyDescent="0.3">
      <c r="A49">
        <v>-0.60000000000002995</v>
      </c>
      <c r="B49" s="5">
        <f t="shared" si="2"/>
        <v>0.35199999999999759</v>
      </c>
      <c r="C49" s="5">
        <f t="shared" si="0"/>
        <v>2.6081951175104985E-2</v>
      </c>
      <c r="D49" s="5">
        <f t="shared" si="1"/>
        <v>13.495922817920876</v>
      </c>
      <c r="F49" s="2">
        <f t="shared" si="3"/>
        <v>-5</v>
      </c>
      <c r="G49" s="2">
        <f t="shared" si="4"/>
        <v>0.08</v>
      </c>
      <c r="H49" s="2"/>
      <c r="I49" s="2">
        <f t="shared" si="5"/>
        <v>8</v>
      </c>
      <c r="J49" s="2">
        <f t="shared" si="6"/>
        <v>0.81059232993939634</v>
      </c>
      <c r="K49" s="2">
        <f t="shared" si="6"/>
        <v>0.02</v>
      </c>
    </row>
    <row r="50" spans="1:11" ht="16.5" thickTop="1" thickBot="1" x14ac:dyDescent="0.3">
      <c r="A50">
        <v>-0.400000000000031</v>
      </c>
      <c r="B50" s="5">
        <f t="shared" si="2"/>
        <v>0.36799999999999755</v>
      </c>
      <c r="C50" s="5">
        <f t="shared" si="0"/>
        <v>2.6647421842211853E-2</v>
      </c>
      <c r="D50" s="5">
        <f t="shared" si="1"/>
        <v>13.809966389208178</v>
      </c>
      <c r="F50" s="2">
        <f t="shared" si="3"/>
        <v>-5</v>
      </c>
      <c r="G50" s="2">
        <f t="shared" si="4"/>
        <v>0.08</v>
      </c>
      <c r="H50" s="2"/>
      <c r="I50" s="2">
        <f t="shared" si="5"/>
        <v>8</v>
      </c>
      <c r="J50" s="2">
        <f t="shared" si="6"/>
        <v>0.81059232993939634</v>
      </c>
      <c r="K50" s="2">
        <f t="shared" si="6"/>
        <v>0.02</v>
      </c>
    </row>
    <row r="51" spans="1:11" ht="16.5" thickTop="1" thickBot="1" x14ac:dyDescent="0.3">
      <c r="A51">
        <v>-0.20000000000002899</v>
      </c>
      <c r="B51" s="5">
        <f t="shared" si="2"/>
        <v>0.38399999999999773</v>
      </c>
      <c r="C51" s="5">
        <f t="shared" si="0"/>
        <v>2.7238024538967929E-2</v>
      </c>
      <c r="D51" s="5">
        <f t="shared" si="1"/>
        <v>14.097938690474056</v>
      </c>
      <c r="F51" s="2">
        <f t="shared" si="3"/>
        <v>-5</v>
      </c>
      <c r="G51" s="2">
        <f t="shared" si="4"/>
        <v>0.08</v>
      </c>
      <c r="H51" s="2"/>
      <c r="I51" s="2">
        <f t="shared" si="5"/>
        <v>8</v>
      </c>
      <c r="J51" s="2">
        <f t="shared" si="6"/>
        <v>0.81059232993939634</v>
      </c>
      <c r="K51" s="2">
        <f t="shared" si="6"/>
        <v>0.02</v>
      </c>
    </row>
    <row r="52" spans="1:11" ht="16.5" thickTop="1" thickBot="1" x14ac:dyDescent="0.3">
      <c r="A52">
        <v>-4.0856207306205799E-14</v>
      </c>
      <c r="B52" s="5">
        <f t="shared" si="2"/>
        <v>0.39999999999999675</v>
      </c>
      <c r="C52" s="5">
        <f t="shared" si="0"/>
        <v>2.7853759265373153E-2</v>
      </c>
      <c r="D52" s="5">
        <f t="shared" si="1"/>
        <v>14.360718644440327</v>
      </c>
      <c r="F52" s="2">
        <f t="shared" si="3"/>
        <v>-5</v>
      </c>
      <c r="G52" s="2">
        <f t="shared" si="4"/>
        <v>0.08</v>
      </c>
      <c r="H52" s="2"/>
      <c r="I52" s="2">
        <f t="shared" si="5"/>
        <v>8</v>
      </c>
      <c r="J52" s="2">
        <f t="shared" si="6"/>
        <v>0.81059232993939634</v>
      </c>
      <c r="K52" s="2">
        <f t="shared" si="6"/>
        <v>0.02</v>
      </c>
    </row>
    <row r="53" spans="1:11" ht="16.5" thickTop="1" thickBot="1" x14ac:dyDescent="0.3">
      <c r="A53">
        <v>0.19999999999999901</v>
      </c>
      <c r="B53" s="5">
        <f t="shared" si="2"/>
        <v>0.41599999999999993</v>
      </c>
      <c r="C53" s="5">
        <f t="shared" si="0"/>
        <v>2.8494626021427737E-2</v>
      </c>
      <c r="D53" s="5">
        <f t="shared" si="1"/>
        <v>14.599244071045929</v>
      </c>
      <c r="F53" s="2">
        <f t="shared" si="3"/>
        <v>-5</v>
      </c>
      <c r="G53" s="2">
        <f t="shared" si="4"/>
        <v>0.08</v>
      </c>
      <c r="H53" s="2"/>
      <c r="I53" s="2">
        <f t="shared" si="5"/>
        <v>8</v>
      </c>
      <c r="J53" s="2">
        <f t="shared" si="6"/>
        <v>0.81059232993939634</v>
      </c>
      <c r="K53" s="2">
        <f t="shared" si="6"/>
        <v>0.02</v>
      </c>
    </row>
    <row r="54" spans="1:11" ht="16.5" thickTop="1" thickBot="1" x14ac:dyDescent="0.3">
      <c r="A54">
        <v>0.4</v>
      </c>
      <c r="B54" s="5">
        <f t="shared" si="2"/>
        <v>0.43200000000000005</v>
      </c>
      <c r="C54" s="5">
        <f t="shared" si="0"/>
        <v>2.9160624807131393E-2</v>
      </c>
      <c r="D54" s="5">
        <f t="shared" si="1"/>
        <v>14.814497386707298</v>
      </c>
      <c r="F54" s="2">
        <f t="shared" si="3"/>
        <v>-5</v>
      </c>
      <c r="G54" s="2">
        <f t="shared" si="4"/>
        <v>0.08</v>
      </c>
      <c r="H54" s="2"/>
      <c r="I54" s="2">
        <f t="shared" si="5"/>
        <v>8</v>
      </c>
      <c r="J54" s="2">
        <f t="shared" si="6"/>
        <v>0.81059232993939634</v>
      </c>
      <c r="K54" s="2">
        <f t="shared" si="6"/>
        <v>0.02</v>
      </c>
    </row>
    <row r="55" spans="1:11" ht="16.5" thickTop="1" thickBot="1" x14ac:dyDescent="0.3">
      <c r="A55">
        <v>0.6</v>
      </c>
      <c r="B55" s="5">
        <f t="shared" si="2"/>
        <v>0.44799999999999995</v>
      </c>
      <c r="C55" s="5">
        <f t="shared" si="0"/>
        <v>2.9851755622484238E-2</v>
      </c>
      <c r="D55" s="5">
        <f t="shared" si="1"/>
        <v>15.007492546353552</v>
      </c>
      <c r="F55" s="2">
        <f t="shared" si="3"/>
        <v>-5</v>
      </c>
      <c r="G55" s="2">
        <f t="shared" si="4"/>
        <v>0.08</v>
      </c>
      <c r="H55" s="2"/>
      <c r="I55" s="2">
        <f t="shared" si="5"/>
        <v>8</v>
      </c>
      <c r="J55" s="2">
        <f t="shared" si="6"/>
        <v>0.81059232993939634</v>
      </c>
      <c r="K55" s="2">
        <f t="shared" si="6"/>
        <v>0.02</v>
      </c>
    </row>
    <row r="56" spans="1:11" ht="16.5" thickTop="1" thickBot="1" x14ac:dyDescent="0.3">
      <c r="A56">
        <v>0.80000000000000104</v>
      </c>
      <c r="B56" s="5">
        <f t="shared" si="2"/>
        <v>0.46400000000000008</v>
      </c>
      <c r="C56" s="5">
        <f t="shared" si="0"/>
        <v>3.0568018467486288E-2</v>
      </c>
      <c r="D56" s="5">
        <f t="shared" si="1"/>
        <v>15.179263271302139</v>
      </c>
      <c r="F56" s="2">
        <f t="shared" si="3"/>
        <v>-5</v>
      </c>
      <c r="G56" s="2">
        <f t="shared" si="4"/>
        <v>0.08</v>
      </c>
      <c r="H56" s="2"/>
      <c r="I56" s="2">
        <f t="shared" si="5"/>
        <v>8</v>
      </c>
      <c r="J56" s="2">
        <f t="shared" si="6"/>
        <v>0.81059232993939634</v>
      </c>
      <c r="K56" s="2">
        <f t="shared" si="6"/>
        <v>0.02</v>
      </c>
    </row>
    <row r="57" spans="1:11" ht="16.5" thickTop="1" thickBot="1" x14ac:dyDescent="0.3">
      <c r="A57">
        <v>1</v>
      </c>
      <c r="B57" s="5">
        <f t="shared" si="2"/>
        <v>0.48</v>
      </c>
      <c r="C57" s="5">
        <f t="shared" si="0"/>
        <v>3.1309413342137521E-2</v>
      </c>
      <c r="D57" s="5">
        <f t="shared" si="1"/>
        <v>15.330852569952048</v>
      </c>
      <c r="F57" s="2">
        <f t="shared" si="3"/>
        <v>-5</v>
      </c>
      <c r="G57" s="2">
        <f t="shared" si="4"/>
        <v>0.08</v>
      </c>
      <c r="H57" s="2"/>
      <c r="I57" s="2">
        <f t="shared" si="5"/>
        <v>8</v>
      </c>
      <c r="J57" s="2">
        <f t="shared" si="6"/>
        <v>0.81059232993939634</v>
      </c>
      <c r="K57" s="2">
        <f t="shared" si="6"/>
        <v>0.02</v>
      </c>
    </row>
    <row r="58" spans="1:11" ht="16.5" thickTop="1" thickBot="1" x14ac:dyDescent="0.3">
      <c r="A58">
        <v>1.2</v>
      </c>
      <c r="B58" s="5">
        <f t="shared" si="2"/>
        <v>0.49600000000000005</v>
      </c>
      <c r="C58" s="5">
        <f t="shared" si="0"/>
        <v>3.2075940246437958E-2</v>
      </c>
      <c r="D58" s="5">
        <f t="shared" si="1"/>
        <v>15.463303528727611</v>
      </c>
      <c r="F58" s="2">
        <f t="shared" si="3"/>
        <v>-5</v>
      </c>
      <c r="G58" s="2">
        <f t="shared" si="4"/>
        <v>0.08</v>
      </c>
      <c r="H58" s="2"/>
      <c r="I58" s="2">
        <f t="shared" si="5"/>
        <v>8</v>
      </c>
      <c r="J58" s="2">
        <f t="shared" si="6"/>
        <v>0.81059232993939634</v>
      </c>
      <c r="K58" s="2">
        <f t="shared" si="6"/>
        <v>0.02</v>
      </c>
    </row>
    <row r="59" spans="1:11" ht="16.5" thickTop="1" thickBot="1" x14ac:dyDescent="0.3">
      <c r="A59">
        <v>1.4</v>
      </c>
      <c r="B59" s="5">
        <f t="shared" si="2"/>
        <v>0.51200000000000001</v>
      </c>
      <c r="C59" s="5">
        <f t="shared" si="0"/>
        <v>3.2867599180387577E-2</v>
      </c>
      <c r="D59" s="5">
        <f t="shared" si="1"/>
        <v>15.577651327375182</v>
      </c>
      <c r="F59" s="2">
        <f t="shared" si="3"/>
        <v>-5</v>
      </c>
      <c r="G59" s="2">
        <f t="shared" si="4"/>
        <v>0.08</v>
      </c>
      <c r="H59" s="2"/>
      <c r="I59" s="2">
        <f t="shared" si="5"/>
        <v>8</v>
      </c>
      <c r="J59" s="2">
        <f t="shared" si="6"/>
        <v>0.81059232993939634</v>
      </c>
      <c r="K59" s="2">
        <f t="shared" si="6"/>
        <v>0.02</v>
      </c>
    </row>
    <row r="60" spans="1:11" ht="16.5" thickTop="1" thickBot="1" x14ac:dyDescent="0.3">
      <c r="A60">
        <v>1.6</v>
      </c>
      <c r="B60" s="5">
        <f t="shared" si="2"/>
        <v>0.52800000000000002</v>
      </c>
      <c r="C60" s="5">
        <f t="shared" si="0"/>
        <v>3.3684390143986401E-2</v>
      </c>
      <c r="D60" s="5">
        <f t="shared" si="1"/>
        <v>15.674916415082038</v>
      </c>
      <c r="F60" s="2">
        <f t="shared" si="3"/>
        <v>-5</v>
      </c>
      <c r="G60" s="2">
        <f t="shared" si="4"/>
        <v>0.08</v>
      </c>
      <c r="H60" s="2"/>
      <c r="I60" s="2">
        <f t="shared" si="5"/>
        <v>8</v>
      </c>
      <c r="J60" s="2">
        <f t="shared" si="6"/>
        <v>0.81059232993939634</v>
      </c>
      <c r="K60" s="2">
        <f t="shared" si="6"/>
        <v>0.02</v>
      </c>
    </row>
    <row r="61" spans="1:11" ht="16.5" thickTop="1" thickBot="1" x14ac:dyDescent="0.3">
      <c r="A61">
        <v>1.8</v>
      </c>
      <c r="B61" s="5">
        <f t="shared" si="2"/>
        <v>0.54400000000000004</v>
      </c>
      <c r="C61" s="5">
        <f t="shared" si="0"/>
        <v>3.4526313137234421E-2</v>
      </c>
      <c r="D61" s="5">
        <f t="shared" si="1"/>
        <v>15.756098771326117</v>
      </c>
      <c r="F61" s="2">
        <f t="shared" si="3"/>
        <v>-5</v>
      </c>
      <c r="G61" s="2">
        <f t="shared" si="4"/>
        <v>0.08</v>
      </c>
      <c r="H61" s="2"/>
      <c r="I61" s="2">
        <f t="shared" si="5"/>
        <v>8</v>
      </c>
      <c r="J61" s="2">
        <f t="shared" si="6"/>
        <v>0.81059232993939634</v>
      </c>
      <c r="K61" s="2">
        <f t="shared" si="6"/>
        <v>0.02</v>
      </c>
    </row>
    <row r="62" spans="1:11" ht="16.5" thickTop="1" thickBot="1" x14ac:dyDescent="0.3">
      <c r="A62">
        <v>2</v>
      </c>
      <c r="B62" s="5">
        <f t="shared" si="2"/>
        <v>0.56000000000000005</v>
      </c>
      <c r="C62" s="5">
        <f t="shared" si="0"/>
        <v>3.5393368160131632E-2</v>
      </c>
      <c r="D62" s="5">
        <f t="shared" si="1"/>
        <v>15.82217316719815</v>
      </c>
      <c r="F62" s="2">
        <f t="shared" si="3"/>
        <v>-5</v>
      </c>
      <c r="G62" s="2">
        <f t="shared" si="4"/>
        <v>0.08</v>
      </c>
      <c r="H62" s="2"/>
      <c r="I62" s="2">
        <f t="shared" si="5"/>
        <v>8</v>
      </c>
      <c r="J62" s="2">
        <f t="shared" si="6"/>
        <v>0.81059232993939634</v>
      </c>
      <c r="K62" s="2">
        <f t="shared" si="6"/>
        <v>0.02</v>
      </c>
    </row>
    <row r="63" spans="1:11" ht="16.5" thickTop="1" thickBot="1" x14ac:dyDescent="0.3">
      <c r="A63">
        <v>2.2000000000000002</v>
      </c>
      <c r="B63" s="5">
        <f t="shared" si="2"/>
        <v>0.57600000000000007</v>
      </c>
      <c r="C63" s="5">
        <f t="shared" si="0"/>
        <v>3.6285555212678039E-2</v>
      </c>
      <c r="D63" s="5">
        <f t="shared" si="1"/>
        <v>15.874085338475069</v>
      </c>
      <c r="F63" s="2">
        <f t="shared" si="3"/>
        <v>-5</v>
      </c>
      <c r="G63" s="2">
        <f t="shared" si="4"/>
        <v>0.08</v>
      </c>
      <c r="H63" s="2"/>
      <c r="I63" s="2">
        <f t="shared" si="5"/>
        <v>8</v>
      </c>
      <c r="J63" s="2">
        <f t="shared" si="6"/>
        <v>0.81059232993939634</v>
      </c>
      <c r="K63" s="2">
        <f t="shared" si="6"/>
        <v>0.02</v>
      </c>
    </row>
    <row r="64" spans="1:11" ht="16.5" thickTop="1" thickBot="1" x14ac:dyDescent="0.3">
      <c r="A64">
        <v>2.4</v>
      </c>
      <c r="B64" s="5">
        <f t="shared" si="2"/>
        <v>0.59200000000000008</v>
      </c>
      <c r="C64" s="5">
        <f t="shared" si="0"/>
        <v>3.7202874294873636E-2</v>
      </c>
      <c r="D64" s="5">
        <f t="shared" si="1"/>
        <v>15.912748980300552</v>
      </c>
      <c r="F64" s="2">
        <f t="shared" si="3"/>
        <v>-5</v>
      </c>
      <c r="G64" s="2">
        <f t="shared" si="4"/>
        <v>0.08</v>
      </c>
      <c r="H64" s="2"/>
      <c r="I64" s="2">
        <f t="shared" si="5"/>
        <v>8</v>
      </c>
      <c r="J64" s="2">
        <f t="shared" si="6"/>
        <v>0.81059232993939634</v>
      </c>
      <c r="K64" s="2">
        <f t="shared" si="6"/>
        <v>0.02</v>
      </c>
    </row>
    <row r="65" spans="1:11" ht="16.5" thickTop="1" thickBot="1" x14ac:dyDescent="0.3">
      <c r="A65">
        <v>2.6</v>
      </c>
      <c r="B65" s="5">
        <f t="shared" si="2"/>
        <v>0.60799999999999998</v>
      </c>
      <c r="C65" s="5">
        <f t="shared" si="0"/>
        <v>3.8145325406718424E-2</v>
      </c>
      <c r="D65" s="5">
        <f t="shared" si="1"/>
        <v>15.939043474326077</v>
      </c>
      <c r="F65" s="2">
        <f t="shared" si="3"/>
        <v>-5</v>
      </c>
      <c r="G65" s="2">
        <f t="shared" si="4"/>
        <v>0.08</v>
      </c>
      <c r="H65" s="2"/>
      <c r="I65" s="2">
        <f t="shared" si="5"/>
        <v>8</v>
      </c>
      <c r="J65" s="2">
        <f t="shared" si="6"/>
        <v>0.81059232993939634</v>
      </c>
      <c r="K65" s="2">
        <f t="shared" si="6"/>
        <v>0.02</v>
      </c>
    </row>
    <row r="66" spans="1:11" ht="16.5" thickTop="1" thickBot="1" x14ac:dyDescent="0.3">
      <c r="A66">
        <v>2.8</v>
      </c>
      <c r="B66" s="5">
        <f t="shared" si="2"/>
        <v>0.624</v>
      </c>
      <c r="C66" s="5">
        <f t="shared" si="0"/>
        <v>3.9112908548212408E-2</v>
      </c>
      <c r="D66" s="5">
        <f t="shared" si="1"/>
        <v>15.953812262026698</v>
      </c>
      <c r="F66" s="2">
        <f t="shared" si="3"/>
        <v>-5</v>
      </c>
      <c r="G66" s="2">
        <f t="shared" si="4"/>
        <v>0.08</v>
      </c>
      <c r="H66" s="2"/>
      <c r="I66" s="2">
        <f t="shared" si="5"/>
        <v>8</v>
      </c>
      <c r="J66" s="2">
        <f t="shared" si="6"/>
        <v>0.81059232993939634</v>
      </c>
      <c r="K66" s="2">
        <f t="shared" si="6"/>
        <v>0.02</v>
      </c>
    </row>
    <row r="67" spans="1:11" ht="16.5" thickTop="1" thickBot="1" x14ac:dyDescent="0.3">
      <c r="A67">
        <v>3</v>
      </c>
      <c r="B67" s="5">
        <f t="shared" ref="B67:B102" si="7">G67*(A67-F67)</f>
        <v>0.64</v>
      </c>
      <c r="C67" s="5">
        <f t="shared" ref="C67:C102" si="8">K67+(B67^2) / (3.141593 *I67 * J67)</f>
        <v>4.0105623719355596E-2</v>
      </c>
      <c r="D67" s="5">
        <f t="shared" ref="D67:D102" si="9">B67/C67</f>
        <v>15.957861782140196</v>
      </c>
      <c r="F67" s="2">
        <f t="shared" si="3"/>
        <v>-5</v>
      </c>
      <c r="G67" s="2">
        <f t="shared" si="4"/>
        <v>0.08</v>
      </c>
      <c r="H67" s="2"/>
      <c r="I67" s="2">
        <f t="shared" si="5"/>
        <v>8</v>
      </c>
      <c r="J67" s="2">
        <f t="shared" si="6"/>
        <v>0.81059232993939634</v>
      </c>
      <c r="K67" s="2">
        <f t="shared" si="6"/>
        <v>0.02</v>
      </c>
    </row>
    <row r="68" spans="1:11" ht="16.5" thickTop="1" thickBot="1" x14ac:dyDescent="0.3">
      <c r="A68">
        <v>3.2</v>
      </c>
      <c r="B68" s="5">
        <f t="shared" si="7"/>
        <v>0.65599999999999992</v>
      </c>
      <c r="C68" s="5">
        <f t="shared" si="8"/>
        <v>4.1123470920147967E-2</v>
      </c>
      <c r="D68" s="5">
        <f t="shared" si="9"/>
        <v>15.951960895367913</v>
      </c>
      <c r="F68" s="2">
        <f t="shared" ref="F68:F102" si="10">F67</f>
        <v>-5</v>
      </c>
      <c r="G68" s="2">
        <f t="shared" ref="G68:G102" si="11">G67</f>
        <v>0.08</v>
      </c>
      <c r="H68" s="2"/>
      <c r="I68" s="2">
        <f t="shared" ref="I68:I102" si="12">I67</f>
        <v>8</v>
      </c>
      <c r="J68" s="2">
        <f t="shared" ref="J68:K102" si="13">J67</f>
        <v>0.81059232993939634</v>
      </c>
      <c r="K68" s="2">
        <f t="shared" si="13"/>
        <v>0.02</v>
      </c>
    </row>
    <row r="69" spans="1:11" ht="16.5" thickTop="1" thickBot="1" x14ac:dyDescent="0.3">
      <c r="A69">
        <v>3.4</v>
      </c>
      <c r="B69" s="5">
        <f t="shared" si="7"/>
        <v>0.67200000000000004</v>
      </c>
      <c r="C69" s="5">
        <f t="shared" si="8"/>
        <v>4.2166450150589549E-2</v>
      </c>
      <c r="D69" s="5">
        <f t="shared" si="9"/>
        <v>15.936840725270407</v>
      </c>
      <c r="F69" s="2">
        <f t="shared" si="10"/>
        <v>-5</v>
      </c>
      <c r="G69" s="2">
        <f t="shared" si="11"/>
        <v>0.08</v>
      </c>
      <c r="H69" s="2"/>
      <c r="I69" s="2">
        <f t="shared" si="12"/>
        <v>8</v>
      </c>
      <c r="J69" s="2">
        <f t="shared" si="13"/>
        <v>0.81059232993939634</v>
      </c>
      <c r="K69" s="2">
        <f t="shared" si="13"/>
        <v>0.02</v>
      </c>
    </row>
    <row r="70" spans="1:11" ht="16.5" thickTop="1" thickBot="1" x14ac:dyDescent="0.3">
      <c r="A70">
        <v>3.6</v>
      </c>
      <c r="B70" s="5">
        <f t="shared" si="7"/>
        <v>0.68799999999999994</v>
      </c>
      <c r="C70" s="5">
        <f t="shared" si="8"/>
        <v>4.32345614106803E-2</v>
      </c>
      <c r="D70" s="5">
        <f t="shared" si="9"/>
        <v>15.913194850406006</v>
      </c>
      <c r="F70" s="2">
        <f t="shared" si="10"/>
        <v>-5</v>
      </c>
      <c r="G70" s="2">
        <f t="shared" si="11"/>
        <v>0.08</v>
      </c>
      <c r="H70" s="2"/>
      <c r="I70" s="2">
        <f t="shared" si="12"/>
        <v>8</v>
      </c>
      <c r="J70" s="2">
        <f t="shared" si="13"/>
        <v>0.81059232993939634</v>
      </c>
      <c r="K70" s="2">
        <f t="shared" si="13"/>
        <v>0.02</v>
      </c>
    </row>
    <row r="71" spans="1:11" ht="16.5" thickTop="1" thickBot="1" x14ac:dyDescent="0.3">
      <c r="A71">
        <v>3.8</v>
      </c>
      <c r="B71" s="5">
        <f t="shared" si="7"/>
        <v>0.70400000000000007</v>
      </c>
      <c r="C71" s="5">
        <f t="shared" si="8"/>
        <v>4.4327804700420276E-2</v>
      </c>
      <c r="D71" s="5">
        <f t="shared" si="9"/>
        <v>15.881679788968331</v>
      </c>
      <c r="F71" s="2">
        <f t="shared" si="10"/>
        <v>-5</v>
      </c>
      <c r="G71" s="2">
        <f t="shared" si="11"/>
        <v>0.08</v>
      </c>
      <c r="H71" s="2"/>
      <c r="I71" s="2">
        <f t="shared" si="12"/>
        <v>8</v>
      </c>
      <c r="J71" s="2">
        <f t="shared" si="13"/>
        <v>0.81059232993939634</v>
      </c>
      <c r="K71" s="2">
        <f t="shared" si="13"/>
        <v>0.02</v>
      </c>
    </row>
    <row r="72" spans="1:11" ht="16.5" thickTop="1" thickBot="1" x14ac:dyDescent="0.3">
      <c r="A72">
        <v>4</v>
      </c>
      <c r="B72" s="5">
        <f t="shared" si="7"/>
        <v>0.72</v>
      </c>
      <c r="C72" s="5">
        <f t="shared" si="8"/>
        <v>4.5446180019809421E-2</v>
      </c>
      <c r="D72" s="5">
        <f t="shared" si="9"/>
        <v>15.842915723305259</v>
      </c>
      <c r="F72" s="2">
        <f t="shared" si="10"/>
        <v>-5</v>
      </c>
      <c r="G72" s="2">
        <f t="shared" si="11"/>
        <v>0.08</v>
      </c>
      <c r="H72" s="2"/>
      <c r="I72" s="2">
        <f t="shared" si="12"/>
        <v>8</v>
      </c>
      <c r="J72" s="2">
        <f t="shared" si="13"/>
        <v>0.81059232993939634</v>
      </c>
      <c r="K72" s="2">
        <f t="shared" si="13"/>
        <v>0.02</v>
      </c>
    </row>
    <row r="73" spans="1:11" ht="16.5" thickTop="1" thickBot="1" x14ac:dyDescent="0.3">
      <c r="A73">
        <v>4.1999999999998998</v>
      </c>
      <c r="B73" s="5">
        <f t="shared" si="7"/>
        <v>0.73599999999999199</v>
      </c>
      <c r="C73" s="5">
        <f t="shared" si="8"/>
        <v>4.6589687368847194E-2</v>
      </c>
      <c r="D73" s="5">
        <f t="shared" si="9"/>
        <v>15.797487417615256</v>
      </c>
      <c r="F73" s="2">
        <f t="shared" si="10"/>
        <v>-5</v>
      </c>
      <c r="G73" s="2">
        <f t="shared" si="11"/>
        <v>0.08</v>
      </c>
      <c r="H73" s="2"/>
      <c r="I73" s="2">
        <f t="shared" si="12"/>
        <v>8</v>
      </c>
      <c r="J73" s="2">
        <f t="shared" si="13"/>
        <v>0.81059232993939634</v>
      </c>
      <c r="K73" s="2">
        <f t="shared" si="13"/>
        <v>0.02</v>
      </c>
    </row>
    <row r="74" spans="1:11" ht="16.5" thickTop="1" thickBot="1" x14ac:dyDescent="0.3">
      <c r="A74">
        <v>4.3999999999999</v>
      </c>
      <c r="B74" s="5">
        <f t="shared" si="7"/>
        <v>0.7519999999999919</v>
      </c>
      <c r="C74" s="5">
        <f t="shared" si="8"/>
        <v>4.7758326747534718E-2</v>
      </c>
      <c r="D74" s="5">
        <f t="shared" si="9"/>
        <v>15.745945287725352</v>
      </c>
      <c r="F74" s="2">
        <f t="shared" si="10"/>
        <v>-5</v>
      </c>
      <c r="G74" s="2">
        <f t="shared" si="11"/>
        <v>0.08</v>
      </c>
      <c r="H74" s="2"/>
      <c r="I74" s="2">
        <f t="shared" si="12"/>
        <v>8</v>
      </c>
      <c r="J74" s="2">
        <f t="shared" si="13"/>
        <v>0.81059232993939634</v>
      </c>
      <c r="K74" s="2">
        <f t="shared" si="13"/>
        <v>0.02</v>
      </c>
    </row>
    <row r="75" spans="1:11" ht="16.5" thickTop="1" thickBot="1" x14ac:dyDescent="0.3">
      <c r="A75">
        <v>4.5999999999999002</v>
      </c>
      <c r="B75" s="5">
        <f t="shared" si="7"/>
        <v>0.76799999999999202</v>
      </c>
      <c r="C75" s="5">
        <f t="shared" si="8"/>
        <v>4.8952098155871454E-2</v>
      </c>
      <c r="D75" s="5">
        <f t="shared" si="9"/>
        <v>15.688806587095714</v>
      </c>
      <c r="F75" s="2">
        <f t="shared" si="10"/>
        <v>-5</v>
      </c>
      <c r="G75" s="2">
        <f t="shared" si="11"/>
        <v>0.08</v>
      </c>
      <c r="H75" s="2"/>
      <c r="I75" s="2">
        <f t="shared" si="12"/>
        <v>8</v>
      </c>
      <c r="J75" s="2">
        <f t="shared" si="13"/>
        <v>0.81059232993939634</v>
      </c>
      <c r="K75" s="2">
        <f t="shared" si="13"/>
        <v>0.02</v>
      </c>
    </row>
    <row r="76" spans="1:11" ht="16.5" thickTop="1" thickBot="1" x14ac:dyDescent="0.3">
      <c r="A76">
        <v>4.7999999999999003</v>
      </c>
      <c r="B76" s="5">
        <f t="shared" si="7"/>
        <v>0.78399999999999215</v>
      </c>
      <c r="C76" s="5">
        <f t="shared" si="8"/>
        <v>5.0171001593857387E-2</v>
      </c>
      <c r="D76" s="5">
        <f t="shared" si="9"/>
        <v>15.626556678030921</v>
      </c>
      <c r="F76" s="2">
        <f t="shared" si="10"/>
        <v>-5</v>
      </c>
      <c r="G76" s="2">
        <f t="shared" si="11"/>
        <v>0.08</v>
      </c>
      <c r="H76" s="2"/>
      <c r="I76" s="2">
        <f t="shared" si="12"/>
        <v>8</v>
      </c>
      <c r="J76" s="2">
        <f t="shared" si="13"/>
        <v>0.81059232993939634</v>
      </c>
      <c r="K76" s="2">
        <f t="shared" si="13"/>
        <v>0.02</v>
      </c>
    </row>
    <row r="77" spans="1:11" ht="16.5" thickTop="1" thickBot="1" x14ac:dyDescent="0.3">
      <c r="A77">
        <v>4.9999999999998996</v>
      </c>
      <c r="B77" s="5">
        <f t="shared" si="7"/>
        <v>0.79999999999999205</v>
      </c>
      <c r="C77" s="5">
        <f t="shared" si="8"/>
        <v>5.1415037061492488E-2</v>
      </c>
      <c r="D77" s="5">
        <f t="shared" si="9"/>
        <v>15.559650361492309</v>
      </c>
      <c r="F77" s="2">
        <f t="shared" si="10"/>
        <v>-5</v>
      </c>
      <c r="G77" s="2">
        <f t="shared" si="11"/>
        <v>0.08</v>
      </c>
      <c r="H77" s="2"/>
      <c r="I77" s="2">
        <f t="shared" si="12"/>
        <v>8</v>
      </c>
      <c r="J77" s="2">
        <f t="shared" si="13"/>
        <v>0.81059232993939634</v>
      </c>
      <c r="K77" s="2">
        <f t="shared" si="13"/>
        <v>0.02</v>
      </c>
    </row>
    <row r="78" spans="1:11" ht="16.5" thickTop="1" thickBot="1" x14ac:dyDescent="0.3">
      <c r="A78">
        <v>5.1999999999998998</v>
      </c>
      <c r="B78" s="5">
        <f t="shared" si="7"/>
        <v>0.81599999999999195</v>
      </c>
      <c r="C78" s="5">
        <f t="shared" si="8"/>
        <v>5.2684204558776801E-2</v>
      </c>
      <c r="D78" s="5">
        <f t="shared" si="9"/>
        <v>15.488513242894779</v>
      </c>
      <c r="F78" s="2">
        <f t="shared" si="10"/>
        <v>-5</v>
      </c>
      <c r="G78" s="2">
        <f t="shared" si="11"/>
        <v>0.08</v>
      </c>
      <c r="H78" s="2"/>
      <c r="I78" s="2">
        <f t="shared" si="12"/>
        <v>8</v>
      </c>
      <c r="J78" s="2">
        <f t="shared" si="13"/>
        <v>0.81059232993939634</v>
      </c>
      <c r="K78" s="2">
        <f t="shared" si="13"/>
        <v>0.02</v>
      </c>
    </row>
    <row r="79" spans="1:11" ht="16.5" thickTop="1" thickBot="1" x14ac:dyDescent="0.3">
      <c r="A79">
        <v>5.3999999999999</v>
      </c>
      <c r="B79" s="5">
        <f t="shared" si="7"/>
        <v>0.83199999999999197</v>
      </c>
      <c r="C79" s="5">
        <f t="shared" si="8"/>
        <v>5.3978504085710297E-2</v>
      </c>
      <c r="D79" s="5">
        <f t="shared" si="9"/>
        <v>15.4135431148461</v>
      </c>
      <c r="F79" s="2">
        <f t="shared" si="10"/>
        <v>-5</v>
      </c>
      <c r="G79" s="2">
        <f t="shared" si="11"/>
        <v>0.08</v>
      </c>
      <c r="H79" s="2"/>
      <c r="I79" s="2">
        <f t="shared" si="12"/>
        <v>8</v>
      </c>
      <c r="J79" s="2">
        <f t="shared" si="13"/>
        <v>0.81059232993939634</v>
      </c>
      <c r="K79" s="2">
        <f t="shared" si="13"/>
        <v>0.02</v>
      </c>
    </row>
    <row r="80" spans="1:11" ht="16.5" thickTop="1" thickBot="1" x14ac:dyDescent="0.3">
      <c r="A80">
        <v>5.5999999999999002</v>
      </c>
      <c r="B80" s="5">
        <f t="shared" si="7"/>
        <v>0.84799999999999198</v>
      </c>
      <c r="C80" s="5">
        <f t="shared" si="8"/>
        <v>5.5297935642293003E-2</v>
      </c>
      <c r="D80" s="5">
        <f t="shared" si="9"/>
        <v>15.335111340963406</v>
      </c>
      <c r="F80" s="2">
        <f t="shared" si="10"/>
        <v>-5</v>
      </c>
      <c r="G80" s="2">
        <f t="shared" si="11"/>
        <v>0.08</v>
      </c>
      <c r="H80" s="2"/>
      <c r="I80" s="2">
        <f t="shared" si="12"/>
        <v>8</v>
      </c>
      <c r="J80" s="2">
        <f t="shared" si="13"/>
        <v>0.81059232993939634</v>
      </c>
      <c r="K80" s="2">
        <f t="shared" si="13"/>
        <v>0.02</v>
      </c>
    </row>
    <row r="81" spans="1:11" ht="16.5" thickTop="1" thickBot="1" x14ac:dyDescent="0.3">
      <c r="A81">
        <v>5.7999999999999003</v>
      </c>
      <c r="B81" s="5">
        <f t="shared" si="7"/>
        <v>0.86399999999999211</v>
      </c>
      <c r="C81" s="5">
        <f t="shared" si="8"/>
        <v>5.6642499228524906E-2</v>
      </c>
      <c r="D81" s="5">
        <f t="shared" si="9"/>
        <v>15.253564227704233</v>
      </c>
      <c r="F81" s="2">
        <f t="shared" si="10"/>
        <v>-5</v>
      </c>
      <c r="G81" s="2">
        <f t="shared" si="11"/>
        <v>0.08</v>
      </c>
      <c r="H81" s="2"/>
      <c r="I81" s="2">
        <f t="shared" si="12"/>
        <v>8</v>
      </c>
      <c r="J81" s="2">
        <f t="shared" si="13"/>
        <v>0.81059232993939634</v>
      </c>
      <c r="K81" s="2">
        <f t="shared" si="13"/>
        <v>0.02</v>
      </c>
    </row>
    <row r="82" spans="1:11" ht="16.5" thickTop="1" thickBot="1" x14ac:dyDescent="0.3">
      <c r="A82">
        <v>5.9999999999998996</v>
      </c>
      <c r="B82" s="5">
        <f t="shared" si="7"/>
        <v>0.87999999999999201</v>
      </c>
      <c r="C82" s="5">
        <f t="shared" si="8"/>
        <v>5.8012194844405979E-2</v>
      </c>
      <c r="D82" s="5">
        <f t="shared" si="9"/>
        <v>15.169224373603388</v>
      </c>
      <c r="F82" s="2">
        <f t="shared" si="10"/>
        <v>-5</v>
      </c>
      <c r="G82" s="2">
        <f t="shared" si="11"/>
        <v>0.08</v>
      </c>
      <c r="H82" s="2"/>
      <c r="I82" s="2">
        <f t="shared" si="12"/>
        <v>8</v>
      </c>
      <c r="J82" s="2">
        <f t="shared" si="13"/>
        <v>0.81059232993939634</v>
      </c>
      <c r="K82" s="2">
        <f t="shared" si="13"/>
        <v>0.02</v>
      </c>
    </row>
    <row r="83" spans="1:11" ht="16.5" thickTop="1" thickBot="1" x14ac:dyDescent="0.3">
      <c r="A83">
        <v>6.1999999999998998</v>
      </c>
      <c r="B83" s="5">
        <f t="shared" si="7"/>
        <v>0.89599999999999203</v>
      </c>
      <c r="C83" s="5">
        <f t="shared" si="8"/>
        <v>5.9407022489936262E-2</v>
      </c>
      <c r="D83" s="5">
        <f t="shared" si="9"/>
        <v>15.082391987441843</v>
      </c>
      <c r="F83" s="2">
        <f t="shared" si="10"/>
        <v>-5</v>
      </c>
      <c r="G83" s="2">
        <f t="shared" si="11"/>
        <v>0.08</v>
      </c>
      <c r="H83" s="2"/>
      <c r="I83" s="2">
        <f t="shared" si="12"/>
        <v>8</v>
      </c>
      <c r="J83" s="2">
        <f t="shared" si="13"/>
        <v>0.81059232993939634</v>
      </c>
      <c r="K83" s="2">
        <f t="shared" si="13"/>
        <v>0.02</v>
      </c>
    </row>
    <row r="84" spans="1:11" ht="16.5" thickTop="1" thickBot="1" x14ac:dyDescent="0.3">
      <c r="A84">
        <v>6.3999999999999</v>
      </c>
      <c r="B84" s="5">
        <f t="shared" si="7"/>
        <v>0.91199999999999193</v>
      </c>
      <c r="C84" s="5">
        <f t="shared" si="8"/>
        <v>6.0826982165115728E-2</v>
      </c>
      <c r="D84" s="5">
        <f t="shared" si="9"/>
        <v>14.993346168717604</v>
      </c>
      <c r="F84" s="2">
        <f t="shared" si="10"/>
        <v>-5</v>
      </c>
      <c r="G84" s="2">
        <f t="shared" si="11"/>
        <v>0.08</v>
      </c>
      <c r="H84" s="2"/>
      <c r="I84" s="2">
        <f t="shared" si="12"/>
        <v>8</v>
      </c>
      <c r="J84" s="2">
        <f t="shared" si="13"/>
        <v>0.81059232993939634</v>
      </c>
      <c r="K84" s="2">
        <f t="shared" si="13"/>
        <v>0.02</v>
      </c>
    </row>
    <row r="85" spans="1:11" ht="16.5" thickTop="1" thickBot="1" x14ac:dyDescent="0.3">
      <c r="A85">
        <v>6.5999999999999002</v>
      </c>
      <c r="B85" s="5">
        <f t="shared" si="7"/>
        <v>0.92799999999999205</v>
      </c>
      <c r="C85" s="5">
        <f t="shared" si="8"/>
        <v>6.2272073869944419E-2</v>
      </c>
      <c r="D85" s="5">
        <f t="shared" si="9"/>
        <v>14.902346145370482</v>
      </c>
      <c r="F85" s="2">
        <f t="shared" si="10"/>
        <v>-5</v>
      </c>
      <c r="G85" s="2">
        <f t="shared" si="11"/>
        <v>0.08</v>
      </c>
      <c r="H85" s="2"/>
      <c r="I85" s="2">
        <f t="shared" si="12"/>
        <v>8</v>
      </c>
      <c r="J85" s="2">
        <f t="shared" si="13"/>
        <v>0.81059232993939634</v>
      </c>
      <c r="K85" s="2">
        <f t="shared" si="13"/>
        <v>0.02</v>
      </c>
    </row>
    <row r="86" spans="1:11" ht="16.5" thickTop="1" thickBot="1" x14ac:dyDescent="0.3">
      <c r="A86">
        <v>6.7999999999999003</v>
      </c>
      <c r="B86" s="5">
        <f t="shared" si="7"/>
        <v>0.94399999999999207</v>
      </c>
      <c r="C86" s="5">
        <f t="shared" si="8"/>
        <v>6.3742297604422279E-2</v>
      </c>
      <c r="D86" s="5">
        <f t="shared" si="9"/>
        <v>14.809632465060371</v>
      </c>
      <c r="F86" s="2">
        <f t="shared" si="10"/>
        <v>-5</v>
      </c>
      <c r="G86" s="2">
        <f t="shared" si="11"/>
        <v>0.08</v>
      </c>
      <c r="H86" s="2"/>
      <c r="I86" s="2">
        <f t="shared" si="12"/>
        <v>8</v>
      </c>
      <c r="J86" s="2">
        <f t="shared" si="13"/>
        <v>0.81059232993939634</v>
      </c>
      <c r="K86" s="2">
        <f t="shared" si="13"/>
        <v>0.02</v>
      </c>
    </row>
    <row r="87" spans="1:11" ht="16.5" thickTop="1" thickBot="1" x14ac:dyDescent="0.3">
      <c r="A87">
        <v>6.9999999999998996</v>
      </c>
      <c r="B87" s="5">
        <f t="shared" si="7"/>
        <v>0.95999999999999208</v>
      </c>
      <c r="C87" s="5">
        <f t="shared" si="8"/>
        <v>6.5237653368549336E-2</v>
      </c>
      <c r="D87" s="5">
        <f t="shared" si="9"/>
        <v>14.715428137438218</v>
      </c>
      <c r="F87" s="2">
        <f t="shared" si="10"/>
        <v>-5</v>
      </c>
      <c r="G87" s="2">
        <f t="shared" si="11"/>
        <v>0.08</v>
      </c>
      <c r="H87" s="2"/>
      <c r="I87" s="2">
        <f t="shared" si="12"/>
        <v>8</v>
      </c>
      <c r="J87" s="2">
        <f t="shared" si="13"/>
        <v>0.81059232993939634</v>
      </c>
      <c r="K87" s="2">
        <f t="shared" si="13"/>
        <v>0.02</v>
      </c>
    </row>
    <row r="88" spans="1:11" ht="16.5" thickTop="1" thickBot="1" x14ac:dyDescent="0.3">
      <c r="A88">
        <v>7.1999999999998998</v>
      </c>
      <c r="B88" s="5">
        <f t="shared" si="7"/>
        <v>0.97599999999999199</v>
      </c>
      <c r="C88" s="5">
        <f t="shared" si="8"/>
        <v>6.6758141162325577E-2</v>
      </c>
      <c r="D88" s="5">
        <f t="shared" si="9"/>
        <v>14.619939725805155</v>
      </c>
      <c r="F88" s="2">
        <f t="shared" si="10"/>
        <v>-5</v>
      </c>
      <c r="G88" s="2">
        <f t="shared" si="11"/>
        <v>0.08</v>
      </c>
      <c r="H88" s="2"/>
      <c r="I88" s="2">
        <f t="shared" si="12"/>
        <v>8</v>
      </c>
      <c r="J88" s="2">
        <f t="shared" si="13"/>
        <v>0.81059232993939634</v>
      </c>
      <c r="K88" s="2">
        <f t="shared" si="13"/>
        <v>0.02</v>
      </c>
    </row>
    <row r="89" spans="1:11" ht="16.5" thickTop="1" thickBot="1" x14ac:dyDescent="0.3">
      <c r="A89">
        <v>7.3999999999999</v>
      </c>
      <c r="B89" s="5">
        <f t="shared" si="7"/>
        <v>0.991999999999992</v>
      </c>
      <c r="C89" s="5">
        <f t="shared" si="8"/>
        <v>6.8303760985751041E-2</v>
      </c>
      <c r="D89" s="5">
        <f t="shared" si="9"/>
        <v>14.523358387350511</v>
      </c>
      <c r="F89" s="2">
        <f t="shared" si="10"/>
        <v>-5</v>
      </c>
      <c r="G89" s="2">
        <f t="shared" si="11"/>
        <v>0.08</v>
      </c>
      <c r="H89" s="2"/>
      <c r="I89" s="2">
        <f t="shared" si="12"/>
        <v>8</v>
      </c>
      <c r="J89" s="2">
        <f t="shared" si="13"/>
        <v>0.81059232993939634</v>
      </c>
      <c r="K89" s="2">
        <f t="shared" si="13"/>
        <v>0.02</v>
      </c>
    </row>
    <row r="90" spans="1:11" ht="16.5" thickTop="1" thickBot="1" x14ac:dyDescent="0.3">
      <c r="A90">
        <v>7.5999999999999002</v>
      </c>
      <c r="B90" s="5">
        <f t="shared" si="7"/>
        <v>1.007999999999992</v>
      </c>
      <c r="C90" s="5">
        <f t="shared" si="8"/>
        <v>6.9874512838825675E-2</v>
      </c>
      <c r="D90" s="5">
        <f t="shared" si="9"/>
        <v>14.425860861814813</v>
      </c>
      <c r="F90" s="2">
        <f t="shared" si="10"/>
        <v>-5</v>
      </c>
      <c r="G90" s="2">
        <f t="shared" si="11"/>
        <v>0.08</v>
      </c>
      <c r="H90" s="2"/>
      <c r="I90" s="2">
        <f t="shared" si="12"/>
        <v>8</v>
      </c>
      <c r="J90" s="2">
        <f t="shared" si="13"/>
        <v>0.81059232993939634</v>
      </c>
      <c r="K90" s="2">
        <f t="shared" si="13"/>
        <v>0.02</v>
      </c>
    </row>
    <row r="91" spans="1:11" ht="16.5" thickTop="1" thickBot="1" x14ac:dyDescent="0.3">
      <c r="A91">
        <v>7.7999999999999003</v>
      </c>
      <c r="B91" s="5">
        <f t="shared" si="7"/>
        <v>1.023999999999992</v>
      </c>
      <c r="C91" s="5">
        <f t="shared" si="8"/>
        <v>7.147039672154952E-2</v>
      </c>
      <c r="D91" s="5">
        <f t="shared" si="9"/>
        <v>14.32761040895746</v>
      </c>
      <c r="F91" s="2">
        <f t="shared" si="10"/>
        <v>-5</v>
      </c>
      <c r="G91" s="2">
        <f t="shared" si="11"/>
        <v>0.08</v>
      </c>
      <c r="H91" s="2"/>
      <c r="I91" s="2">
        <f t="shared" si="12"/>
        <v>8</v>
      </c>
      <c r="J91" s="2">
        <f t="shared" si="13"/>
        <v>0.81059232993939634</v>
      </c>
      <c r="K91" s="2">
        <f t="shared" si="13"/>
        <v>0.02</v>
      </c>
    </row>
    <row r="92" spans="1:11" ht="16.5" thickTop="1" thickBot="1" x14ac:dyDescent="0.3">
      <c r="A92">
        <v>7.9999999999998996</v>
      </c>
      <c r="B92" s="5">
        <f t="shared" si="7"/>
        <v>1.039999999999992</v>
      </c>
      <c r="C92" s="5">
        <f t="shared" si="8"/>
        <v>7.3091412633922548E-2</v>
      </c>
      <c r="D92" s="5">
        <f t="shared" si="9"/>
        <v>14.228757695638192</v>
      </c>
      <c r="F92" s="2">
        <f t="shared" si="10"/>
        <v>-5</v>
      </c>
      <c r="G92" s="2">
        <f t="shared" si="11"/>
        <v>0.08</v>
      </c>
      <c r="H92" s="2"/>
      <c r="I92" s="2">
        <f t="shared" si="12"/>
        <v>8</v>
      </c>
      <c r="J92" s="2">
        <f t="shared" si="13"/>
        <v>0.81059232993939634</v>
      </c>
      <c r="K92" s="2">
        <f t="shared" si="13"/>
        <v>0.02</v>
      </c>
    </row>
    <row r="93" spans="1:11" ht="16.5" thickTop="1" thickBot="1" x14ac:dyDescent="0.3">
      <c r="A93">
        <v>8.1999999999998998</v>
      </c>
      <c r="B93" s="5">
        <f t="shared" si="7"/>
        <v>1.0559999999999921</v>
      </c>
      <c r="C93" s="5">
        <f t="shared" si="8"/>
        <v>7.4737560575944786E-2</v>
      </c>
      <c r="D93" s="5">
        <f t="shared" si="9"/>
        <v>14.12944163366069</v>
      </c>
      <c r="F93" s="2">
        <f t="shared" si="10"/>
        <v>-5</v>
      </c>
      <c r="G93" s="2">
        <f t="shared" si="11"/>
        <v>0.08</v>
      </c>
      <c r="H93" s="2"/>
      <c r="I93" s="2">
        <f t="shared" si="12"/>
        <v>8</v>
      </c>
      <c r="J93" s="2">
        <f t="shared" si="13"/>
        <v>0.81059232993939634</v>
      </c>
      <c r="K93" s="2">
        <f t="shared" si="13"/>
        <v>0.02</v>
      </c>
    </row>
    <row r="94" spans="1:11" ht="16.5" thickTop="1" thickBot="1" x14ac:dyDescent="0.3">
      <c r="A94">
        <v>8.3999999999999009</v>
      </c>
      <c r="B94" s="5">
        <f t="shared" si="7"/>
        <v>1.0719999999999921</v>
      </c>
      <c r="C94" s="5">
        <f t="shared" si="8"/>
        <v>7.6408840547616208E-2</v>
      </c>
      <c r="D94" s="5">
        <f t="shared" si="9"/>
        <v>14.02979016978993</v>
      </c>
      <c r="F94" s="2">
        <f t="shared" si="10"/>
        <v>-5</v>
      </c>
      <c r="G94" s="2">
        <f t="shared" si="11"/>
        <v>0.08</v>
      </c>
      <c r="H94" s="2"/>
      <c r="I94" s="2">
        <f t="shared" si="12"/>
        <v>8</v>
      </c>
      <c r="J94" s="2">
        <f t="shared" si="13"/>
        <v>0.81059232993939634</v>
      </c>
      <c r="K94" s="2">
        <f t="shared" si="13"/>
        <v>0.02</v>
      </c>
    </row>
    <row r="95" spans="1:11" ht="16.5" thickTop="1" thickBot="1" x14ac:dyDescent="0.3">
      <c r="A95">
        <v>8.5999999999999002</v>
      </c>
      <c r="B95" s="5">
        <f t="shared" si="7"/>
        <v>1.0879999999999921</v>
      </c>
      <c r="C95" s="5">
        <f t="shared" si="8"/>
        <v>7.8105252548936827E-2</v>
      </c>
      <c r="D95" s="5">
        <f t="shared" si="9"/>
        <v>13.929921029553114</v>
      </c>
      <c r="F95" s="2">
        <f t="shared" si="10"/>
        <v>-5</v>
      </c>
      <c r="G95" s="2">
        <f t="shared" si="11"/>
        <v>0.08</v>
      </c>
      <c r="H95" s="2"/>
      <c r="I95" s="2">
        <f t="shared" si="12"/>
        <v>8</v>
      </c>
      <c r="J95" s="2">
        <f t="shared" si="13"/>
        <v>0.81059232993939634</v>
      </c>
      <c r="K95" s="2">
        <f t="shared" si="13"/>
        <v>0.02</v>
      </c>
    </row>
    <row r="96" spans="1:11" ht="16.5" thickTop="1" thickBot="1" x14ac:dyDescent="0.3">
      <c r="A96">
        <v>8.7999999999998995</v>
      </c>
      <c r="B96" s="5">
        <f t="shared" si="7"/>
        <v>1.1039999999999919</v>
      </c>
      <c r="C96" s="5">
        <f t="shared" si="8"/>
        <v>7.9826796579906614E-2</v>
      </c>
      <c r="D96" s="5">
        <f t="shared" si="9"/>
        <v>13.829942416577971</v>
      </c>
      <c r="F96" s="2">
        <f t="shared" si="10"/>
        <v>-5</v>
      </c>
      <c r="G96" s="2">
        <f t="shared" si="11"/>
        <v>0.08</v>
      </c>
      <c r="H96" s="2"/>
      <c r="I96" s="2">
        <f t="shared" si="12"/>
        <v>8</v>
      </c>
      <c r="J96" s="2">
        <f t="shared" si="13"/>
        <v>0.81059232993939634</v>
      </c>
      <c r="K96" s="2">
        <f t="shared" si="13"/>
        <v>0.02</v>
      </c>
    </row>
    <row r="97" spans="1:11" ht="16.5" thickTop="1" thickBot="1" x14ac:dyDescent="0.3">
      <c r="A97">
        <v>8.9999999999999005</v>
      </c>
      <c r="B97" s="5">
        <f t="shared" si="7"/>
        <v>1.1199999999999921</v>
      </c>
      <c r="C97" s="5">
        <f t="shared" si="8"/>
        <v>8.1573472640525641E-2</v>
      </c>
      <c r="D97" s="5">
        <f t="shared" si="9"/>
        <v>13.729953669320398</v>
      </c>
      <c r="F97" s="2">
        <f t="shared" si="10"/>
        <v>-5</v>
      </c>
      <c r="G97" s="2">
        <f t="shared" si="11"/>
        <v>0.08</v>
      </c>
      <c r="H97" s="2"/>
      <c r="I97" s="2">
        <f t="shared" si="12"/>
        <v>8</v>
      </c>
      <c r="J97" s="2">
        <f t="shared" si="13"/>
        <v>0.81059232993939634</v>
      </c>
      <c r="K97" s="2">
        <f t="shared" si="13"/>
        <v>0.02</v>
      </c>
    </row>
    <row r="98" spans="1:11" ht="16.5" thickTop="1" thickBot="1" x14ac:dyDescent="0.3">
      <c r="A98">
        <v>9.1999999999998998</v>
      </c>
      <c r="B98" s="5">
        <f t="shared" si="7"/>
        <v>1.1359999999999919</v>
      </c>
      <c r="C98" s="5">
        <f t="shared" si="8"/>
        <v>8.3345280730793822E-2</v>
      </c>
      <c r="D98" s="5">
        <f t="shared" si="9"/>
        <v>13.630045877093924</v>
      </c>
      <c r="F98" s="2">
        <f t="shared" si="10"/>
        <v>-5</v>
      </c>
      <c r="G98" s="2">
        <f t="shared" si="11"/>
        <v>0.08</v>
      </c>
      <c r="H98" s="2"/>
      <c r="I98" s="2">
        <f t="shared" si="12"/>
        <v>8</v>
      </c>
      <c r="J98" s="2">
        <f t="shared" si="13"/>
        <v>0.81059232993939634</v>
      </c>
      <c r="K98" s="2">
        <f t="shared" si="13"/>
        <v>0.02</v>
      </c>
    </row>
    <row r="99" spans="1:11" ht="16.5" thickTop="1" thickBot="1" x14ac:dyDescent="0.3">
      <c r="A99">
        <v>9.3999999999999009</v>
      </c>
      <c r="B99" s="5">
        <f t="shared" si="7"/>
        <v>1.1519999999999921</v>
      </c>
      <c r="C99" s="5">
        <f t="shared" si="8"/>
        <v>8.5142220850711242E-2</v>
      </c>
      <c r="D99" s="5">
        <f t="shared" si="9"/>
        <v>13.530302457342687</v>
      </c>
      <c r="F99" s="2">
        <f t="shared" si="10"/>
        <v>-5</v>
      </c>
      <c r="G99" s="2">
        <f t="shared" si="11"/>
        <v>0.08</v>
      </c>
      <c r="H99" s="2"/>
      <c r="I99" s="2">
        <f t="shared" si="12"/>
        <v>8</v>
      </c>
      <c r="J99" s="2">
        <f t="shared" si="13"/>
        <v>0.81059232993939634</v>
      </c>
      <c r="K99" s="2">
        <f t="shared" si="13"/>
        <v>0.02</v>
      </c>
    </row>
    <row r="100" spans="1:11" ht="16.5" thickTop="1" thickBot="1" x14ac:dyDescent="0.3">
      <c r="A100">
        <v>9.5999999999999002</v>
      </c>
      <c r="B100" s="5">
        <f t="shared" si="7"/>
        <v>1.1679999999999919</v>
      </c>
      <c r="C100" s="5">
        <f t="shared" si="8"/>
        <v>8.6964293000277804E-2</v>
      </c>
      <c r="D100" s="5">
        <f t="shared" si="9"/>
        <v>13.430799696103559</v>
      </c>
      <c r="F100" s="2">
        <f t="shared" si="10"/>
        <v>-5</v>
      </c>
      <c r="G100" s="2">
        <f t="shared" si="11"/>
        <v>0.08</v>
      </c>
      <c r="H100" s="2"/>
      <c r="I100" s="2">
        <f t="shared" si="12"/>
        <v>8</v>
      </c>
      <c r="J100" s="2">
        <f t="shared" si="13"/>
        <v>0.81059232993939634</v>
      </c>
      <c r="K100" s="2">
        <f t="shared" si="13"/>
        <v>0.02</v>
      </c>
    </row>
    <row r="101" spans="1:11" ht="16.5" thickTop="1" thickBot="1" x14ac:dyDescent="0.3">
      <c r="A101">
        <v>9.7999999999998995</v>
      </c>
      <c r="B101" s="5">
        <f t="shared" si="7"/>
        <v>1.1839999999999919</v>
      </c>
      <c r="C101" s="5">
        <f t="shared" si="8"/>
        <v>8.881149717949359E-2</v>
      </c>
      <c r="D101" s="5">
        <f t="shared" si="9"/>
        <v>13.331607253586254</v>
      </c>
      <c r="F101" s="2">
        <f t="shared" si="10"/>
        <v>-5</v>
      </c>
      <c r="G101" s="2">
        <f t="shared" si="11"/>
        <v>0.08</v>
      </c>
      <c r="H101" s="2"/>
      <c r="I101" s="2">
        <f t="shared" si="12"/>
        <v>8</v>
      </c>
      <c r="J101" s="2">
        <f t="shared" si="13"/>
        <v>0.81059232993939634</v>
      </c>
      <c r="K101" s="2">
        <f t="shared" si="13"/>
        <v>0.02</v>
      </c>
    </row>
    <row r="102" spans="1:11" ht="16.5" thickTop="1" thickBot="1" x14ac:dyDescent="0.3">
      <c r="A102">
        <v>9.9999999999999005</v>
      </c>
      <c r="B102" s="5">
        <f t="shared" si="7"/>
        <v>1.199999999999992</v>
      </c>
      <c r="C102" s="5">
        <f t="shared" si="8"/>
        <v>9.0683833388358559E-2</v>
      </c>
      <c r="D102" s="5">
        <f t="shared" si="9"/>
        <v>13.232788636767539</v>
      </c>
      <c r="F102" s="2">
        <f t="shared" si="10"/>
        <v>-5</v>
      </c>
      <c r="G102" s="2">
        <f t="shared" si="11"/>
        <v>0.08</v>
      </c>
      <c r="H102" s="2"/>
      <c r="I102" s="2">
        <f t="shared" si="12"/>
        <v>8</v>
      </c>
      <c r="J102" s="2">
        <f t="shared" si="13"/>
        <v>0.81059232993939634</v>
      </c>
      <c r="K102" s="2">
        <f t="shared" si="13"/>
        <v>0.02</v>
      </c>
    </row>
    <row r="103" spans="1:11" ht="15.75" thickTop="1" x14ac:dyDescent="0.25"/>
  </sheetData>
  <mergeCells count="2">
    <mergeCell ref="P6:R6"/>
    <mergeCell ref="M1:Q1"/>
  </mergeCells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selection activeCell="L19" sqref="L19"/>
    </sheetView>
  </sheetViews>
  <sheetFormatPr defaultRowHeight="15" x14ac:dyDescent="0.25"/>
  <cols>
    <col min="1" max="1" width="24.42578125" customWidth="1"/>
    <col min="2" max="2" width="34" customWidth="1"/>
    <col min="3" max="3" width="16.28515625" customWidth="1"/>
    <col min="5" max="5" width="24.42578125" customWidth="1"/>
    <col min="8" max="8" width="10" customWidth="1"/>
    <col min="11" max="11" width="15.140625" customWidth="1"/>
    <col min="12" max="12" width="25.5703125" customWidth="1"/>
    <col min="13" max="13" width="12.42578125" customWidth="1"/>
  </cols>
  <sheetData>
    <row r="1" spans="1:12" ht="23.25" x14ac:dyDescent="0.35">
      <c r="A1" s="22" t="s">
        <v>82</v>
      </c>
      <c r="B1" s="22"/>
      <c r="C1" s="22"/>
      <c r="D1" s="22"/>
      <c r="E1" s="22"/>
      <c r="F1" s="21" t="s">
        <v>96</v>
      </c>
      <c r="G1" s="21"/>
      <c r="H1" s="21"/>
      <c r="I1" s="21"/>
      <c r="J1" s="21"/>
      <c r="K1" s="21"/>
      <c r="L1" s="21"/>
    </row>
    <row r="2" spans="1:12" ht="23.25" x14ac:dyDescent="0.35">
      <c r="A2" s="22" t="s">
        <v>63</v>
      </c>
      <c r="B2" s="22"/>
      <c r="C2" s="22"/>
      <c r="D2" s="22"/>
      <c r="E2" s="22"/>
      <c r="I2" s="22" t="s">
        <v>81</v>
      </c>
      <c r="J2" s="22"/>
      <c r="K2" s="22"/>
      <c r="L2" s="22"/>
    </row>
    <row r="3" spans="1:12" x14ac:dyDescent="0.25">
      <c r="A3" s="3" t="s">
        <v>105</v>
      </c>
      <c r="B3" s="3" t="s">
        <v>106</v>
      </c>
      <c r="C3" s="3" t="s">
        <v>107</v>
      </c>
      <c r="I3" t="s">
        <v>108</v>
      </c>
    </row>
    <row r="4" spans="1:12" x14ac:dyDescent="0.25">
      <c r="A4" s="1">
        <v>4</v>
      </c>
      <c r="B4" s="1">
        <v>0.5</v>
      </c>
      <c r="C4" s="28">
        <v>1.7</v>
      </c>
      <c r="I4" s="1">
        <v>1.2250000000000001</v>
      </c>
    </row>
    <row r="5" spans="1:12" x14ac:dyDescent="0.25">
      <c r="C5" s="4" t="s">
        <v>134</v>
      </c>
    </row>
    <row r="6" spans="1:12" ht="23.25" x14ac:dyDescent="0.35">
      <c r="A6" s="22" t="s">
        <v>64</v>
      </c>
      <c r="B6" s="22"/>
      <c r="C6" s="22"/>
      <c r="D6" s="22"/>
      <c r="E6" s="22"/>
    </row>
    <row r="7" spans="1:12" x14ac:dyDescent="0.25">
      <c r="A7" t="s">
        <v>117</v>
      </c>
      <c r="B7" t="s">
        <v>116</v>
      </c>
      <c r="C7" t="s">
        <v>94</v>
      </c>
      <c r="D7" s="16">
        <f>C8/60</f>
        <v>11.111111111111111</v>
      </c>
      <c r="E7" s="16">
        <f>C8/3600</f>
        <v>0.18518518518518517</v>
      </c>
      <c r="I7" t="s">
        <v>109</v>
      </c>
    </row>
    <row r="8" spans="1:12" x14ac:dyDescent="0.25">
      <c r="A8" s="1">
        <v>20000</v>
      </c>
      <c r="B8" s="1">
        <v>30</v>
      </c>
      <c r="C8" s="5">
        <f>A8/B8</f>
        <v>666.66666666666663</v>
      </c>
      <c r="D8" s="4" t="s">
        <v>100</v>
      </c>
      <c r="E8" s="4" t="s">
        <v>101</v>
      </c>
      <c r="I8" s="5">
        <f>I4*B8*B8/2</f>
        <v>551.25</v>
      </c>
    </row>
    <row r="9" spans="1:12" x14ac:dyDescent="0.25">
      <c r="A9" t="s">
        <v>115</v>
      </c>
      <c r="C9" s="4" t="s">
        <v>118</v>
      </c>
      <c r="D9" s="4" t="s">
        <v>102</v>
      </c>
      <c r="E9" s="4" t="s">
        <v>102</v>
      </c>
    </row>
    <row r="10" spans="1:12" x14ac:dyDescent="0.25">
      <c r="A10" s="1">
        <v>2</v>
      </c>
      <c r="C10" s="4" t="s">
        <v>102</v>
      </c>
    </row>
    <row r="11" spans="1:12" x14ac:dyDescent="0.25">
      <c r="A11" t="s">
        <v>65</v>
      </c>
      <c r="C11" t="s">
        <v>114</v>
      </c>
    </row>
    <row r="12" spans="1:12" ht="15" customHeight="1" x14ac:dyDescent="0.25">
      <c r="A12" s="1">
        <v>0.5</v>
      </c>
      <c r="C12" s="5">
        <f>A10*9.803/A12</f>
        <v>39.212000000000003</v>
      </c>
      <c r="G12" s="24" t="s">
        <v>73</v>
      </c>
      <c r="H12" s="24"/>
      <c r="I12" s="24"/>
      <c r="J12" s="24"/>
      <c r="K12" s="24"/>
      <c r="L12" s="24"/>
    </row>
    <row r="13" spans="1:12" ht="15" customHeight="1" x14ac:dyDescent="0.25">
      <c r="A13" t="s">
        <v>66</v>
      </c>
      <c r="B13" s="4" t="s">
        <v>67</v>
      </c>
      <c r="C13" t="s">
        <v>68</v>
      </c>
      <c r="G13" s="24"/>
      <c r="H13" s="24"/>
      <c r="I13" s="24"/>
      <c r="J13" s="24"/>
      <c r="K13" s="24"/>
      <c r="L13" s="24"/>
    </row>
    <row r="14" spans="1:12" x14ac:dyDescent="0.25">
      <c r="A14" s="1">
        <v>0.95</v>
      </c>
      <c r="C14" s="5">
        <f>C12/A14</f>
        <v>41.275789473684213</v>
      </c>
      <c r="D14" s="26" t="s">
        <v>104</v>
      </c>
      <c r="E14" s="26"/>
      <c r="G14" t="s">
        <v>74</v>
      </c>
      <c r="H14" t="s">
        <v>53</v>
      </c>
      <c r="I14" t="s">
        <v>75</v>
      </c>
      <c r="K14" t="s">
        <v>110</v>
      </c>
      <c r="L14" t="s">
        <v>111</v>
      </c>
    </row>
    <row r="15" spans="1:12" ht="15.75" thickBot="1" x14ac:dyDescent="0.3">
      <c r="A15" t="s">
        <v>79</v>
      </c>
      <c r="B15" t="s">
        <v>78</v>
      </c>
      <c r="D15" s="26"/>
      <c r="E15" s="26"/>
      <c r="G15" s="2">
        <f>B8</f>
        <v>30</v>
      </c>
      <c r="H15" s="5">
        <f>G15*I15</f>
        <v>139.37966375598089</v>
      </c>
      <c r="I15" s="5">
        <f>K17</f>
        <v>4.6459887918660296</v>
      </c>
      <c r="K15" s="2">
        <f>C14</f>
        <v>41.275789473684213</v>
      </c>
      <c r="L15" s="5">
        <f>K15*2/C22/I8</f>
        <v>0.21271794204125036</v>
      </c>
    </row>
    <row r="16" spans="1:12" ht="15.75" thickTop="1" x14ac:dyDescent="0.25">
      <c r="A16" s="1">
        <v>0.75</v>
      </c>
      <c r="B16" s="1">
        <v>0.6</v>
      </c>
      <c r="D16" s="26"/>
      <c r="E16" s="26"/>
      <c r="K16" t="s">
        <v>76</v>
      </c>
    </row>
    <row r="17" spans="1:12" ht="23.25" x14ac:dyDescent="0.35">
      <c r="A17" s="22" t="s">
        <v>69</v>
      </c>
      <c r="B17" s="22"/>
      <c r="C17" s="22"/>
      <c r="D17" s="22"/>
      <c r="E17" s="22"/>
      <c r="K17" s="5">
        <f>D22*I8*L15</f>
        <v>4.6459887918660296</v>
      </c>
    </row>
    <row r="18" spans="1:12" x14ac:dyDescent="0.25">
      <c r="A18" s="9"/>
      <c r="B18" s="9"/>
      <c r="C18" s="9"/>
      <c r="D18" s="10"/>
      <c r="H18" t="s">
        <v>77</v>
      </c>
    </row>
    <row r="19" spans="1:12" x14ac:dyDescent="0.25">
      <c r="A19" s="5"/>
      <c r="B19" s="5"/>
      <c r="C19" s="5"/>
      <c r="D19" s="5"/>
      <c r="H19" s="5">
        <f>H15*C8</f>
        <v>92919.775837320587</v>
      </c>
    </row>
    <row r="20" spans="1:12" x14ac:dyDescent="0.25">
      <c r="H20" t="s">
        <v>80</v>
      </c>
    </row>
    <row r="21" spans="1:12" x14ac:dyDescent="0.25">
      <c r="B21" s="14" t="s">
        <v>113</v>
      </c>
      <c r="C21" s="13" t="s">
        <v>1</v>
      </c>
      <c r="D21" s="12" t="s">
        <v>2</v>
      </c>
      <c r="E21" s="11" t="s">
        <v>112</v>
      </c>
      <c r="H21" s="5">
        <f>H19/A16/B16</f>
        <v>206488.39074960133</v>
      </c>
    </row>
    <row r="22" spans="1:12" x14ac:dyDescent="0.25">
      <c r="A22" s="14" t="s">
        <v>70</v>
      </c>
      <c r="B22" s="1">
        <v>3.8</v>
      </c>
      <c r="C22" s="1">
        <v>0.70399999999999996</v>
      </c>
      <c r="D22" s="1">
        <v>3.9621000000000003E-2</v>
      </c>
      <c r="E22" s="5">
        <f>C22/D22</f>
        <v>17.768355165190176</v>
      </c>
    </row>
    <row r="23" spans="1:12" x14ac:dyDescent="0.25">
      <c r="A23" s="13" t="s">
        <v>71</v>
      </c>
      <c r="B23" s="26" t="s">
        <v>103</v>
      </c>
      <c r="C23" s="26"/>
      <c r="D23" s="26"/>
      <c r="E23" s="26"/>
      <c r="F23" s="26"/>
      <c r="G23" s="26"/>
    </row>
    <row r="24" spans="1:12" x14ac:dyDescent="0.25">
      <c r="A24" s="12" t="s">
        <v>72</v>
      </c>
      <c r="B24" s="1">
        <v>-5</v>
      </c>
      <c r="C24" s="1">
        <v>0</v>
      </c>
      <c r="D24" s="1">
        <v>0.02</v>
      </c>
      <c r="E24" s="5">
        <f>C24/D24</f>
        <v>0</v>
      </c>
    </row>
    <row r="26" spans="1:12" ht="23.25" x14ac:dyDescent="0.35">
      <c r="A26" s="22" t="s">
        <v>95</v>
      </c>
      <c r="B26" s="22"/>
      <c r="C26" s="22"/>
      <c r="D26" s="22"/>
      <c r="E26" s="22"/>
    </row>
    <row r="27" spans="1:12" x14ac:dyDescent="0.25">
      <c r="A27" s="15" t="s">
        <v>83</v>
      </c>
      <c r="B27" t="s">
        <v>88</v>
      </c>
      <c r="C27" t="s">
        <v>86</v>
      </c>
      <c r="D27" t="s">
        <v>84</v>
      </c>
      <c r="E27" t="s">
        <v>85</v>
      </c>
      <c r="F27" s="25" t="s">
        <v>98</v>
      </c>
      <c r="G27" s="25"/>
      <c r="H27" t="s">
        <v>87</v>
      </c>
      <c r="J27" t="s">
        <v>89</v>
      </c>
      <c r="L27" t="s">
        <v>90</v>
      </c>
    </row>
    <row r="28" spans="1:12" x14ac:dyDescent="0.25">
      <c r="B28" s="1">
        <v>135000</v>
      </c>
      <c r="C28" s="1">
        <v>3.7</v>
      </c>
      <c r="D28" s="1">
        <v>3</v>
      </c>
      <c r="E28" s="1">
        <v>1</v>
      </c>
      <c r="F28" t="s">
        <v>99</v>
      </c>
      <c r="H28" s="5">
        <f>H21/B28</f>
        <v>1.529543635182232</v>
      </c>
      <c r="J28" s="5">
        <f>H21/C28/D28</f>
        <v>18602.557725189308</v>
      </c>
      <c r="L28" s="16">
        <f>J28*1000/3600</f>
        <v>5167.3771458859192</v>
      </c>
    </row>
    <row r="29" spans="1:12" x14ac:dyDescent="0.25">
      <c r="F29" s="5">
        <f>C28*D28</f>
        <v>11.100000000000001</v>
      </c>
      <c r="H29" s="23" t="s">
        <v>92</v>
      </c>
      <c r="I29" s="23"/>
      <c r="L29" s="4" t="s">
        <v>91</v>
      </c>
    </row>
    <row r="30" spans="1:12" x14ac:dyDescent="0.25">
      <c r="H30" t="s">
        <v>93</v>
      </c>
    </row>
    <row r="31" spans="1:12" ht="15.75" thickBot="1" x14ac:dyDescent="0.3">
      <c r="H31" s="5">
        <f>C12*(1-A12)-H28*9.803</f>
        <v>4.6118837443085798</v>
      </c>
    </row>
    <row r="32" spans="1:12" ht="16.5" thickTop="1" thickBo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ht="15.75" thickTop="1" x14ac:dyDescent="0.25"/>
  </sheetData>
  <mergeCells count="12">
    <mergeCell ref="A1:E1"/>
    <mergeCell ref="H29:I29"/>
    <mergeCell ref="G12:L13"/>
    <mergeCell ref="F1:L1"/>
    <mergeCell ref="F27:G27"/>
    <mergeCell ref="B23:G23"/>
    <mergeCell ref="D14:E16"/>
    <mergeCell ref="A26:E26"/>
    <mergeCell ref="A2:E2"/>
    <mergeCell ref="A6:E6"/>
    <mergeCell ref="I2:L2"/>
    <mergeCell ref="A17:E17"/>
  </mergeCells>
  <pageMargins left="0.7" right="0.7" top="0.75" bottom="0.75" header="0.3" footer="0.3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20" sqref="J20"/>
    </sheetView>
  </sheetViews>
  <sheetFormatPr defaultRowHeight="15" x14ac:dyDescent="0.25"/>
  <sheetData>
    <row r="1" spans="1:10" ht="23.25" x14ac:dyDescent="0.35">
      <c r="A1" s="22" t="s">
        <v>119</v>
      </c>
      <c r="B1" s="22"/>
      <c r="C1" s="22"/>
      <c r="D1" s="22"/>
      <c r="E1" s="22"/>
      <c r="F1" s="22"/>
    </row>
    <row r="2" spans="1:10" x14ac:dyDescent="0.25">
      <c r="A2" t="s">
        <v>6</v>
      </c>
      <c r="B2" t="s">
        <v>121</v>
      </c>
      <c r="C2" t="s">
        <v>122</v>
      </c>
      <c r="F2" t="s">
        <v>123</v>
      </c>
      <c r="J2" t="s">
        <v>97</v>
      </c>
    </row>
    <row r="3" spans="1:10" x14ac:dyDescent="0.25">
      <c r="A3" s="1">
        <v>8</v>
      </c>
      <c r="B3" s="1">
        <v>8</v>
      </c>
      <c r="C3" s="1">
        <v>0.3</v>
      </c>
      <c r="F3" s="5">
        <f>1/4+(1+2/A3)/(1+2/B3)*(1-4/(A3+2))*C3</f>
        <v>0.43</v>
      </c>
      <c r="J3" s="5">
        <f>F3*C7</f>
        <v>6.9667962507884484E-2</v>
      </c>
    </row>
    <row r="5" spans="1:10" ht="23.25" x14ac:dyDescent="0.35">
      <c r="A5" s="22" t="s">
        <v>125</v>
      </c>
      <c r="B5" s="22"/>
      <c r="C5" s="22"/>
      <c r="D5" s="22"/>
      <c r="E5" s="22"/>
      <c r="F5" s="22"/>
    </row>
    <row r="6" spans="1:10" ht="15.75" thickBot="1" x14ac:dyDescent="0.3">
      <c r="A6" t="s">
        <v>124</v>
      </c>
      <c r="B6" t="s">
        <v>6</v>
      </c>
      <c r="C6" t="s">
        <v>126</v>
      </c>
      <c r="D6" t="s">
        <v>62</v>
      </c>
    </row>
    <row r="7" spans="1:10" ht="16.5" thickTop="1" thickBot="1" x14ac:dyDescent="0.3">
      <c r="A7" s="1">
        <v>0.21</v>
      </c>
      <c r="B7" s="2">
        <f>A3</f>
        <v>8</v>
      </c>
      <c r="C7" s="5">
        <f>SQRT(A7/B7)</f>
        <v>0.16201851746019649</v>
      </c>
      <c r="D7" s="5">
        <f>C7*B7</f>
        <v>1.2961481396815719</v>
      </c>
      <c r="F7" s="19" t="str">
        <f>IF(C7*D7-A7&lt;=0.001,"OK")</f>
        <v>OK</v>
      </c>
    </row>
    <row r="8" spans="1:10" ht="15.75" thickTop="1" x14ac:dyDescent="0.25"/>
    <row r="9" spans="1:10" x14ac:dyDescent="0.25">
      <c r="C9" t="s">
        <v>127</v>
      </c>
    </row>
    <row r="10" spans="1:10" x14ac:dyDescent="0.25">
      <c r="C10" s="5">
        <f>C3*A7*C7</f>
        <v>1.0207166599992379E-2</v>
      </c>
    </row>
    <row r="11" spans="1:10" x14ac:dyDescent="0.25">
      <c r="C11" t="s">
        <v>128</v>
      </c>
    </row>
    <row r="12" spans="1:10" x14ac:dyDescent="0.25">
      <c r="C12" s="1">
        <v>1</v>
      </c>
    </row>
    <row r="13" spans="1:10" x14ac:dyDescent="0.25">
      <c r="C13" t="s">
        <v>34</v>
      </c>
    </row>
    <row r="14" spans="1:10" x14ac:dyDescent="0.25">
      <c r="C14" s="5">
        <f>C10/C12</f>
        <v>1.0207166599992379E-2</v>
      </c>
    </row>
    <row r="15" spans="1:10" ht="23.25" x14ac:dyDescent="0.35">
      <c r="A15" s="22" t="s">
        <v>129</v>
      </c>
      <c r="B15" s="22"/>
      <c r="C15" s="22"/>
      <c r="D15" s="22"/>
      <c r="E15" s="22"/>
      <c r="F15" s="22"/>
    </row>
    <row r="16" spans="1:10" ht="15.75" thickBot="1" x14ac:dyDescent="0.3">
      <c r="A16" t="s">
        <v>124</v>
      </c>
      <c r="B16" t="s">
        <v>120</v>
      </c>
      <c r="C16" t="s">
        <v>126</v>
      </c>
      <c r="D16" t="s">
        <v>62</v>
      </c>
    </row>
    <row r="17" spans="1:10" ht="16.5" thickTop="1" thickBot="1" x14ac:dyDescent="0.3">
      <c r="A17" s="5">
        <f>C14</f>
        <v>1.0207166599992379E-2</v>
      </c>
      <c r="B17" s="5">
        <f>B3</f>
        <v>8</v>
      </c>
      <c r="C17" s="5">
        <f>SQRT(A17/B17)</f>
        <v>3.5719683999148807E-2</v>
      </c>
      <c r="D17" s="5">
        <f>C17*B17</f>
        <v>0.28575747199319046</v>
      </c>
      <c r="F17" s="19" t="str">
        <f>IF(C17*D17-A17&lt;=0.001,"OK")</f>
        <v>OK</v>
      </c>
    </row>
    <row r="18" spans="1:10" ht="15.75" thickTop="1" x14ac:dyDescent="0.25"/>
    <row r="19" spans="1:10" ht="23.25" x14ac:dyDescent="0.35">
      <c r="A19" s="22" t="s">
        <v>130</v>
      </c>
      <c r="B19" s="22"/>
      <c r="C19" s="22"/>
      <c r="D19" s="22"/>
      <c r="E19" s="22"/>
      <c r="F19" s="22"/>
      <c r="G19" t="s">
        <v>131</v>
      </c>
      <c r="H19" s="1">
        <v>1</v>
      </c>
      <c r="I19" t="s">
        <v>132</v>
      </c>
      <c r="J19" s="1">
        <v>0.02</v>
      </c>
    </row>
    <row r="20" spans="1:10" ht="15.75" thickBot="1" x14ac:dyDescent="0.3">
      <c r="A20" t="s">
        <v>124</v>
      </c>
      <c r="B20" t="s">
        <v>133</v>
      </c>
      <c r="C20" t="s">
        <v>126</v>
      </c>
      <c r="D20" t="s">
        <v>62</v>
      </c>
    </row>
    <row r="21" spans="1:10" ht="16.5" thickTop="1" thickBot="1" x14ac:dyDescent="0.3">
      <c r="A21" s="5">
        <f>J19/H19*A7*D7</f>
        <v>5.4438221866626021E-3</v>
      </c>
      <c r="B21" s="5">
        <v>8</v>
      </c>
      <c r="C21" s="5">
        <f>SQRT(A21/B21)</f>
        <v>2.6085968897720194E-2</v>
      </c>
      <c r="D21" s="5">
        <f>C21*B21</f>
        <v>0.20868775118176155</v>
      </c>
      <c r="F21" s="19" t="str">
        <f>IF(C21*D21-A21&lt;=0.001,"OK")</f>
        <v>OK</v>
      </c>
    </row>
    <row r="22" spans="1:10" ht="15.75" thickTop="1" x14ac:dyDescent="0.25"/>
  </sheetData>
  <mergeCells count="4">
    <mergeCell ref="A1:F1"/>
    <mergeCell ref="A5:F5"/>
    <mergeCell ref="A15:F15"/>
    <mergeCell ref="A19:F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L18" sqref="L18"/>
    </sheetView>
  </sheetViews>
  <sheetFormatPr defaultRowHeight="15" x14ac:dyDescent="0.25"/>
  <cols>
    <col min="10" max="10" width="23.28515625" customWidth="1"/>
    <col min="12" max="12" width="13.85546875" customWidth="1"/>
  </cols>
  <sheetData>
    <row r="1" spans="1:22" ht="23.25" x14ac:dyDescent="0.35">
      <c r="A1" s="6" t="s">
        <v>8</v>
      </c>
      <c r="B1" s="6"/>
      <c r="C1" s="6"/>
      <c r="D1" s="6"/>
      <c r="E1" s="6"/>
      <c r="F1" s="6"/>
      <c r="G1" s="6"/>
      <c r="H1" s="6"/>
      <c r="K1" s="21" t="s">
        <v>96</v>
      </c>
      <c r="L1" s="21"/>
      <c r="M1" s="21"/>
      <c r="N1" s="21"/>
      <c r="O1" s="21"/>
      <c r="P1" s="21"/>
      <c r="Q1" s="21"/>
      <c r="R1" s="18"/>
    </row>
    <row r="3" spans="1:22" x14ac:dyDescent="0.25">
      <c r="B3" s="3" t="s">
        <v>9</v>
      </c>
      <c r="C3" s="3"/>
      <c r="D3" s="3"/>
      <c r="E3" s="3"/>
      <c r="F3" s="3" t="s">
        <v>97</v>
      </c>
      <c r="G3" s="26" t="s">
        <v>35</v>
      </c>
      <c r="H3" s="26"/>
      <c r="I3" s="26"/>
      <c r="J3" s="26"/>
      <c r="L3" s="3" t="s">
        <v>12</v>
      </c>
      <c r="P3" s="17" t="s">
        <v>14</v>
      </c>
      <c r="Q3" s="17"/>
      <c r="V3" s="17"/>
    </row>
    <row r="4" spans="1:22" x14ac:dyDescent="0.25">
      <c r="F4" s="3" t="s">
        <v>61</v>
      </c>
      <c r="I4" s="3" t="s">
        <v>13</v>
      </c>
      <c r="L4" s="1">
        <v>-0.2</v>
      </c>
      <c r="P4" s="17" t="s">
        <v>15</v>
      </c>
      <c r="Q4" s="17"/>
      <c r="V4" s="17"/>
    </row>
    <row r="5" spans="1:22" x14ac:dyDescent="0.25">
      <c r="F5" s="1">
        <v>6.9000000000000006E-2</v>
      </c>
      <c r="I5" s="1">
        <v>0.3</v>
      </c>
      <c r="J5" s="4" t="s">
        <v>36</v>
      </c>
    </row>
    <row r="6" spans="1:22" x14ac:dyDescent="0.25">
      <c r="F6" s="3" t="s">
        <v>97</v>
      </c>
    </row>
    <row r="7" spans="1:22" x14ac:dyDescent="0.25">
      <c r="F7" s="3" t="s">
        <v>10</v>
      </c>
    </row>
    <row r="9" spans="1:22" x14ac:dyDescent="0.25">
      <c r="L9" t="s">
        <v>16</v>
      </c>
    </row>
    <row r="10" spans="1:22" x14ac:dyDescent="0.25">
      <c r="L10" s="5">
        <f>F5-I5*L4</f>
        <v>0.129</v>
      </c>
    </row>
    <row r="11" spans="1:22" ht="16.5" customHeight="1" x14ac:dyDescent="0.25"/>
    <row r="12" spans="1:22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22" ht="23.25" x14ac:dyDescent="0.35">
      <c r="A13" s="6" t="s">
        <v>17</v>
      </c>
      <c r="B13" s="6"/>
      <c r="C13" s="6"/>
      <c r="D13" s="6"/>
      <c r="E13" s="6"/>
      <c r="F13" s="6"/>
      <c r="G13" s="6"/>
      <c r="H13" s="6"/>
    </row>
    <row r="15" spans="1:22" x14ac:dyDescent="0.25">
      <c r="B15" s="3" t="s">
        <v>9</v>
      </c>
      <c r="C15" s="3"/>
      <c r="D15" s="3"/>
      <c r="E15" s="3"/>
      <c r="F15" s="3" t="s">
        <v>97</v>
      </c>
      <c r="G15" s="3"/>
      <c r="H15" s="3"/>
      <c r="L15" t="s">
        <v>18</v>
      </c>
      <c r="M15" t="s">
        <v>19</v>
      </c>
      <c r="P15" s="17" t="s">
        <v>23</v>
      </c>
      <c r="Q15" s="17"/>
      <c r="V15" s="17"/>
    </row>
    <row r="16" spans="1:22" x14ac:dyDescent="0.25">
      <c r="A16" t="s">
        <v>11</v>
      </c>
      <c r="F16" s="3" t="s">
        <v>10</v>
      </c>
      <c r="I16" s="3" t="s">
        <v>13</v>
      </c>
      <c r="J16" t="s">
        <v>22</v>
      </c>
      <c r="L16" s="1">
        <v>0.4</v>
      </c>
      <c r="M16" s="1">
        <v>0.3</v>
      </c>
      <c r="P16" s="17" t="s">
        <v>24</v>
      </c>
      <c r="Q16" s="17"/>
      <c r="V16" s="17"/>
    </row>
    <row r="17" spans="1:17" x14ac:dyDescent="0.25">
      <c r="A17" s="1">
        <v>0.5</v>
      </c>
      <c r="F17" s="1">
        <v>6.9000000000000006E-2</v>
      </c>
      <c r="I17" s="1">
        <v>0.3</v>
      </c>
      <c r="J17" s="1">
        <v>0.6</v>
      </c>
    </row>
    <row r="18" spans="1:17" x14ac:dyDescent="0.25">
      <c r="F18" s="3" t="s">
        <v>97</v>
      </c>
    </row>
    <row r="19" spans="1:17" x14ac:dyDescent="0.25">
      <c r="F19" s="3" t="s">
        <v>10</v>
      </c>
    </row>
    <row r="20" spans="1:17" x14ac:dyDescent="0.25">
      <c r="L20" t="s">
        <v>20</v>
      </c>
      <c r="M20" t="s">
        <v>21</v>
      </c>
    </row>
    <row r="21" spans="1:17" x14ac:dyDescent="0.25">
      <c r="L21" s="5">
        <f>A17*J17</f>
        <v>0.3</v>
      </c>
      <c r="M21" s="5">
        <f>A17*I17</f>
        <v>0.15</v>
      </c>
    </row>
    <row r="22" spans="1:17" ht="23.25" x14ac:dyDescent="0.35">
      <c r="A22" s="22" t="s">
        <v>25</v>
      </c>
      <c r="B22" s="22"/>
      <c r="C22" s="22"/>
      <c r="D22" s="22"/>
      <c r="L22" t="s">
        <v>27</v>
      </c>
      <c r="M22" t="s">
        <v>28</v>
      </c>
      <c r="O22" t="s">
        <v>31</v>
      </c>
      <c r="P22" t="s">
        <v>32</v>
      </c>
    </row>
    <row r="23" spans="1:17" x14ac:dyDescent="0.25">
      <c r="L23" s="1">
        <v>0.15</v>
      </c>
      <c r="M23" s="1">
        <v>0.1</v>
      </c>
      <c r="O23" s="5">
        <f>L21/L23</f>
        <v>2</v>
      </c>
      <c r="P23" s="5">
        <f>M21/M23</f>
        <v>1.4999999999999998</v>
      </c>
    </row>
    <row r="24" spans="1:17" ht="23.25" x14ac:dyDescent="0.35">
      <c r="A24" s="22" t="s">
        <v>26</v>
      </c>
      <c r="B24" s="22"/>
      <c r="C24" s="22"/>
      <c r="D24" s="22"/>
      <c r="L24" t="s">
        <v>29</v>
      </c>
      <c r="M24" t="s">
        <v>30</v>
      </c>
      <c r="O24" t="s">
        <v>34</v>
      </c>
      <c r="P24" t="s">
        <v>33</v>
      </c>
    </row>
    <row r="25" spans="1:17" x14ac:dyDescent="0.25">
      <c r="L25" s="1">
        <v>1.2</v>
      </c>
      <c r="M25" s="1">
        <v>1.2</v>
      </c>
      <c r="O25" s="5">
        <f>L23/L25</f>
        <v>0.125</v>
      </c>
      <c r="P25" s="5">
        <f>M23/M25</f>
        <v>8.3333333333333343E-2</v>
      </c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0.25" thickBot="1" x14ac:dyDescent="0.35">
      <c r="A27" s="27"/>
      <c r="B27" s="27"/>
      <c r="C27" s="27"/>
      <c r="D27" s="27"/>
      <c r="E27" s="27"/>
      <c r="F27" s="27"/>
      <c r="G27" s="27"/>
      <c r="H27" s="27"/>
      <c r="I27" s="27"/>
    </row>
    <row r="28" spans="1:17" ht="15.75" thickTop="1" x14ac:dyDescent="0.25"/>
  </sheetData>
  <mergeCells count="5">
    <mergeCell ref="K1:Q1"/>
    <mergeCell ref="A27:I27"/>
    <mergeCell ref="A22:D22"/>
    <mergeCell ref="A24:D24"/>
    <mergeCell ref="G3:J3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A5" sqref="A5"/>
    </sheetView>
  </sheetViews>
  <sheetFormatPr defaultRowHeight="15" x14ac:dyDescent="0.25"/>
  <cols>
    <col min="12" max="12" width="13.140625" customWidth="1"/>
    <col min="13" max="13" width="13.28515625" customWidth="1"/>
  </cols>
  <sheetData>
    <row r="1" spans="1:22" ht="23.25" x14ac:dyDescent="0.35">
      <c r="A1" s="22" t="s">
        <v>37</v>
      </c>
      <c r="B1" s="22"/>
      <c r="C1" s="22"/>
      <c r="D1" s="22"/>
      <c r="E1" s="22"/>
      <c r="F1" s="22"/>
      <c r="G1" s="22"/>
      <c r="H1" s="22"/>
      <c r="K1" s="21" t="s">
        <v>96</v>
      </c>
      <c r="L1" s="21"/>
      <c r="M1" s="21"/>
      <c r="N1" s="21"/>
      <c r="O1" s="21"/>
    </row>
    <row r="3" spans="1:22" x14ac:dyDescent="0.25">
      <c r="B3" s="3"/>
      <c r="C3" s="3"/>
      <c r="D3" s="3"/>
      <c r="E3" s="3"/>
      <c r="F3" s="3"/>
      <c r="G3" s="3"/>
      <c r="H3" s="3"/>
      <c r="L3" s="3" t="s">
        <v>59</v>
      </c>
      <c r="P3" s="26"/>
      <c r="Q3" s="26"/>
      <c r="R3" s="26"/>
      <c r="S3" s="26"/>
      <c r="T3" s="26"/>
      <c r="U3" s="26"/>
      <c r="V3" s="26"/>
    </row>
    <row r="4" spans="1:22" x14ac:dyDescent="0.25">
      <c r="A4" t="s">
        <v>1</v>
      </c>
      <c r="B4" s="3" t="s">
        <v>38</v>
      </c>
      <c r="C4" s="3" t="s">
        <v>11</v>
      </c>
      <c r="D4" s="3" t="s">
        <v>39</v>
      </c>
      <c r="E4" s="3"/>
      <c r="F4" s="3"/>
      <c r="G4" s="3"/>
      <c r="H4" s="3"/>
      <c r="I4" s="3"/>
      <c r="L4" s="5">
        <f>B5*D5*D5/2</f>
        <v>382.81250000000006</v>
      </c>
      <c r="M4" s="3" t="s">
        <v>40</v>
      </c>
      <c r="N4" s="3" t="s">
        <v>41</v>
      </c>
    </row>
    <row r="5" spans="1:22" x14ac:dyDescent="0.25">
      <c r="A5" s="1">
        <v>0.3</v>
      </c>
      <c r="B5" s="1">
        <v>1.2250000000000001</v>
      </c>
      <c r="C5" s="1">
        <v>0.5</v>
      </c>
      <c r="D5" s="1">
        <v>25</v>
      </c>
      <c r="M5" s="5">
        <f>A5/A8</f>
        <v>2.9999999999999996</v>
      </c>
      <c r="N5" s="5">
        <f>A5*B5*C5*D5*D5/2</f>
        <v>57.421875</v>
      </c>
    </row>
    <row r="6" spans="1:22" x14ac:dyDescent="0.25">
      <c r="B6" s="3"/>
      <c r="C6" s="3"/>
      <c r="D6" s="3"/>
    </row>
    <row r="7" spans="1:22" x14ac:dyDescent="0.25">
      <c r="A7" t="s">
        <v>2</v>
      </c>
      <c r="B7" s="3" t="s">
        <v>38</v>
      </c>
      <c r="C7" s="3" t="s">
        <v>11</v>
      </c>
      <c r="D7" s="3" t="s">
        <v>39</v>
      </c>
      <c r="E7" s="3"/>
      <c r="F7" s="3"/>
      <c r="G7" s="3"/>
      <c r="H7" s="3"/>
      <c r="N7" s="3" t="s">
        <v>42</v>
      </c>
    </row>
    <row r="8" spans="1:22" ht="15.75" thickBot="1" x14ac:dyDescent="0.3">
      <c r="A8" s="1">
        <v>0.1</v>
      </c>
      <c r="B8" s="2">
        <f>B5</f>
        <v>1.2250000000000001</v>
      </c>
      <c r="C8" s="2">
        <f>C5</f>
        <v>0.5</v>
      </c>
      <c r="D8" s="2">
        <f>D5</f>
        <v>25</v>
      </c>
      <c r="E8" s="2"/>
      <c r="F8" s="2"/>
      <c r="G8" s="2"/>
      <c r="H8" s="2"/>
      <c r="N8" s="5">
        <f>A8*B8*C8*D8*D8/2</f>
        <v>19.140625000000004</v>
      </c>
    </row>
    <row r="9" spans="1:22" ht="15.75" thickTop="1" x14ac:dyDescent="0.25"/>
    <row r="11" spans="1:22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22" ht="23.25" x14ac:dyDescent="0.35">
      <c r="A12" s="22" t="s">
        <v>52</v>
      </c>
      <c r="B12" s="22"/>
      <c r="C12" s="22"/>
      <c r="D12" s="22"/>
      <c r="E12" s="22"/>
      <c r="F12" s="22"/>
      <c r="G12" s="22"/>
      <c r="H12" s="22"/>
      <c r="L12" s="3" t="s">
        <v>43</v>
      </c>
    </row>
    <row r="13" spans="1:22" x14ac:dyDescent="0.25">
      <c r="B13" t="s">
        <v>38</v>
      </c>
      <c r="C13" t="s">
        <v>11</v>
      </c>
      <c r="D13" t="s">
        <v>39</v>
      </c>
      <c r="F13" t="s">
        <v>51</v>
      </c>
      <c r="L13" s="5">
        <f>B14*D14*D14/2</f>
        <v>382.81250000000006</v>
      </c>
    </row>
    <row r="14" spans="1:22" x14ac:dyDescent="0.25">
      <c r="B14" s="1">
        <v>1.2250000000000001</v>
      </c>
      <c r="C14" s="1">
        <v>0.5</v>
      </c>
      <c r="D14" s="1">
        <v>25</v>
      </c>
      <c r="F14" s="1">
        <v>57.421880000000002</v>
      </c>
      <c r="M14" s="3" t="s">
        <v>50</v>
      </c>
      <c r="N14" s="3" t="s">
        <v>1</v>
      </c>
      <c r="O14" t="s">
        <v>2</v>
      </c>
    </row>
    <row r="15" spans="1:22" x14ac:dyDescent="0.25">
      <c r="M15" s="1">
        <v>3</v>
      </c>
      <c r="N15" s="5">
        <f>F14/B14/C14/D14/D14*2</f>
        <v>0.30000002612244897</v>
      </c>
      <c r="O15" s="5">
        <f>N15/M15</f>
        <v>0.10000000870748299</v>
      </c>
    </row>
    <row r="16" spans="1:22" x14ac:dyDescent="0.25">
      <c r="A16" s="21" t="s">
        <v>45</v>
      </c>
      <c r="B16" s="21"/>
      <c r="C16" s="21"/>
      <c r="D16" s="21"/>
      <c r="E16" s="21"/>
      <c r="F16" s="21"/>
      <c r="G16" s="21"/>
      <c r="H16" s="21"/>
    </row>
    <row r="17" spans="1:16" x14ac:dyDescent="0.25">
      <c r="A17" t="s">
        <v>47</v>
      </c>
      <c r="M17" t="s">
        <v>53</v>
      </c>
      <c r="N17" s="3" t="s">
        <v>49</v>
      </c>
      <c r="O17" t="s">
        <v>54</v>
      </c>
    </row>
    <row r="18" spans="1:16" x14ac:dyDescent="0.25">
      <c r="A18" s="1">
        <v>19.14</v>
      </c>
      <c r="M18" s="5">
        <f>A18*D14</f>
        <v>478.5</v>
      </c>
      <c r="N18" s="5">
        <f>2*A18/B14/C14/D14/D14</f>
        <v>9.9996734693877543E-2</v>
      </c>
      <c r="O18" s="5">
        <f>N15/N18</f>
        <v>3.0000982236154652</v>
      </c>
    </row>
    <row r="19" spans="1:16" x14ac:dyDescent="0.25">
      <c r="A19" s="21" t="s">
        <v>46</v>
      </c>
      <c r="B19" s="21"/>
      <c r="C19" s="21"/>
      <c r="D19" s="21"/>
      <c r="E19" s="21"/>
      <c r="F19" s="21"/>
      <c r="G19" s="21"/>
      <c r="H19" s="21"/>
    </row>
    <row r="20" spans="1:16" x14ac:dyDescent="0.25">
      <c r="A20" t="s">
        <v>48</v>
      </c>
      <c r="M20" s="3" t="s">
        <v>44</v>
      </c>
      <c r="N20" s="3" t="s">
        <v>49</v>
      </c>
      <c r="O20" t="s">
        <v>54</v>
      </c>
    </row>
    <row r="21" spans="1:16" ht="15.75" thickBot="1" x14ac:dyDescent="0.3">
      <c r="A21" s="1">
        <f>19.14*25</f>
        <v>478.5</v>
      </c>
      <c r="M21" s="5">
        <f>A21/D14</f>
        <v>19.14</v>
      </c>
      <c r="N21" s="5">
        <f>M21/B14/C14/D14/D14*2</f>
        <v>9.9996734693877543E-2</v>
      </c>
      <c r="O21" s="5">
        <f>N15/N21</f>
        <v>3.0000982236154652</v>
      </c>
    </row>
    <row r="22" spans="1:16" ht="16.5" thickTop="1" thickBo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1:16" ht="15.75" thickTop="1" x14ac:dyDescent="0.25"/>
  </sheetData>
  <mergeCells count="6">
    <mergeCell ref="P3:V3"/>
    <mergeCell ref="A1:H1"/>
    <mergeCell ref="A12:H12"/>
    <mergeCell ref="A16:H16"/>
    <mergeCell ref="A19:H19"/>
    <mergeCell ref="K1:O1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Alpha</vt:lpstr>
      <vt:lpstr>Weight Analysis</vt:lpstr>
      <vt:lpstr>Sizing Coefficient</vt:lpstr>
      <vt:lpstr>Stability&amp;Sizing</vt:lpstr>
      <vt:lpstr>Lift&amp;Drag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2018-07-23T21:20:03Z</dcterms:modified>
</cp:coreProperties>
</file>