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 Nguyen\Downloads\"/>
    </mc:Choice>
  </mc:AlternateContent>
  <xr:revisionPtr revIDLastSave="0" documentId="13_ncr:1_{90C7B77D-DA91-4DD0-9F7F-9FA1C2A77228}" xr6:coauthVersionLast="45" xr6:coauthVersionMax="45" xr10:uidLastSave="{00000000-0000-0000-0000-000000000000}"/>
  <bookViews>
    <workbookView xWindow="-98" yWindow="-98" windowWidth="20715" windowHeight="13276" xr2:uid="{724A59A5-F619-4EB3-9927-3F15FBC416BB}"/>
  </bookViews>
  <sheets>
    <sheet name="Population vs y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H6" i="1"/>
  <c r="E6" i="1" l="1"/>
  <c r="D2" i="1"/>
  <c r="D40" i="1"/>
  <c r="L15" i="1" s="1"/>
  <c r="D102" i="1"/>
  <c r="D140" i="1" s="1"/>
  <c r="D1" i="1"/>
  <c r="L7" i="1" l="1"/>
  <c r="L16" i="1"/>
  <c r="L17" i="1"/>
  <c r="L24" i="1"/>
  <c r="E11" i="1"/>
  <c r="E13" i="1"/>
  <c r="E10" i="1"/>
  <c r="E14" i="1"/>
  <c r="E22" i="1"/>
  <c r="E9" i="1"/>
  <c r="E23" i="1"/>
  <c r="E12" i="1"/>
  <c r="E15" i="1"/>
  <c r="E8" i="1"/>
  <c r="E16" i="1"/>
  <c r="E24" i="1"/>
  <c r="E7" i="1"/>
  <c r="E20" i="1"/>
  <c r="E17" i="1"/>
  <c r="E18" i="1"/>
  <c r="E19" i="1"/>
  <c r="E21" i="1"/>
  <c r="L14" i="1"/>
  <c r="D3" i="1"/>
  <c r="L6" i="1"/>
  <c r="L21" i="1"/>
  <c r="L13" i="1"/>
  <c r="L23" i="1"/>
  <c r="L22" i="1"/>
  <c r="L8" i="1"/>
  <c r="L20" i="1"/>
  <c r="L12" i="1"/>
  <c r="L19" i="1"/>
  <c r="L9" i="1"/>
  <c r="L11" i="1"/>
  <c r="L10" i="1"/>
  <c r="L18" i="1"/>
  <c r="F6" i="1" l="1"/>
  <c r="G6" i="1" s="1"/>
  <c r="F7" i="1"/>
  <c r="H19" i="1"/>
  <c r="H13" i="1"/>
  <c r="H15" i="1"/>
  <c r="H20" i="1"/>
  <c r="H23" i="1"/>
  <c r="H8" i="1"/>
  <c r="H17" i="1"/>
  <c r="H12" i="1"/>
  <c r="F20" i="1"/>
  <c r="J20" i="1" s="1"/>
  <c r="J6" i="1"/>
  <c r="F22" i="1"/>
  <c r="J22" i="1" s="1"/>
  <c r="N11" i="1"/>
  <c r="N19" i="1"/>
  <c r="N9" i="1"/>
  <c r="F21" i="1"/>
  <c r="J21" i="1" s="1"/>
  <c r="N12" i="1"/>
  <c r="N20" i="1"/>
  <c r="N6" i="1"/>
  <c r="N13" i="1"/>
  <c r="N21" i="1"/>
  <c r="F15" i="1"/>
  <c r="J15" i="1" s="1"/>
  <c r="F23" i="1"/>
  <c r="J23" i="1" s="1"/>
  <c r="N14" i="1"/>
  <c r="N22" i="1"/>
  <c r="N8" i="1"/>
  <c r="F24" i="1"/>
  <c r="J24" i="1" s="1"/>
  <c r="F16" i="1"/>
  <c r="J16" i="1" s="1"/>
  <c r="F14" i="1"/>
  <c r="J14" i="1" s="1"/>
  <c r="N15" i="1"/>
  <c r="N23" i="1"/>
  <c r="F17" i="1"/>
  <c r="J17" i="1" s="1"/>
  <c r="F10" i="1"/>
  <c r="J10" i="1" s="1"/>
  <c r="N17" i="1"/>
  <c r="N7" i="1"/>
  <c r="F19" i="1"/>
  <c r="J19" i="1" s="1"/>
  <c r="F8" i="1"/>
  <c r="J8" i="1" s="1"/>
  <c r="N18" i="1"/>
  <c r="J7" i="1"/>
  <c r="N16" i="1"/>
  <c r="N24" i="1"/>
  <c r="N10" i="1"/>
  <c r="F18" i="1"/>
  <c r="J18" i="1" s="1"/>
  <c r="F9" i="1"/>
  <c r="J9" i="1" s="1"/>
  <c r="F11" i="1"/>
  <c r="J11" i="1" s="1"/>
  <c r="F12" i="1"/>
  <c r="J12" i="1" s="1"/>
  <c r="F13" i="1"/>
  <c r="J13" i="1" s="1"/>
  <c r="H9" i="1"/>
  <c r="H7" i="1"/>
  <c r="H24" i="1"/>
  <c r="H14" i="1"/>
  <c r="H18" i="1"/>
  <c r="H11" i="1"/>
  <c r="H22" i="1"/>
  <c r="H21" i="1"/>
  <c r="G21" i="1"/>
  <c r="H16" i="1"/>
  <c r="H10" i="1"/>
  <c r="G15" i="1" l="1"/>
  <c r="G23" i="1"/>
  <c r="G22" i="1"/>
  <c r="G9" i="1"/>
  <c r="G11" i="1"/>
  <c r="G17" i="1"/>
  <c r="G16" i="1"/>
  <c r="G14" i="1"/>
  <c r="G19" i="1"/>
  <c r="G12" i="1"/>
  <c r="G20" i="1"/>
  <c r="J25" i="1"/>
  <c r="D112" i="1" s="1"/>
  <c r="H25" i="1"/>
  <c r="G24" i="1"/>
  <c r="G7" i="1"/>
  <c r="G8" i="1"/>
  <c r="G10" i="1"/>
  <c r="G13" i="1"/>
  <c r="G18" i="1"/>
  <c r="G25" i="1" l="1"/>
  <c r="D55" i="1" l="1"/>
  <c r="D29" i="1"/>
  <c r="D35" i="1" l="1"/>
  <c r="D66" i="1"/>
  <c r="D71" i="1" s="1"/>
  <c r="D109" i="1"/>
  <c r="D93" i="1"/>
  <c r="D60" i="1"/>
  <c r="D141" i="1" l="1"/>
  <c r="D73" i="1"/>
  <c r="D101" i="1"/>
  <c r="D121" i="1"/>
  <c r="D124" i="1" s="1"/>
  <c r="D126" i="1"/>
  <c r="D78" i="1"/>
  <c r="D86" i="1" s="1"/>
  <c r="D85" i="1"/>
  <c r="E48" i="1"/>
  <c r="E52" i="1" s="1"/>
  <c r="C48" i="1"/>
  <c r="C52" i="1" s="1"/>
  <c r="D96" i="1" l="1"/>
  <c r="D133" i="1"/>
  <c r="D132" i="1"/>
  <c r="I6" i="1"/>
  <c r="M11" i="1"/>
  <c r="M19" i="1"/>
  <c r="I8" i="1"/>
  <c r="I16" i="1"/>
  <c r="I24" i="1"/>
  <c r="M12" i="1"/>
  <c r="M20" i="1"/>
  <c r="I9" i="1"/>
  <c r="I17" i="1"/>
  <c r="M23" i="1"/>
  <c r="I20" i="1"/>
  <c r="M16" i="1"/>
  <c r="I13" i="1"/>
  <c r="I21" i="1"/>
  <c r="M17" i="1"/>
  <c r="I14" i="1"/>
  <c r="M10" i="1"/>
  <c r="I7" i="1"/>
  <c r="I23" i="1"/>
  <c r="M13" i="1"/>
  <c r="M21" i="1"/>
  <c r="I10" i="1"/>
  <c r="I18" i="1"/>
  <c r="M14" i="1"/>
  <c r="M22" i="1"/>
  <c r="I11" i="1"/>
  <c r="I19" i="1"/>
  <c r="M7" i="1"/>
  <c r="M15" i="1"/>
  <c r="I12" i="1"/>
  <c r="M8" i="1"/>
  <c r="M24" i="1"/>
  <c r="M9" i="1"/>
  <c r="M6" i="1"/>
  <c r="I22" i="1"/>
  <c r="M18" i="1"/>
  <c r="I15" i="1"/>
  <c r="D95" i="1"/>
  <c r="D139" i="1"/>
  <c r="D104" i="1"/>
  <c r="D103" i="1"/>
  <c r="K21" i="1" l="1"/>
  <c r="O21" i="1"/>
  <c r="K19" i="1"/>
  <c r="O19" i="1"/>
  <c r="K20" i="1"/>
  <c r="O20" i="1"/>
  <c r="O16" i="1"/>
  <c r="K16" i="1"/>
  <c r="O12" i="1"/>
  <c r="K12" i="1"/>
  <c r="O13" i="1"/>
  <c r="K13" i="1"/>
  <c r="O24" i="1"/>
  <c r="K24" i="1"/>
  <c r="O11" i="1"/>
  <c r="K11" i="1"/>
  <c r="O7" i="1"/>
  <c r="K7" i="1"/>
  <c r="O8" i="1"/>
  <c r="K8" i="1"/>
  <c r="K18" i="1"/>
  <c r="O18" i="1"/>
  <c r="K10" i="1"/>
  <c r="O10" i="1"/>
  <c r="K22" i="1"/>
  <c r="O22" i="1"/>
  <c r="O23" i="1"/>
  <c r="K23" i="1"/>
  <c r="O6" i="1"/>
  <c r="K6" i="1"/>
  <c r="O9" i="1"/>
  <c r="K9" i="1"/>
  <c r="O15" i="1"/>
  <c r="K15" i="1"/>
  <c r="M25" i="1"/>
  <c r="K14" i="1"/>
  <c r="O14" i="1"/>
  <c r="K17" i="1"/>
  <c r="O17" i="1"/>
  <c r="D149" i="1"/>
  <c r="D148" i="1"/>
</calcChain>
</file>

<file path=xl/sharedStrings.xml><?xml version="1.0" encoding="utf-8"?>
<sst xmlns="http://schemas.openxmlformats.org/spreadsheetml/2006/main" count="100" uniqueCount="85">
  <si>
    <t>Computing the equation of the least-square line (page 534)</t>
  </si>
  <si>
    <t>xi - x avg</t>
  </si>
  <si>
    <t>yi - yavg</t>
  </si>
  <si>
    <t>(xi - x avg) (yi - yavg)</t>
  </si>
  <si>
    <t>(xi - x avg)^2</t>
  </si>
  <si>
    <t>y cap</t>
  </si>
  <si>
    <t>(yi - yavg)^2</t>
  </si>
  <si>
    <t>(yi-yi cap)^2</t>
  </si>
  <si>
    <t>y cap, beta 0 = 0</t>
  </si>
  <si>
    <t>y cap, beta 1 = 0</t>
  </si>
  <si>
    <t>yi - y cap</t>
  </si>
  <si>
    <t xml:space="preserve">n </t>
  </si>
  <si>
    <t>x avg =</t>
  </si>
  <si>
    <t>y avg =</t>
  </si>
  <si>
    <t>year (x)</t>
  </si>
  <si>
    <t>population (y)</t>
  </si>
  <si>
    <t xml:space="preserve">Beta 0 = </t>
  </si>
  <si>
    <t xml:space="preserve">4) </t>
  </si>
  <si>
    <t>Computing standard error of coefficients (page 550 - 551)</t>
  </si>
  <si>
    <t>s^2 =</t>
  </si>
  <si>
    <t>1)</t>
  </si>
  <si>
    <t>Estimating correlation coefficient (page 516)</t>
  </si>
  <si>
    <t>r =</t>
  </si>
  <si>
    <t>(Eq. 7.2)</t>
  </si>
  <si>
    <t>2)</t>
  </si>
  <si>
    <t>Estimating 95% confidence interval (page 527 - 528)</t>
  </si>
  <si>
    <t>The quantity (W) =</t>
  </si>
  <si>
    <t>(Eq. 7.4)</t>
  </si>
  <si>
    <t>Square root of variance (σ) =</t>
  </si>
  <si>
    <t>(Eq. 7.6)</t>
  </si>
  <si>
    <t>95% confidence interval for µw  (Example 7.3)</t>
  </si>
  <si>
    <t>&lt;       µw          &lt;</t>
  </si>
  <si>
    <t>(Eq. 7.5)</t>
  </si>
  <si>
    <t xml:space="preserve">95% confidence interval for ρ </t>
  </si>
  <si>
    <t>&lt;       ρ          &lt;</t>
  </si>
  <si>
    <t>(Eq. 7.7)</t>
  </si>
  <si>
    <t>3)</t>
  </si>
  <si>
    <t>Beta 1 =</t>
  </si>
  <si>
    <t>(Eq. 7.14)</t>
  </si>
  <si>
    <t>(Eq. 7.15)</t>
  </si>
  <si>
    <t>(Eq. 7.33)</t>
  </si>
  <si>
    <t>s =</t>
  </si>
  <si>
    <t>s beta 0 =</t>
  </si>
  <si>
    <t>(Eq. 7.36)</t>
  </si>
  <si>
    <t>s beta 1 =</t>
  </si>
  <si>
    <t>(Eq. 7.37)</t>
  </si>
  <si>
    <t>5)</t>
  </si>
  <si>
    <t>Computing t-statistic (page 563)</t>
  </si>
  <si>
    <t>t-stat beta 0 =</t>
  </si>
  <si>
    <t>(beta 0 coefficient / s beta 0)</t>
  </si>
  <si>
    <t>t-stat beta 1 =</t>
  </si>
  <si>
    <t>(beta 1 coefficient / s beta 1)</t>
  </si>
  <si>
    <t>6)</t>
  </si>
  <si>
    <t>Finding 95% confidence interval for beta 1 (Example 7.12)</t>
  </si>
  <si>
    <t>CI =</t>
  </si>
  <si>
    <t>α =</t>
  </si>
  <si>
    <t>Degree of Freedom (n-2) =</t>
  </si>
  <si>
    <t>α/2 =</t>
  </si>
  <si>
    <t>beta 1 =</t>
  </si>
  <si>
    <t>t =</t>
  </si>
  <si>
    <t>(Table 3.A, page 820)</t>
  </si>
  <si>
    <t>lower =</t>
  </si>
  <si>
    <t>upper =</t>
  </si>
  <si>
    <t>7)</t>
  </si>
  <si>
    <t>Finding 95% confidence interval for beta 0</t>
  </si>
  <si>
    <t>beta 0 =</t>
  </si>
  <si>
    <t>8)</t>
  </si>
  <si>
    <t>Coefficient of determination</t>
  </si>
  <si>
    <t>r^2 =</t>
  </si>
  <si>
    <t>9)</t>
  </si>
  <si>
    <t>Calculating standard deviation of y (page 15)</t>
  </si>
  <si>
    <t>(Eq. 1.4)</t>
  </si>
  <si>
    <t>10)</t>
  </si>
  <si>
    <t>11)</t>
  </si>
  <si>
    <t>Calculating confidence interval at mean y (page 558)</t>
  </si>
  <si>
    <t>y cap =</t>
  </si>
  <si>
    <t xml:space="preserve">s y cap = </t>
  </si>
  <si>
    <t>(Eq. 7.41)</t>
  </si>
  <si>
    <t>12)</t>
  </si>
  <si>
    <t>Calculating confidence interval at predicted y (page 561)</t>
  </si>
  <si>
    <t xml:space="preserve">s pred = </t>
  </si>
  <si>
    <t>(Eq. 7.44)</t>
  </si>
  <si>
    <t>Estimation number of population in 2040</t>
  </si>
  <si>
    <t xml:space="preserve">Year = </t>
  </si>
  <si>
    <t>Estimated population (y cap)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</si>
</sst>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  <xf numFmtId="0" fontId="2" fillId="0" borderId="0" xfId="0" applyFont="1"/>
    <xf numFmtId="167" fontId="2" fillId="0" borderId="0" xfId="0" applyNumberFormat="1" applyFon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26276</xdr:colOff>
      <xdr:row>29</xdr:row>
      <xdr:rowOff>44670</xdr:rowOff>
    </xdr:from>
    <xdr:to>
      <xdr:col>3</xdr:col>
      <xdr:colOff>64871</xdr:colOff>
      <xdr:row>32</xdr:row>
      <xdr:rowOff>144824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34AE8E-BD9E-48BD-8F40-F4BD14190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956" y="2604990"/>
          <a:ext cx="2758935" cy="648794"/>
        </a:xfrm>
        <a:prstGeom prst="rect">
          <a:avLst/>
        </a:prstGeom>
      </xdr:spPr>
    </xdr:pic>
    <xdr:clientData/>
  </xdr:twoCellAnchor>
  <xdr:twoCellAnchor editAs="oneCell">
    <xdr:from>
      <xdr:col>2</xdr:col>
      <xdr:colOff>9523</xdr:colOff>
      <xdr:row>35</xdr:row>
      <xdr:rowOff>87967</xdr:rowOff>
    </xdr:from>
    <xdr:to>
      <xdr:col>2</xdr:col>
      <xdr:colOff>1362536</xdr:colOff>
      <xdr:row>38</xdr:row>
      <xdr:rowOff>112059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1DC8B8D-A023-4F2E-BCBA-1B769988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3" y="3745567"/>
          <a:ext cx="1353013" cy="572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100852</xdr:colOff>
      <xdr:row>40</xdr:row>
      <xdr:rowOff>112060</xdr:rowOff>
    </xdr:from>
    <xdr:to>
      <xdr:col>2</xdr:col>
      <xdr:colOff>1257299</xdr:colOff>
      <xdr:row>44</xdr:row>
      <xdr:rowOff>7285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34D6E0-9434-4525-A5C3-A60D9BB5A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532" y="4684060"/>
          <a:ext cx="1156447" cy="626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30481</xdr:colOff>
      <xdr:row>55</xdr:row>
      <xdr:rowOff>0</xdr:rowOff>
    </xdr:from>
    <xdr:to>
      <xdr:col>2</xdr:col>
      <xdr:colOff>2198595</xdr:colOff>
      <xdr:row>58</xdr:row>
      <xdr:rowOff>96051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261CA45-7F11-461F-BFA1-F059D1CBE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9161" y="7315200"/>
          <a:ext cx="2168114" cy="644691"/>
        </a:xfrm>
        <a:prstGeom prst="rect">
          <a:avLst/>
        </a:prstGeom>
      </xdr:spPr>
    </xdr:pic>
    <xdr:clientData/>
  </xdr:twoCellAnchor>
  <xdr:twoCellAnchor editAs="oneCell">
    <xdr:from>
      <xdr:col>2</xdr:col>
      <xdr:colOff>67237</xdr:colOff>
      <xdr:row>60</xdr:row>
      <xdr:rowOff>123265</xdr:rowOff>
    </xdr:from>
    <xdr:to>
      <xdr:col>2</xdr:col>
      <xdr:colOff>1378324</xdr:colOff>
      <xdr:row>63</xdr:row>
      <xdr:rowOff>282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1647869-E568-4008-9522-46AEA3B59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917" y="8352865"/>
          <a:ext cx="1311087" cy="425657"/>
        </a:xfrm>
        <a:prstGeom prst="rect">
          <a:avLst/>
        </a:prstGeom>
      </xdr:spPr>
    </xdr:pic>
    <xdr:clientData/>
  </xdr:twoCellAnchor>
  <xdr:twoCellAnchor editAs="oneCell">
    <xdr:from>
      <xdr:col>2</xdr:col>
      <xdr:colOff>44826</xdr:colOff>
      <xdr:row>66</xdr:row>
      <xdr:rowOff>67235</xdr:rowOff>
    </xdr:from>
    <xdr:to>
      <xdr:col>2</xdr:col>
      <xdr:colOff>2403438</xdr:colOff>
      <xdr:row>70</xdr:row>
      <xdr:rowOff>227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3280954-61C5-45E9-8213-3EA7A23E6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506" y="9394115"/>
          <a:ext cx="2358612" cy="662607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72</xdr:row>
      <xdr:rowOff>179294</xdr:rowOff>
    </xdr:from>
    <xdr:to>
      <xdr:col>2</xdr:col>
      <xdr:colOff>2459467</xdr:colOff>
      <xdr:row>76</xdr:row>
      <xdr:rowOff>118022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3EAFFB-F4E5-409D-8E11-3F7CE144A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1092" y="10603454"/>
          <a:ext cx="2437055" cy="67024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78</xdr:row>
      <xdr:rowOff>44824</xdr:rowOff>
    </xdr:from>
    <xdr:to>
      <xdr:col>2</xdr:col>
      <xdr:colOff>2158731</xdr:colOff>
      <xdr:row>81</xdr:row>
      <xdr:rowOff>123265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1DE3E37-EBCB-4E31-8993-D9E01E5C6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8681" y="11566264"/>
          <a:ext cx="2158730" cy="627081"/>
        </a:xfrm>
        <a:prstGeom prst="rect">
          <a:avLst/>
        </a:prstGeom>
      </xdr:spPr>
    </xdr:pic>
    <xdr:clientData/>
  </xdr:twoCellAnchor>
  <xdr:twoCellAnchor>
    <xdr:from>
      <xdr:col>6</xdr:col>
      <xdr:colOff>56029</xdr:colOff>
      <xdr:row>89</xdr:row>
      <xdr:rowOff>0</xdr:rowOff>
    </xdr:from>
    <xdr:to>
      <xdr:col>7</xdr:col>
      <xdr:colOff>222997</xdr:colOff>
      <xdr:row>89</xdr:row>
      <xdr:rowOff>180975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EE43F6B-15DD-4689-9EB0-00C578794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8209" y="13533120"/>
          <a:ext cx="148522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56032</xdr:colOff>
      <xdr:row>104</xdr:row>
      <xdr:rowOff>44826</xdr:rowOff>
    </xdr:from>
    <xdr:to>
      <xdr:col>2</xdr:col>
      <xdr:colOff>1423147</xdr:colOff>
      <xdr:row>106</xdr:row>
      <xdr:rowOff>48036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3D67B5A-5F70-40C6-93FC-DFEB7D3C7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712" y="16321146"/>
          <a:ext cx="1367115" cy="368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33620</xdr:colOff>
      <xdr:row>96</xdr:row>
      <xdr:rowOff>33621</xdr:rowOff>
    </xdr:from>
    <xdr:to>
      <xdr:col>2</xdr:col>
      <xdr:colOff>1434354</xdr:colOff>
      <xdr:row>98</xdr:row>
      <xdr:rowOff>58861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CBE95E2-0D64-4B26-801C-BF18149E5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00" y="14846901"/>
          <a:ext cx="1400734" cy="3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11206</xdr:colOff>
      <xdr:row>112</xdr:row>
      <xdr:rowOff>67236</xdr:rowOff>
    </xdr:from>
    <xdr:to>
      <xdr:col>2</xdr:col>
      <xdr:colOff>2108008</xdr:colOff>
      <xdr:row>116</xdr:row>
      <xdr:rowOff>11206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301F837-A15B-486A-9D87-13904687A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9886" y="17806596"/>
          <a:ext cx="2096802" cy="675490"/>
        </a:xfrm>
        <a:prstGeom prst="rect">
          <a:avLst/>
        </a:prstGeom>
      </xdr:spPr>
    </xdr:pic>
    <xdr:clientData/>
  </xdr:twoCellAnchor>
  <xdr:twoCellAnchor editAs="oneCell">
    <xdr:from>
      <xdr:col>2</xdr:col>
      <xdr:colOff>7538</xdr:colOff>
      <xdr:row>133</xdr:row>
      <xdr:rowOff>133233</xdr:rowOff>
    </xdr:from>
    <xdr:to>
      <xdr:col>2</xdr:col>
      <xdr:colOff>1955202</xdr:colOff>
      <xdr:row>135</xdr:row>
      <xdr:rowOff>139006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AD39FEF-F7EE-4E2D-BCB1-8CE554C6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18" y="21713073"/>
          <a:ext cx="1947664" cy="371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112059</xdr:colOff>
      <xdr:row>126</xdr:row>
      <xdr:rowOff>95250</xdr:rowOff>
    </xdr:from>
    <xdr:to>
      <xdr:col>2</xdr:col>
      <xdr:colOff>2230477</xdr:colOff>
      <xdr:row>130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FB77B81-B345-4D4A-9F71-DD0C40DB4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739" y="20394930"/>
          <a:ext cx="2118418" cy="636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67236</xdr:colOff>
      <xdr:row>149</xdr:row>
      <xdr:rowOff>112059</xdr:rowOff>
    </xdr:from>
    <xdr:to>
      <xdr:col>2</xdr:col>
      <xdr:colOff>2481879</xdr:colOff>
      <xdr:row>151</xdr:row>
      <xdr:rowOff>157220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F109F3A-500F-496B-AA67-F65FD62A3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16" y="24617979"/>
          <a:ext cx="2414643" cy="410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56031</xdr:colOff>
      <xdr:row>141</xdr:row>
      <xdr:rowOff>67235</xdr:rowOff>
    </xdr:from>
    <xdr:to>
      <xdr:col>3</xdr:col>
      <xdr:colOff>400275</xdr:colOff>
      <xdr:row>145</xdr:row>
      <xdr:rowOff>99852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5EEED9B-4E80-4AE2-9253-68F3BAA3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711" y="23110115"/>
          <a:ext cx="3064584" cy="764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A25C-5916-4235-808A-44B45E05CE5E}">
  <dimension ref="B1:O153"/>
  <sheetViews>
    <sheetView tabSelected="1" topLeftCell="A127" workbookViewId="0">
      <selection activeCell="D141" sqref="D141"/>
    </sheetView>
  </sheetViews>
  <sheetFormatPr defaultRowHeight="14.25" x14ac:dyDescent="0.45"/>
  <cols>
    <col min="3" max="3" width="39.6640625" customWidth="1"/>
    <col min="4" max="4" width="15.33203125" bestFit="1" customWidth="1"/>
    <col min="7" max="7" width="17.46484375" bestFit="1" customWidth="1"/>
    <col min="8" max="9" width="12" bestFit="1" customWidth="1"/>
    <col min="10" max="10" width="13.53125" customWidth="1"/>
    <col min="11" max="11" width="27" bestFit="1" customWidth="1"/>
    <col min="12" max="12" width="14.19921875" bestFit="1" customWidth="1"/>
    <col min="13" max="13" width="12" bestFit="1" customWidth="1"/>
    <col min="14" max="14" width="15.33203125" bestFit="1" customWidth="1"/>
  </cols>
  <sheetData>
    <row r="1" spans="3:15" x14ac:dyDescent="0.45">
      <c r="C1" t="s">
        <v>11</v>
      </c>
      <c r="D1">
        <f>COUNT(C6:C24)</f>
        <v>19</v>
      </c>
    </row>
    <row r="2" spans="3:15" x14ac:dyDescent="0.45">
      <c r="C2" t="s">
        <v>12</v>
      </c>
      <c r="D2">
        <f>SUM(C6:C24)/D1</f>
        <v>1967.2105263157894</v>
      </c>
    </row>
    <row r="3" spans="3:15" x14ac:dyDescent="0.45">
      <c r="C3" t="s">
        <v>13</v>
      </c>
      <c r="D3">
        <f>SUM(D6:D24)/D1</f>
        <v>1826881.105263158</v>
      </c>
    </row>
    <row r="5" spans="3:15" x14ac:dyDescent="0.45">
      <c r="C5" t="s">
        <v>14</v>
      </c>
      <c r="D5" t="s">
        <v>15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s="1" t="s">
        <v>7</v>
      </c>
      <c r="L5" s="1" t="s">
        <v>8</v>
      </c>
      <c r="M5" s="1" t="s">
        <v>9</v>
      </c>
      <c r="N5" s="1" t="s">
        <v>2</v>
      </c>
      <c r="O5" s="1" t="s">
        <v>10</v>
      </c>
    </row>
    <row r="6" spans="3:15" x14ac:dyDescent="0.45">
      <c r="C6">
        <v>1901</v>
      </c>
      <c r="D6">
        <v>73022</v>
      </c>
      <c r="E6">
        <f>C6-$D$2</f>
        <v>-66.210526315789366</v>
      </c>
      <c r="F6">
        <f>D6-$D$3</f>
        <v>-1753859.105263158</v>
      </c>
      <c r="G6">
        <f>E6*F6</f>
        <v>116123934.44321312</v>
      </c>
      <c r="H6">
        <f>E6^2</f>
        <v>4383.8337950138366</v>
      </c>
      <c r="I6">
        <f>$D$124+$K$40*C6</f>
        <v>4202898.0926944017</v>
      </c>
      <c r="J6">
        <f>F6^2</f>
        <v>3076021761114.4849</v>
      </c>
      <c r="K6" s="2">
        <f>(D6-I6)^2</f>
        <v>17055876541008.779</v>
      </c>
      <c r="L6">
        <f>0+$D$40*C6</f>
        <v>475.25</v>
      </c>
      <c r="M6">
        <f>$D$124+0*C6</f>
        <v>4202898.0926944017</v>
      </c>
      <c r="N6" s="3">
        <f>(D6-$D$3)</f>
        <v>-1753859.105263158</v>
      </c>
      <c r="O6">
        <f>ABS(D6-I6)</f>
        <v>4129876.0926944017</v>
      </c>
    </row>
    <row r="7" spans="3:15" x14ac:dyDescent="0.45">
      <c r="C7">
        <v>1911</v>
      </c>
      <c r="D7">
        <v>374295</v>
      </c>
      <c r="E7">
        <f t="shared" ref="E7:E24" si="0">C7-$D$2</f>
        <v>-56.210526315789366</v>
      </c>
      <c r="F7">
        <f>D7-$D$3</f>
        <v>-1452586.105263158</v>
      </c>
      <c r="G7">
        <f t="shared" ref="G7:G24" si="1">E7*F7</f>
        <v>81650629.495844722</v>
      </c>
      <c r="H7">
        <f t="shared" ref="H7:H24" si="2">E7^2</f>
        <v>3159.6232686980488</v>
      </c>
      <c r="I7">
        <f t="shared" ref="I7:I24" si="3">$D$124+$K$40*C7</f>
        <v>4202898.0926944017</v>
      </c>
      <c r="J7">
        <f t="shared" ref="J7:J23" si="4">F7^2</f>
        <v>2110006393203.5903</v>
      </c>
      <c r="K7" s="2">
        <f t="shared" ref="K7:K24" si="5">(D7-I7)^2</f>
        <v>14658201641389.139</v>
      </c>
      <c r="L7" s="4">
        <f>0+$D$40*C7</f>
        <v>477.75</v>
      </c>
      <c r="M7">
        <f t="shared" ref="M7:M24" si="6">$D$124+0*C7</f>
        <v>4202898.0926944017</v>
      </c>
      <c r="N7" s="3">
        <f t="shared" ref="N7:N24" si="7">(D7-$D$3)</f>
        <v>-1452586.105263158</v>
      </c>
      <c r="O7">
        <f t="shared" ref="O7:O24" si="8">ABS(D7-I7)</f>
        <v>3828603.0926944017</v>
      </c>
    </row>
    <row r="8" spans="3:15" x14ac:dyDescent="0.45">
      <c r="C8">
        <v>1921</v>
      </c>
      <c r="D8">
        <v>588454</v>
      </c>
      <c r="E8">
        <f t="shared" si="0"/>
        <v>-46.210526315789366</v>
      </c>
      <c r="F8">
        <f t="shared" ref="F8:F24" si="9">D8-$D$3</f>
        <v>-1238427.105263158</v>
      </c>
      <c r="G8">
        <f t="shared" si="1"/>
        <v>57228368.337950006</v>
      </c>
      <c r="H8">
        <f t="shared" si="2"/>
        <v>2135.4127423822615</v>
      </c>
      <c r="I8">
        <f t="shared" si="3"/>
        <v>4202898.0926944017</v>
      </c>
      <c r="J8">
        <f t="shared" si="4"/>
        <v>1533701695050.4849</v>
      </c>
      <c r="K8" s="2">
        <f t="shared" si="5"/>
        <v>13064206099213.457</v>
      </c>
      <c r="L8" s="4">
        <f>0+$D$40*C8</f>
        <v>480.25</v>
      </c>
      <c r="M8">
        <f t="shared" si="6"/>
        <v>4202898.0926944017</v>
      </c>
      <c r="N8" s="3">
        <f t="shared" si="7"/>
        <v>-1238427.105263158</v>
      </c>
      <c r="O8">
        <f t="shared" si="8"/>
        <v>3614444.0926944017</v>
      </c>
    </row>
    <row r="9" spans="3:15" x14ac:dyDescent="0.45">
      <c r="C9">
        <v>1931</v>
      </c>
      <c r="D9">
        <v>731605</v>
      </c>
      <c r="E9">
        <f t="shared" si="0"/>
        <v>-36.210526315789366</v>
      </c>
      <c r="F9">
        <f t="shared" si="9"/>
        <v>-1095276.105263158</v>
      </c>
      <c r="G9">
        <f t="shared" si="1"/>
        <v>39660524.232686862</v>
      </c>
      <c r="H9">
        <f t="shared" si="2"/>
        <v>1311.2022160664742</v>
      </c>
      <c r="I9">
        <f t="shared" si="3"/>
        <v>4202898.0926944017</v>
      </c>
      <c r="J9">
        <f t="shared" si="4"/>
        <v>1199629746760.4324</v>
      </c>
      <c r="K9" s="2">
        <f t="shared" si="5"/>
        <v>12049875735387.865</v>
      </c>
      <c r="L9" s="4">
        <f>0+$D$40*C9</f>
        <v>482.75</v>
      </c>
      <c r="M9">
        <f t="shared" si="6"/>
        <v>4202898.0926944017</v>
      </c>
      <c r="N9" s="3">
        <f t="shared" si="7"/>
        <v>-1095276.105263158</v>
      </c>
      <c r="O9">
        <f t="shared" si="8"/>
        <v>3471293.0926944017</v>
      </c>
    </row>
    <row r="10" spans="3:15" x14ac:dyDescent="0.45">
      <c r="C10">
        <v>1941</v>
      </c>
      <c r="D10">
        <v>796169</v>
      </c>
      <c r="E10">
        <f t="shared" si="0"/>
        <v>-26.210526315789366</v>
      </c>
      <c r="F10">
        <f t="shared" si="9"/>
        <v>-1030712.105263158</v>
      </c>
      <c r="G10">
        <f t="shared" si="1"/>
        <v>27015506.759002659</v>
      </c>
      <c r="H10">
        <f t="shared" si="2"/>
        <v>686.99168975068687</v>
      </c>
      <c r="I10">
        <f t="shared" si="3"/>
        <v>4202898.0926944017</v>
      </c>
      <c r="J10">
        <f t="shared" si="4"/>
        <v>1062367443936.0112</v>
      </c>
      <c r="K10" s="2">
        <f t="shared" si="5"/>
        <v>11605803111010.422</v>
      </c>
      <c r="L10" s="4">
        <f>0+$D$40*C10</f>
        <v>485.25</v>
      </c>
      <c r="M10">
        <f t="shared" si="6"/>
        <v>4202898.0926944017</v>
      </c>
      <c r="N10" s="3">
        <f t="shared" si="7"/>
        <v>-1030712.105263158</v>
      </c>
      <c r="O10">
        <f t="shared" si="8"/>
        <v>3406729.0926944017</v>
      </c>
    </row>
    <row r="11" spans="3:15" x14ac:dyDescent="0.45">
      <c r="C11">
        <v>1951</v>
      </c>
      <c r="D11">
        <v>939501</v>
      </c>
      <c r="E11">
        <f t="shared" si="0"/>
        <v>-16.210526315789366</v>
      </c>
      <c r="F11">
        <f t="shared" si="9"/>
        <v>-887380.10526315798</v>
      </c>
      <c r="G11">
        <f t="shared" si="1"/>
        <v>14384898.548476361</v>
      </c>
      <c r="H11">
        <f t="shared" si="2"/>
        <v>262.78116343489955</v>
      </c>
      <c r="I11">
        <f t="shared" si="3"/>
        <v>4202898.0926944017</v>
      </c>
      <c r="J11">
        <f t="shared" si="4"/>
        <v>787443451216.85339</v>
      </c>
      <c r="K11" s="2">
        <f t="shared" si="5"/>
        <v>10649760584606.273</v>
      </c>
      <c r="L11" s="4">
        <f t="shared" ref="L11:L24" si="10">0+$D$40*C11</f>
        <v>487.75</v>
      </c>
      <c r="M11">
        <f t="shared" si="6"/>
        <v>4202898.0926944017</v>
      </c>
      <c r="N11" s="3">
        <f t="shared" si="7"/>
        <v>-887380.10526315798</v>
      </c>
      <c r="O11">
        <f t="shared" si="8"/>
        <v>3263397.0926944017</v>
      </c>
    </row>
    <row r="12" spans="3:15" x14ac:dyDescent="0.45">
      <c r="C12">
        <v>1956</v>
      </c>
      <c r="D12">
        <v>1123116</v>
      </c>
      <c r="E12">
        <f t="shared" si="0"/>
        <v>-11.210526315789366</v>
      </c>
      <c r="F12">
        <f t="shared" si="9"/>
        <v>-703765.10526315798</v>
      </c>
      <c r="G12">
        <f t="shared" si="1"/>
        <v>7889577.2326869061</v>
      </c>
      <c r="H12">
        <f t="shared" si="2"/>
        <v>125.67590027700589</v>
      </c>
      <c r="I12">
        <f t="shared" si="3"/>
        <v>4202898.0926944017</v>
      </c>
      <c r="J12">
        <f t="shared" si="4"/>
        <v>495285323386.06384</v>
      </c>
      <c r="K12" s="2">
        <f t="shared" si="5"/>
        <v>9485057738481.1094</v>
      </c>
      <c r="L12" s="4">
        <f t="shared" si="10"/>
        <v>489</v>
      </c>
      <c r="M12">
        <f t="shared" si="6"/>
        <v>4202898.0926944017</v>
      </c>
      <c r="N12" s="3">
        <f t="shared" si="7"/>
        <v>-703765.10526315798</v>
      </c>
      <c r="O12">
        <f t="shared" si="8"/>
        <v>3079782.0926944017</v>
      </c>
    </row>
    <row r="13" spans="3:15" x14ac:dyDescent="0.45">
      <c r="C13">
        <v>1961</v>
      </c>
      <c r="D13">
        <v>1331944</v>
      </c>
      <c r="E13">
        <f t="shared" si="0"/>
        <v>-6.210526315789366</v>
      </c>
      <c r="F13">
        <f t="shared" si="9"/>
        <v>-494937.10526315798</v>
      </c>
      <c r="G13">
        <f t="shared" si="1"/>
        <v>3073819.9168974543</v>
      </c>
      <c r="H13">
        <f t="shared" si="2"/>
        <v>38.570637119112234</v>
      </c>
      <c r="I13">
        <f t="shared" si="3"/>
        <v>4202898.0926944017</v>
      </c>
      <c r="J13">
        <f t="shared" si="4"/>
        <v>244962738166.27432</v>
      </c>
      <c r="K13" s="2">
        <f t="shared" si="5"/>
        <v>8242377402358.7354</v>
      </c>
      <c r="L13" s="4">
        <f t="shared" si="10"/>
        <v>490.25</v>
      </c>
      <c r="M13">
        <f t="shared" si="6"/>
        <v>4202898.0926944017</v>
      </c>
      <c r="N13" s="3">
        <f t="shared" si="7"/>
        <v>-494937.10526315798</v>
      </c>
      <c r="O13">
        <f t="shared" si="8"/>
        <v>2870954.0926944017</v>
      </c>
    </row>
    <row r="14" spans="3:15" x14ac:dyDescent="0.45">
      <c r="C14">
        <v>1969</v>
      </c>
      <c r="D14">
        <v>1463203</v>
      </c>
      <c r="E14">
        <f t="shared" si="0"/>
        <v>1.789473684210634</v>
      </c>
      <c r="F14">
        <f t="shared" si="9"/>
        <v>-363678.10526315798</v>
      </c>
      <c r="G14">
        <f t="shared" si="1"/>
        <v>-650792.39889200614</v>
      </c>
      <c r="H14">
        <f t="shared" si="2"/>
        <v>3.20221606648238</v>
      </c>
      <c r="I14">
        <f t="shared" si="3"/>
        <v>4202898.0926944017</v>
      </c>
      <c r="J14">
        <f t="shared" si="4"/>
        <v>132261764247.80061</v>
      </c>
      <c r="K14" s="2">
        <f t="shared" si="5"/>
        <v>7505929200933.7861</v>
      </c>
      <c r="L14" s="4">
        <f t="shared" si="10"/>
        <v>492.25</v>
      </c>
      <c r="M14">
        <f t="shared" si="6"/>
        <v>4202898.0926944017</v>
      </c>
      <c r="N14" s="3">
        <f t="shared" si="7"/>
        <v>-363678.10526315798</v>
      </c>
      <c r="O14">
        <f t="shared" si="8"/>
        <v>2739695.0926944017</v>
      </c>
    </row>
    <row r="15" spans="3:15" x14ac:dyDescent="0.45">
      <c r="C15">
        <v>1971</v>
      </c>
      <c r="D15">
        <v>1627875</v>
      </c>
      <c r="E15">
        <f t="shared" si="0"/>
        <v>3.789473684210634</v>
      </c>
      <c r="F15">
        <f t="shared" si="9"/>
        <v>-199006.10526315798</v>
      </c>
      <c r="G15">
        <f t="shared" si="1"/>
        <v>-754128.39889198856</v>
      </c>
      <c r="H15">
        <f t="shared" si="2"/>
        <v>14.360110803324917</v>
      </c>
      <c r="I15">
        <f t="shared" si="3"/>
        <v>4202898.0926944017</v>
      </c>
      <c r="J15">
        <f t="shared" si="4"/>
        <v>39603429932.011116</v>
      </c>
      <c r="K15" s="2">
        <f t="shared" si="5"/>
        <v>6630743927909.4414</v>
      </c>
      <c r="L15" s="4">
        <f t="shared" si="10"/>
        <v>492.75</v>
      </c>
      <c r="M15">
        <f t="shared" si="6"/>
        <v>4202898.0926944017</v>
      </c>
      <c r="N15" s="3">
        <f t="shared" si="7"/>
        <v>-199006.10526315798</v>
      </c>
      <c r="O15">
        <f t="shared" si="8"/>
        <v>2575023.0926944017</v>
      </c>
    </row>
    <row r="16" spans="3:15" x14ac:dyDescent="0.45">
      <c r="C16">
        <v>1976</v>
      </c>
      <c r="D16">
        <v>1838035</v>
      </c>
      <c r="E16">
        <f t="shared" si="0"/>
        <v>8.789473684210634</v>
      </c>
      <c r="F16">
        <f t="shared" si="9"/>
        <v>11153.894736842019</v>
      </c>
      <c r="G16">
        <f t="shared" si="1"/>
        <v>98036.864265928423</v>
      </c>
      <c r="H16">
        <f t="shared" si="2"/>
        <v>77.254847645431255</v>
      </c>
      <c r="I16">
        <f t="shared" si="3"/>
        <v>4202898.0926944017</v>
      </c>
      <c r="J16">
        <f t="shared" si="4"/>
        <v>124409367.8005521</v>
      </c>
      <c r="K16" s="2">
        <f t="shared" si="5"/>
        <v>5592577447188.1309</v>
      </c>
      <c r="L16" s="4">
        <f t="shared" si="10"/>
        <v>494</v>
      </c>
      <c r="M16">
        <f t="shared" si="6"/>
        <v>4202898.0926944017</v>
      </c>
      <c r="N16" s="3">
        <f t="shared" si="7"/>
        <v>11153.894736842019</v>
      </c>
      <c r="O16">
        <f t="shared" si="8"/>
        <v>2364863.0926944017</v>
      </c>
    </row>
    <row r="17" spans="2:15" x14ac:dyDescent="0.45">
      <c r="C17">
        <v>1981</v>
      </c>
      <c r="D17">
        <v>2237724</v>
      </c>
      <c r="E17">
        <f t="shared" si="0"/>
        <v>13.789473684210634</v>
      </c>
      <c r="F17">
        <f t="shared" si="9"/>
        <v>410842.89473684202</v>
      </c>
      <c r="G17">
        <f t="shared" si="1"/>
        <v>5665307.2853186028</v>
      </c>
      <c r="H17">
        <f t="shared" si="2"/>
        <v>190.1495844875376</v>
      </c>
      <c r="I17">
        <f t="shared" si="3"/>
        <v>4202898.0926944017</v>
      </c>
      <c r="J17">
        <f t="shared" si="4"/>
        <v>168791884155.74786</v>
      </c>
      <c r="K17" s="2">
        <f t="shared" si="5"/>
        <v>3861909214597.2651</v>
      </c>
      <c r="L17" s="4">
        <f t="shared" si="10"/>
        <v>495.25</v>
      </c>
      <c r="M17">
        <f t="shared" si="6"/>
        <v>4202898.0926944017</v>
      </c>
      <c r="N17" s="3">
        <f t="shared" si="7"/>
        <v>410842.89473684202</v>
      </c>
      <c r="O17">
        <f t="shared" si="8"/>
        <v>1965174.0926944017</v>
      </c>
    </row>
    <row r="18" spans="2:15" x14ac:dyDescent="0.45">
      <c r="C18">
        <v>1986</v>
      </c>
      <c r="D18">
        <v>2365830</v>
      </c>
      <c r="E18">
        <f t="shared" si="0"/>
        <v>18.789473684210634</v>
      </c>
      <c r="F18">
        <f t="shared" si="9"/>
        <v>538948.89473684202</v>
      </c>
      <c r="G18">
        <f t="shared" si="1"/>
        <v>10126566.074792299</v>
      </c>
      <c r="H18">
        <f t="shared" si="2"/>
        <v>353.04432132964394</v>
      </c>
      <c r="I18">
        <f t="shared" si="3"/>
        <v>4202898.0926944017</v>
      </c>
      <c r="J18">
        <f t="shared" si="4"/>
        <v>290465911138.0636</v>
      </c>
      <c r="K18" s="2">
        <f t="shared" si="5"/>
        <v>3374819177195.8472</v>
      </c>
      <c r="L18" s="4">
        <f t="shared" si="10"/>
        <v>496.5</v>
      </c>
      <c r="M18">
        <f t="shared" si="6"/>
        <v>4202898.0926944017</v>
      </c>
      <c r="N18" s="3">
        <f t="shared" si="7"/>
        <v>538948.89473684202</v>
      </c>
      <c r="O18">
        <f t="shared" si="8"/>
        <v>1837068.0926944017</v>
      </c>
    </row>
    <row r="19" spans="2:15" x14ac:dyDescent="0.45">
      <c r="C19">
        <v>1991</v>
      </c>
      <c r="D19">
        <v>2545553</v>
      </c>
      <c r="E19">
        <f t="shared" si="0"/>
        <v>23.789473684210634</v>
      </c>
      <c r="F19">
        <f t="shared" si="9"/>
        <v>718671.89473684202</v>
      </c>
      <c r="G19">
        <f t="shared" si="1"/>
        <v>17096826.127423897</v>
      </c>
      <c r="H19">
        <f t="shared" si="2"/>
        <v>565.93905817175028</v>
      </c>
      <c r="I19">
        <f t="shared" si="3"/>
        <v>4202898.0926944017</v>
      </c>
      <c r="J19">
        <f t="shared" si="4"/>
        <v>516489292284.64252</v>
      </c>
      <c r="K19" s="2">
        <f t="shared" si="5"/>
        <v>2746792756278.2153</v>
      </c>
      <c r="L19" s="4">
        <f t="shared" si="10"/>
        <v>497.75</v>
      </c>
      <c r="M19">
        <f t="shared" si="6"/>
        <v>4202898.0926944017</v>
      </c>
      <c r="N19" s="3">
        <f t="shared" si="7"/>
        <v>718671.89473684202</v>
      </c>
      <c r="O19">
        <f t="shared" si="8"/>
        <v>1657345.0926944017</v>
      </c>
    </row>
    <row r="20" spans="2:15" x14ac:dyDescent="0.45">
      <c r="C20">
        <v>1996</v>
      </c>
      <c r="D20">
        <v>2696826</v>
      </c>
      <c r="E20">
        <f t="shared" si="0"/>
        <v>28.789473684210634</v>
      </c>
      <c r="F20">
        <f t="shared" si="9"/>
        <v>869944.89473684202</v>
      </c>
      <c r="G20">
        <f t="shared" si="1"/>
        <v>25045255.653739702</v>
      </c>
      <c r="H20">
        <f t="shared" si="2"/>
        <v>828.83379501385662</v>
      </c>
      <c r="I20">
        <f t="shared" si="3"/>
        <v>4202898.0926944017</v>
      </c>
      <c r="J20">
        <f t="shared" si="4"/>
        <v>756804119878.69519</v>
      </c>
      <c r="K20" s="2">
        <f t="shared" si="5"/>
        <v>2268253148392.8945</v>
      </c>
      <c r="L20" s="4">
        <f t="shared" si="10"/>
        <v>499</v>
      </c>
      <c r="M20">
        <f t="shared" si="6"/>
        <v>4202898.0926944017</v>
      </c>
      <c r="N20" s="3">
        <f t="shared" si="7"/>
        <v>869944.89473684202</v>
      </c>
      <c r="O20">
        <f t="shared" si="8"/>
        <v>1506072.0926944017</v>
      </c>
    </row>
    <row r="21" spans="2:15" x14ac:dyDescent="0.45">
      <c r="C21">
        <v>2001</v>
      </c>
      <c r="D21">
        <v>2974807</v>
      </c>
      <c r="E21">
        <f t="shared" si="0"/>
        <v>33.789473684210634</v>
      </c>
      <c r="F21">
        <f t="shared" si="9"/>
        <v>1147925.894736842</v>
      </c>
      <c r="G21">
        <f t="shared" si="1"/>
        <v>38787811.811634466</v>
      </c>
      <c r="H21">
        <f t="shared" si="2"/>
        <v>1141.728531855963</v>
      </c>
      <c r="I21">
        <f t="shared" si="3"/>
        <v>4202898.0926944017</v>
      </c>
      <c r="J21">
        <f t="shared" si="4"/>
        <v>1317733859807.3794</v>
      </c>
      <c r="K21" s="2">
        <f t="shared" si="5"/>
        <v>1508207731955.3296</v>
      </c>
      <c r="L21" s="4">
        <f t="shared" si="10"/>
        <v>500.25</v>
      </c>
      <c r="M21">
        <f t="shared" si="6"/>
        <v>4202898.0926944017</v>
      </c>
      <c r="N21" s="3">
        <f t="shared" si="7"/>
        <v>1147925.894736842</v>
      </c>
      <c r="O21">
        <f t="shared" si="8"/>
        <v>1228091.0926944017</v>
      </c>
    </row>
    <row r="22" spans="2:15" x14ac:dyDescent="0.45">
      <c r="C22">
        <v>2006</v>
      </c>
      <c r="D22">
        <v>3290350</v>
      </c>
      <c r="E22">
        <f t="shared" si="0"/>
        <v>38.789473684210634</v>
      </c>
      <c r="F22">
        <f t="shared" si="9"/>
        <v>1463468.894736842</v>
      </c>
      <c r="G22">
        <f t="shared" si="1"/>
        <v>56767188.180055559</v>
      </c>
      <c r="H22">
        <f t="shared" si="2"/>
        <v>1504.6232686980693</v>
      </c>
      <c r="I22">
        <f t="shared" si="3"/>
        <v>4202898.0926944017</v>
      </c>
      <c r="J22">
        <f t="shared" si="4"/>
        <v>2141741205862.2739</v>
      </c>
      <c r="K22" s="2">
        <f t="shared" si="5"/>
        <v>832744021480.19043</v>
      </c>
      <c r="L22" s="4">
        <f t="shared" si="10"/>
        <v>501.5</v>
      </c>
      <c r="M22">
        <f t="shared" si="6"/>
        <v>4202898.0926944017</v>
      </c>
      <c r="N22" s="3">
        <f t="shared" si="7"/>
        <v>1463468.894736842</v>
      </c>
      <c r="O22">
        <f t="shared" si="8"/>
        <v>912548.09269440174</v>
      </c>
    </row>
    <row r="23" spans="2:15" x14ac:dyDescent="0.45">
      <c r="C23">
        <v>2011</v>
      </c>
      <c r="D23">
        <v>3645257</v>
      </c>
      <c r="E23">
        <f t="shared" si="0"/>
        <v>43.789473684210634</v>
      </c>
      <c r="F23">
        <f t="shared" si="9"/>
        <v>1818375.894736842</v>
      </c>
      <c r="G23">
        <f t="shared" si="1"/>
        <v>79625723.390581906</v>
      </c>
      <c r="H23">
        <f t="shared" si="2"/>
        <v>1917.5180055401756</v>
      </c>
      <c r="I23">
        <f t="shared" si="3"/>
        <v>4202898.0926944017</v>
      </c>
      <c r="J23">
        <f t="shared" si="4"/>
        <v>3306490894560.0107</v>
      </c>
      <c r="K23" s="2">
        <f t="shared" si="5"/>
        <v>310963588261.40637</v>
      </c>
      <c r="L23" s="4">
        <f t="shared" si="10"/>
        <v>502.75</v>
      </c>
      <c r="M23">
        <f t="shared" si="6"/>
        <v>4202898.0926944017</v>
      </c>
      <c r="N23" s="3">
        <f t="shared" si="7"/>
        <v>1818375.894736842</v>
      </c>
      <c r="O23">
        <f t="shared" si="8"/>
        <v>557641.09269440174</v>
      </c>
    </row>
    <row r="24" spans="2:15" x14ac:dyDescent="0.45">
      <c r="C24">
        <v>2016</v>
      </c>
      <c r="D24">
        <v>4067175</v>
      </c>
      <c r="E24">
        <f t="shared" si="0"/>
        <v>48.789473684210634</v>
      </c>
      <c r="F24">
        <f t="shared" si="9"/>
        <v>2240293.8947368423</v>
      </c>
      <c r="G24">
        <f t="shared" si="1"/>
        <v>109302760.02216092</v>
      </c>
      <c r="H24">
        <f t="shared" si="2"/>
        <v>2380.412742382282</v>
      </c>
      <c r="I24">
        <f t="shared" si="3"/>
        <v>4202898.0926944017</v>
      </c>
      <c r="J24">
        <f>F24^2</f>
        <v>5018916734795.1699</v>
      </c>
      <c r="K24" s="2">
        <f t="shared" si="5"/>
        <v>18420757890.533169</v>
      </c>
      <c r="L24" s="4">
        <f t="shared" si="10"/>
        <v>504</v>
      </c>
      <c r="M24">
        <f t="shared" si="6"/>
        <v>4202898.0926944017</v>
      </c>
      <c r="N24" s="3">
        <f t="shared" si="7"/>
        <v>2240293.8947368423</v>
      </c>
      <c r="O24">
        <f t="shared" si="8"/>
        <v>135723.09269440174</v>
      </c>
    </row>
    <row r="25" spans="2:15" s="5" customFormat="1" x14ac:dyDescent="0.45">
      <c r="G25" s="5">
        <f>SUM(G6:G24)</f>
        <v>688137813.57894742</v>
      </c>
      <c r="H25" s="5">
        <f>SUM(H6:H24)</f>
        <v>21081.157894736843</v>
      </c>
      <c r="J25" s="5">
        <f>SUM(J6:J24)</f>
        <v>24198842058863.789</v>
      </c>
      <c r="M25" s="5">
        <f>SUM(M6:M24)</f>
        <v>79855063.761193633</v>
      </c>
    </row>
    <row r="28" spans="2:15" x14ac:dyDescent="0.45">
      <c r="B28" t="s">
        <v>20</v>
      </c>
      <c r="C28" t="s">
        <v>21</v>
      </c>
      <c r="F28" s="7"/>
    </row>
    <row r="29" spans="2:15" x14ac:dyDescent="0.45">
      <c r="C29" t="s">
        <v>22</v>
      </c>
      <c r="D29" s="8">
        <f>G25/(H25^0.5*J25^0.5)</f>
        <v>0.9634538137699783</v>
      </c>
      <c r="G29" s="7" t="s">
        <v>23</v>
      </c>
      <c r="N29" s="6"/>
    </row>
    <row r="30" spans="2:15" x14ac:dyDescent="0.45">
      <c r="D30" s="8"/>
      <c r="G30" s="7"/>
    </row>
    <row r="31" spans="2:15" x14ac:dyDescent="0.45">
      <c r="D31" s="8"/>
      <c r="G31" s="7"/>
    </row>
    <row r="32" spans="2:15" x14ac:dyDescent="0.45">
      <c r="D32" s="8"/>
      <c r="G32" s="7"/>
    </row>
    <row r="33" spans="2:7" x14ac:dyDescent="0.45">
      <c r="G33" s="7"/>
    </row>
    <row r="34" spans="2:7" x14ac:dyDescent="0.45">
      <c r="B34" t="s">
        <v>24</v>
      </c>
      <c r="C34" t="s">
        <v>25</v>
      </c>
      <c r="G34" s="7"/>
    </row>
    <row r="35" spans="2:7" x14ac:dyDescent="0.45">
      <c r="C35" t="s">
        <v>26</v>
      </c>
      <c r="D35">
        <f>1/2*LN((1+D29)/(1-D29))</f>
        <v>1.9919417572514457</v>
      </c>
      <c r="G35" s="7" t="s">
        <v>27</v>
      </c>
    </row>
    <row r="36" spans="2:7" x14ac:dyDescent="0.45">
      <c r="G36" s="7"/>
    </row>
    <row r="37" spans="2:7" x14ac:dyDescent="0.45">
      <c r="G37" s="7"/>
    </row>
    <row r="38" spans="2:7" x14ac:dyDescent="0.45">
      <c r="G38" s="7"/>
    </row>
    <row r="39" spans="2:7" x14ac:dyDescent="0.45">
      <c r="G39" s="7"/>
    </row>
    <row r="40" spans="2:7" x14ac:dyDescent="0.45">
      <c r="C40" t="s">
        <v>28</v>
      </c>
      <c r="D40">
        <f>(1/(D1-3))^0.5</f>
        <v>0.25</v>
      </c>
      <c r="G40" s="7" t="s">
        <v>29</v>
      </c>
    </row>
    <row r="41" spans="2:7" x14ac:dyDescent="0.45">
      <c r="G41" s="7"/>
    </row>
    <row r="42" spans="2:7" x14ac:dyDescent="0.45">
      <c r="G42" s="7"/>
    </row>
    <row r="43" spans="2:7" x14ac:dyDescent="0.45">
      <c r="G43" s="7"/>
    </row>
    <row r="44" spans="2:7" x14ac:dyDescent="0.45">
      <c r="G44" s="7"/>
    </row>
    <row r="45" spans="2:7" x14ac:dyDescent="0.45">
      <c r="F45" s="7"/>
    </row>
    <row r="46" spans="2:7" x14ac:dyDescent="0.45">
      <c r="C46" t="s">
        <v>30</v>
      </c>
      <c r="F46" s="7"/>
    </row>
    <row r="47" spans="2:7" x14ac:dyDescent="0.45">
      <c r="F47" s="7"/>
    </row>
    <row r="48" spans="2:7" x14ac:dyDescent="0.45">
      <c r="C48" s="9">
        <f>D35-1.96*D40</f>
        <v>1.5019417572514457</v>
      </c>
      <c r="D48" s="1" t="s">
        <v>31</v>
      </c>
      <c r="E48" s="9">
        <f>D35+1.96*D40</f>
        <v>2.4819417572514455</v>
      </c>
      <c r="G48" t="s">
        <v>32</v>
      </c>
    </row>
    <row r="49" spans="2:7" x14ac:dyDescent="0.45">
      <c r="C49" s="9"/>
      <c r="D49" s="1"/>
      <c r="E49" s="9"/>
    </row>
    <row r="50" spans="2:7" x14ac:dyDescent="0.45">
      <c r="C50" t="s">
        <v>33</v>
      </c>
      <c r="F50" s="7"/>
    </row>
    <row r="51" spans="2:7" x14ac:dyDescent="0.45">
      <c r="F51" s="7"/>
    </row>
    <row r="52" spans="2:7" x14ac:dyDescent="0.45">
      <c r="C52" s="9">
        <f>(EXP(2*C48)-1)/(EXP(2*C48)+1)</f>
        <v>0.90549852600010572</v>
      </c>
      <c r="D52" s="1" t="s">
        <v>34</v>
      </c>
      <c r="E52" s="9">
        <f>(EXP(2*E48)-1)/(EXP(2*E48)+1)</f>
        <v>0.98612543252079377</v>
      </c>
      <c r="F52" s="7"/>
      <c r="G52" t="s">
        <v>35</v>
      </c>
    </row>
    <row r="53" spans="2:7" x14ac:dyDescent="0.45">
      <c r="F53" s="7"/>
    </row>
    <row r="54" spans="2:7" x14ac:dyDescent="0.45">
      <c r="B54" t="s">
        <v>36</v>
      </c>
      <c r="C54" t="s">
        <v>0</v>
      </c>
      <c r="F54" s="7"/>
    </row>
    <row r="55" spans="2:7" x14ac:dyDescent="0.45">
      <c r="C55" t="s">
        <v>37</v>
      </c>
      <c r="D55" s="6">
        <f>G25/H25</f>
        <v>32642.315807081406</v>
      </c>
      <c r="F55" s="7"/>
      <c r="G55" t="s">
        <v>38</v>
      </c>
    </row>
    <row r="56" spans="2:7" x14ac:dyDescent="0.45">
      <c r="D56" s="6"/>
      <c r="F56" s="7"/>
    </row>
    <row r="57" spans="2:7" x14ac:dyDescent="0.45">
      <c r="D57" s="6"/>
      <c r="F57" s="7"/>
    </row>
    <row r="58" spans="2:7" x14ac:dyDescent="0.45">
      <c r="D58" s="6"/>
      <c r="F58" s="7"/>
    </row>
    <row r="59" spans="2:7" x14ac:dyDescent="0.45">
      <c r="D59" s="6"/>
      <c r="F59" s="7"/>
    </row>
    <row r="60" spans="2:7" x14ac:dyDescent="0.45">
      <c r="C60" t="s">
        <v>16</v>
      </c>
      <c r="D60">
        <f>D3-D55*D2</f>
        <v>-62387426.153751664</v>
      </c>
      <c r="F60" s="7"/>
      <c r="G60" t="s">
        <v>39</v>
      </c>
    </row>
    <row r="61" spans="2:7" x14ac:dyDescent="0.45">
      <c r="F61" s="7"/>
    </row>
    <row r="62" spans="2:7" x14ac:dyDescent="0.45">
      <c r="F62" s="7"/>
    </row>
    <row r="63" spans="2:7" x14ac:dyDescent="0.45">
      <c r="F63" s="7"/>
    </row>
    <row r="64" spans="2:7" x14ac:dyDescent="0.45">
      <c r="F64" s="7"/>
    </row>
    <row r="65" spans="2:7" x14ac:dyDescent="0.45">
      <c r="B65" t="s">
        <v>17</v>
      </c>
      <c r="C65" t="s">
        <v>18</v>
      </c>
      <c r="F65" s="7"/>
    </row>
    <row r="66" spans="2:7" x14ac:dyDescent="0.45">
      <c r="C66" t="s">
        <v>19</v>
      </c>
      <c r="D66">
        <f>(1-D29^2)*J25/(D1-2)</f>
        <v>102142954660.3102</v>
      </c>
      <c r="F66" s="7"/>
      <c r="G66" t="s">
        <v>40</v>
      </c>
    </row>
    <row r="67" spans="2:7" x14ac:dyDescent="0.45">
      <c r="F67" s="7"/>
    </row>
    <row r="68" spans="2:7" x14ac:dyDescent="0.45">
      <c r="F68" s="7"/>
    </row>
    <row r="69" spans="2:7" x14ac:dyDescent="0.45">
      <c r="F69" s="7"/>
    </row>
    <row r="70" spans="2:7" x14ac:dyDescent="0.45">
      <c r="F70" s="7"/>
    </row>
    <row r="71" spans="2:7" x14ac:dyDescent="0.45">
      <c r="C71" t="s">
        <v>41</v>
      </c>
      <c r="D71">
        <f>D66^0.5</f>
        <v>319598.11429404619</v>
      </c>
      <c r="F71" s="7"/>
    </row>
    <row r="72" spans="2:7" x14ac:dyDescent="0.45">
      <c r="F72" s="7"/>
    </row>
    <row r="73" spans="2:7" x14ac:dyDescent="0.45">
      <c r="C73" t="s">
        <v>42</v>
      </c>
      <c r="D73" s="10">
        <f>D71*(1/D1+D2^2/H25)^0.5</f>
        <v>4330819.325839268</v>
      </c>
      <c r="G73" t="s">
        <v>43</v>
      </c>
    </row>
    <row r="74" spans="2:7" x14ac:dyDescent="0.45">
      <c r="D74" s="10"/>
    </row>
    <row r="75" spans="2:7" x14ac:dyDescent="0.45">
      <c r="D75" s="10"/>
    </row>
    <row r="76" spans="2:7" x14ac:dyDescent="0.45">
      <c r="D76" s="10"/>
    </row>
    <row r="77" spans="2:7" x14ac:dyDescent="0.45">
      <c r="D77" s="10"/>
    </row>
    <row r="78" spans="2:7" x14ac:dyDescent="0.45">
      <c r="C78" t="s">
        <v>44</v>
      </c>
      <c r="D78" s="4">
        <f>D71/(H25)^0.5</f>
        <v>2201.1871947655345</v>
      </c>
      <c r="G78" t="s">
        <v>45</v>
      </c>
    </row>
    <row r="79" spans="2:7" x14ac:dyDescent="0.45">
      <c r="D79" s="4"/>
    </row>
    <row r="80" spans="2:7" x14ac:dyDescent="0.45">
      <c r="D80" s="4"/>
    </row>
    <row r="81" spans="2:7" x14ac:dyDescent="0.45">
      <c r="D81" s="4"/>
    </row>
    <row r="82" spans="2:7" x14ac:dyDescent="0.45">
      <c r="D82" s="4"/>
    </row>
    <row r="83" spans="2:7" x14ac:dyDescent="0.45">
      <c r="F83" s="7"/>
    </row>
    <row r="84" spans="2:7" x14ac:dyDescent="0.45">
      <c r="B84" t="s">
        <v>46</v>
      </c>
      <c r="C84" t="s">
        <v>47</v>
      </c>
      <c r="F84" s="7"/>
    </row>
    <row r="85" spans="2:7" x14ac:dyDescent="0.45">
      <c r="C85" t="s">
        <v>48</v>
      </c>
      <c r="D85" s="4">
        <f>D60/D73</f>
        <v>-14.405455748644426</v>
      </c>
      <c r="F85" s="7" t="s">
        <v>49</v>
      </c>
    </row>
    <row r="86" spans="2:7" x14ac:dyDescent="0.45">
      <c r="C86" t="s">
        <v>50</v>
      </c>
      <c r="D86" s="4">
        <f>D55/D78</f>
        <v>14.829413820280919</v>
      </c>
      <c r="F86" s="7" t="s">
        <v>51</v>
      </c>
    </row>
    <row r="87" spans="2:7" x14ac:dyDescent="0.45">
      <c r="F87" s="7"/>
    </row>
    <row r="88" spans="2:7" x14ac:dyDescent="0.45">
      <c r="B88" t="s">
        <v>52</v>
      </c>
      <c r="C88" t="s">
        <v>53</v>
      </c>
      <c r="D88" s="11"/>
      <c r="F88" s="7"/>
    </row>
    <row r="89" spans="2:7" x14ac:dyDescent="0.45">
      <c r="C89" t="s">
        <v>54</v>
      </c>
      <c r="D89" s="11">
        <v>0.95</v>
      </c>
      <c r="F89" s="7"/>
    </row>
    <row r="90" spans="2:7" x14ac:dyDescent="0.45">
      <c r="C90" t="s">
        <v>55</v>
      </c>
      <c r="D90" s="9">
        <f>1-D89</f>
        <v>5.0000000000000044E-2</v>
      </c>
      <c r="F90" s="7"/>
    </row>
    <row r="91" spans="2:7" x14ac:dyDescent="0.45">
      <c r="C91" s="12" t="s">
        <v>56</v>
      </c>
      <c r="D91" s="13">
        <f>D1-2</f>
        <v>17</v>
      </c>
      <c r="F91" s="7"/>
    </row>
    <row r="92" spans="2:7" x14ac:dyDescent="0.45">
      <c r="C92" s="12" t="s">
        <v>57</v>
      </c>
      <c r="D92" s="13">
        <f>D90/2</f>
        <v>2.5000000000000022E-2</v>
      </c>
      <c r="F92" s="7"/>
    </row>
    <row r="93" spans="2:7" x14ac:dyDescent="0.45">
      <c r="C93" t="s">
        <v>58</v>
      </c>
      <c r="D93" s="6">
        <f>D55</f>
        <v>32642.315807081406</v>
      </c>
      <c r="F93" s="7"/>
    </row>
    <row r="94" spans="2:7" x14ac:dyDescent="0.45">
      <c r="C94" t="s">
        <v>59</v>
      </c>
      <c r="D94" s="9">
        <v>2.1097999999999999</v>
      </c>
      <c r="F94" s="7"/>
      <c r="G94" t="s">
        <v>60</v>
      </c>
    </row>
    <row r="95" spans="2:7" x14ac:dyDescent="0.45">
      <c r="C95" t="s">
        <v>61</v>
      </c>
      <c r="D95" s="4">
        <f>D93-D94*D78</f>
        <v>27998.251063565083</v>
      </c>
      <c r="F95" s="7"/>
    </row>
    <row r="96" spans="2:7" x14ac:dyDescent="0.45">
      <c r="C96" t="s">
        <v>62</v>
      </c>
      <c r="D96" s="4">
        <f>D93+D94*D78</f>
        <v>37286.380550597729</v>
      </c>
      <c r="F96" s="7"/>
    </row>
    <row r="97" spans="2:7" x14ac:dyDescent="0.45">
      <c r="D97" s="4"/>
      <c r="F97" s="7"/>
    </row>
    <row r="98" spans="2:7" x14ac:dyDescent="0.45">
      <c r="D98" s="4"/>
      <c r="F98" s="7"/>
    </row>
    <row r="99" spans="2:7" x14ac:dyDescent="0.45">
      <c r="D99" s="4"/>
      <c r="F99" s="7"/>
    </row>
    <row r="100" spans="2:7" x14ac:dyDescent="0.45">
      <c r="B100" t="s">
        <v>63</v>
      </c>
      <c r="C100" t="s">
        <v>64</v>
      </c>
      <c r="D100" s="11"/>
      <c r="F100" s="7"/>
    </row>
    <row r="101" spans="2:7" x14ac:dyDescent="0.45">
      <c r="C101" t="s">
        <v>65</v>
      </c>
      <c r="D101" s="6">
        <f>D60</f>
        <v>-62387426.153751664</v>
      </c>
      <c r="F101" s="7"/>
    </row>
    <row r="102" spans="2:7" x14ac:dyDescent="0.45">
      <c r="C102" t="s">
        <v>59</v>
      </c>
      <c r="D102" s="9">
        <f>D94</f>
        <v>2.1097999999999999</v>
      </c>
      <c r="F102" s="7"/>
      <c r="G102" t="s">
        <v>60</v>
      </c>
    </row>
    <row r="103" spans="2:7" x14ac:dyDescent="0.45">
      <c r="C103" t="s">
        <v>61</v>
      </c>
      <c r="D103" s="14">
        <f>D101-D102*D73</f>
        <v>-71524588.767407358</v>
      </c>
      <c r="F103" s="7"/>
    </row>
    <row r="104" spans="2:7" x14ac:dyDescent="0.45">
      <c r="C104" t="s">
        <v>62</v>
      </c>
      <c r="D104" s="14">
        <f>D101+D102*D73</f>
        <v>-53250263.540095977</v>
      </c>
      <c r="F104" s="7"/>
    </row>
    <row r="105" spans="2:7" x14ac:dyDescent="0.45">
      <c r="D105" s="14"/>
      <c r="F105" s="7"/>
    </row>
    <row r="106" spans="2:7" x14ac:dyDescent="0.45">
      <c r="D106" s="14"/>
      <c r="F106" s="7"/>
    </row>
    <row r="107" spans="2:7" x14ac:dyDescent="0.45">
      <c r="F107" s="7"/>
    </row>
    <row r="108" spans="2:7" x14ac:dyDescent="0.45">
      <c r="B108" t="s">
        <v>66</v>
      </c>
      <c r="C108" t="s">
        <v>67</v>
      </c>
      <c r="F108" s="7"/>
    </row>
    <row r="109" spans="2:7" x14ac:dyDescent="0.45">
      <c r="C109" t="s">
        <v>68</v>
      </c>
      <c r="D109" s="15">
        <f>D29^2</f>
        <v>0.92824325126791607</v>
      </c>
      <c r="F109" s="7"/>
    </row>
    <row r="110" spans="2:7" x14ac:dyDescent="0.45">
      <c r="F110" s="7"/>
    </row>
    <row r="111" spans="2:7" x14ac:dyDescent="0.45">
      <c r="B111" t="s">
        <v>69</v>
      </c>
      <c r="C111" t="s">
        <v>70</v>
      </c>
      <c r="F111" s="7"/>
    </row>
    <row r="112" spans="2:7" x14ac:dyDescent="0.45">
      <c r="C112" t="s">
        <v>41</v>
      </c>
      <c r="D112">
        <f>(J25/(D1-1))^0.5</f>
        <v>1159474.0680072675</v>
      </c>
      <c r="F112" s="7"/>
      <c r="G112" t="s">
        <v>71</v>
      </c>
    </row>
    <row r="113" spans="2:7" x14ac:dyDescent="0.45">
      <c r="F113" s="7"/>
    </row>
    <row r="114" spans="2:7" x14ac:dyDescent="0.45">
      <c r="F114" s="7"/>
    </row>
    <row r="115" spans="2:7" x14ac:dyDescent="0.45">
      <c r="F115" s="7"/>
    </row>
    <row r="116" spans="2:7" x14ac:dyDescent="0.45">
      <c r="F116" s="7"/>
    </row>
    <row r="117" spans="2:7" x14ac:dyDescent="0.45">
      <c r="F117" s="7"/>
    </row>
    <row r="118" spans="2:7" x14ac:dyDescent="0.45">
      <c r="F118" s="7"/>
    </row>
    <row r="119" spans="2:7" x14ac:dyDescent="0.45">
      <c r="B119" t="s">
        <v>72</v>
      </c>
      <c r="C119" t="s">
        <v>82</v>
      </c>
      <c r="F119" s="7"/>
    </row>
    <row r="120" spans="2:7" x14ac:dyDescent="0.45">
      <c r="C120" t="s">
        <v>83</v>
      </c>
      <c r="D120">
        <v>2040</v>
      </c>
      <c r="F120" s="7"/>
    </row>
    <row r="121" spans="2:7" x14ac:dyDescent="0.45">
      <c r="C121" t="s">
        <v>84</v>
      </c>
      <c r="D121" s="14">
        <f>D60+D55*D120</f>
        <v>4202898.0926944017</v>
      </c>
      <c r="F121" s="7"/>
    </row>
    <row r="122" spans="2:7" x14ac:dyDescent="0.45">
      <c r="D122" s="14"/>
      <c r="F122" s="7"/>
    </row>
    <row r="123" spans="2:7" x14ac:dyDescent="0.45">
      <c r="B123" t="s">
        <v>73</v>
      </c>
      <c r="C123" t="s">
        <v>74</v>
      </c>
      <c r="D123" s="14"/>
      <c r="F123" s="7"/>
    </row>
    <row r="124" spans="2:7" x14ac:dyDescent="0.45">
      <c r="C124" t="s">
        <v>75</v>
      </c>
      <c r="D124" s="14">
        <f>D121</f>
        <v>4202898.0926944017</v>
      </c>
      <c r="F124" s="7"/>
    </row>
    <row r="125" spans="2:7" x14ac:dyDescent="0.45">
      <c r="C125" t="s">
        <v>59</v>
      </c>
      <c r="D125" s="9">
        <v>2.1097999999999999</v>
      </c>
      <c r="F125" s="7"/>
      <c r="G125" t="s">
        <v>60</v>
      </c>
    </row>
    <row r="126" spans="2:7" x14ac:dyDescent="0.45">
      <c r="C126" t="s">
        <v>76</v>
      </c>
      <c r="D126" s="14">
        <f>D71*(1/D1+((D120-D2)^2/H25))^0.5</f>
        <v>176202.82968770099</v>
      </c>
      <c r="F126" s="7"/>
      <c r="G126" t="s">
        <v>77</v>
      </c>
    </row>
    <row r="127" spans="2:7" x14ac:dyDescent="0.45">
      <c r="D127" s="14"/>
      <c r="F127" s="7"/>
    </row>
    <row r="128" spans="2:7" x14ac:dyDescent="0.45">
      <c r="D128" s="14"/>
      <c r="F128" s="7"/>
    </row>
    <row r="129" spans="2:7" x14ac:dyDescent="0.45">
      <c r="D129" s="14"/>
      <c r="F129" s="7"/>
    </row>
    <row r="130" spans="2:7" x14ac:dyDescent="0.45">
      <c r="D130" s="14"/>
      <c r="F130" s="7"/>
    </row>
    <row r="131" spans="2:7" x14ac:dyDescent="0.45">
      <c r="F131" s="7"/>
    </row>
    <row r="132" spans="2:7" x14ac:dyDescent="0.45">
      <c r="C132" t="s">
        <v>61</v>
      </c>
      <c r="D132" s="14">
        <f>D124-D125*D126</f>
        <v>3831145.3626192901</v>
      </c>
      <c r="F132" s="7"/>
    </row>
    <row r="133" spans="2:7" x14ac:dyDescent="0.45">
      <c r="C133" t="s">
        <v>62</v>
      </c>
      <c r="D133" s="14">
        <f>D124+D125*D126</f>
        <v>4574650.8227695134</v>
      </c>
    </row>
    <row r="134" spans="2:7" x14ac:dyDescent="0.45">
      <c r="D134" s="14"/>
    </row>
    <row r="135" spans="2:7" x14ac:dyDescent="0.45">
      <c r="D135" s="14"/>
    </row>
    <row r="136" spans="2:7" x14ac:dyDescent="0.45">
      <c r="D136" s="14"/>
    </row>
    <row r="138" spans="2:7" x14ac:dyDescent="0.45">
      <c r="B138" t="s">
        <v>78</v>
      </c>
      <c r="C138" t="s">
        <v>79</v>
      </c>
      <c r="D138" s="14"/>
    </row>
    <row r="139" spans="2:7" x14ac:dyDescent="0.45">
      <c r="C139" t="s">
        <v>75</v>
      </c>
      <c r="D139" s="14">
        <f>D124</f>
        <v>4202898.0926944017</v>
      </c>
    </row>
    <row r="140" spans="2:7" x14ac:dyDescent="0.45">
      <c r="C140" t="s">
        <v>59</v>
      </c>
      <c r="D140" s="9">
        <f>D125</f>
        <v>2.1097999999999999</v>
      </c>
      <c r="G140" t="s">
        <v>60</v>
      </c>
    </row>
    <row r="141" spans="2:7" x14ac:dyDescent="0.45">
      <c r="C141" t="s">
        <v>80</v>
      </c>
      <c r="D141" s="14">
        <f>D71*(1+1/D1+((D120-D2)^2/H25))^0.5</f>
        <v>364952.58849645546</v>
      </c>
      <c r="G141" t="s">
        <v>81</v>
      </c>
    </row>
    <row r="142" spans="2:7" x14ac:dyDescent="0.45">
      <c r="D142" s="14"/>
    </row>
    <row r="143" spans="2:7" x14ac:dyDescent="0.45">
      <c r="D143" s="14"/>
    </row>
    <row r="144" spans="2:7" x14ac:dyDescent="0.45">
      <c r="D144" s="14"/>
    </row>
    <row r="145" spans="3:4" x14ac:dyDescent="0.45">
      <c r="D145" s="14"/>
    </row>
    <row r="146" spans="3:4" x14ac:dyDescent="0.45">
      <c r="D146" s="14"/>
    </row>
    <row r="147" spans="3:4" x14ac:dyDescent="0.45">
      <c r="D147" s="14"/>
    </row>
    <row r="148" spans="3:4" x14ac:dyDescent="0.45">
      <c r="C148" t="s">
        <v>61</v>
      </c>
      <c r="D148" s="14">
        <f>D139-D140*D141</f>
        <v>3432921.12148458</v>
      </c>
    </row>
    <row r="149" spans="3:4" x14ac:dyDescent="0.45">
      <c r="C149" t="s">
        <v>62</v>
      </c>
      <c r="D149" s="14">
        <f>D139+D140*D141</f>
        <v>4972875.063904223</v>
      </c>
    </row>
    <row r="153" spans="3:4" x14ac:dyDescent="0.45">
      <c r="D153" s="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vs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Huynh</dc:creator>
  <cp:lastModifiedBy>Hao Nguyen</cp:lastModifiedBy>
  <dcterms:created xsi:type="dcterms:W3CDTF">2020-12-02T06:51:37Z</dcterms:created>
  <dcterms:modified xsi:type="dcterms:W3CDTF">2020-12-05T21:35:10Z</dcterms:modified>
</cp:coreProperties>
</file>